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71C73425-300A-4CCD-9301-F33625554788}" xr6:coauthVersionLast="47" xr6:coauthVersionMax="47" xr10:uidLastSave="{00000000-0000-0000-0000-000000000000}"/>
  <bookViews>
    <workbookView xWindow="-110" yWindow="-110" windowWidth="19420" windowHeight="10420" tabRatio="763" xr2:uid="{00000000-000D-0000-FFFF-FFFF00000000}"/>
  </bookViews>
  <sheets>
    <sheet name="SEF-3 TOC" sheetId="2" r:id="rId1"/>
    <sheet name="SEF-3 p 1 PC Summary" sheetId="3" r:id="rId2"/>
    <sheet name="SEF-3 p 2 Actual BLR" sheetId="15" r:id="rId3"/>
    <sheet name="SEF-3 p 3 Sch B" sheetId="5" r:id="rId4"/>
    <sheet name="SEF-3 p 4 Bands" sheetId="12" r:id="rId5"/>
    <sheet name="SEF-3 p 5 Interest" sheetId="13" r:id="rId6"/>
    <sheet name="SEF-3 p 6 Approved BLRs" sheetId="14" r:id="rId7"/>
    <sheet name="SEF-3 p 7 2021 Imbalance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localSheetId="1" hidden="1">#REF!</definedName>
    <definedName name="__123Graph_D" hidden="1">#REF!</definedName>
    <definedName name="__123Graph_ECURRENT" localSheetId="1" hidden="1">[2]ConsolidatingPL!#REF!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localSheetId="1" hidden="1">{#N/A,#N/A,FALSE,"Summ";#N/A,#N/A,FALSE,"General"}</definedName>
    <definedName name="__ex1" hidden="1">{#N/A,#N/A,FALSE,"Summ";#N/A,#N/A,FALSE,"General"}</definedName>
    <definedName name="__Jun09">" BS!$AI$7:$AI$1643"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2__123Graph_AChart_1A" hidden="1">'[4]12Mo08'!#REF!</definedName>
    <definedName name="_3__123Graph_BBUDG6_D_ESCRPR" hidden="1">[1]Quant!$D$72:$O$72</definedName>
    <definedName name="_4__123Graph_BBUDG6_Dtons_inv" hidden="1">[1]Quant!$D$9:$O$9</definedName>
    <definedName name="_4__123Graph_BChart_1A" hidden="1">'[4]12Mo08'!#REF!</definedName>
    <definedName name="_5__123Graph_CBUDG6_D_ESCRPR" hidden="1">[1]Quant!$D$100:$O$100</definedName>
    <definedName name="_6__123Graph_CChart_1A" hidden="1">'[4]12Mo08'!#REF!</definedName>
    <definedName name="_6__123Graph_DBUDG6_D_ESCRPR" hidden="1">[1]Quant!$D$88:$O$88</definedName>
    <definedName name="_7__123Graph_XBUDG6_D_ESCRPR" hidden="1">[1]Quant!$D$5:$O$5</definedName>
    <definedName name="_8__123Graph_XBUDG6_Dtons_inv" hidden="1">[1]Quant!$D$5:$O$5</definedName>
    <definedName name="_8__123Graph_XChart_1A" hidden="1">'[4]12Mo08'!#REF!</definedName>
    <definedName name="_ex1" localSheetId="1" hidden="1">{#N/A,#N/A,FALSE,"Summ";#N/A,#N/A,FALSE,"General"}</definedName>
    <definedName name="_ex1" hidden="1">{#N/A,#N/A,FALSE,"Summ";#N/A,#N/A,FALSE,"General"}</definedName>
    <definedName name="_Fill" hidden="1">#REF!</definedName>
    <definedName name="_xlnm._FilterDatabase" localSheetId="3" hidden="1">'SEF-3 p 3 Sch B'!$E$28:$Z$33</definedName>
    <definedName name="_Jun09">" BS!$AI$7:$AI$1643"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Aurora_Prices">"Monthly Price Summary'!$C$4:$H$63"</definedName>
    <definedName name="b" localSheetId="1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Button_1">"TradeSummary_Ken_Finicle_List"</definedName>
    <definedName name="CASE_E">'[5]Named Ranges E'!$C$4</definedName>
    <definedName name="CBWorkbookPriority" hidden="1">-2060790043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calator">1.025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FIT_E">'[5]Named Ranges E'!$C$3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utage" hidden="1">'[6]12Mo08'!#REF!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3">'SEF-3 p 3 Sch B'!$A$1:$Q$46</definedName>
    <definedName name="Print_Area_Reset">OFFSET(Full_Print,0,0,Last_Row)</definedName>
    <definedName name="_xlnm.Print_Titles" localSheetId="4">'SEF-3 p 4 Bands'!$8:$14</definedName>
    <definedName name="_xlnm.Print_Titles" localSheetId="5">'SEF-3 p 5 Interest'!$10:$14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ESTYEAR_E">'[5]Named Ranges E'!$C$5</definedName>
    <definedName name="Total_Payment">Scheduled_Payment+Extra_Payment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1" hidden="1">#REF!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Values_Entered">IF(Loan_Amount*Interest_Rate*Loan_Years*Loan_Start&gt;0,1,0)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'[7]12Mo08'!#REF!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6" l="1"/>
  <c r="E36" i="16" l="1"/>
  <c r="E38" i="16" s="1"/>
  <c r="E39" i="16" s="1"/>
  <c r="E40" i="16" s="1"/>
  <c r="A10" i="16"/>
  <c r="A11" i="16" s="1"/>
  <c r="A12" i="16" s="1"/>
  <c r="A13" i="16" s="1"/>
  <c r="A14" i="16" s="1"/>
  <c r="A15" i="16" s="1"/>
  <c r="A16" i="16" s="1"/>
  <c r="A17" i="16" s="1"/>
  <c r="C15" i="16" l="1"/>
  <c r="I31" i="5" l="1"/>
  <c r="I32" i="5"/>
  <c r="J32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6" i="5"/>
  <c r="A1" i="15" l="1"/>
  <c r="A37" i="15"/>
  <c r="A38" i="15"/>
  <c r="A39" i="15" s="1"/>
  <c r="A40" i="15" s="1"/>
  <c r="A41" i="15" s="1"/>
  <c r="A42" i="15" s="1"/>
  <c r="A43" i="15" s="1"/>
  <c r="A44" i="15" s="1"/>
  <c r="A45" i="15" s="1"/>
  <c r="A46" i="15" s="1"/>
  <c r="A47" i="15" s="1"/>
  <c r="J15" i="14"/>
  <c r="J16" i="14"/>
  <c r="J17" i="14"/>
  <c r="J18" i="14"/>
  <c r="J19" i="14"/>
  <c r="M43" i="14" s="1"/>
  <c r="M44" i="14" s="1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14" i="14"/>
  <c r="L43" i="14" s="1"/>
  <c r="L44" i="14" s="1"/>
  <c r="D37" i="14" l="1"/>
  <c r="C37" i="14"/>
  <c r="C39" i="14" s="1"/>
  <c r="J37" i="14"/>
  <c r="J43" i="14" s="1"/>
  <c r="J44" i="14" s="1"/>
  <c r="I37" i="14"/>
  <c r="I39" i="14" s="1"/>
  <c r="F35" i="14"/>
  <c r="L35" i="14"/>
  <c r="A35" i="14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F34" i="14"/>
  <c r="L34" i="14"/>
  <c r="F33" i="14"/>
  <c r="L33" i="14"/>
  <c r="F32" i="14"/>
  <c r="L32" i="14"/>
  <c r="G31" i="14"/>
  <c r="M31" i="14"/>
  <c r="G30" i="14"/>
  <c r="M30" i="14"/>
  <c r="F29" i="14"/>
  <c r="L29" i="14"/>
  <c r="F28" i="14"/>
  <c r="L28" i="14"/>
  <c r="G27" i="14"/>
  <c r="M27" i="14"/>
  <c r="G26" i="14"/>
  <c r="M26" i="14"/>
  <c r="G25" i="14"/>
  <c r="M25" i="14"/>
  <c r="F24" i="14"/>
  <c r="L24" i="14"/>
  <c r="G23" i="14"/>
  <c r="M23" i="14"/>
  <c r="F22" i="14"/>
  <c r="L22" i="14"/>
  <c r="F21" i="14"/>
  <c r="L21" i="14"/>
  <c r="F20" i="14"/>
  <c r="L20" i="14"/>
  <c r="G19" i="14"/>
  <c r="M19" i="14"/>
  <c r="G18" i="14"/>
  <c r="M18" i="14"/>
  <c r="F17" i="14"/>
  <c r="L17" i="14"/>
  <c r="F16" i="14"/>
  <c r="L16" i="14"/>
  <c r="G15" i="14"/>
  <c r="M15" i="14"/>
  <c r="F14" i="14"/>
  <c r="L14" i="14"/>
  <c r="I9" i="14"/>
  <c r="A1" i="14"/>
  <c r="M37" i="14" l="1"/>
  <c r="M39" i="14" s="1"/>
  <c r="L37" i="14"/>
  <c r="L39" i="14" s="1"/>
  <c r="G37" i="14"/>
  <c r="G39" i="14" s="1"/>
  <c r="F37" i="14"/>
  <c r="F39" i="14" s="1"/>
  <c r="A2" i="13" l="1"/>
  <c r="A2" i="12"/>
  <c r="G15" i="13"/>
  <c r="J15" i="13"/>
  <c r="K15" i="13" s="1"/>
  <c r="N15" i="13" s="1"/>
  <c r="O15" i="13" s="1"/>
  <c r="F16" i="13"/>
  <c r="G16" i="13"/>
  <c r="J16" i="13"/>
  <c r="K16" i="13" s="1"/>
  <c r="F18" i="13"/>
  <c r="F20" i="13"/>
  <c r="F22" i="13"/>
  <c r="F24" i="13"/>
  <c r="F26" i="13"/>
  <c r="F28" i="13"/>
  <c r="F30" i="13"/>
  <c r="F32" i="13"/>
  <c r="F34" i="13"/>
  <c r="F36" i="13"/>
  <c r="F38" i="13"/>
  <c r="F40" i="13"/>
  <c r="J41" i="13"/>
  <c r="K41" i="13"/>
  <c r="J42" i="13"/>
  <c r="K42" i="13" s="1"/>
  <c r="J43" i="13"/>
  <c r="K43" i="13" s="1"/>
  <c r="F44" i="13"/>
  <c r="J44" i="13"/>
  <c r="K44" i="13" s="1"/>
  <c r="J45" i="13"/>
  <c r="K45" i="13" s="1"/>
  <c r="J46" i="13"/>
  <c r="K46" i="13" s="1"/>
  <c r="J47" i="13"/>
  <c r="K47" i="13"/>
  <c r="J48" i="13"/>
  <c r="K48" i="13"/>
  <c r="J49" i="13"/>
  <c r="K49" i="13" s="1"/>
  <c r="J50" i="13"/>
  <c r="K50" i="13"/>
  <c r="J51" i="13"/>
  <c r="K51" i="13"/>
  <c r="F52" i="13"/>
  <c r="J52" i="13"/>
  <c r="K52" i="13"/>
  <c r="J53" i="13"/>
  <c r="K53" i="13" s="1"/>
  <c r="F54" i="13"/>
  <c r="J54" i="13"/>
  <c r="K54" i="13"/>
  <c r="J55" i="13"/>
  <c r="K55" i="13" s="1"/>
  <c r="F56" i="13"/>
  <c r="J56" i="13"/>
  <c r="K56" i="13" s="1"/>
  <c r="J57" i="13"/>
  <c r="K57" i="13" s="1"/>
  <c r="F58" i="13"/>
  <c r="J58" i="13"/>
  <c r="K58" i="13"/>
  <c r="J59" i="13"/>
  <c r="F60" i="13"/>
  <c r="J60" i="13"/>
  <c r="K60" i="13" s="1"/>
  <c r="J61" i="13"/>
  <c r="K61" i="13"/>
  <c r="F62" i="13"/>
  <c r="J62" i="13"/>
  <c r="K62" i="13"/>
  <c r="J63" i="13"/>
  <c r="K63" i="13" s="1"/>
  <c r="F64" i="13"/>
  <c r="K64" i="13"/>
  <c r="J65" i="13"/>
  <c r="K65" i="13"/>
  <c r="J66" i="13"/>
  <c r="K66" i="13"/>
  <c r="J67" i="13"/>
  <c r="K67" i="13" s="1"/>
  <c r="F68" i="13"/>
  <c r="F70" i="13" s="1"/>
  <c r="F72" i="13" s="1"/>
  <c r="J68" i="13"/>
  <c r="K68" i="13" s="1"/>
  <c r="J69" i="13"/>
  <c r="K69" i="13" s="1"/>
  <c r="J70" i="13"/>
  <c r="K70" i="13" s="1"/>
  <c r="J71" i="13"/>
  <c r="K71" i="13"/>
  <c r="J72" i="13"/>
  <c r="K72" i="13" s="1"/>
  <c r="J73" i="13"/>
  <c r="K73" i="13"/>
  <c r="F74" i="13"/>
  <c r="J74" i="13"/>
  <c r="K74" i="13"/>
  <c r="J75" i="13"/>
  <c r="K75" i="13"/>
  <c r="F76" i="13"/>
  <c r="J76" i="13"/>
  <c r="K76" i="13"/>
  <c r="J77" i="13"/>
  <c r="K77" i="13" s="1"/>
  <c r="F78" i="13"/>
  <c r="J78" i="13"/>
  <c r="K78" i="13" s="1"/>
  <c r="J79" i="13"/>
  <c r="K79" i="13"/>
  <c r="F80" i="13"/>
  <c r="J80" i="13"/>
  <c r="K80" i="13"/>
  <c r="J81" i="13"/>
  <c r="K81" i="13"/>
  <c r="F82" i="13"/>
  <c r="J82" i="13"/>
  <c r="K82" i="13"/>
  <c r="J83" i="13"/>
  <c r="F84" i="13"/>
  <c r="J84" i="13"/>
  <c r="K84" i="13" s="1"/>
  <c r="J85" i="13"/>
  <c r="K85" i="13"/>
  <c r="F86" i="13"/>
  <c r="J86" i="13"/>
  <c r="K86" i="13"/>
  <c r="J87" i="13"/>
  <c r="K87" i="13" s="1"/>
  <c r="F88" i="13"/>
  <c r="K88" i="13"/>
  <c r="J89" i="13"/>
  <c r="K89" i="13"/>
  <c r="F90" i="13"/>
  <c r="J90" i="13"/>
  <c r="K90" i="13" s="1"/>
  <c r="J91" i="13"/>
  <c r="K91" i="13" s="1"/>
  <c r="F92" i="13"/>
  <c r="J92" i="13"/>
  <c r="K92" i="13" s="1"/>
  <c r="J93" i="13"/>
  <c r="K93" i="13"/>
  <c r="F94" i="13"/>
  <c r="J94" i="13"/>
  <c r="K94" i="13" s="1"/>
  <c r="J95" i="13"/>
  <c r="K95" i="13"/>
  <c r="F96" i="13"/>
  <c r="J96" i="13"/>
  <c r="K96" i="13"/>
  <c r="J97" i="13"/>
  <c r="K97" i="13"/>
  <c r="F98" i="13"/>
  <c r="J98" i="13"/>
  <c r="K98" i="13"/>
  <c r="J99" i="13"/>
  <c r="K99" i="13" s="1"/>
  <c r="F100" i="13"/>
  <c r="K100" i="13"/>
  <c r="K101" i="13"/>
  <c r="F102" i="13"/>
  <c r="K102" i="13"/>
  <c r="K103" i="13"/>
  <c r="F104" i="13"/>
  <c r="K104" i="13"/>
  <c r="K105" i="13"/>
  <c r="F106" i="13"/>
  <c r="K106" i="13"/>
  <c r="K107" i="13"/>
  <c r="F108" i="13"/>
  <c r="K108" i="13"/>
  <c r="K109" i="13"/>
  <c r="F110" i="13"/>
  <c r="K110" i="13"/>
  <c r="K111" i="13"/>
  <c r="F112" i="13"/>
  <c r="K112" i="13"/>
  <c r="K113" i="13"/>
  <c r="F114" i="13"/>
  <c r="K114" i="13"/>
  <c r="K115" i="13"/>
  <c r="F116" i="13"/>
  <c r="K116" i="13"/>
  <c r="K117" i="13"/>
  <c r="F118" i="13"/>
  <c r="K118" i="13"/>
  <c r="K119" i="13"/>
  <c r="F120" i="13"/>
  <c r="K120" i="13"/>
  <c r="K121" i="13"/>
  <c r="F122" i="13"/>
  <c r="K122" i="13"/>
  <c r="K123" i="13"/>
  <c r="F124" i="13"/>
  <c r="K124" i="13"/>
  <c r="K125" i="13"/>
  <c r="F126" i="13"/>
  <c r="K126" i="13"/>
  <c r="K127" i="13"/>
  <c r="F128" i="13"/>
  <c r="K128" i="13"/>
  <c r="K129" i="13"/>
  <c r="F130" i="13"/>
  <c r="K130" i="13"/>
  <c r="K131" i="13"/>
  <c r="F132" i="13"/>
  <c r="K132" i="13"/>
  <c r="K133" i="13"/>
  <c r="F134" i="13"/>
  <c r="K134" i="13"/>
  <c r="K135" i="13"/>
  <c r="F136" i="13"/>
  <c r="K136" i="13"/>
  <c r="K137" i="13"/>
  <c r="F138" i="13"/>
  <c r="K138" i="13"/>
  <c r="K139" i="13"/>
  <c r="F140" i="13"/>
  <c r="K140" i="13"/>
  <c r="K141" i="13"/>
  <c r="F142" i="13"/>
  <c r="K142" i="13"/>
  <c r="K143" i="13"/>
  <c r="F144" i="13"/>
  <c r="K144" i="13"/>
  <c r="K145" i="13"/>
  <c r="F146" i="13"/>
  <c r="K146" i="13"/>
  <c r="K147" i="13"/>
  <c r="F148" i="13"/>
  <c r="K148" i="13"/>
  <c r="K149" i="13"/>
  <c r="F150" i="13"/>
  <c r="K150" i="13"/>
  <c r="K151" i="13"/>
  <c r="F152" i="13"/>
  <c r="K152" i="13"/>
  <c r="K153" i="13"/>
  <c r="F154" i="13"/>
  <c r="K154" i="13"/>
  <c r="K155" i="13"/>
  <c r="F156" i="13"/>
  <c r="K156" i="13"/>
  <c r="K157" i="13"/>
  <c r="F158" i="13"/>
  <c r="K158" i="13"/>
  <c r="K159" i="13"/>
  <c r="F160" i="13"/>
  <c r="K160" i="13"/>
  <c r="K161" i="13"/>
  <c r="F162" i="13"/>
  <c r="K162" i="13"/>
  <c r="K163" i="13"/>
  <c r="F164" i="13"/>
  <c r="K164" i="13"/>
  <c r="K165" i="13"/>
  <c r="F166" i="13"/>
  <c r="K166" i="13"/>
  <c r="K167" i="13"/>
  <c r="F168" i="13"/>
  <c r="K168" i="13"/>
  <c r="K169" i="13"/>
  <c r="F170" i="13"/>
  <c r="K170" i="13"/>
  <c r="K171" i="13"/>
  <c r="F172" i="13"/>
  <c r="K172" i="13"/>
  <c r="K173" i="13"/>
  <c r="F174" i="13"/>
  <c r="K174" i="13"/>
  <c r="K175" i="13"/>
  <c r="F176" i="13"/>
  <c r="K176" i="13"/>
  <c r="K177" i="13"/>
  <c r="F178" i="13"/>
  <c r="K178" i="13"/>
  <c r="K179" i="13"/>
  <c r="F180" i="13"/>
  <c r="K180" i="13"/>
  <c r="K181" i="13"/>
  <c r="F182" i="13"/>
  <c r="K182" i="13"/>
  <c r="K183" i="13"/>
  <c r="F184" i="13"/>
  <c r="K184" i="13"/>
  <c r="K185" i="13"/>
  <c r="F186" i="13"/>
  <c r="K186" i="13"/>
  <c r="K187" i="13"/>
  <c r="F188" i="13"/>
  <c r="K188" i="13"/>
  <c r="K189" i="13"/>
  <c r="F190" i="13"/>
  <c r="K190" i="13"/>
  <c r="K191" i="13"/>
  <c r="F192" i="13"/>
  <c r="K192" i="13"/>
  <c r="K193" i="13"/>
  <c r="F194" i="13"/>
  <c r="K194" i="13"/>
  <c r="K195" i="13"/>
  <c r="F196" i="13"/>
  <c r="K196" i="13"/>
  <c r="K197" i="13"/>
  <c r="F198" i="13"/>
  <c r="K198" i="13"/>
  <c r="K199" i="13"/>
  <c r="F200" i="13"/>
  <c r="K200" i="13"/>
  <c r="K201" i="13"/>
  <c r="F202" i="13"/>
  <c r="K202" i="13"/>
  <c r="K203" i="13"/>
  <c r="F204" i="13"/>
  <c r="K204" i="13"/>
  <c r="K205" i="13"/>
  <c r="F206" i="13"/>
  <c r="K206" i="13"/>
  <c r="K207" i="13"/>
  <c r="F208" i="13"/>
  <c r="K208" i="13"/>
  <c r="K209" i="13"/>
  <c r="F210" i="13"/>
  <c r="K210" i="13"/>
  <c r="K211" i="13"/>
  <c r="F212" i="13"/>
  <c r="K212" i="13"/>
  <c r="K213" i="13"/>
  <c r="F214" i="13"/>
  <c r="K214" i="13"/>
  <c r="K215" i="13"/>
  <c r="F216" i="13"/>
  <c r="K216" i="13"/>
  <c r="K217" i="13"/>
  <c r="F218" i="13"/>
  <c r="K218" i="13"/>
  <c r="K219" i="13"/>
  <c r="F220" i="13"/>
  <c r="K220" i="13"/>
  <c r="K221" i="13"/>
  <c r="F222" i="13"/>
  <c r="K222" i="13"/>
  <c r="K223" i="13"/>
  <c r="F224" i="13"/>
  <c r="K224" i="13"/>
  <c r="K225" i="13"/>
  <c r="F226" i="13"/>
  <c r="K226" i="13"/>
  <c r="K227" i="13"/>
  <c r="F228" i="13"/>
  <c r="K228" i="13"/>
  <c r="K229" i="13"/>
  <c r="F230" i="13"/>
  <c r="K230" i="13"/>
  <c r="K231" i="13"/>
  <c r="F232" i="13"/>
  <c r="K232" i="13"/>
  <c r="K233" i="13"/>
  <c r="F234" i="13"/>
  <c r="K234" i="13"/>
  <c r="K235" i="13"/>
  <c r="F236" i="13"/>
  <c r="K236" i="13"/>
  <c r="K237" i="13"/>
  <c r="F238" i="13"/>
  <c r="K238" i="13"/>
  <c r="K239" i="13"/>
  <c r="F240" i="13"/>
  <c r="K240" i="13"/>
  <c r="K241" i="13"/>
  <c r="F242" i="13"/>
  <c r="K242" i="13"/>
  <c r="K243" i="13"/>
  <c r="F244" i="13"/>
  <c r="K244" i="13"/>
  <c r="K245" i="13"/>
  <c r="F246" i="13"/>
  <c r="K246" i="13"/>
  <c r="K247" i="13"/>
  <c r="F248" i="13"/>
  <c r="K248" i="13"/>
  <c r="K249" i="13"/>
  <c r="F250" i="13"/>
  <c r="K250" i="13"/>
  <c r="K251" i="13"/>
  <c r="F252" i="13"/>
  <c r="K252" i="13"/>
  <c r="K253" i="13"/>
  <c r="F254" i="13"/>
  <c r="K254" i="13"/>
  <c r="K255" i="13"/>
  <c r="F256" i="13"/>
  <c r="K256" i="13"/>
  <c r="K257" i="13"/>
  <c r="F258" i="13"/>
  <c r="K258" i="13"/>
  <c r="K259" i="13"/>
  <c r="F260" i="13"/>
  <c r="K260" i="13"/>
  <c r="K261" i="13"/>
  <c r="F262" i="13"/>
  <c r="K262" i="13"/>
  <c r="K263" i="13"/>
  <c r="F264" i="13"/>
  <c r="K264" i="13"/>
  <c r="K265" i="13"/>
  <c r="F266" i="13"/>
  <c r="K266" i="13"/>
  <c r="K267" i="13"/>
  <c r="F268" i="13"/>
  <c r="K268" i="13"/>
  <c r="K269" i="13"/>
  <c r="F270" i="13"/>
  <c r="K270" i="13"/>
  <c r="K271" i="13"/>
  <c r="F272" i="13"/>
  <c r="K272" i="13"/>
  <c r="K273" i="13"/>
  <c r="F274" i="13"/>
  <c r="K274" i="13"/>
  <c r="K275" i="13"/>
  <c r="F276" i="13"/>
  <c r="K276" i="13"/>
  <c r="K277" i="13"/>
  <c r="F278" i="13"/>
  <c r="K278" i="13"/>
  <c r="K279" i="13"/>
  <c r="F280" i="13"/>
  <c r="K280" i="13"/>
  <c r="K281" i="13"/>
  <c r="F282" i="13"/>
  <c r="K282" i="13"/>
  <c r="K283" i="13"/>
  <c r="F284" i="13"/>
  <c r="K284" i="13"/>
  <c r="K285" i="13"/>
  <c r="F286" i="13"/>
  <c r="K286" i="13"/>
  <c r="K287" i="13"/>
  <c r="F288" i="13"/>
  <c r="K288" i="13"/>
  <c r="K289" i="13"/>
  <c r="F290" i="13"/>
  <c r="K290" i="13"/>
  <c r="K291" i="13"/>
  <c r="F292" i="13"/>
  <c r="K292" i="13"/>
  <c r="K293" i="13"/>
  <c r="F294" i="13"/>
  <c r="K294" i="13"/>
  <c r="K295" i="13"/>
  <c r="F296" i="13"/>
  <c r="K296" i="13"/>
  <c r="K297" i="13"/>
  <c r="F298" i="13"/>
  <c r="K298" i="13"/>
  <c r="K299" i="13"/>
  <c r="F300" i="13"/>
  <c r="K300" i="13"/>
  <c r="K301" i="13"/>
  <c r="F302" i="13"/>
  <c r="K302" i="13"/>
  <c r="K303" i="13"/>
  <c r="F304" i="13"/>
  <c r="K304" i="13"/>
  <c r="K305" i="13"/>
  <c r="F306" i="13"/>
  <c r="K306" i="13"/>
  <c r="K307" i="13"/>
  <c r="F308" i="13"/>
  <c r="K308" i="13"/>
  <c r="K309" i="13"/>
  <c r="F310" i="13"/>
  <c r="K310" i="13"/>
  <c r="K311" i="13"/>
  <c r="F312" i="13"/>
  <c r="K312" i="13"/>
  <c r="K313" i="13"/>
  <c r="F314" i="13"/>
  <c r="K314" i="13"/>
  <c r="K315" i="13"/>
  <c r="F316" i="13"/>
  <c r="K316" i="13"/>
  <c r="K317" i="13"/>
  <c r="F318" i="13"/>
  <c r="K318" i="13"/>
  <c r="F320" i="13"/>
  <c r="K320" i="13"/>
  <c r="K321" i="13"/>
  <c r="F322" i="13"/>
  <c r="K322" i="13"/>
  <c r="K323" i="13"/>
  <c r="F324" i="13"/>
  <c r="K324" i="13"/>
  <c r="K325" i="13"/>
  <c r="F326" i="13"/>
  <c r="K326" i="13"/>
  <c r="K327" i="13"/>
  <c r="F328" i="13"/>
  <c r="K328" i="13"/>
  <c r="K329" i="13"/>
  <c r="F330" i="13"/>
  <c r="K330" i="13"/>
  <c r="K331" i="13"/>
  <c r="F332" i="13"/>
  <c r="K332" i="13"/>
  <c r="K333" i="13"/>
  <c r="F334" i="13"/>
  <c r="K334" i="13"/>
  <c r="K335" i="13"/>
  <c r="F336" i="13"/>
  <c r="K336" i="13"/>
  <c r="K337" i="13"/>
  <c r="F338" i="13"/>
  <c r="K338" i="13"/>
  <c r="K339" i="13"/>
  <c r="F340" i="13"/>
  <c r="K340" i="13"/>
  <c r="K341" i="13"/>
  <c r="F342" i="13"/>
  <c r="K342" i="13"/>
  <c r="F344" i="13"/>
  <c r="K344" i="13"/>
  <c r="K345" i="13"/>
  <c r="F346" i="13"/>
  <c r="K346" i="13"/>
  <c r="K347" i="13"/>
  <c r="F348" i="13"/>
  <c r="K348" i="13"/>
  <c r="K349" i="13"/>
  <c r="F350" i="13"/>
  <c r="K350" i="13"/>
  <c r="K351" i="13"/>
  <c r="F352" i="13"/>
  <c r="K352" i="13"/>
  <c r="K353" i="13"/>
  <c r="F354" i="13"/>
  <c r="K354" i="13"/>
  <c r="K355" i="13"/>
  <c r="F356" i="13"/>
  <c r="K356" i="13"/>
  <c r="K357" i="13"/>
  <c r="F358" i="13"/>
  <c r="K358" i="13"/>
  <c r="K359" i="13"/>
  <c r="F360" i="13"/>
  <c r="K360" i="13"/>
  <c r="K361" i="13"/>
  <c r="F362" i="13"/>
  <c r="K362" i="13"/>
  <c r="K363" i="13"/>
  <c r="F364" i="13"/>
  <c r="K364" i="13"/>
  <c r="K365" i="13"/>
  <c r="F366" i="13"/>
  <c r="K366" i="13"/>
  <c r="F368" i="13"/>
  <c r="K368" i="13"/>
  <c r="K369" i="13"/>
  <c r="F370" i="13"/>
  <c r="K370" i="13"/>
  <c r="K371" i="13"/>
  <c r="F372" i="13"/>
  <c r="K372" i="13"/>
  <c r="K373" i="13"/>
  <c r="F374" i="13"/>
  <c r="K374" i="13"/>
  <c r="K375" i="13"/>
  <c r="F376" i="13"/>
  <c r="K376" i="13"/>
  <c r="K377" i="13"/>
  <c r="F378" i="13"/>
  <c r="K378" i="13"/>
  <c r="K379" i="13"/>
  <c r="F380" i="13"/>
  <c r="K380" i="13"/>
  <c r="K381" i="13"/>
  <c r="F382" i="13"/>
  <c r="K382" i="13"/>
  <c r="K383" i="13"/>
  <c r="F384" i="13"/>
  <c r="K384" i="13"/>
  <c r="K385" i="13"/>
  <c r="F386" i="13"/>
  <c r="K386" i="13"/>
  <c r="K387" i="13"/>
  <c r="F388" i="13"/>
  <c r="K388" i="13"/>
  <c r="K389" i="13"/>
  <c r="F390" i="13"/>
  <c r="K390" i="13"/>
  <c r="F392" i="13"/>
  <c r="K392" i="13"/>
  <c r="K393" i="13"/>
  <c r="F394" i="13"/>
  <c r="K394" i="13"/>
  <c r="K395" i="13"/>
  <c r="F396" i="13"/>
  <c r="K396" i="13"/>
  <c r="K397" i="13"/>
  <c r="F398" i="13"/>
  <c r="K398" i="13"/>
  <c r="K399" i="13"/>
  <c r="F400" i="13"/>
  <c r="K400" i="13"/>
  <c r="K401" i="13"/>
  <c r="F402" i="13"/>
  <c r="K402" i="13"/>
  <c r="K403" i="13"/>
  <c r="F404" i="13"/>
  <c r="K404" i="13"/>
  <c r="K405" i="13"/>
  <c r="F406" i="13"/>
  <c r="K406" i="13"/>
  <c r="K407" i="13"/>
  <c r="F408" i="13"/>
  <c r="K408" i="13"/>
  <c r="K409" i="13"/>
  <c r="F410" i="13"/>
  <c r="K410" i="13"/>
  <c r="K411" i="13"/>
  <c r="F412" i="13"/>
  <c r="K412" i="13"/>
  <c r="K413" i="13"/>
  <c r="F414" i="13"/>
  <c r="K414" i="13"/>
  <c r="F416" i="13"/>
  <c r="K416" i="13"/>
  <c r="K417" i="13"/>
  <c r="F418" i="13"/>
  <c r="K418" i="13"/>
  <c r="K419" i="13"/>
  <c r="F420" i="13"/>
  <c r="K420" i="13"/>
  <c r="K421" i="13"/>
  <c r="F422" i="13"/>
  <c r="K422" i="13"/>
  <c r="K423" i="13"/>
  <c r="F424" i="13"/>
  <c r="K424" i="13"/>
  <c r="K425" i="13"/>
  <c r="F426" i="13"/>
  <c r="K426" i="13"/>
  <c r="K427" i="13"/>
  <c r="F428" i="13"/>
  <c r="K428" i="13"/>
  <c r="K429" i="13"/>
  <c r="F430" i="13"/>
  <c r="K430" i="13"/>
  <c r="K431" i="13"/>
  <c r="F432" i="13"/>
  <c r="K432" i="13"/>
  <c r="K433" i="13"/>
  <c r="F434" i="13"/>
  <c r="K434" i="13"/>
  <c r="F436" i="13"/>
  <c r="K436" i="13"/>
  <c r="F437" i="13"/>
  <c r="K437" i="13"/>
  <c r="K438" i="13"/>
  <c r="F439" i="13"/>
  <c r="K439" i="13"/>
  <c r="K440" i="13"/>
  <c r="F441" i="13"/>
  <c r="K441" i="13"/>
  <c r="K442" i="13"/>
  <c r="F443" i="13"/>
  <c r="K443" i="13"/>
  <c r="K444" i="13"/>
  <c r="F445" i="13"/>
  <c r="K445" i="13"/>
  <c r="K446" i="13"/>
  <c r="F447" i="13"/>
  <c r="K447" i="13"/>
  <c r="K448" i="13"/>
  <c r="F449" i="13"/>
  <c r="K449" i="13"/>
  <c r="K450" i="13"/>
  <c r="F451" i="13"/>
  <c r="K451" i="13"/>
  <c r="K452" i="13"/>
  <c r="F453" i="13"/>
  <c r="K453" i="13"/>
  <c r="K454" i="13"/>
  <c r="F455" i="13"/>
  <c r="K455" i="13"/>
  <c r="K456" i="13"/>
  <c r="F457" i="13"/>
  <c r="K457" i="13"/>
  <c r="K458" i="13"/>
  <c r="F459" i="13"/>
  <c r="K459" i="13"/>
  <c r="K461" i="13"/>
  <c r="F462" i="13"/>
  <c r="K462" i="13"/>
  <c r="D23" i="12"/>
  <c r="D30" i="12"/>
  <c r="D43" i="12"/>
  <c r="D52" i="12"/>
  <c r="F52" i="12" s="1"/>
  <c r="S52" i="12" s="1"/>
  <c r="D55" i="12"/>
  <c r="D56" i="12"/>
  <c r="D61" i="12"/>
  <c r="D75" i="12"/>
  <c r="F75" i="12" s="1"/>
  <c r="D89" i="12"/>
  <c r="F89" i="12" s="1"/>
  <c r="S89" i="12" s="1"/>
  <c r="D88" i="12"/>
  <c r="F88" i="12" s="1"/>
  <c r="D101" i="12"/>
  <c r="D102" i="12"/>
  <c r="D114" i="12"/>
  <c r="F114" i="12" s="1"/>
  <c r="S114" i="12" s="1"/>
  <c r="D115" i="12"/>
  <c r="D127" i="12"/>
  <c r="F127" i="12" s="1"/>
  <c r="D130" i="12"/>
  <c r="D140" i="12"/>
  <c r="F140" i="12" s="1"/>
  <c r="D153" i="12"/>
  <c r="F153" i="12" s="1"/>
  <c r="S153" i="12" s="1"/>
  <c r="D155" i="12"/>
  <c r="F155" i="12" s="1"/>
  <c r="S155" i="12" s="1"/>
  <c r="D159" i="12"/>
  <c r="D163" i="12"/>
  <c r="D166" i="12"/>
  <c r="F166" i="12" s="1"/>
  <c r="D169" i="12"/>
  <c r="F169" i="12" s="1"/>
  <c r="S169" i="12" s="1"/>
  <c r="D179" i="12"/>
  <c r="F179" i="12" s="1"/>
  <c r="D182" i="12"/>
  <c r="F182" i="12" s="1"/>
  <c r="D186" i="12"/>
  <c r="D192" i="12"/>
  <c r="A193" i="12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D193" i="12"/>
  <c r="D196" i="12"/>
  <c r="D205" i="12"/>
  <c r="A206" i="12"/>
  <c r="A207" i="12"/>
  <c r="A208" i="12" s="1"/>
  <c r="A209" i="12" s="1"/>
  <c r="A210" i="12" s="1"/>
  <c r="A211" i="12" s="1"/>
  <c r="A212" i="12" s="1"/>
  <c r="A213" i="12" s="1"/>
  <c r="A214" i="12" s="1"/>
  <c r="A215" i="12" s="1"/>
  <c r="A216" i="12" s="1"/>
  <c r="D219" i="12"/>
  <c r="F219" i="12" s="1"/>
  <c r="S219" i="12" s="1"/>
  <c r="A219" i="12"/>
  <c r="A220" i="12" s="1"/>
  <c r="D222" i="12"/>
  <c r="A221" i="12"/>
  <c r="A222" i="12" s="1"/>
  <c r="A223" i="12" s="1"/>
  <c r="A224" i="12" s="1"/>
  <c r="A225" i="12" s="1"/>
  <c r="A226" i="12" s="1"/>
  <c r="A227" i="12" s="1"/>
  <c r="A228" i="12" s="1"/>
  <c r="A229" i="12" s="1"/>
  <c r="A232" i="12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D246" i="12"/>
  <c r="A247" i="12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D261" i="12"/>
  <c r="F261" i="12" s="1"/>
  <c r="A262" i="12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D264" i="12"/>
  <c r="F205" i="12" l="1"/>
  <c r="S205" i="12" s="1"/>
  <c r="G205" i="12"/>
  <c r="J205" i="12" s="1"/>
  <c r="G88" i="12"/>
  <c r="S88" i="12"/>
  <c r="G127" i="12"/>
  <c r="S127" i="12"/>
  <c r="G75" i="12"/>
  <c r="J75" i="12" s="1"/>
  <c r="S75" i="12"/>
  <c r="F43" i="12"/>
  <c r="S43" i="12" s="1"/>
  <c r="D181" i="12"/>
  <c r="F181" i="12" s="1"/>
  <c r="D124" i="12"/>
  <c r="D93" i="12"/>
  <c r="F93" i="12" s="1"/>
  <c r="S93" i="12" s="1"/>
  <c r="D221" i="12"/>
  <c r="D200" i="12"/>
  <c r="F200" i="12" s="1"/>
  <c r="D184" i="12"/>
  <c r="F184" i="12" s="1"/>
  <c r="D168" i="12"/>
  <c r="D148" i="12"/>
  <c r="D104" i="12"/>
  <c r="D272" i="12"/>
  <c r="F272" i="12" s="1"/>
  <c r="S272" i="12" s="1"/>
  <c r="D228" i="12"/>
  <c r="D218" i="12"/>
  <c r="F218" i="12" s="1"/>
  <c r="D185" i="12"/>
  <c r="D123" i="12"/>
  <c r="D108" i="12"/>
  <c r="D248" i="12"/>
  <c r="F248" i="12" s="1"/>
  <c r="S248" i="12" s="1"/>
  <c r="D236" i="12"/>
  <c r="D210" i="12"/>
  <c r="D183" i="12"/>
  <c r="F183" i="12" s="1"/>
  <c r="D180" i="12"/>
  <c r="F180" i="12" s="1"/>
  <c r="D122" i="12"/>
  <c r="F122" i="12" s="1"/>
  <c r="D110" i="12"/>
  <c r="D97" i="12"/>
  <c r="D120" i="12"/>
  <c r="D84" i="12"/>
  <c r="D65" i="12"/>
  <c r="D47" i="12"/>
  <c r="H127" i="12"/>
  <c r="K127" i="12" s="1"/>
  <c r="D266" i="12"/>
  <c r="F266" i="12" s="1"/>
  <c r="S266" i="12" s="1"/>
  <c r="D220" i="12"/>
  <c r="D106" i="12"/>
  <c r="F106" i="12" s="1"/>
  <c r="S106" i="12" s="1"/>
  <c r="F101" i="12"/>
  <c r="S101" i="12" s="1"/>
  <c r="D78" i="12"/>
  <c r="D60" i="12"/>
  <c r="F60" i="12" s="1"/>
  <c r="S60" i="12" s="1"/>
  <c r="D48" i="12"/>
  <c r="F48" i="12" s="1"/>
  <c r="S48" i="12" s="1"/>
  <c r="F246" i="12"/>
  <c r="S246" i="12" s="1"/>
  <c r="G261" i="12"/>
  <c r="H261" i="12" s="1"/>
  <c r="S261" i="12"/>
  <c r="F236" i="12"/>
  <c r="S236" i="12" s="1"/>
  <c r="F222" i="12"/>
  <c r="S222" i="12" s="1"/>
  <c r="G222" i="12"/>
  <c r="H222" i="12" s="1"/>
  <c r="F210" i="12"/>
  <c r="S210" i="12" s="1"/>
  <c r="D206" i="12"/>
  <c r="D209" i="12"/>
  <c r="D212" i="12"/>
  <c r="D215" i="12"/>
  <c r="D213" i="12"/>
  <c r="D208" i="12"/>
  <c r="D211" i="12"/>
  <c r="S180" i="12"/>
  <c r="G180" i="12"/>
  <c r="D262" i="12"/>
  <c r="D226" i="12"/>
  <c r="D216" i="12"/>
  <c r="D214" i="12"/>
  <c r="D247" i="12"/>
  <c r="D251" i="12"/>
  <c r="D255" i="12"/>
  <c r="D249" i="12"/>
  <c r="D253" i="12"/>
  <c r="D257" i="12"/>
  <c r="S184" i="12"/>
  <c r="F97" i="12"/>
  <c r="S97" i="12" s="1"/>
  <c r="D225" i="12"/>
  <c r="D207" i="12"/>
  <c r="F163" i="12"/>
  <c r="S163" i="12" s="1"/>
  <c r="S182" i="12"/>
  <c r="G182" i="12"/>
  <c r="F168" i="12"/>
  <c r="S168" i="12" s="1"/>
  <c r="D268" i="12"/>
  <c r="D252" i="12"/>
  <c r="D238" i="12"/>
  <c r="D232" i="12"/>
  <c r="D233" i="12"/>
  <c r="D237" i="12"/>
  <c r="D241" i="12"/>
  <c r="D231" i="12"/>
  <c r="D235" i="12"/>
  <c r="D239" i="12"/>
  <c r="D229" i="12"/>
  <c r="F193" i="12"/>
  <c r="G193" i="12" s="1"/>
  <c r="F186" i="12"/>
  <c r="S186" i="12" s="1"/>
  <c r="D254" i="12"/>
  <c r="D240" i="12"/>
  <c r="D224" i="12"/>
  <c r="G219" i="12"/>
  <c r="H219" i="12" s="1"/>
  <c r="D188" i="12"/>
  <c r="D189" i="12"/>
  <c r="D190" i="12"/>
  <c r="F264" i="12"/>
  <c r="S264" i="12" s="1"/>
  <c r="D250" i="12"/>
  <c r="D256" i="12"/>
  <c r="D242" i="12"/>
  <c r="D234" i="12"/>
  <c r="S166" i="12"/>
  <c r="F148" i="12"/>
  <c r="S148" i="12" s="1"/>
  <c r="D265" i="12"/>
  <c r="D269" i="12"/>
  <c r="D263" i="12"/>
  <c r="D267" i="12"/>
  <c r="D271" i="12"/>
  <c r="G248" i="12"/>
  <c r="D270" i="12"/>
  <c r="F196" i="12"/>
  <c r="S181" i="12"/>
  <c r="H180" i="12"/>
  <c r="F159" i="12"/>
  <c r="S159" i="12" s="1"/>
  <c r="D195" i="12"/>
  <c r="D203" i="12"/>
  <c r="D197" i="12"/>
  <c r="D194" i="12"/>
  <c r="D202" i="12"/>
  <c r="D187" i="12"/>
  <c r="S183" i="12"/>
  <c r="H182" i="12"/>
  <c r="D162" i="12"/>
  <c r="D157" i="12"/>
  <c r="D160" i="12"/>
  <c r="D161" i="12"/>
  <c r="D158" i="12"/>
  <c r="D156" i="12"/>
  <c r="D151" i="12"/>
  <c r="F104" i="12"/>
  <c r="S104" i="12" s="1"/>
  <c r="D201" i="12"/>
  <c r="G169" i="12"/>
  <c r="H169" i="12"/>
  <c r="D167" i="12"/>
  <c r="D172" i="12"/>
  <c r="D174" i="12"/>
  <c r="D176" i="12"/>
  <c r="D170" i="12"/>
  <c r="D171" i="12"/>
  <c r="D173" i="12"/>
  <c r="D175" i="12"/>
  <c r="D177" i="12"/>
  <c r="T205" i="12"/>
  <c r="D199" i="12"/>
  <c r="D198" i="12"/>
  <c r="S140" i="12"/>
  <c r="F124" i="12"/>
  <c r="S124" i="12" s="1"/>
  <c r="F78" i="12"/>
  <c r="S78" i="12" s="1"/>
  <c r="D227" i="12"/>
  <c r="D223" i="12"/>
  <c r="F192" i="12"/>
  <c r="S192" i="12" s="1"/>
  <c r="S179" i="12"/>
  <c r="F102" i="12"/>
  <c r="S102" i="12" s="1"/>
  <c r="G155" i="12"/>
  <c r="F130" i="12"/>
  <c r="G130" i="12" s="1"/>
  <c r="S122" i="12"/>
  <c r="F108" i="12"/>
  <c r="S108" i="12" s="1"/>
  <c r="N16" i="13"/>
  <c r="G17" i="13"/>
  <c r="D141" i="12"/>
  <c r="D143" i="12"/>
  <c r="D145" i="12"/>
  <c r="D147" i="12"/>
  <c r="D142" i="12"/>
  <c r="D144" i="12"/>
  <c r="D146" i="12"/>
  <c r="F110" i="12"/>
  <c r="S110" i="12" s="1"/>
  <c r="F84" i="12"/>
  <c r="S84" i="12" s="1"/>
  <c r="G181" i="12"/>
  <c r="G179" i="12"/>
  <c r="H179" i="12" s="1"/>
  <c r="D164" i="12"/>
  <c r="D154" i="12"/>
  <c r="D150" i="12"/>
  <c r="D132" i="12"/>
  <c r="D134" i="12"/>
  <c r="D136" i="12"/>
  <c r="D138" i="12"/>
  <c r="D131" i="12"/>
  <c r="D133" i="12"/>
  <c r="D135" i="12"/>
  <c r="D137" i="12"/>
  <c r="D128" i="12"/>
  <c r="D125" i="12"/>
  <c r="F115" i="12"/>
  <c r="F65" i="12"/>
  <c r="S65" i="12" s="1"/>
  <c r="F120" i="12"/>
  <c r="H120" i="12" s="1"/>
  <c r="G120" i="12"/>
  <c r="D91" i="12"/>
  <c r="D95" i="12"/>
  <c r="D99" i="12"/>
  <c r="G166" i="12"/>
  <c r="D149" i="12"/>
  <c r="G153" i="12"/>
  <c r="D129" i="12"/>
  <c r="J127" i="12"/>
  <c r="T127" i="12" s="1"/>
  <c r="D86" i="12"/>
  <c r="G140" i="12"/>
  <c r="H140" i="12" s="1"/>
  <c r="I140" i="12" s="1"/>
  <c r="D80" i="12"/>
  <c r="D117" i="12"/>
  <c r="D116" i="12"/>
  <c r="D112" i="12"/>
  <c r="G89" i="12"/>
  <c r="H89" i="12" s="1"/>
  <c r="I89" i="12" s="1"/>
  <c r="D82" i="12"/>
  <c r="F61" i="12"/>
  <c r="D119" i="12"/>
  <c r="D118" i="12"/>
  <c r="D90" i="12"/>
  <c r="D92" i="12"/>
  <c r="D94" i="12"/>
  <c r="D96" i="12"/>
  <c r="D98" i="12"/>
  <c r="H88" i="12"/>
  <c r="D121" i="12"/>
  <c r="D103" i="12"/>
  <c r="D105" i="12"/>
  <c r="D107" i="12"/>
  <c r="D109" i="12"/>
  <c r="D111" i="12"/>
  <c r="D77" i="12"/>
  <c r="D79" i="12"/>
  <c r="D81" i="12"/>
  <c r="D83" i="12"/>
  <c r="D85" i="12"/>
  <c r="D76" i="12"/>
  <c r="D69" i="12"/>
  <c r="D71" i="12"/>
  <c r="D68" i="12"/>
  <c r="D70" i="12"/>
  <c r="D72" i="12"/>
  <c r="D73" i="12"/>
  <c r="G114" i="12"/>
  <c r="F47" i="12"/>
  <c r="G47" i="12" s="1"/>
  <c r="F30" i="12"/>
  <c r="S30" i="12" s="1"/>
  <c r="D29" i="12"/>
  <c r="D37" i="12"/>
  <c r="D36" i="12"/>
  <c r="D35" i="12"/>
  <c r="D33" i="12"/>
  <c r="D31" i="12"/>
  <c r="D38" i="12"/>
  <c r="D39" i="12"/>
  <c r="D32" i="12"/>
  <c r="D34" i="12"/>
  <c r="D40" i="12"/>
  <c r="F23" i="12"/>
  <c r="S23" i="12" s="1"/>
  <c r="F56" i="12"/>
  <c r="S56" i="12" s="1"/>
  <c r="D25" i="12"/>
  <c r="D22" i="12"/>
  <c r="D21" i="12"/>
  <c r="D64" i="12"/>
  <c r="D57" i="12"/>
  <c r="D63" i="12"/>
  <c r="D58" i="12"/>
  <c r="D62" i="12"/>
  <c r="D59" i="12"/>
  <c r="D66" i="12"/>
  <c r="G52" i="12"/>
  <c r="H52" i="12" s="1"/>
  <c r="G48" i="12"/>
  <c r="H48" i="12" s="1"/>
  <c r="I48" i="12" s="1"/>
  <c r="D51" i="12"/>
  <c r="D49" i="12"/>
  <c r="F55" i="12"/>
  <c r="G55" i="12" s="1"/>
  <c r="D46" i="12"/>
  <c r="D45" i="12"/>
  <c r="D53" i="12"/>
  <c r="D44" i="12"/>
  <c r="D42" i="12"/>
  <c r="D50" i="12"/>
  <c r="D19" i="12"/>
  <c r="D16" i="12"/>
  <c r="D24" i="12"/>
  <c r="D26" i="12"/>
  <c r="D18" i="12"/>
  <c r="D27" i="12"/>
  <c r="D20" i="12"/>
  <c r="D17" i="12"/>
  <c r="G264" i="12" l="1"/>
  <c r="G106" i="12"/>
  <c r="G65" i="12"/>
  <c r="G210" i="12"/>
  <c r="S218" i="12"/>
  <c r="F228" i="12"/>
  <c r="S228" i="12" s="1"/>
  <c r="H65" i="12"/>
  <c r="F221" i="12"/>
  <c r="S221" i="12" s="1"/>
  <c r="G122" i="12"/>
  <c r="F123" i="12"/>
  <c r="S123" i="12" s="1"/>
  <c r="H47" i="12"/>
  <c r="I127" i="12"/>
  <c r="G60" i="12"/>
  <c r="H60" i="12" s="1"/>
  <c r="F185" i="12"/>
  <c r="U127" i="12"/>
  <c r="G218" i="12"/>
  <c r="H218" i="12" s="1"/>
  <c r="H75" i="12"/>
  <c r="G101" i="12"/>
  <c r="G84" i="12"/>
  <c r="I52" i="12"/>
  <c r="L52" i="12" s="1"/>
  <c r="V52" i="12" s="1"/>
  <c r="G56" i="12"/>
  <c r="J56" i="12" s="1"/>
  <c r="T56" i="12" s="1"/>
  <c r="T75" i="12"/>
  <c r="G183" i="12"/>
  <c r="H183" i="12" s="1"/>
  <c r="K183" i="12" s="1"/>
  <c r="U183" i="12" s="1"/>
  <c r="G108" i="12"/>
  <c r="G192" i="12"/>
  <c r="G186" i="12"/>
  <c r="F220" i="12"/>
  <c r="G220" i="12"/>
  <c r="J220" i="12" s="1"/>
  <c r="T220" i="12" s="1"/>
  <c r="J88" i="12"/>
  <c r="T88" i="12" s="1"/>
  <c r="G236" i="12"/>
  <c r="H236" i="12" s="1"/>
  <c r="K236" i="12" s="1"/>
  <c r="U236" i="12" s="1"/>
  <c r="G246" i="12"/>
  <c r="H246" i="12" s="1"/>
  <c r="G43" i="12"/>
  <c r="J43" i="12" s="1"/>
  <c r="T43" i="12" s="1"/>
  <c r="H205" i="12"/>
  <c r="K205" i="12" s="1"/>
  <c r="U205" i="12" s="1"/>
  <c r="G104" i="12"/>
  <c r="I180" i="12"/>
  <c r="H84" i="12"/>
  <c r="K84" i="12" s="1"/>
  <c r="G184" i="12"/>
  <c r="L140" i="12"/>
  <c r="V140" i="12" s="1"/>
  <c r="K261" i="12"/>
  <c r="U261" i="12" s="1"/>
  <c r="F44" i="12"/>
  <c r="S44" i="12" s="1"/>
  <c r="L89" i="12"/>
  <c r="V89" i="12" s="1"/>
  <c r="F150" i="12"/>
  <c r="S150" i="12" s="1"/>
  <c r="F225" i="12"/>
  <c r="S225" i="12" s="1"/>
  <c r="G225" i="12"/>
  <c r="T55" i="12"/>
  <c r="J55" i="12"/>
  <c r="F77" i="12"/>
  <c r="S77" i="12" s="1"/>
  <c r="K65" i="12"/>
  <c r="U65" i="12"/>
  <c r="F145" i="12"/>
  <c r="S145" i="12" s="1"/>
  <c r="F271" i="12"/>
  <c r="S271" i="12" s="1"/>
  <c r="F208" i="12"/>
  <c r="S208" i="12" s="1"/>
  <c r="F27" i="12"/>
  <c r="S27" i="12" s="1"/>
  <c r="F64" i="12"/>
  <c r="S64" i="12" s="1"/>
  <c r="G64" i="12"/>
  <c r="J122" i="12"/>
  <c r="T122" i="12" s="1"/>
  <c r="F203" i="12"/>
  <c r="S203" i="12" s="1"/>
  <c r="F213" i="12"/>
  <c r="S213" i="12" s="1"/>
  <c r="F32" i="12"/>
  <c r="S32" i="12" s="1"/>
  <c r="J89" i="12"/>
  <c r="T89" i="12" s="1"/>
  <c r="F263" i="12"/>
  <c r="S263" i="12" s="1"/>
  <c r="F255" i="12"/>
  <c r="S255" i="12" s="1"/>
  <c r="F215" i="12"/>
  <c r="S215" i="12" s="1"/>
  <c r="F16" i="12"/>
  <c r="S16" i="12" s="1"/>
  <c r="F66" i="12"/>
  <c r="S66" i="12" s="1"/>
  <c r="F76" i="12"/>
  <c r="S76" i="12" s="1"/>
  <c r="F107" i="12"/>
  <c r="S107" i="12" s="1"/>
  <c r="F92" i="12"/>
  <c r="S92" i="12" s="1"/>
  <c r="S61" i="12"/>
  <c r="F112" i="12"/>
  <c r="S112" i="12" s="1"/>
  <c r="J106" i="12"/>
  <c r="T106" i="12" s="1"/>
  <c r="F86" i="12"/>
  <c r="S86" i="12" s="1"/>
  <c r="J166" i="12"/>
  <c r="T166" i="12" s="1"/>
  <c r="K120" i="12"/>
  <c r="U120" i="12" s="1"/>
  <c r="S115" i="12"/>
  <c r="F131" i="12"/>
  <c r="S131" i="12" s="1"/>
  <c r="H166" i="12"/>
  <c r="G18" i="13"/>
  <c r="N17" i="13"/>
  <c r="O17" i="13" s="1"/>
  <c r="G110" i="12"/>
  <c r="G78" i="12"/>
  <c r="F198" i="12"/>
  <c r="S198" i="12" s="1"/>
  <c r="F176" i="12"/>
  <c r="S176" i="12" s="1"/>
  <c r="S185" i="12"/>
  <c r="F158" i="12"/>
  <c r="S158" i="12" s="1"/>
  <c r="K180" i="12"/>
  <c r="U180" i="12" s="1"/>
  <c r="F269" i="12"/>
  <c r="S269" i="12" s="1"/>
  <c r="F189" i="12"/>
  <c r="S189" i="12" s="1"/>
  <c r="K219" i="12"/>
  <c r="U219" i="12"/>
  <c r="F233" i="12"/>
  <c r="S233" i="12" s="1"/>
  <c r="G168" i="12"/>
  <c r="G163" i="12"/>
  <c r="H163" i="12" s="1"/>
  <c r="F251" i="12"/>
  <c r="S251" i="12" s="1"/>
  <c r="G251" i="12"/>
  <c r="H251" i="12" s="1"/>
  <c r="F262" i="12"/>
  <c r="S262" i="12" s="1"/>
  <c r="F212" i="12"/>
  <c r="S212" i="12" s="1"/>
  <c r="J236" i="12"/>
  <c r="T236" i="12" s="1"/>
  <c r="F20" i="12"/>
  <c r="S20" i="12" s="1"/>
  <c r="F40" i="12"/>
  <c r="S40" i="12" s="1"/>
  <c r="F98" i="12"/>
  <c r="S98" i="12" s="1"/>
  <c r="F137" i="12"/>
  <c r="S137" i="12" s="1"/>
  <c r="K182" i="12"/>
  <c r="U182" i="12" s="1"/>
  <c r="J193" i="12"/>
  <c r="T193" i="12" s="1"/>
  <c r="F231" i="12"/>
  <c r="S231" i="12" s="1"/>
  <c r="F51" i="12"/>
  <c r="S51" i="12" s="1"/>
  <c r="F37" i="12"/>
  <c r="S37" i="12" s="1"/>
  <c r="G37" i="12"/>
  <c r="F71" i="12"/>
  <c r="S71" i="12" s="1"/>
  <c r="K89" i="12"/>
  <c r="U89" i="12" s="1"/>
  <c r="F135" i="12"/>
  <c r="S135" i="12" s="1"/>
  <c r="J169" i="12"/>
  <c r="T169" i="12" s="1"/>
  <c r="F24" i="12"/>
  <c r="S24" i="12" s="1"/>
  <c r="F45" i="12"/>
  <c r="S45" i="12" s="1"/>
  <c r="G45" i="12"/>
  <c r="F69" i="12"/>
  <c r="S69" i="12" s="1"/>
  <c r="F94" i="12"/>
  <c r="S94" i="12" s="1"/>
  <c r="F149" i="12"/>
  <c r="S149" i="12" s="1"/>
  <c r="F133" i="12"/>
  <c r="S133" i="12" s="1"/>
  <c r="F164" i="12"/>
  <c r="S164" i="12" s="1"/>
  <c r="F141" i="12"/>
  <c r="S141" i="12" s="1"/>
  <c r="H78" i="12"/>
  <c r="F170" i="12"/>
  <c r="S170" i="12" s="1"/>
  <c r="J210" i="12"/>
  <c r="T210" i="12" s="1"/>
  <c r="F237" i="12"/>
  <c r="S237" i="12" s="1"/>
  <c r="J261" i="12"/>
  <c r="T261" i="12"/>
  <c r="L48" i="12"/>
  <c r="V48" i="12" s="1"/>
  <c r="F39" i="12"/>
  <c r="S39" i="12" s="1"/>
  <c r="F19" i="12"/>
  <c r="S19" i="12" s="1"/>
  <c r="K48" i="12"/>
  <c r="U48" i="12" s="1"/>
  <c r="F59" i="12"/>
  <c r="S59" i="12" s="1"/>
  <c r="F22" i="12"/>
  <c r="S22" i="12" s="1"/>
  <c r="F38" i="12"/>
  <c r="S38" i="12" s="1"/>
  <c r="J114" i="12"/>
  <c r="T114" i="12" s="1"/>
  <c r="F85" i="12"/>
  <c r="S85" i="12" s="1"/>
  <c r="F105" i="12"/>
  <c r="S105" i="12" s="1"/>
  <c r="G90" i="12"/>
  <c r="H90" i="12" s="1"/>
  <c r="F90" i="12"/>
  <c r="S90" i="12" s="1"/>
  <c r="F80" i="12"/>
  <c r="S80" i="12" s="1"/>
  <c r="L180" i="12"/>
  <c r="V180" i="12" s="1"/>
  <c r="J120" i="12"/>
  <c r="T120" i="12" s="1"/>
  <c r="H115" i="12"/>
  <c r="F138" i="12"/>
  <c r="S138" i="12" s="1"/>
  <c r="J179" i="12"/>
  <c r="T179" i="12" s="1"/>
  <c r="F146" i="12"/>
  <c r="S146" i="12" s="1"/>
  <c r="O16" i="13"/>
  <c r="P16" i="13"/>
  <c r="P17" i="13" s="1"/>
  <c r="F199" i="12"/>
  <c r="S199" i="12" s="1"/>
  <c r="F174" i="12"/>
  <c r="S174" i="12" s="1"/>
  <c r="F201" i="12"/>
  <c r="S201" i="12" s="1"/>
  <c r="F161" i="12"/>
  <c r="S161" i="12" s="1"/>
  <c r="T218" i="12"/>
  <c r="J218" i="12"/>
  <c r="F265" i="12"/>
  <c r="S265" i="12" s="1"/>
  <c r="F234" i="12"/>
  <c r="S234" i="12" s="1"/>
  <c r="H188" i="12"/>
  <c r="F188" i="12"/>
  <c r="S188" i="12" s="1"/>
  <c r="G188" i="12"/>
  <c r="F232" i="12"/>
  <c r="S232" i="12" s="1"/>
  <c r="J182" i="12"/>
  <c r="T182" i="12" s="1"/>
  <c r="G97" i="12"/>
  <c r="F247" i="12"/>
  <c r="S247" i="12" s="1"/>
  <c r="G247" i="12"/>
  <c r="F209" i="12"/>
  <c r="S209" i="12" s="1"/>
  <c r="F57" i="12"/>
  <c r="S57" i="12" s="1"/>
  <c r="F36" i="12"/>
  <c r="S36" i="12" s="1"/>
  <c r="F68" i="12"/>
  <c r="S68" i="12" s="1"/>
  <c r="F119" i="12"/>
  <c r="S119" i="12" s="1"/>
  <c r="F91" i="12"/>
  <c r="S91" i="12" s="1"/>
  <c r="J108" i="12"/>
  <c r="T108" i="12" s="1"/>
  <c r="K169" i="12"/>
  <c r="U169" i="12" s="1"/>
  <c r="F197" i="12"/>
  <c r="S197" i="12" s="1"/>
  <c r="F254" i="12"/>
  <c r="S254" i="12" s="1"/>
  <c r="G254" i="12"/>
  <c r="H254" i="12" s="1"/>
  <c r="F253" i="12"/>
  <c r="S253" i="12" s="1"/>
  <c r="K52" i="12"/>
  <c r="U52" i="12"/>
  <c r="F34" i="12"/>
  <c r="S34" i="12" s="1"/>
  <c r="G34" i="12"/>
  <c r="F111" i="12"/>
  <c r="S111" i="12" s="1"/>
  <c r="J65" i="12"/>
  <c r="T65" i="12" s="1"/>
  <c r="F154" i="12"/>
  <c r="S154" i="12" s="1"/>
  <c r="F143" i="12"/>
  <c r="S143" i="12" s="1"/>
  <c r="K140" i="12"/>
  <c r="U140" i="12" s="1"/>
  <c r="F241" i="12"/>
  <c r="S241" i="12" s="1"/>
  <c r="H264" i="12"/>
  <c r="S47" i="12"/>
  <c r="I47" i="12"/>
  <c r="L127" i="12"/>
  <c r="V127" i="12" s="1"/>
  <c r="J84" i="12"/>
  <c r="T84" i="12" s="1"/>
  <c r="J192" i="12"/>
  <c r="T192" i="12" s="1"/>
  <c r="F195" i="12"/>
  <c r="S195" i="12" s="1"/>
  <c r="J186" i="12"/>
  <c r="T186" i="12" s="1"/>
  <c r="F46" i="12"/>
  <c r="S46" i="12" s="1"/>
  <c r="F21" i="12"/>
  <c r="S21" i="12" s="1"/>
  <c r="G21" i="12"/>
  <c r="H21" i="12" s="1"/>
  <c r="J48" i="12"/>
  <c r="T48" i="12" s="1"/>
  <c r="F62" i="12"/>
  <c r="S62" i="12" s="1"/>
  <c r="G62" i="12"/>
  <c r="F25" i="12"/>
  <c r="S25" i="12" s="1"/>
  <c r="F31" i="12"/>
  <c r="S31" i="12" s="1"/>
  <c r="F73" i="12"/>
  <c r="S73" i="12" s="1"/>
  <c r="F83" i="12"/>
  <c r="S83" i="12" s="1"/>
  <c r="F103" i="12"/>
  <c r="S103" i="12" s="1"/>
  <c r="G61" i="12"/>
  <c r="H61" i="12" s="1"/>
  <c r="F116" i="12"/>
  <c r="S116" i="12" s="1"/>
  <c r="J140" i="12"/>
  <c r="T140" i="12" s="1"/>
  <c r="G93" i="12"/>
  <c r="I182" i="12"/>
  <c r="S120" i="12"/>
  <c r="I120" i="12"/>
  <c r="G115" i="12"/>
  <c r="F136" i="12"/>
  <c r="S136" i="12" s="1"/>
  <c r="J181" i="12"/>
  <c r="T181" i="12" s="1"/>
  <c r="F144" i="12"/>
  <c r="S144" i="12" s="1"/>
  <c r="G102" i="12"/>
  <c r="H153" i="12"/>
  <c r="F172" i="12"/>
  <c r="S172" i="12" s="1"/>
  <c r="G172" i="12"/>
  <c r="F160" i="12"/>
  <c r="S160" i="12" s="1"/>
  <c r="F187" i="12"/>
  <c r="S187" i="12" s="1"/>
  <c r="F242" i="12"/>
  <c r="S242" i="12" s="1"/>
  <c r="J219" i="12"/>
  <c r="T219" i="12" s="1"/>
  <c r="H186" i="12"/>
  <c r="F229" i="12"/>
  <c r="S229" i="12" s="1"/>
  <c r="F238" i="12"/>
  <c r="S238" i="12" s="1"/>
  <c r="S200" i="12"/>
  <c r="J184" i="12"/>
  <c r="T184" i="12" s="1"/>
  <c r="G272" i="12"/>
  <c r="H272" i="12" s="1"/>
  <c r="J180" i="12"/>
  <c r="T180" i="12" s="1"/>
  <c r="F206" i="12"/>
  <c r="S206" i="12" s="1"/>
  <c r="G266" i="12"/>
  <c r="K47" i="12"/>
  <c r="U47" i="12"/>
  <c r="F173" i="12"/>
  <c r="S173" i="12" s="1"/>
  <c r="G173" i="12"/>
  <c r="J264" i="12"/>
  <c r="T264" i="12" s="1"/>
  <c r="K222" i="12"/>
  <c r="U222" i="12" s="1"/>
  <c r="F53" i="12"/>
  <c r="S53" i="12" s="1"/>
  <c r="G53" i="12"/>
  <c r="H53" i="12" s="1"/>
  <c r="J47" i="12"/>
  <c r="T47" i="12" s="1"/>
  <c r="F96" i="12"/>
  <c r="S96" i="12" s="1"/>
  <c r="J155" i="12"/>
  <c r="T155" i="12" s="1"/>
  <c r="H155" i="12"/>
  <c r="F171" i="12"/>
  <c r="S171" i="12" s="1"/>
  <c r="T222" i="12"/>
  <c r="J222" i="12"/>
  <c r="J52" i="12"/>
  <c r="T52" i="12" s="1"/>
  <c r="F29" i="12"/>
  <c r="S29" i="12" s="1"/>
  <c r="G109" i="12"/>
  <c r="F109" i="12"/>
  <c r="S109" i="12" s="1"/>
  <c r="F156" i="12"/>
  <c r="S156" i="12" s="1"/>
  <c r="G159" i="12"/>
  <c r="F190" i="12"/>
  <c r="S190" i="12" s="1"/>
  <c r="G190" i="12"/>
  <c r="F18" i="12"/>
  <c r="S18" i="12" s="1"/>
  <c r="F50" i="12"/>
  <c r="S50" i="12" s="1"/>
  <c r="S55" i="12"/>
  <c r="H55" i="12"/>
  <c r="I55" i="12" s="1"/>
  <c r="F58" i="12"/>
  <c r="S58" i="12" s="1"/>
  <c r="F33" i="12"/>
  <c r="S33" i="12" s="1"/>
  <c r="G30" i="12"/>
  <c r="F72" i="12"/>
  <c r="S72" i="12" s="1"/>
  <c r="G72" i="12"/>
  <c r="F81" i="12"/>
  <c r="S81" i="12" s="1"/>
  <c r="F121" i="12"/>
  <c r="S121" i="12" s="1"/>
  <c r="H114" i="12"/>
  <c r="F82" i="12"/>
  <c r="S82" i="12" s="1"/>
  <c r="F117" i="12"/>
  <c r="S117" i="12" s="1"/>
  <c r="G23" i="12"/>
  <c r="F129" i="12"/>
  <c r="S129" i="12" s="1"/>
  <c r="G99" i="12"/>
  <c r="F99" i="12"/>
  <c r="S99" i="12" s="1"/>
  <c r="I65" i="12"/>
  <c r="F125" i="12"/>
  <c r="S125" i="12" s="1"/>
  <c r="F134" i="12"/>
  <c r="S134" i="12" s="1"/>
  <c r="J183" i="12"/>
  <c r="T183" i="12" s="1"/>
  <c r="I183" i="12"/>
  <c r="F142" i="12"/>
  <c r="S142" i="12" s="1"/>
  <c r="S130" i="12"/>
  <c r="I130" i="12"/>
  <c r="F223" i="12"/>
  <c r="S223" i="12" s="1"/>
  <c r="G124" i="12"/>
  <c r="F177" i="12"/>
  <c r="S177" i="12" s="1"/>
  <c r="F167" i="12"/>
  <c r="S167" i="12" s="1"/>
  <c r="F157" i="12"/>
  <c r="S157" i="12" s="1"/>
  <c r="F202" i="12"/>
  <c r="S202" i="12" s="1"/>
  <c r="H181" i="12"/>
  <c r="F270" i="12"/>
  <c r="S270" i="12" s="1"/>
  <c r="G256" i="12"/>
  <c r="F256" i="12"/>
  <c r="S256" i="12" s="1"/>
  <c r="F224" i="12"/>
  <c r="S224" i="12" s="1"/>
  <c r="S193" i="12"/>
  <c r="H193" i="12"/>
  <c r="F239" i="12"/>
  <c r="S239" i="12" s="1"/>
  <c r="F252" i="12"/>
  <c r="S252" i="12" s="1"/>
  <c r="G200" i="12"/>
  <c r="H200" i="12" s="1"/>
  <c r="H192" i="12"/>
  <c r="I192" i="12" s="1"/>
  <c r="H210" i="12"/>
  <c r="J246" i="12"/>
  <c r="T246" i="12" s="1"/>
  <c r="F49" i="12"/>
  <c r="S49" i="12" s="1"/>
  <c r="J130" i="12"/>
  <c r="T130" i="12" s="1"/>
  <c r="F216" i="12"/>
  <c r="S216" i="12" s="1"/>
  <c r="G216" i="12"/>
  <c r="J60" i="12"/>
  <c r="T60" i="12" s="1"/>
  <c r="K179" i="12"/>
  <c r="U179" i="12" s="1"/>
  <c r="F151" i="12"/>
  <c r="S151" i="12" s="1"/>
  <c r="F267" i="12"/>
  <c r="S267" i="12" s="1"/>
  <c r="G267" i="12"/>
  <c r="F249" i="12"/>
  <c r="S249" i="12" s="1"/>
  <c r="F226" i="12"/>
  <c r="S226" i="12" s="1"/>
  <c r="F17" i="12"/>
  <c r="S17" i="12" s="1"/>
  <c r="F26" i="12"/>
  <c r="S26" i="12" s="1"/>
  <c r="G26" i="12"/>
  <c r="F42" i="12"/>
  <c r="S42" i="12" s="1"/>
  <c r="G42" i="12"/>
  <c r="F63" i="12"/>
  <c r="S63" i="12" s="1"/>
  <c r="F35" i="12"/>
  <c r="S35" i="12" s="1"/>
  <c r="F70" i="12"/>
  <c r="S70" i="12" s="1"/>
  <c r="F79" i="12"/>
  <c r="S79" i="12" s="1"/>
  <c r="K88" i="12"/>
  <c r="U88" i="12"/>
  <c r="F118" i="12"/>
  <c r="S118" i="12" s="1"/>
  <c r="I88" i="12"/>
  <c r="H122" i="12"/>
  <c r="I122" i="12" s="1"/>
  <c r="J153" i="12"/>
  <c r="T153" i="12" s="1"/>
  <c r="F95" i="12"/>
  <c r="S95" i="12" s="1"/>
  <c r="F128" i="12"/>
  <c r="S128" i="12" s="1"/>
  <c r="F132" i="12"/>
  <c r="S132" i="12" s="1"/>
  <c r="F147" i="12"/>
  <c r="S147" i="12" s="1"/>
  <c r="G147" i="12"/>
  <c r="H108" i="12"/>
  <c r="I108" i="12" s="1"/>
  <c r="H130" i="12"/>
  <c r="I179" i="12"/>
  <c r="F227" i="12"/>
  <c r="S227" i="12" s="1"/>
  <c r="G175" i="12"/>
  <c r="F175" i="12"/>
  <c r="S175" i="12" s="1"/>
  <c r="I169" i="12"/>
  <c r="F162" i="12"/>
  <c r="S162" i="12" s="1"/>
  <c r="F194" i="12"/>
  <c r="S194" i="12" s="1"/>
  <c r="S196" i="12"/>
  <c r="G196" i="12"/>
  <c r="J248" i="12"/>
  <c r="T248" i="12" s="1"/>
  <c r="G148" i="12"/>
  <c r="F250" i="12"/>
  <c r="S250" i="12" s="1"/>
  <c r="F240" i="12"/>
  <c r="S240" i="12" s="1"/>
  <c r="F235" i="12"/>
  <c r="S235" i="12" s="1"/>
  <c r="F268" i="12"/>
  <c r="S268" i="12" s="1"/>
  <c r="G268" i="12"/>
  <c r="G207" i="12"/>
  <c r="H207" i="12" s="1"/>
  <c r="F207" i="12"/>
  <c r="S207" i="12" s="1"/>
  <c r="F257" i="12"/>
  <c r="S257" i="12" s="1"/>
  <c r="F214" i="12"/>
  <c r="S214" i="12" s="1"/>
  <c r="F211" i="12"/>
  <c r="S211" i="12" s="1"/>
  <c r="H248" i="12"/>
  <c r="G24" i="12" l="1"/>
  <c r="G33" i="12"/>
  <c r="H33" i="12" s="1"/>
  <c r="I84" i="12"/>
  <c r="G185" i="12"/>
  <c r="J185" i="12" s="1"/>
  <c r="T185" i="12" s="1"/>
  <c r="G17" i="12"/>
  <c r="H17" i="12" s="1"/>
  <c r="G151" i="12"/>
  <c r="H151" i="12" s="1"/>
  <c r="G157" i="12"/>
  <c r="H157" i="12" s="1"/>
  <c r="G253" i="12"/>
  <c r="G234" i="12"/>
  <c r="H234" i="12" s="1"/>
  <c r="G189" i="12"/>
  <c r="J189" i="12" s="1"/>
  <c r="T189" i="12" s="1"/>
  <c r="G123" i="12"/>
  <c r="J123" i="12" s="1"/>
  <c r="T123" i="12" s="1"/>
  <c r="G257" i="12"/>
  <c r="G250" i="12"/>
  <c r="H147" i="12"/>
  <c r="G226" i="12"/>
  <c r="G142" i="12"/>
  <c r="G129" i="12"/>
  <c r="G156" i="12"/>
  <c r="J156" i="12" s="1"/>
  <c r="T156" i="12" s="1"/>
  <c r="G111" i="12"/>
  <c r="H111" i="12" s="1"/>
  <c r="G36" i="12"/>
  <c r="H64" i="12"/>
  <c r="I188" i="12"/>
  <c r="H106" i="12"/>
  <c r="K106" i="12" s="1"/>
  <c r="U106" i="12" s="1"/>
  <c r="I106" i="12"/>
  <c r="L106" i="12" s="1"/>
  <c r="V106" i="12" s="1"/>
  <c r="I147" i="12"/>
  <c r="L147" i="12" s="1"/>
  <c r="V147" i="12" s="1"/>
  <c r="H129" i="12"/>
  <c r="G50" i="12"/>
  <c r="H50" i="12" s="1"/>
  <c r="G187" i="12"/>
  <c r="K246" i="12"/>
  <c r="U246" i="12" s="1"/>
  <c r="K218" i="12"/>
  <c r="U218" i="12" s="1"/>
  <c r="K60" i="12"/>
  <c r="U60" i="12" s="1"/>
  <c r="I60" i="12"/>
  <c r="G81" i="12"/>
  <c r="I33" i="12"/>
  <c r="L33" i="12" s="1"/>
  <c r="G171" i="12"/>
  <c r="J171" i="12" s="1"/>
  <c r="T171" i="12" s="1"/>
  <c r="I115" i="12"/>
  <c r="L115" i="12" s="1"/>
  <c r="V115" i="12" s="1"/>
  <c r="U84" i="12"/>
  <c r="S220" i="12"/>
  <c r="H220" i="12"/>
  <c r="K220" i="12" s="1"/>
  <c r="U220" i="12" s="1"/>
  <c r="H56" i="12"/>
  <c r="G228" i="12"/>
  <c r="H268" i="12"/>
  <c r="H104" i="12"/>
  <c r="G249" i="12"/>
  <c r="H249" i="12" s="1"/>
  <c r="K249" i="12" s="1"/>
  <c r="U249" i="12" s="1"/>
  <c r="H49" i="12"/>
  <c r="K49" i="12" s="1"/>
  <c r="U49" i="12" s="1"/>
  <c r="G239" i="12"/>
  <c r="H239" i="12" s="1"/>
  <c r="K239" i="12" s="1"/>
  <c r="U239" i="12" s="1"/>
  <c r="H72" i="12"/>
  <c r="K72" i="12" s="1"/>
  <c r="G58" i="12"/>
  <c r="H58" i="12" s="1"/>
  <c r="G232" i="12"/>
  <c r="G105" i="12"/>
  <c r="G59" i="12"/>
  <c r="G98" i="12"/>
  <c r="H98" i="12" s="1"/>
  <c r="G27" i="12"/>
  <c r="G221" i="12"/>
  <c r="H216" i="12"/>
  <c r="I216" i="12" s="1"/>
  <c r="I53" i="12"/>
  <c r="H173" i="12"/>
  <c r="I173" i="12" s="1"/>
  <c r="L173" i="12" s="1"/>
  <c r="V173" i="12" s="1"/>
  <c r="H143" i="12"/>
  <c r="K143" i="12" s="1"/>
  <c r="U143" i="12" s="1"/>
  <c r="H24" i="12"/>
  <c r="K24" i="12" s="1"/>
  <c r="U24" i="12" s="1"/>
  <c r="G70" i="12"/>
  <c r="G223" i="12"/>
  <c r="J223" i="12" s="1"/>
  <c r="T223" i="12" s="1"/>
  <c r="I21" i="12"/>
  <c r="G143" i="12"/>
  <c r="H253" i="12"/>
  <c r="G85" i="12"/>
  <c r="H85" i="12" s="1"/>
  <c r="G164" i="12"/>
  <c r="H164" i="12" s="1"/>
  <c r="G71" i="12"/>
  <c r="J71" i="12" s="1"/>
  <c r="T71" i="12" s="1"/>
  <c r="I64" i="12"/>
  <c r="L64" i="12" s="1"/>
  <c r="V64" i="12" s="1"/>
  <c r="I56" i="12"/>
  <c r="H123" i="12"/>
  <c r="H184" i="12"/>
  <c r="K184" i="12" s="1"/>
  <c r="U184" i="12" s="1"/>
  <c r="I207" i="12"/>
  <c r="G265" i="12"/>
  <c r="H265" i="12" s="1"/>
  <c r="G174" i="12"/>
  <c r="G237" i="12"/>
  <c r="J237" i="12" s="1"/>
  <c r="T237" i="12" s="1"/>
  <c r="G69" i="12"/>
  <c r="H69" i="12" s="1"/>
  <c r="G238" i="12"/>
  <c r="H68" i="12"/>
  <c r="K68" i="12" s="1"/>
  <c r="U68" i="12" s="1"/>
  <c r="G215" i="12"/>
  <c r="J215" i="12" s="1"/>
  <c r="T215" i="12" s="1"/>
  <c r="J104" i="12"/>
  <c r="T104" i="12" s="1"/>
  <c r="J101" i="12"/>
  <c r="T101" i="12" s="1"/>
  <c r="H101" i="12"/>
  <c r="G18" i="12"/>
  <c r="H228" i="12"/>
  <c r="G240" i="12"/>
  <c r="H240" i="12" s="1"/>
  <c r="K240" i="12" s="1"/>
  <c r="U240" i="12" s="1"/>
  <c r="H175" i="12"/>
  <c r="I175" i="12" s="1"/>
  <c r="L175" i="12" s="1"/>
  <c r="V175" i="12" s="1"/>
  <c r="G63" i="12"/>
  <c r="J63" i="12" s="1"/>
  <c r="G49" i="12"/>
  <c r="J49" i="12" s="1"/>
  <c r="T49" i="12" s="1"/>
  <c r="G177" i="12"/>
  <c r="J177" i="12" s="1"/>
  <c r="T177" i="12" s="1"/>
  <c r="I129" i="12"/>
  <c r="H81" i="12"/>
  <c r="I81" i="12" s="1"/>
  <c r="L81" i="12" s="1"/>
  <c r="V81" i="12" s="1"/>
  <c r="G229" i="12"/>
  <c r="G160" i="12"/>
  <c r="J160" i="12" s="1"/>
  <c r="G136" i="12"/>
  <c r="J136" i="12" s="1"/>
  <c r="T136" i="12" s="1"/>
  <c r="G68" i="12"/>
  <c r="G199" i="12"/>
  <c r="G38" i="12"/>
  <c r="H38" i="12" s="1"/>
  <c r="G133" i="12"/>
  <c r="J133" i="12" s="1"/>
  <c r="T133" i="12" s="1"/>
  <c r="G20" i="12"/>
  <c r="H20" i="12" s="1"/>
  <c r="G176" i="12"/>
  <c r="H176" i="12" s="1"/>
  <c r="K176" i="12" s="1"/>
  <c r="U176" i="12" s="1"/>
  <c r="G255" i="12"/>
  <c r="J255" i="12" s="1"/>
  <c r="T255" i="12" s="1"/>
  <c r="G203" i="12"/>
  <c r="H203" i="12" s="1"/>
  <c r="H43" i="12"/>
  <c r="K75" i="12"/>
  <c r="I75" i="12"/>
  <c r="L75" i="12" s="1"/>
  <c r="V75" i="12" s="1"/>
  <c r="U75" i="12"/>
  <c r="K157" i="12"/>
  <c r="U157" i="12" s="1"/>
  <c r="I157" i="12"/>
  <c r="K69" i="12"/>
  <c r="U69" i="12" s="1"/>
  <c r="L192" i="12"/>
  <c r="V192" i="12" s="1"/>
  <c r="K163" i="12"/>
  <c r="U163" i="12" s="1"/>
  <c r="K85" i="12"/>
  <c r="U85" i="12" s="1"/>
  <c r="I85" i="12"/>
  <c r="K210" i="12"/>
  <c r="U210" i="12" s="1"/>
  <c r="J109" i="12"/>
  <c r="T109" i="12" s="1"/>
  <c r="J34" i="12"/>
  <c r="T34" i="12" s="1"/>
  <c r="J59" i="12"/>
  <c r="T59" i="12"/>
  <c r="J37" i="12"/>
  <c r="T37" i="12"/>
  <c r="K268" i="12"/>
  <c r="J196" i="12"/>
  <c r="T196" i="12" s="1"/>
  <c r="H196" i="12"/>
  <c r="I196" i="12" s="1"/>
  <c r="L182" i="12"/>
  <c r="V182" i="12" s="1"/>
  <c r="J62" i="12"/>
  <c r="T62" i="12" s="1"/>
  <c r="J36" i="12"/>
  <c r="T36" i="12" s="1"/>
  <c r="J265" i="12"/>
  <c r="T265" i="12" s="1"/>
  <c r="J20" i="12"/>
  <c r="T20" i="12" s="1"/>
  <c r="J168" i="12"/>
  <c r="T168" i="12" s="1"/>
  <c r="H168" i="12"/>
  <c r="K64" i="12"/>
  <c r="U64" i="12" s="1"/>
  <c r="J147" i="12"/>
  <c r="T147" i="12" s="1"/>
  <c r="J151" i="12"/>
  <c r="T151" i="12" s="1"/>
  <c r="J216" i="12"/>
  <c r="T216" i="12" s="1"/>
  <c r="J200" i="12"/>
  <c r="T200" i="12" s="1"/>
  <c r="I200" i="12"/>
  <c r="L130" i="12"/>
  <c r="V130" i="12"/>
  <c r="J129" i="12"/>
  <c r="T129" i="12" s="1"/>
  <c r="G117" i="12"/>
  <c r="J72" i="12"/>
  <c r="T72" i="12" s="1"/>
  <c r="J58" i="12"/>
  <c r="T58" i="12" s="1"/>
  <c r="J53" i="12"/>
  <c r="T53" i="12" s="1"/>
  <c r="J173" i="12"/>
  <c r="T173" i="12" s="1"/>
  <c r="G206" i="12"/>
  <c r="K153" i="12"/>
  <c r="U153" i="12" s="1"/>
  <c r="J93" i="12"/>
  <c r="T93" i="12" s="1"/>
  <c r="G83" i="12"/>
  <c r="J21" i="12"/>
  <c r="T21" i="12" s="1"/>
  <c r="K264" i="12"/>
  <c r="U264" i="12" s="1"/>
  <c r="H34" i="12"/>
  <c r="I34" i="12" s="1"/>
  <c r="J254" i="12"/>
  <c r="H36" i="12"/>
  <c r="J188" i="12"/>
  <c r="T188" i="12" s="1"/>
  <c r="G161" i="12"/>
  <c r="H161" i="12" s="1"/>
  <c r="H93" i="12"/>
  <c r="I93" i="12" s="1"/>
  <c r="G94" i="12"/>
  <c r="G231" i="12"/>
  <c r="H231" i="12" s="1"/>
  <c r="G40" i="12"/>
  <c r="J78" i="12"/>
  <c r="T78" i="12" s="1"/>
  <c r="J64" i="12"/>
  <c r="T64" i="12" s="1"/>
  <c r="G208" i="12"/>
  <c r="H208" i="12" s="1"/>
  <c r="G77" i="12"/>
  <c r="J99" i="12"/>
  <c r="T99" i="12" s="1"/>
  <c r="K186" i="12"/>
  <c r="U186" i="12" s="1"/>
  <c r="L47" i="12"/>
  <c r="V47" i="12" s="1"/>
  <c r="K272" i="12"/>
  <c r="U272" i="12" s="1"/>
  <c r="I186" i="12"/>
  <c r="K61" i="12"/>
  <c r="U61" i="12" s="1"/>
  <c r="J163" i="12"/>
  <c r="T163" i="12" s="1"/>
  <c r="J26" i="12"/>
  <c r="T26" i="12" s="1"/>
  <c r="J50" i="12"/>
  <c r="T50" i="12" s="1"/>
  <c r="K90" i="12"/>
  <c r="U90" i="12"/>
  <c r="J45" i="12"/>
  <c r="T45" i="12" s="1"/>
  <c r="I163" i="12"/>
  <c r="G137" i="12"/>
  <c r="H137" i="12" s="1"/>
  <c r="G44" i="12"/>
  <c r="H44" i="12" s="1"/>
  <c r="J268" i="12"/>
  <c r="T268" i="12" s="1"/>
  <c r="H257" i="12"/>
  <c r="H250" i="12"/>
  <c r="G162" i="12"/>
  <c r="H162" i="12" s="1"/>
  <c r="G227" i="12"/>
  <c r="H227" i="12" s="1"/>
  <c r="G128" i="12"/>
  <c r="H128" i="12" s="1"/>
  <c r="I128" i="12" s="1"/>
  <c r="K122" i="12"/>
  <c r="U122" i="12"/>
  <c r="H42" i="12"/>
  <c r="I42" i="12" s="1"/>
  <c r="G224" i="12"/>
  <c r="G270" i="12"/>
  <c r="G125" i="12"/>
  <c r="H125" i="12" s="1"/>
  <c r="G121" i="12"/>
  <c r="G29" i="12"/>
  <c r="H29" i="12" s="1"/>
  <c r="H238" i="12"/>
  <c r="H160" i="12"/>
  <c r="I160" i="12" s="1"/>
  <c r="J102" i="12"/>
  <c r="T102" i="12" s="1"/>
  <c r="H136" i="12"/>
  <c r="G31" i="12"/>
  <c r="G241" i="12"/>
  <c r="H241" i="12" s="1"/>
  <c r="G119" i="12"/>
  <c r="G209" i="12"/>
  <c r="H232" i="12"/>
  <c r="H199" i="12"/>
  <c r="G138" i="12"/>
  <c r="H138" i="12" s="1"/>
  <c r="I90" i="12"/>
  <c r="H237" i="12"/>
  <c r="G170" i="12"/>
  <c r="G149" i="12"/>
  <c r="H149" i="12" s="1"/>
  <c r="H45" i="12"/>
  <c r="I45" i="12" s="1"/>
  <c r="H71" i="12"/>
  <c r="G51" i="12"/>
  <c r="G262" i="12"/>
  <c r="H262" i="12" s="1"/>
  <c r="G233" i="12"/>
  <c r="H233" i="12" s="1"/>
  <c r="G131" i="12"/>
  <c r="G92" i="12"/>
  <c r="G76" i="12"/>
  <c r="H76" i="12" s="1"/>
  <c r="I76" i="12" s="1"/>
  <c r="I78" i="12"/>
  <c r="G145" i="12"/>
  <c r="G150" i="12"/>
  <c r="K248" i="12"/>
  <c r="U248" i="12" s="1"/>
  <c r="J187" i="12"/>
  <c r="T187" i="12" s="1"/>
  <c r="J97" i="12"/>
  <c r="T97" i="12" s="1"/>
  <c r="K193" i="12"/>
  <c r="U193" i="12" s="1"/>
  <c r="L183" i="12"/>
  <c r="V183" i="12" s="1"/>
  <c r="J61" i="12"/>
  <c r="T61" i="12" s="1"/>
  <c r="L108" i="12"/>
  <c r="V108" i="12" s="1"/>
  <c r="L65" i="12"/>
  <c r="V65" i="12" s="1"/>
  <c r="L129" i="12"/>
  <c r="V129" i="12" s="1"/>
  <c r="J30" i="12"/>
  <c r="T30" i="12" s="1"/>
  <c r="J190" i="12"/>
  <c r="T190" i="12" s="1"/>
  <c r="L53" i="12"/>
  <c r="V53" i="12" s="1"/>
  <c r="T238" i="12"/>
  <c r="J238" i="12"/>
  <c r="H62" i="12"/>
  <c r="I62" i="12" s="1"/>
  <c r="T232" i="12"/>
  <c r="J232" i="12"/>
  <c r="K188" i="12"/>
  <c r="U188" i="12" s="1"/>
  <c r="J199" i="12"/>
  <c r="T199" i="12" s="1"/>
  <c r="J90" i="12"/>
  <c r="T90" i="12" s="1"/>
  <c r="J85" i="12"/>
  <c r="T85" i="12" s="1"/>
  <c r="K78" i="12"/>
  <c r="U78" i="12" s="1"/>
  <c r="J164" i="12"/>
  <c r="T164" i="12" s="1"/>
  <c r="J69" i="12"/>
  <c r="H40" i="12"/>
  <c r="K251" i="12"/>
  <c r="U251" i="12" s="1"/>
  <c r="J176" i="12"/>
  <c r="T176" i="12" s="1"/>
  <c r="I153" i="12"/>
  <c r="T226" i="12"/>
  <c r="J226" i="12"/>
  <c r="J172" i="12"/>
  <c r="T172" i="12" s="1"/>
  <c r="L21" i="12"/>
  <c r="V21" i="12" s="1"/>
  <c r="J240" i="12"/>
  <c r="T240" i="12" s="1"/>
  <c r="K21" i="12"/>
  <c r="U21" i="12" s="1"/>
  <c r="G211" i="12"/>
  <c r="H211" i="12" s="1"/>
  <c r="I211" i="12" s="1"/>
  <c r="K104" i="12"/>
  <c r="U104" i="12" s="1"/>
  <c r="L88" i="12"/>
  <c r="V88" i="12" s="1"/>
  <c r="L179" i="12"/>
  <c r="V179" i="12"/>
  <c r="J17" i="12"/>
  <c r="U216" i="12"/>
  <c r="K216" i="12"/>
  <c r="H224" i="12"/>
  <c r="K129" i="12"/>
  <c r="U129" i="12" s="1"/>
  <c r="K81" i="12"/>
  <c r="U81" i="12" s="1"/>
  <c r="K33" i="12"/>
  <c r="U33" i="12"/>
  <c r="K58" i="12"/>
  <c r="H109" i="12"/>
  <c r="I109" i="12" s="1"/>
  <c r="K53" i="12"/>
  <c r="U53" i="12" s="1"/>
  <c r="K173" i="12"/>
  <c r="J272" i="12"/>
  <c r="T272" i="12" s="1"/>
  <c r="G242" i="12"/>
  <c r="H242" i="12" s="1"/>
  <c r="K111" i="12"/>
  <c r="U111" i="12" s="1"/>
  <c r="J68" i="12"/>
  <c r="T68" i="12" s="1"/>
  <c r="J247" i="12"/>
  <c r="T247" i="12" s="1"/>
  <c r="K234" i="12"/>
  <c r="U234" i="12" s="1"/>
  <c r="G146" i="12"/>
  <c r="K115" i="12"/>
  <c r="U115" i="12" s="1"/>
  <c r="I69" i="12"/>
  <c r="G212" i="12"/>
  <c r="J251" i="12"/>
  <c r="T251" i="12" s="1"/>
  <c r="G269" i="12"/>
  <c r="J110" i="12"/>
  <c r="T110" i="12" s="1"/>
  <c r="H110" i="12"/>
  <c r="G112" i="12"/>
  <c r="G16" i="12"/>
  <c r="G213" i="12"/>
  <c r="G271" i="12"/>
  <c r="H271" i="12" s="1"/>
  <c r="J225" i="12"/>
  <c r="T225" i="12" s="1"/>
  <c r="K200" i="12"/>
  <c r="U200" i="12" s="1"/>
  <c r="K253" i="12"/>
  <c r="U253" i="12" s="1"/>
  <c r="J105" i="12"/>
  <c r="T105" i="12" s="1"/>
  <c r="K166" i="12"/>
  <c r="U166" i="12" s="1"/>
  <c r="I166" i="12"/>
  <c r="J257" i="12"/>
  <c r="T257" i="12" s="1"/>
  <c r="K147" i="12"/>
  <c r="U147" i="12" s="1"/>
  <c r="K192" i="12"/>
  <c r="U192" i="12" s="1"/>
  <c r="G167" i="12"/>
  <c r="H167" i="12" s="1"/>
  <c r="H117" i="12"/>
  <c r="I117" i="12" s="1"/>
  <c r="L188" i="12"/>
  <c r="V188" i="12" s="1"/>
  <c r="J250" i="12"/>
  <c r="J42" i="12"/>
  <c r="T42" i="12" s="1"/>
  <c r="K181" i="12"/>
  <c r="U181" i="12" s="1"/>
  <c r="I181" i="12"/>
  <c r="K207" i="12"/>
  <c r="U207" i="12" s="1"/>
  <c r="L169" i="12"/>
  <c r="V169" i="12" s="1"/>
  <c r="J267" i="12"/>
  <c r="T267" i="12" s="1"/>
  <c r="G252" i="12"/>
  <c r="H252" i="12" s="1"/>
  <c r="I104" i="12"/>
  <c r="J229" i="12"/>
  <c r="G235" i="12"/>
  <c r="H235" i="12" s="1"/>
  <c r="J148" i="12"/>
  <c r="T148" i="12" s="1"/>
  <c r="H148" i="12"/>
  <c r="I148" i="12"/>
  <c r="G194" i="12"/>
  <c r="K130" i="12"/>
  <c r="U130" i="12" s="1"/>
  <c r="G132" i="12"/>
  <c r="G79" i="12"/>
  <c r="H79" i="12" s="1"/>
  <c r="G35" i="12"/>
  <c r="H35" i="12" s="1"/>
  <c r="H256" i="12"/>
  <c r="J124" i="12"/>
  <c r="T124" i="12" s="1"/>
  <c r="H124" i="12"/>
  <c r="I124" i="12" s="1"/>
  <c r="G134" i="12"/>
  <c r="J23" i="12"/>
  <c r="T23" i="12" s="1"/>
  <c r="H23" i="12"/>
  <c r="G82" i="12"/>
  <c r="K55" i="12"/>
  <c r="U55" i="12" s="1"/>
  <c r="H190" i="12"/>
  <c r="H171" i="12"/>
  <c r="I171" i="12" s="1"/>
  <c r="J266" i="12"/>
  <c r="T266" i="12" s="1"/>
  <c r="H266" i="12"/>
  <c r="H187" i="12"/>
  <c r="G144" i="12"/>
  <c r="J115" i="12"/>
  <c r="T115" i="12" s="1"/>
  <c r="G116" i="12"/>
  <c r="H116" i="12" s="1"/>
  <c r="G103" i="12"/>
  <c r="G73" i="12"/>
  <c r="G25" i="12"/>
  <c r="G46" i="12"/>
  <c r="G154" i="12"/>
  <c r="G197" i="12"/>
  <c r="G201" i="12"/>
  <c r="H201" i="12" s="1"/>
  <c r="I199" i="12"/>
  <c r="G80" i="12"/>
  <c r="H105" i="12"/>
  <c r="I105" i="12" s="1"/>
  <c r="G22" i="12"/>
  <c r="G39" i="12"/>
  <c r="G135" i="12"/>
  <c r="H37" i="12"/>
  <c r="I37" i="12" s="1"/>
  <c r="G158" i="12"/>
  <c r="I61" i="12"/>
  <c r="G66" i="12"/>
  <c r="G263" i="12"/>
  <c r="J27" i="12"/>
  <c r="T27" i="12" s="1"/>
  <c r="J256" i="12"/>
  <c r="T256" i="12" s="1"/>
  <c r="L122" i="12"/>
  <c r="V122" i="12" s="1"/>
  <c r="K254" i="12"/>
  <c r="U254" i="12" s="1"/>
  <c r="J157" i="12"/>
  <c r="T157" i="12"/>
  <c r="K228" i="12"/>
  <c r="U228" i="12" s="1"/>
  <c r="G214" i="12"/>
  <c r="H214" i="12" s="1"/>
  <c r="I214" i="12" s="1"/>
  <c r="J207" i="12"/>
  <c r="T207" i="12" s="1"/>
  <c r="I193" i="12"/>
  <c r="J175" i="12"/>
  <c r="T175" i="12" s="1"/>
  <c r="K108" i="12"/>
  <c r="U108" i="12" s="1"/>
  <c r="G95" i="12"/>
  <c r="H95" i="12" s="1"/>
  <c r="G118" i="12"/>
  <c r="H118" i="12" s="1"/>
  <c r="H26" i="12"/>
  <c r="H226" i="12"/>
  <c r="H267" i="12"/>
  <c r="J239" i="12"/>
  <c r="T239" i="12" s="1"/>
  <c r="G202" i="12"/>
  <c r="H223" i="12"/>
  <c r="J142" i="12"/>
  <c r="T142" i="12" s="1"/>
  <c r="H99" i="12"/>
  <c r="I99" i="12" s="1"/>
  <c r="K114" i="12"/>
  <c r="U114" i="12" s="1"/>
  <c r="J81" i="12"/>
  <c r="T81" i="12" s="1"/>
  <c r="J33" i="12"/>
  <c r="T33" i="12" s="1"/>
  <c r="J18" i="12"/>
  <c r="T18" i="12" s="1"/>
  <c r="J159" i="12"/>
  <c r="T159" i="12" s="1"/>
  <c r="H159" i="12"/>
  <c r="K155" i="12"/>
  <c r="U155" i="12" s="1"/>
  <c r="I155" i="12"/>
  <c r="G96" i="12"/>
  <c r="H96" i="12" s="1"/>
  <c r="H229" i="12"/>
  <c r="H172" i="12"/>
  <c r="I172" i="12" s="1"/>
  <c r="L120" i="12"/>
  <c r="V120" i="12" s="1"/>
  <c r="H30" i="12"/>
  <c r="L55" i="12"/>
  <c r="V55" i="12" s="1"/>
  <c r="G195" i="12"/>
  <c r="H195" i="12" s="1"/>
  <c r="J111" i="12"/>
  <c r="T111" i="12" s="1"/>
  <c r="J253" i="12"/>
  <c r="T253" i="12" s="1"/>
  <c r="G91" i="12"/>
  <c r="I68" i="12"/>
  <c r="G57" i="12"/>
  <c r="H247" i="12"/>
  <c r="J234" i="12"/>
  <c r="T234" i="12" s="1"/>
  <c r="H102" i="12"/>
  <c r="I102" i="12" s="1"/>
  <c r="I114" i="12"/>
  <c r="H59" i="12"/>
  <c r="G19" i="12"/>
  <c r="G141" i="12"/>
  <c r="H141" i="12" s="1"/>
  <c r="J24" i="12"/>
  <c r="T24" i="12" s="1"/>
  <c r="H212" i="12"/>
  <c r="H97" i="12"/>
  <c r="I97" i="12" s="1"/>
  <c r="G198" i="12"/>
  <c r="H198" i="12" s="1"/>
  <c r="N18" i="13"/>
  <c r="O18" i="13" s="1"/>
  <c r="G19" i="13"/>
  <c r="G86" i="12"/>
  <c r="H86" i="12" s="1"/>
  <c r="G107" i="12"/>
  <c r="H107" i="12" s="1"/>
  <c r="G32" i="12"/>
  <c r="H32" i="12" s="1"/>
  <c r="H77" i="12"/>
  <c r="H225" i="12"/>
  <c r="I210" i="12"/>
  <c r="K151" i="12" l="1"/>
  <c r="U151" i="12" s="1"/>
  <c r="I151" i="12"/>
  <c r="L151" i="12" s="1"/>
  <c r="V151" i="12" s="1"/>
  <c r="I17" i="12"/>
  <c r="K17" i="12"/>
  <c r="U17" i="12"/>
  <c r="I50" i="12"/>
  <c r="K50" i="12"/>
  <c r="U50" i="12" s="1"/>
  <c r="K175" i="12"/>
  <c r="U175" i="12" s="1"/>
  <c r="H156" i="12"/>
  <c r="I156" i="12" s="1"/>
  <c r="L156" i="12" s="1"/>
  <c r="V156" i="12" s="1"/>
  <c r="L84" i="12"/>
  <c r="V84" i="12" s="1"/>
  <c r="H70" i="12"/>
  <c r="I103" i="12"/>
  <c r="H103" i="12"/>
  <c r="H255" i="12"/>
  <c r="T229" i="12"/>
  <c r="I98" i="12"/>
  <c r="L60" i="12"/>
  <c r="V60" i="12" s="1"/>
  <c r="I70" i="12"/>
  <c r="H174" i="12"/>
  <c r="K174" i="12" s="1"/>
  <c r="U174" i="12" s="1"/>
  <c r="H189" i="12"/>
  <c r="T160" i="12"/>
  <c r="J174" i="12"/>
  <c r="T174" i="12" s="1"/>
  <c r="U268" i="12"/>
  <c r="H142" i="12"/>
  <c r="K142" i="12" s="1"/>
  <c r="U142" i="12" s="1"/>
  <c r="J70" i="12"/>
  <c r="T70" i="12" s="1"/>
  <c r="I143" i="12"/>
  <c r="I111" i="12"/>
  <c r="L111" i="12" s="1"/>
  <c r="V111" i="12" s="1"/>
  <c r="J98" i="12"/>
  <c r="T98" i="12" s="1"/>
  <c r="H215" i="12"/>
  <c r="I176" i="12"/>
  <c r="U58" i="12"/>
  <c r="H185" i="12"/>
  <c r="K265" i="12"/>
  <c r="U265" i="12" s="1"/>
  <c r="K20" i="12"/>
  <c r="U20" i="12" s="1"/>
  <c r="I20" i="12"/>
  <c r="K38" i="12"/>
  <c r="U38" i="12"/>
  <c r="I38" i="12"/>
  <c r="V17" i="12"/>
  <c r="L143" i="12"/>
  <c r="V143" i="12" s="1"/>
  <c r="H63" i="12"/>
  <c r="I63" i="12" s="1"/>
  <c r="L63" i="12" s="1"/>
  <c r="V63" i="12" s="1"/>
  <c r="J143" i="12"/>
  <c r="T143" i="12" s="1"/>
  <c r="L17" i="12"/>
  <c r="H18" i="12"/>
  <c r="I18" i="12" s="1"/>
  <c r="H177" i="12"/>
  <c r="K177" i="12" s="1"/>
  <c r="U177" i="12" s="1"/>
  <c r="J228" i="12"/>
  <c r="T228" i="12" s="1"/>
  <c r="I24" i="12"/>
  <c r="I212" i="12"/>
  <c r="I35" i="12"/>
  <c r="L35" i="12" s="1"/>
  <c r="J249" i="12"/>
  <c r="T249" i="12" s="1"/>
  <c r="K156" i="12"/>
  <c r="U156" i="12" s="1"/>
  <c r="J203" i="12"/>
  <c r="T203" i="12" s="1"/>
  <c r="K43" i="12"/>
  <c r="U43" i="12" s="1"/>
  <c r="I43" i="12"/>
  <c r="K101" i="12"/>
  <c r="U101" i="12" s="1"/>
  <c r="I101" i="12"/>
  <c r="L101" i="12" s="1"/>
  <c r="V101" i="12" s="1"/>
  <c r="I58" i="12"/>
  <c r="L58" i="12" s="1"/>
  <c r="V58" i="12" s="1"/>
  <c r="K56" i="12"/>
  <c r="U56" i="12"/>
  <c r="I49" i="12"/>
  <c r="L49" i="12" s="1"/>
  <c r="V49" i="12" s="1"/>
  <c r="I184" i="12"/>
  <c r="L184" i="12" s="1"/>
  <c r="V184" i="12" s="1"/>
  <c r="I95" i="12"/>
  <c r="L95" i="12" s="1"/>
  <c r="V95" i="12" s="1"/>
  <c r="U173" i="12"/>
  <c r="T69" i="12"/>
  <c r="U72" i="12"/>
  <c r="V33" i="12"/>
  <c r="T63" i="12"/>
  <c r="J38" i="12"/>
  <c r="T38" i="12" s="1"/>
  <c r="K123" i="12"/>
  <c r="I123" i="12"/>
  <c r="L123" i="12" s="1"/>
  <c r="V123" i="12" s="1"/>
  <c r="U123" i="12"/>
  <c r="I72" i="12"/>
  <c r="L56" i="12"/>
  <c r="V56" i="12" s="1"/>
  <c r="H221" i="12"/>
  <c r="K221" i="12" s="1"/>
  <c r="U221" i="12" s="1"/>
  <c r="J221" i="12"/>
  <c r="T221" i="12" s="1"/>
  <c r="I44" i="12"/>
  <c r="H133" i="12"/>
  <c r="K133" i="12" s="1"/>
  <c r="U133" i="12" s="1"/>
  <c r="H27" i="12"/>
  <c r="K27" i="12" s="1"/>
  <c r="U27" i="12" s="1"/>
  <c r="I27" i="12"/>
  <c r="L34" i="12"/>
  <c r="V34" i="12" s="1"/>
  <c r="K137" i="12"/>
  <c r="U137" i="12" s="1"/>
  <c r="K208" i="12"/>
  <c r="U208" i="12" s="1"/>
  <c r="I208" i="12"/>
  <c r="L128" i="12"/>
  <c r="V128" i="12" s="1"/>
  <c r="K116" i="12"/>
  <c r="U116" i="12" s="1"/>
  <c r="I116" i="12"/>
  <c r="L37" i="12"/>
  <c r="V37" i="12"/>
  <c r="K29" i="12"/>
  <c r="U29" i="12" s="1"/>
  <c r="L76" i="12"/>
  <c r="V76" i="12" s="1"/>
  <c r="K195" i="12"/>
  <c r="U195" i="12" s="1"/>
  <c r="K138" i="12"/>
  <c r="U138" i="12"/>
  <c r="L102" i="12"/>
  <c r="V102" i="12" s="1"/>
  <c r="K118" i="12"/>
  <c r="U118" i="12" s="1"/>
  <c r="K161" i="12"/>
  <c r="U161" i="12" s="1"/>
  <c r="K227" i="12"/>
  <c r="U227" i="12"/>
  <c r="K252" i="12"/>
  <c r="U252" i="12" s="1"/>
  <c r="L44" i="12"/>
  <c r="V44" i="12" s="1"/>
  <c r="K198" i="12"/>
  <c r="U198" i="12" s="1"/>
  <c r="L62" i="12"/>
  <c r="V62" i="12" s="1"/>
  <c r="AA21" i="12"/>
  <c r="K247" i="12"/>
  <c r="U247" i="12" s="1"/>
  <c r="K95" i="12"/>
  <c r="U95" i="12" s="1"/>
  <c r="L69" i="12"/>
  <c r="V69" i="12" s="1"/>
  <c r="L153" i="12"/>
  <c r="V153" i="12" s="1"/>
  <c r="K201" i="12"/>
  <c r="U201" i="12" s="1"/>
  <c r="K203" i="12"/>
  <c r="U203" i="12" s="1"/>
  <c r="L160" i="12"/>
  <c r="V160" i="12" s="1"/>
  <c r="L98" i="12"/>
  <c r="V98" i="12" s="1"/>
  <c r="T57" i="12"/>
  <c r="J57" i="12"/>
  <c r="K44" i="12"/>
  <c r="U44" i="12" s="1"/>
  <c r="J25" i="12"/>
  <c r="T25" i="12" s="1"/>
  <c r="L78" i="12"/>
  <c r="V78" i="12" s="1"/>
  <c r="L50" i="12"/>
  <c r="V50" i="12" s="1"/>
  <c r="K262" i="12"/>
  <c r="U262" i="12" s="1"/>
  <c r="L68" i="12"/>
  <c r="V68" i="12" s="1"/>
  <c r="K167" i="12"/>
  <c r="U167" i="12" s="1"/>
  <c r="K266" i="12"/>
  <c r="U266" i="12" s="1"/>
  <c r="J269" i="12"/>
  <c r="T269" i="12" s="1"/>
  <c r="H269" i="12"/>
  <c r="K237" i="12"/>
  <c r="U237" i="12" s="1"/>
  <c r="J91" i="12"/>
  <c r="T91" i="12" s="1"/>
  <c r="J32" i="12"/>
  <c r="T32" i="12" s="1"/>
  <c r="J107" i="12"/>
  <c r="T107" i="12"/>
  <c r="H83" i="12"/>
  <c r="I83" i="12" s="1"/>
  <c r="L117" i="12"/>
  <c r="V117" i="12" s="1"/>
  <c r="J158" i="12"/>
  <c r="T158" i="12" s="1"/>
  <c r="H158" i="12"/>
  <c r="I158" i="12" s="1"/>
  <c r="J197" i="12"/>
  <c r="T197" i="12" s="1"/>
  <c r="H197" i="12"/>
  <c r="I197" i="12" s="1"/>
  <c r="L104" i="12"/>
  <c r="V104" i="12" s="1"/>
  <c r="J271" i="12"/>
  <c r="T271" i="12" s="1"/>
  <c r="J86" i="12"/>
  <c r="T86" i="12" s="1"/>
  <c r="J141" i="12"/>
  <c r="T141" i="12" s="1"/>
  <c r="J96" i="12"/>
  <c r="T96" i="12" s="1"/>
  <c r="I96" i="12"/>
  <c r="K99" i="12"/>
  <c r="U99" i="12" s="1"/>
  <c r="K267" i="12"/>
  <c r="U267" i="12" s="1"/>
  <c r="J263" i="12"/>
  <c r="T263" i="12" s="1"/>
  <c r="H263" i="12"/>
  <c r="K105" i="12"/>
  <c r="U105" i="12" s="1"/>
  <c r="J154" i="12"/>
  <c r="T154" i="12" s="1"/>
  <c r="H154" i="12"/>
  <c r="I154" i="12"/>
  <c r="K171" i="12"/>
  <c r="U171" i="12" s="1"/>
  <c r="I167" i="12"/>
  <c r="J79" i="12"/>
  <c r="T79" i="12" s="1"/>
  <c r="I79" i="12"/>
  <c r="U148" i="12"/>
  <c r="K148" i="12"/>
  <c r="H202" i="12"/>
  <c r="K117" i="12"/>
  <c r="U117" i="12" s="1"/>
  <c r="K110" i="12"/>
  <c r="U110" i="12" s="1"/>
  <c r="T146" i="12"/>
  <c r="J146" i="12"/>
  <c r="M17" i="12"/>
  <c r="L72" i="12"/>
  <c r="J150" i="12"/>
  <c r="T150" i="12"/>
  <c r="H150" i="12"/>
  <c r="L93" i="12"/>
  <c r="V93" i="12" s="1"/>
  <c r="K45" i="12"/>
  <c r="U45" i="12" s="1"/>
  <c r="H146" i="12"/>
  <c r="K238" i="12"/>
  <c r="U238" i="12" s="1"/>
  <c r="J162" i="12"/>
  <c r="T162" i="12" s="1"/>
  <c r="I162" i="12"/>
  <c r="K93" i="12"/>
  <c r="U93" i="12" s="1"/>
  <c r="M21" i="12"/>
  <c r="J117" i="12"/>
  <c r="T117" i="12" s="1"/>
  <c r="K59" i="12"/>
  <c r="U59" i="12" s="1"/>
  <c r="K26" i="12"/>
  <c r="U26" i="12" s="1"/>
  <c r="I26" i="12"/>
  <c r="L172" i="12"/>
  <c r="V172" i="12"/>
  <c r="U235" i="12"/>
  <c r="K235" i="12"/>
  <c r="J213" i="12"/>
  <c r="T213" i="12" s="1"/>
  <c r="K35" i="12"/>
  <c r="U35" i="12"/>
  <c r="L45" i="12"/>
  <c r="V45" i="12" s="1"/>
  <c r="L85" i="12"/>
  <c r="V85" i="12" s="1"/>
  <c r="L38" i="12"/>
  <c r="V38" i="12" s="1"/>
  <c r="K223" i="12"/>
  <c r="U223" i="12" s="1"/>
  <c r="L199" i="12"/>
  <c r="V199" i="12"/>
  <c r="J132" i="12"/>
  <c r="T132" i="12" s="1"/>
  <c r="H132" i="12"/>
  <c r="K136" i="12"/>
  <c r="U136" i="12" s="1"/>
  <c r="J137" i="12"/>
  <c r="T137" i="12" s="1"/>
  <c r="J94" i="12"/>
  <c r="T94" i="12" s="1"/>
  <c r="H94" i="12"/>
  <c r="K172" i="12"/>
  <c r="U172" i="12" s="1"/>
  <c r="L193" i="12"/>
  <c r="V193" i="12" s="1"/>
  <c r="J201" i="12"/>
  <c r="T201" i="12" s="1"/>
  <c r="I201" i="12"/>
  <c r="K214" i="12"/>
  <c r="U214" i="12" s="1"/>
  <c r="H213" i="12"/>
  <c r="I213" i="12" s="1"/>
  <c r="I203" i="12"/>
  <c r="H25" i="12"/>
  <c r="L20" i="12"/>
  <c r="M20" i="12" s="1"/>
  <c r="J214" i="12"/>
  <c r="T214" i="12" s="1"/>
  <c r="J22" i="12"/>
  <c r="T22" i="12" s="1"/>
  <c r="H22" i="12"/>
  <c r="I22" i="12" s="1"/>
  <c r="K23" i="12"/>
  <c r="U23" i="12" s="1"/>
  <c r="I23" i="12"/>
  <c r="J35" i="12"/>
  <c r="T35" i="12" s="1"/>
  <c r="J212" i="12"/>
  <c r="T212" i="12" s="1"/>
  <c r="G20" i="13"/>
  <c r="N19" i="13"/>
  <c r="O19" i="13" s="1"/>
  <c r="J19" i="12"/>
  <c r="T19" i="12" s="1"/>
  <c r="L155" i="12"/>
  <c r="V155" i="12" s="1"/>
  <c r="K226" i="12"/>
  <c r="U226" i="12" s="1"/>
  <c r="K215" i="12"/>
  <c r="U215" i="12" s="1"/>
  <c r="I215" i="12"/>
  <c r="K98" i="12"/>
  <c r="U98" i="12" s="1"/>
  <c r="J80" i="12"/>
  <c r="T80" i="12" s="1"/>
  <c r="H80" i="12"/>
  <c r="J144" i="12"/>
  <c r="T144" i="12" s="1"/>
  <c r="H144" i="12"/>
  <c r="L109" i="12"/>
  <c r="V109" i="12" s="1"/>
  <c r="I118" i="12"/>
  <c r="J252" i="12"/>
  <c r="T252" i="12" s="1"/>
  <c r="J167" i="12"/>
  <c r="T167" i="12" s="1"/>
  <c r="L166" i="12"/>
  <c r="V166" i="12" s="1"/>
  <c r="I110" i="12"/>
  <c r="T17" i="12"/>
  <c r="AA17" i="12" s="1"/>
  <c r="J145" i="12"/>
  <c r="T145" i="12" s="1"/>
  <c r="H145" i="12"/>
  <c r="I145" i="12" s="1"/>
  <c r="J131" i="12"/>
  <c r="T131" i="12" s="1"/>
  <c r="H131" i="12"/>
  <c r="J149" i="12"/>
  <c r="T149" i="12" s="1"/>
  <c r="I149" i="12"/>
  <c r="K199" i="12"/>
  <c r="U199" i="12" s="1"/>
  <c r="J31" i="12"/>
  <c r="T31" i="12"/>
  <c r="J29" i="12"/>
  <c r="T29" i="12" s="1"/>
  <c r="I29" i="12"/>
  <c r="K42" i="12"/>
  <c r="U42" i="12"/>
  <c r="K250" i="12"/>
  <c r="U250" i="12" s="1"/>
  <c r="T254" i="12"/>
  <c r="H31" i="12"/>
  <c r="L200" i="12"/>
  <c r="V200" i="12" s="1"/>
  <c r="K190" i="12"/>
  <c r="U190" i="12" s="1"/>
  <c r="L103" i="12"/>
  <c r="V103" i="12" s="1"/>
  <c r="L196" i="12"/>
  <c r="V196" i="12" s="1"/>
  <c r="K77" i="12"/>
  <c r="U77" i="12" s="1"/>
  <c r="J134" i="12"/>
  <c r="T134" i="12" s="1"/>
  <c r="H134" i="12"/>
  <c r="I134" i="12" s="1"/>
  <c r="K232" i="12"/>
  <c r="U232" i="12" s="1"/>
  <c r="K125" i="12"/>
  <c r="U125" i="12" s="1"/>
  <c r="L124" i="12"/>
  <c r="V124" i="12" s="1"/>
  <c r="J209" i="12"/>
  <c r="T209" i="12" s="1"/>
  <c r="H209" i="12"/>
  <c r="I209" i="12" s="1"/>
  <c r="J121" i="12"/>
  <c r="T121" i="12" s="1"/>
  <c r="J44" i="12"/>
  <c r="T44" i="12" s="1"/>
  <c r="K231" i="12"/>
  <c r="U231" i="12" s="1"/>
  <c r="K149" i="12"/>
  <c r="U149" i="12" s="1"/>
  <c r="K128" i="12"/>
  <c r="U128" i="12"/>
  <c r="K168" i="12"/>
  <c r="U168" i="12" s="1"/>
  <c r="L176" i="12"/>
  <c r="V176" i="12" s="1"/>
  <c r="T66" i="12"/>
  <c r="J66" i="12"/>
  <c r="H66" i="12"/>
  <c r="I66" i="12" s="1"/>
  <c r="K256" i="12"/>
  <c r="U256" i="12" s="1"/>
  <c r="K257" i="12"/>
  <c r="K34" i="12"/>
  <c r="U34" i="12" s="1"/>
  <c r="K63" i="12"/>
  <c r="U63" i="12" s="1"/>
  <c r="K107" i="12"/>
  <c r="U107" i="12" s="1"/>
  <c r="J235" i="12"/>
  <c r="T235" i="12" s="1"/>
  <c r="L97" i="12"/>
  <c r="V97" i="12" s="1"/>
  <c r="J170" i="12"/>
  <c r="T170" i="12"/>
  <c r="H170" i="12"/>
  <c r="K79" i="12"/>
  <c r="U79" i="12" s="1"/>
  <c r="J206" i="12"/>
  <c r="T206" i="12" s="1"/>
  <c r="H206" i="12"/>
  <c r="L105" i="12"/>
  <c r="V105" i="12" s="1"/>
  <c r="K189" i="12"/>
  <c r="U189" i="12" s="1"/>
  <c r="I189" i="12"/>
  <c r="K70" i="12"/>
  <c r="U70" i="12" s="1"/>
  <c r="J73" i="12"/>
  <c r="T73" i="12" s="1"/>
  <c r="H73" i="12"/>
  <c r="I73" i="12" s="1"/>
  <c r="K62" i="12"/>
  <c r="U62" i="12" s="1"/>
  <c r="K102" i="12"/>
  <c r="U102" i="12" s="1"/>
  <c r="J202" i="12"/>
  <c r="T202" i="12"/>
  <c r="K86" i="12"/>
  <c r="U86" i="12" s="1"/>
  <c r="K141" i="12"/>
  <c r="U141" i="12" s="1"/>
  <c r="H57" i="12"/>
  <c r="I57" i="12" s="1"/>
  <c r="J103" i="12"/>
  <c r="T103" i="12" s="1"/>
  <c r="K124" i="12"/>
  <c r="U124" i="12"/>
  <c r="L181" i="12"/>
  <c r="V181" i="12" s="1"/>
  <c r="T250" i="12"/>
  <c r="I107" i="12"/>
  <c r="I141" i="12"/>
  <c r="L171" i="12"/>
  <c r="V171" i="12" s="1"/>
  <c r="K224" i="12"/>
  <c r="U224" i="12" s="1"/>
  <c r="J211" i="12"/>
  <c r="T211" i="12" s="1"/>
  <c r="K255" i="12"/>
  <c r="U255" i="12" s="1"/>
  <c r="K40" i="12"/>
  <c r="U40" i="12" s="1"/>
  <c r="I40" i="12"/>
  <c r="J119" i="12"/>
  <c r="T119" i="12" s="1"/>
  <c r="J125" i="12"/>
  <c r="T125" i="12" s="1"/>
  <c r="I125" i="12"/>
  <c r="I77" i="12"/>
  <c r="L163" i="12"/>
  <c r="V163" i="12" s="1"/>
  <c r="J40" i="12"/>
  <c r="T40" i="12" s="1"/>
  <c r="I168" i="12"/>
  <c r="P18" i="13"/>
  <c r="P19" i="13" s="1"/>
  <c r="L157" i="12"/>
  <c r="V157" i="12" s="1"/>
  <c r="J46" i="12"/>
  <c r="T46" i="12" s="1"/>
  <c r="H46" i="12"/>
  <c r="I190" i="12"/>
  <c r="J161" i="12"/>
  <c r="T161" i="12" s="1"/>
  <c r="I161" i="12"/>
  <c r="K187" i="12"/>
  <c r="U187" i="12" s="1"/>
  <c r="K196" i="12"/>
  <c r="U196" i="12" s="1"/>
  <c r="L114" i="12"/>
  <c r="V114" i="12" s="1"/>
  <c r="L61" i="12"/>
  <c r="V61" i="12" s="1"/>
  <c r="J16" i="12"/>
  <c r="T16" i="12" s="1"/>
  <c r="K97" i="12"/>
  <c r="U97" i="12" s="1"/>
  <c r="I187" i="12"/>
  <c r="K30" i="12"/>
  <c r="U30" i="12" s="1"/>
  <c r="U229" i="12"/>
  <c r="K229" i="12"/>
  <c r="J95" i="12"/>
  <c r="T95" i="12" s="1"/>
  <c r="J39" i="12"/>
  <c r="T39" i="12" s="1"/>
  <c r="H39" i="12"/>
  <c r="I39" i="12" s="1"/>
  <c r="H91" i="12"/>
  <c r="I91" i="12" s="1"/>
  <c r="J116" i="12"/>
  <c r="T116" i="12" s="1"/>
  <c r="J82" i="12"/>
  <c r="T82" i="12" s="1"/>
  <c r="H82" i="12"/>
  <c r="L42" i="12"/>
  <c r="V42" i="12" s="1"/>
  <c r="J194" i="12"/>
  <c r="T194" i="12" s="1"/>
  <c r="H194" i="12"/>
  <c r="I194" i="12" s="1"/>
  <c r="J112" i="12"/>
  <c r="T112" i="12" s="1"/>
  <c r="H112" i="12"/>
  <c r="I112" i="12" s="1"/>
  <c r="J242" i="12"/>
  <c r="T242" i="12" s="1"/>
  <c r="K109" i="12"/>
  <c r="U109" i="12" s="1"/>
  <c r="H16" i="12"/>
  <c r="I16" i="12" s="1"/>
  <c r="J76" i="12"/>
  <c r="T76" i="12" s="1"/>
  <c r="J51" i="12"/>
  <c r="T51" i="12" s="1"/>
  <c r="H51" i="12"/>
  <c r="I51" i="12" s="1"/>
  <c r="L90" i="12"/>
  <c r="V90" i="12" s="1"/>
  <c r="J241" i="12"/>
  <c r="T241" i="12" s="1"/>
  <c r="K160" i="12"/>
  <c r="U160" i="12"/>
  <c r="J270" i="12"/>
  <c r="T270" i="12" s="1"/>
  <c r="H270" i="12"/>
  <c r="J128" i="12"/>
  <c r="T128" i="12" s="1"/>
  <c r="J77" i="12"/>
  <c r="T77" i="12" s="1"/>
  <c r="I137" i="12"/>
  <c r="H19" i="12"/>
  <c r="K36" i="12"/>
  <c r="U36" i="12" s="1"/>
  <c r="I36" i="12"/>
  <c r="K225" i="12"/>
  <c r="U225" i="12" s="1"/>
  <c r="J195" i="12"/>
  <c r="T195" i="12" s="1"/>
  <c r="I195" i="12"/>
  <c r="K37" i="12"/>
  <c r="U37" i="12" s="1"/>
  <c r="L99" i="12"/>
  <c r="V99" i="12" s="1"/>
  <c r="K241" i="12"/>
  <c r="U241" i="12" s="1"/>
  <c r="K164" i="12"/>
  <c r="U164" i="12" s="1"/>
  <c r="I164" i="12"/>
  <c r="K233" i="12"/>
  <c r="U233" i="12" s="1"/>
  <c r="J83" i="12"/>
  <c r="T83" i="12" s="1"/>
  <c r="J198" i="12"/>
  <c r="T198" i="12" s="1"/>
  <c r="I198" i="12"/>
  <c r="J135" i="12"/>
  <c r="T135" i="12" s="1"/>
  <c r="H135" i="12"/>
  <c r="J233" i="12"/>
  <c r="T233" i="12"/>
  <c r="K211" i="12"/>
  <c r="U211" i="12" s="1"/>
  <c r="K32" i="12"/>
  <c r="U32" i="12" s="1"/>
  <c r="L70" i="12"/>
  <c r="V70" i="12" s="1"/>
  <c r="K159" i="12"/>
  <c r="U159" i="12" s="1"/>
  <c r="I159" i="12"/>
  <c r="K271" i="12"/>
  <c r="U271" i="12" s="1"/>
  <c r="K103" i="12"/>
  <c r="U103" i="12" s="1"/>
  <c r="J262" i="12"/>
  <c r="T262" i="12" s="1"/>
  <c r="I94" i="12"/>
  <c r="T118" i="12"/>
  <c r="J118" i="12"/>
  <c r="K212" i="12"/>
  <c r="U212" i="12" s="1"/>
  <c r="I206" i="12"/>
  <c r="K96" i="12"/>
  <c r="U96" i="12" s="1"/>
  <c r="L148" i="12"/>
  <c r="V148" i="12" s="1"/>
  <c r="I86" i="12"/>
  <c r="I30" i="12"/>
  <c r="J92" i="12"/>
  <c r="T92" i="12" s="1"/>
  <c r="H92" i="12"/>
  <c r="I92" i="12" s="1"/>
  <c r="K71" i="12"/>
  <c r="U71" i="12" s="1"/>
  <c r="I71" i="12"/>
  <c r="J138" i="12"/>
  <c r="T138" i="12" s="1"/>
  <c r="I138" i="12"/>
  <c r="K242" i="12"/>
  <c r="U242" i="12" s="1"/>
  <c r="J224" i="12"/>
  <c r="T224" i="12" s="1"/>
  <c r="J227" i="12"/>
  <c r="T227" i="12" s="1"/>
  <c r="I32" i="12"/>
  <c r="L186" i="12"/>
  <c r="V186" i="12" s="1"/>
  <c r="J208" i="12"/>
  <c r="T208" i="12" s="1"/>
  <c r="K76" i="12"/>
  <c r="U76" i="12" s="1"/>
  <c r="J231" i="12"/>
  <c r="T231" i="12" s="1"/>
  <c r="I59" i="12"/>
  <c r="H119" i="12"/>
  <c r="I119" i="12" s="1"/>
  <c r="I136" i="12"/>
  <c r="H121" i="12"/>
  <c r="K162" i="12"/>
  <c r="U162" i="12" s="1"/>
  <c r="V72" i="12" l="1"/>
  <c r="K185" i="12"/>
  <c r="I185" i="12"/>
  <c r="L185" i="12" s="1"/>
  <c r="V185" i="12" s="1"/>
  <c r="U185" i="12"/>
  <c r="I133" i="12"/>
  <c r="L133" i="12" s="1"/>
  <c r="V133" i="12" s="1"/>
  <c r="I174" i="12"/>
  <c r="L174" i="12" s="1"/>
  <c r="V174" i="12" s="1"/>
  <c r="I142" i="12"/>
  <c r="L142" i="12" s="1"/>
  <c r="V142" i="12" s="1"/>
  <c r="L18" i="12"/>
  <c r="V18" i="12" s="1"/>
  <c r="L24" i="12"/>
  <c r="M24" i="12" s="1"/>
  <c r="V24" i="12"/>
  <c r="AA24" i="12" s="1"/>
  <c r="AB24" i="12" s="1"/>
  <c r="L43" i="12"/>
  <c r="V43" i="12" s="1"/>
  <c r="I177" i="12"/>
  <c r="L177" i="12" s="1"/>
  <c r="V177" i="12" s="1"/>
  <c r="V35" i="12"/>
  <c r="V20" i="12"/>
  <c r="AA20" i="12" s="1"/>
  <c r="AB20" i="12" s="1"/>
  <c r="AC20" i="12" s="1"/>
  <c r="L27" i="12"/>
  <c r="M27" i="12" s="1"/>
  <c r="M37" i="12" s="1"/>
  <c r="V27" i="12"/>
  <c r="AA27" i="12" s="1"/>
  <c r="K18" i="12"/>
  <c r="M18" i="12" s="1"/>
  <c r="L158" i="12"/>
  <c r="V158" i="12" s="1"/>
  <c r="L22" i="12"/>
  <c r="V22" i="12" s="1"/>
  <c r="L39" i="12"/>
  <c r="V39" i="12" s="1"/>
  <c r="L112" i="12"/>
  <c r="V112" i="12" s="1"/>
  <c r="L16" i="12"/>
  <c r="V16" i="12" s="1"/>
  <c r="L119" i="12"/>
  <c r="V119" i="12" s="1"/>
  <c r="L57" i="12"/>
  <c r="V57" i="12" s="1"/>
  <c r="K270" i="12"/>
  <c r="U270" i="12" s="1"/>
  <c r="K82" i="12"/>
  <c r="U82" i="12" s="1"/>
  <c r="L161" i="12"/>
  <c r="V161" i="12" s="1"/>
  <c r="L134" i="12"/>
  <c r="V134" i="12" s="1"/>
  <c r="AB17" i="12"/>
  <c r="AC17" i="12" s="1"/>
  <c r="L118" i="12"/>
  <c r="V118" i="12" s="1"/>
  <c r="K80" i="12"/>
  <c r="U80" i="12" s="1"/>
  <c r="L201" i="12"/>
  <c r="V201" i="12"/>
  <c r="K132" i="12"/>
  <c r="U132" i="12" s="1"/>
  <c r="L162" i="12"/>
  <c r="V162" i="12" s="1"/>
  <c r="K202" i="12"/>
  <c r="U202" i="12" s="1"/>
  <c r="K263" i="12"/>
  <c r="U263" i="12" s="1"/>
  <c r="L136" i="12"/>
  <c r="V136" i="12" s="1"/>
  <c r="K92" i="12"/>
  <c r="U92" i="12" s="1"/>
  <c r="L198" i="12"/>
  <c r="V198" i="12" s="1"/>
  <c r="L195" i="12"/>
  <c r="V195" i="12" s="1"/>
  <c r="K19" i="12"/>
  <c r="U19" i="12" s="1"/>
  <c r="K51" i="12"/>
  <c r="U51" i="12" s="1"/>
  <c r="K194" i="12"/>
  <c r="U194" i="12" s="1"/>
  <c r="L189" i="12"/>
  <c r="V189" i="12" s="1"/>
  <c r="U257" i="12"/>
  <c r="K134" i="12"/>
  <c r="U134" i="12"/>
  <c r="K31" i="12"/>
  <c r="U31" i="12" s="1"/>
  <c r="I31" i="12"/>
  <c r="K131" i="12"/>
  <c r="U131" i="12" s="1"/>
  <c r="I131" i="12"/>
  <c r="L110" i="12"/>
  <c r="V110" i="12" s="1"/>
  <c r="N20" i="13"/>
  <c r="O20" i="13" s="1"/>
  <c r="G21" i="13"/>
  <c r="K121" i="12"/>
  <c r="U121" i="12" s="1"/>
  <c r="L92" i="12"/>
  <c r="V92" i="12" s="1"/>
  <c r="P20" i="13"/>
  <c r="K150" i="12"/>
  <c r="U150" i="12" s="1"/>
  <c r="L94" i="12"/>
  <c r="V94" i="12" s="1"/>
  <c r="L77" i="12"/>
  <c r="V77" i="12" s="1"/>
  <c r="K197" i="12"/>
  <c r="U197" i="12"/>
  <c r="L164" i="12"/>
  <c r="V164" i="12" s="1"/>
  <c r="L159" i="12"/>
  <c r="V159" i="12" s="1"/>
  <c r="L51" i="12"/>
  <c r="V51" i="12" s="1"/>
  <c r="K25" i="12"/>
  <c r="U25" i="12" s="1"/>
  <c r="L154" i="12"/>
  <c r="V154" i="12" s="1"/>
  <c r="L116" i="12"/>
  <c r="V116" i="12" s="1"/>
  <c r="L59" i="12"/>
  <c r="V59" i="12" s="1"/>
  <c r="L168" i="12"/>
  <c r="V168" i="12" s="1"/>
  <c r="K170" i="12"/>
  <c r="U170" i="12" s="1"/>
  <c r="L203" i="12"/>
  <c r="V203" i="12" s="1"/>
  <c r="I150" i="12"/>
  <c r="L79" i="12"/>
  <c r="V79" i="12" s="1"/>
  <c r="L83" i="12"/>
  <c r="V83" i="12" s="1"/>
  <c r="K46" i="12"/>
  <c r="U46" i="12" s="1"/>
  <c r="U73" i="12"/>
  <c r="K73" i="12"/>
  <c r="L66" i="12"/>
  <c r="V66" i="12" s="1"/>
  <c r="I121" i="12"/>
  <c r="L145" i="12"/>
  <c r="V145" i="12" s="1"/>
  <c r="K144" i="12"/>
  <c r="U144" i="12" s="1"/>
  <c r="I144" i="12"/>
  <c r="K213" i="12"/>
  <c r="U213" i="12" s="1"/>
  <c r="K83" i="12"/>
  <c r="U83" i="12" s="1"/>
  <c r="AB21" i="12"/>
  <c r="AC21" i="12"/>
  <c r="I202" i="12"/>
  <c r="K119" i="12"/>
  <c r="U119" i="12" s="1"/>
  <c r="L137" i="12"/>
  <c r="V137" i="12" s="1"/>
  <c r="L194" i="12"/>
  <c r="V194" i="12" s="1"/>
  <c r="K22" i="12"/>
  <c r="U22" i="12" s="1"/>
  <c r="AA22" i="12" s="1"/>
  <c r="L197" i="12"/>
  <c r="V197" i="12" s="1"/>
  <c r="L138" i="12"/>
  <c r="V138" i="12" s="1"/>
  <c r="L187" i="12"/>
  <c r="V187" i="12"/>
  <c r="L40" i="12"/>
  <c r="V40" i="12" s="1"/>
  <c r="AA40" i="12" s="1"/>
  <c r="L73" i="12"/>
  <c r="V73" i="12" s="1"/>
  <c r="K154" i="12"/>
  <c r="U154" i="12" s="1"/>
  <c r="L32" i="12"/>
  <c r="V32" i="12" s="1"/>
  <c r="L30" i="12"/>
  <c r="V30" i="12"/>
  <c r="K91" i="12"/>
  <c r="U91" i="12" s="1"/>
  <c r="I46" i="12"/>
  <c r="I170" i="12"/>
  <c r="L125" i="12"/>
  <c r="V125" i="12" s="1"/>
  <c r="K66" i="12"/>
  <c r="U66" i="12" s="1"/>
  <c r="K145" i="12"/>
  <c r="U145" i="12"/>
  <c r="I19" i="12"/>
  <c r="L26" i="12"/>
  <c r="V26" i="12" s="1"/>
  <c r="AA26" i="12" s="1"/>
  <c r="K146" i="12"/>
  <c r="U146" i="12" s="1"/>
  <c r="I146" i="12"/>
  <c r="K269" i="12"/>
  <c r="U269" i="12" s="1"/>
  <c r="AD24" i="12"/>
  <c r="AE24" i="12" s="1"/>
  <c r="N24" i="12"/>
  <c r="O24" i="12" s="1"/>
  <c r="M34" i="12"/>
  <c r="L190" i="12"/>
  <c r="V190" i="12" s="1"/>
  <c r="L71" i="12"/>
  <c r="V71" i="12" s="1"/>
  <c r="L91" i="12"/>
  <c r="V91" i="12" s="1"/>
  <c r="K135" i="12"/>
  <c r="U135" i="12" s="1"/>
  <c r="I135" i="12"/>
  <c r="L36" i="12"/>
  <c r="M36" i="12" s="1"/>
  <c r="K112" i="12"/>
  <c r="U112" i="12" s="1"/>
  <c r="L141" i="12"/>
  <c r="V141" i="12" s="1"/>
  <c r="K206" i="12"/>
  <c r="U206" i="12" s="1"/>
  <c r="L149" i="12"/>
  <c r="V149" i="12" s="1"/>
  <c r="L23" i="12"/>
  <c r="M23" i="12" s="1"/>
  <c r="V23" i="12"/>
  <c r="AA23" i="12" s="1"/>
  <c r="I25" i="12"/>
  <c r="L167" i="12"/>
  <c r="V167" i="12" s="1"/>
  <c r="AC24" i="12"/>
  <c r="L86" i="12"/>
  <c r="V86" i="12" s="1"/>
  <c r="K16" i="12"/>
  <c r="U16" i="12" s="1"/>
  <c r="I82" i="12"/>
  <c r="K39" i="12"/>
  <c r="U39" i="12" s="1"/>
  <c r="L107" i="12"/>
  <c r="V107" i="12" s="1"/>
  <c r="K57" i="12"/>
  <c r="U57" i="12" s="1"/>
  <c r="K209" i="12"/>
  <c r="U209" i="12" s="1"/>
  <c r="L29" i="12"/>
  <c r="V29" i="12" s="1"/>
  <c r="AA29" i="12" s="1"/>
  <c r="I80" i="12"/>
  <c r="K94" i="12"/>
  <c r="U94" i="12"/>
  <c r="I132" i="12"/>
  <c r="L96" i="12"/>
  <c r="V96" i="12" s="1"/>
  <c r="K158" i="12"/>
  <c r="U158" i="12" s="1"/>
  <c r="M29" i="12" l="1"/>
  <c r="U18" i="12"/>
  <c r="AA18" i="12" s="1"/>
  <c r="AB18" i="12" s="1"/>
  <c r="V36" i="12"/>
  <c r="AA36" i="12" s="1"/>
  <c r="M39" i="12"/>
  <c r="AB27" i="12"/>
  <c r="AC27" i="12" s="1"/>
  <c r="AA37" i="12"/>
  <c r="AA38" i="12"/>
  <c r="AB38" i="12" s="1"/>
  <c r="AC38" i="12" s="1"/>
  <c r="AA34" i="12"/>
  <c r="AA33" i="12"/>
  <c r="AA35" i="12"/>
  <c r="AB35" i="12" s="1"/>
  <c r="AD35" i="12" s="1"/>
  <c r="AE35" i="12" s="1"/>
  <c r="AA16" i="12"/>
  <c r="M26" i="12"/>
  <c r="M40" i="12"/>
  <c r="M53" i="12" s="1"/>
  <c r="M33" i="12"/>
  <c r="M22" i="12"/>
  <c r="M35" i="12"/>
  <c r="M16" i="12"/>
  <c r="M30" i="12"/>
  <c r="AA39" i="12"/>
  <c r="AA32" i="12"/>
  <c r="AB32" i="12" s="1"/>
  <c r="M32" i="12"/>
  <c r="AA30" i="12"/>
  <c r="AB30" i="12" s="1"/>
  <c r="M38" i="12"/>
  <c r="AB39" i="12"/>
  <c r="AC39" i="12" s="1"/>
  <c r="AB26" i="12"/>
  <c r="AB29" i="12"/>
  <c r="AB23" i="12"/>
  <c r="AC23" i="12"/>
  <c r="AB16" i="12"/>
  <c r="L80" i="12"/>
  <c r="V80" i="12" s="1"/>
  <c r="AB22" i="12"/>
  <c r="AB36" i="12"/>
  <c r="AC36" i="12" s="1"/>
  <c r="L146" i="12"/>
  <c r="V146" i="12" s="1"/>
  <c r="L131" i="12"/>
  <c r="V131" i="12" s="1"/>
  <c r="M45" i="12"/>
  <c r="M44" i="12"/>
  <c r="M42" i="12"/>
  <c r="M50" i="12"/>
  <c r="M43" i="12"/>
  <c r="M49" i="12"/>
  <c r="M51" i="12"/>
  <c r="M48" i="12"/>
  <c r="M52" i="12"/>
  <c r="N20" i="12"/>
  <c r="O20" i="12" s="1"/>
  <c r="AD20" i="12"/>
  <c r="AE20" i="12" s="1"/>
  <c r="L82" i="12"/>
  <c r="V82" i="12" s="1"/>
  <c r="L202" i="12"/>
  <c r="V202" i="12"/>
  <c r="N35" i="12"/>
  <c r="O35" i="12" s="1"/>
  <c r="G22" i="13"/>
  <c r="N21" i="13"/>
  <c r="O21" i="13" s="1"/>
  <c r="L31" i="12"/>
  <c r="M31" i="12" s="1"/>
  <c r="V31" i="12"/>
  <c r="AA31" i="12" s="1"/>
  <c r="L132" i="12"/>
  <c r="V132" i="12" s="1"/>
  <c r="L121" i="12"/>
  <c r="V121" i="12" s="1"/>
  <c r="N17" i="12"/>
  <c r="O17" i="12" s="1"/>
  <c r="AD17" i="12"/>
  <c r="AE17" i="12" s="1"/>
  <c r="L135" i="12"/>
  <c r="V135" i="12" s="1"/>
  <c r="L170" i="12"/>
  <c r="V170" i="12" s="1"/>
  <c r="AC35" i="12"/>
  <c r="L25" i="12"/>
  <c r="M25" i="12" s="1"/>
  <c r="L19" i="12"/>
  <c r="M19" i="12" s="1"/>
  <c r="L46" i="12"/>
  <c r="V46" i="12" s="1"/>
  <c r="AA46" i="12" s="1"/>
  <c r="N21" i="12"/>
  <c r="O21" i="12" s="1"/>
  <c r="P21" i="12" s="1"/>
  <c r="AD21" i="12"/>
  <c r="AE21" i="12" s="1"/>
  <c r="L144" i="12"/>
  <c r="V144" i="12" s="1"/>
  <c r="L150" i="12"/>
  <c r="V150" i="12" s="1"/>
  <c r="AA45" i="12"/>
  <c r="AA53" i="12"/>
  <c r="AA44" i="12"/>
  <c r="AA42" i="12"/>
  <c r="AA50" i="12"/>
  <c r="AA48" i="12"/>
  <c r="AA52" i="12"/>
  <c r="AA43" i="12"/>
  <c r="AA49" i="12"/>
  <c r="AA51" i="12"/>
  <c r="AB40" i="12"/>
  <c r="AA47" i="12"/>
  <c r="M46" i="12" l="1"/>
  <c r="AC16" i="12"/>
  <c r="AC32" i="12"/>
  <c r="M47" i="12"/>
  <c r="N18" i="12"/>
  <c r="O18" i="12" s="1"/>
  <c r="P18" i="12" s="1"/>
  <c r="AD18" i="12"/>
  <c r="AE18" i="12" s="1"/>
  <c r="AF21" i="12"/>
  <c r="AB33" i="12"/>
  <c r="AC33" i="12" s="1"/>
  <c r="AB34" i="12"/>
  <c r="AC34" i="12"/>
  <c r="AC30" i="12"/>
  <c r="AD38" i="12"/>
  <c r="AE38" i="12" s="1"/>
  <c r="AB37" i="12"/>
  <c r="AC37" i="12"/>
  <c r="AC18" i="12"/>
  <c r="N38" i="12"/>
  <c r="O38" i="12" s="1"/>
  <c r="V25" i="12"/>
  <c r="AA25" i="12" s="1"/>
  <c r="AD27" i="12"/>
  <c r="AE27" i="12" s="1"/>
  <c r="N27" i="12"/>
  <c r="O27" i="12" s="1"/>
  <c r="AF18" i="12"/>
  <c r="AB46" i="12"/>
  <c r="AC46" i="12" s="1"/>
  <c r="N26" i="12"/>
  <c r="O26" i="12" s="1"/>
  <c r="AD26" i="12"/>
  <c r="N30" i="12"/>
  <c r="O30" i="12" s="1"/>
  <c r="AD30" i="12"/>
  <c r="AE30" i="12" s="1"/>
  <c r="AB43" i="12"/>
  <c r="AD39" i="12"/>
  <c r="AE39" i="12" s="1"/>
  <c r="N39" i="12"/>
  <c r="O39" i="12" s="1"/>
  <c r="P39" i="12" s="1"/>
  <c r="AB47" i="12"/>
  <c r="AC47" i="12" s="1"/>
  <c r="N22" i="13"/>
  <c r="O22" i="13" s="1"/>
  <c r="G23" i="13"/>
  <c r="AB42" i="12"/>
  <c r="AC42" i="12" s="1"/>
  <c r="AD22" i="12"/>
  <c r="AE22" i="12" s="1"/>
  <c r="AF22" i="12" s="1"/>
  <c r="N22" i="12"/>
  <c r="O22" i="12" s="1"/>
  <c r="P22" i="12" s="1"/>
  <c r="AD23" i="12"/>
  <c r="AE23" i="12" s="1"/>
  <c r="N23" i="12"/>
  <c r="O23" i="12" s="1"/>
  <c r="AB31" i="12"/>
  <c r="AC31" i="12" s="1"/>
  <c r="N29" i="12"/>
  <c r="O29" i="12" s="1"/>
  <c r="P29" i="12" s="1"/>
  <c r="AD29" i="12"/>
  <c r="N16" i="12"/>
  <c r="O16" i="12" s="1"/>
  <c r="P16" i="12" s="1"/>
  <c r="AD16" i="12"/>
  <c r="AE16" i="12" s="1"/>
  <c r="AF16" i="12" s="1"/>
  <c r="AB25" i="12"/>
  <c r="AC25" i="12" s="1"/>
  <c r="AB52" i="12"/>
  <c r="AC52" i="12" s="1"/>
  <c r="AB48" i="12"/>
  <c r="P21" i="13"/>
  <c r="AB50" i="12"/>
  <c r="AC50" i="12" s="1"/>
  <c r="AD40" i="12"/>
  <c r="AE40" i="12" s="1"/>
  <c r="N40" i="12"/>
  <c r="O40" i="12" s="1"/>
  <c r="AA55" i="12"/>
  <c r="AA63" i="12"/>
  <c r="AA62" i="12"/>
  <c r="AB53" i="12"/>
  <c r="AA57" i="12"/>
  <c r="AA59" i="12"/>
  <c r="AA66" i="12"/>
  <c r="AA56" i="12"/>
  <c r="AA60" i="12"/>
  <c r="AA64" i="12"/>
  <c r="AA58" i="12"/>
  <c r="AA65" i="12"/>
  <c r="AA61" i="12"/>
  <c r="V19" i="12"/>
  <c r="AA19" i="12" s="1"/>
  <c r="AC22" i="12"/>
  <c r="AE29" i="12"/>
  <c r="AF29" i="12" s="1"/>
  <c r="AE26" i="12"/>
  <c r="AD32" i="12"/>
  <c r="AE32" i="12" s="1"/>
  <c r="N32" i="12"/>
  <c r="O32" i="12" s="1"/>
  <c r="M55" i="12"/>
  <c r="M63" i="12"/>
  <c r="M62" i="12"/>
  <c r="M59" i="12"/>
  <c r="M56" i="12"/>
  <c r="M66" i="12"/>
  <c r="M61" i="12"/>
  <c r="M65" i="12"/>
  <c r="M60" i="12"/>
  <c r="M58" i="12"/>
  <c r="M57" i="12"/>
  <c r="M64" i="12"/>
  <c r="AC40" i="12"/>
  <c r="AB44" i="12"/>
  <c r="AC44" i="12" s="1"/>
  <c r="AB51" i="12"/>
  <c r="AB49" i="12"/>
  <c r="AC49" i="12"/>
  <c r="AB45" i="12"/>
  <c r="AC45" i="12"/>
  <c r="N36" i="12"/>
  <c r="O36" i="12" s="1"/>
  <c r="P36" i="12" s="1"/>
  <c r="AD36" i="12"/>
  <c r="AE36" i="12" s="1"/>
  <c r="AF36" i="12" s="1"/>
  <c r="AC29" i="12"/>
  <c r="AC26" i="12"/>
  <c r="AF17" i="12" l="1"/>
  <c r="P30" i="12"/>
  <c r="P22" i="13"/>
  <c r="AF39" i="12"/>
  <c r="AD33" i="12"/>
  <c r="AE33" i="12" s="1"/>
  <c r="N33" i="12"/>
  <c r="O33" i="12" s="1"/>
  <c r="P33" i="12" s="1"/>
  <c r="N34" i="12"/>
  <c r="O34" i="12" s="1"/>
  <c r="AD34" i="12"/>
  <c r="AE34" i="12" s="1"/>
  <c r="AD37" i="12"/>
  <c r="AE37" i="12" s="1"/>
  <c r="AF38" i="12" s="1"/>
  <c r="N37" i="12"/>
  <c r="O37" i="12" s="1"/>
  <c r="P38" i="12" s="1"/>
  <c r="AF23" i="12"/>
  <c r="AF24" i="12"/>
  <c r="AF33" i="12"/>
  <c r="AB57" i="12"/>
  <c r="AC57" i="12" s="1"/>
  <c r="N43" i="12"/>
  <c r="O43" i="12" s="1"/>
  <c r="AD43" i="12"/>
  <c r="AE43" i="12" s="1"/>
  <c r="AB64" i="12"/>
  <c r="AC64" i="12" s="1"/>
  <c r="AD53" i="12"/>
  <c r="N53" i="12"/>
  <c r="O53" i="12" s="1"/>
  <c r="N50" i="12"/>
  <c r="O50" i="12" s="1"/>
  <c r="AD50" i="12"/>
  <c r="N42" i="12"/>
  <c r="O42" i="12" s="1"/>
  <c r="P42" i="12" s="1"/>
  <c r="AD42" i="12"/>
  <c r="AE42" i="12" s="1"/>
  <c r="AF42" i="12" s="1"/>
  <c r="AF30" i="12"/>
  <c r="AF27" i="12"/>
  <c r="N45" i="12"/>
  <c r="O45" i="12" s="1"/>
  <c r="AD45" i="12"/>
  <c r="AE45" i="12" s="1"/>
  <c r="AE50" i="12"/>
  <c r="AB63" i="12"/>
  <c r="AC63" i="12"/>
  <c r="AB60" i="12"/>
  <c r="AC60" i="12" s="1"/>
  <c r="AB56" i="12"/>
  <c r="AC56" i="12" s="1"/>
  <c r="AB55" i="12"/>
  <c r="AC55" i="12" s="1"/>
  <c r="N25" i="12"/>
  <c r="O25" i="12" s="1"/>
  <c r="P25" i="12" s="1"/>
  <c r="AD25" i="12"/>
  <c r="AE25" i="12" s="1"/>
  <c r="AF25" i="12" s="1"/>
  <c r="AB58" i="12"/>
  <c r="N44" i="12"/>
  <c r="O44" i="12" s="1"/>
  <c r="AD44" i="12"/>
  <c r="AE44" i="12" s="1"/>
  <c r="AB62" i="12"/>
  <c r="AC62" i="12"/>
  <c r="N23" i="13"/>
  <c r="O23" i="13" s="1"/>
  <c r="G24" i="13"/>
  <c r="AE53" i="12"/>
  <c r="AB19" i="12"/>
  <c r="AC19" i="12" s="1"/>
  <c r="AA70" i="12"/>
  <c r="AA72" i="12"/>
  <c r="AB66" i="12"/>
  <c r="AC66" i="12"/>
  <c r="AA71" i="12"/>
  <c r="AA73" i="12"/>
  <c r="AA68" i="12"/>
  <c r="AA69" i="12"/>
  <c r="P17" i="12"/>
  <c r="N46" i="12"/>
  <c r="O46" i="12" s="1"/>
  <c r="P46" i="12" s="1"/>
  <c r="AD46" i="12"/>
  <c r="AE46" i="12" s="1"/>
  <c r="AF46" i="12" s="1"/>
  <c r="N51" i="12"/>
  <c r="O51" i="12" s="1"/>
  <c r="P51" i="12" s="1"/>
  <c r="AD51" i="12"/>
  <c r="AE51" i="12" s="1"/>
  <c r="AF51" i="12" s="1"/>
  <c r="N52" i="12"/>
  <c r="O52" i="12" s="1"/>
  <c r="AD52" i="12"/>
  <c r="AE52" i="12" s="1"/>
  <c r="P23" i="12"/>
  <c r="P24" i="12"/>
  <c r="AD49" i="12"/>
  <c r="AE49" i="12" s="1"/>
  <c r="N49" i="12"/>
  <c r="O49" i="12" s="1"/>
  <c r="AD48" i="12"/>
  <c r="AE48" i="12" s="1"/>
  <c r="N48" i="12"/>
  <c r="O48" i="12" s="1"/>
  <c r="AC51" i="12"/>
  <c r="AB61" i="12"/>
  <c r="AC53" i="12"/>
  <c r="P40" i="12"/>
  <c r="AC48" i="12"/>
  <c r="AC43" i="12"/>
  <c r="M69" i="12"/>
  <c r="O69" i="12" s="1"/>
  <c r="M71" i="12"/>
  <c r="O71" i="12" s="1"/>
  <c r="M68" i="12"/>
  <c r="O68" i="12" s="1"/>
  <c r="M70" i="12"/>
  <c r="O70" i="12" s="1"/>
  <c r="M72" i="12"/>
  <c r="O72" i="12" s="1"/>
  <c r="M73" i="12"/>
  <c r="AB65" i="12"/>
  <c r="AB59" i="12"/>
  <c r="AC59" i="12"/>
  <c r="AF40" i="12"/>
  <c r="AD31" i="12"/>
  <c r="AE31" i="12" s="1"/>
  <c r="AF31" i="12" s="1"/>
  <c r="N31" i="12"/>
  <c r="O31" i="12" s="1"/>
  <c r="P31" i="12" s="1"/>
  <c r="N47" i="12"/>
  <c r="O47" i="12" s="1"/>
  <c r="AD47" i="12"/>
  <c r="AE47" i="12" s="1"/>
  <c r="P27" i="12"/>
  <c r="AF45" i="12" l="1"/>
  <c r="P45" i="12"/>
  <c r="P71" i="12"/>
  <c r="AF48" i="12"/>
  <c r="P49" i="12"/>
  <c r="AF47" i="12"/>
  <c r="P34" i="12"/>
  <c r="P35" i="12"/>
  <c r="P37" i="12"/>
  <c r="AF43" i="12"/>
  <c r="AF34" i="12"/>
  <c r="AF35" i="12"/>
  <c r="P47" i="12"/>
  <c r="AF37" i="12"/>
  <c r="AF26" i="12"/>
  <c r="AF49" i="12"/>
  <c r="N58" i="12"/>
  <c r="O58" i="12" s="1"/>
  <c r="AD58" i="12"/>
  <c r="AE58" i="12" s="1"/>
  <c r="AC58" i="12"/>
  <c r="N64" i="12"/>
  <c r="O64" i="12" s="1"/>
  <c r="AD64" i="12"/>
  <c r="AE64" i="12" s="1"/>
  <c r="AC69" i="12"/>
  <c r="AE69" i="12"/>
  <c r="AD65" i="12"/>
  <c r="AE65" i="12" s="1"/>
  <c r="N65" i="12"/>
  <c r="O65" i="12" s="1"/>
  <c r="AA75" i="12"/>
  <c r="AA77" i="12"/>
  <c r="AA79" i="12"/>
  <c r="AA81" i="12"/>
  <c r="AA83" i="12"/>
  <c r="AA85" i="12"/>
  <c r="AC73" i="12"/>
  <c r="AA78" i="12"/>
  <c r="AE73" i="12"/>
  <c r="AA82" i="12"/>
  <c r="AA86" i="12"/>
  <c r="AA76" i="12"/>
  <c r="AA84" i="12"/>
  <c r="AA80" i="12"/>
  <c r="N63" i="12"/>
  <c r="O63" i="12" s="1"/>
  <c r="AD63" i="12"/>
  <c r="AE63" i="12" s="1"/>
  <c r="AC68" i="12"/>
  <c r="AE68" i="12"/>
  <c r="AF68" i="12" s="1"/>
  <c r="P69" i="12"/>
  <c r="P32" i="12"/>
  <c r="N19" i="12"/>
  <c r="O19" i="12" s="1"/>
  <c r="AD19" i="12"/>
  <c r="AE19" i="12" s="1"/>
  <c r="AF50" i="12"/>
  <c r="AF32" i="12"/>
  <c r="AD66" i="12"/>
  <c r="AE66" i="12" s="1"/>
  <c r="N66" i="12"/>
  <c r="O66" i="12" s="1"/>
  <c r="P66" i="12" s="1"/>
  <c r="P50" i="12"/>
  <c r="P43" i="12"/>
  <c r="AD61" i="12"/>
  <c r="AE61" i="12" s="1"/>
  <c r="N61" i="12"/>
  <c r="O61" i="12" s="1"/>
  <c r="P23" i="13"/>
  <c r="N56" i="12"/>
  <c r="O56" i="12" s="1"/>
  <c r="AD56" i="12"/>
  <c r="AE56" i="12" s="1"/>
  <c r="AC71" i="12"/>
  <c r="AE71" i="12"/>
  <c r="AF71" i="12" s="1"/>
  <c r="AF52" i="12"/>
  <c r="M75" i="12"/>
  <c r="O75" i="12" s="1"/>
  <c r="M77" i="12"/>
  <c r="O77" i="12" s="1"/>
  <c r="M79" i="12"/>
  <c r="O79" i="12" s="1"/>
  <c r="M81" i="12"/>
  <c r="O81" i="12" s="1"/>
  <c r="M83" i="12"/>
  <c r="O83" i="12" s="1"/>
  <c r="P83" i="12" s="1"/>
  <c r="M85" i="12"/>
  <c r="O85" i="12" s="1"/>
  <c r="M76" i="12"/>
  <c r="O76" i="12" s="1"/>
  <c r="M86" i="12"/>
  <c r="M80" i="12"/>
  <c r="O80" i="12" s="1"/>
  <c r="M84" i="12"/>
  <c r="O84" i="12" s="1"/>
  <c r="O73" i="12"/>
  <c r="P73" i="12" s="1"/>
  <c r="M82" i="12"/>
  <c r="O82" i="12" s="1"/>
  <c r="M78" i="12"/>
  <c r="O78" i="12" s="1"/>
  <c r="P26" i="12"/>
  <c r="P48" i="12"/>
  <c r="AC72" i="12"/>
  <c r="AE72" i="12"/>
  <c r="AF53" i="12"/>
  <c r="AF44" i="12"/>
  <c r="N60" i="12"/>
  <c r="O60" i="12" s="1"/>
  <c r="AD60" i="12"/>
  <c r="AE60" i="12" s="1"/>
  <c r="P53" i="12"/>
  <c r="P68" i="12"/>
  <c r="G25" i="13"/>
  <c r="N24" i="13"/>
  <c r="O24" i="13" s="1"/>
  <c r="AC61" i="12"/>
  <c r="AC65" i="12"/>
  <c r="AD62" i="12"/>
  <c r="AE62" i="12" s="1"/>
  <c r="N62" i="12"/>
  <c r="O62" i="12" s="1"/>
  <c r="P72" i="12"/>
  <c r="N59" i="12"/>
  <c r="O59" i="12" s="1"/>
  <c r="P59" i="12" s="1"/>
  <c r="AD59" i="12"/>
  <c r="AE59" i="12" s="1"/>
  <c r="P70" i="12"/>
  <c r="P52" i="12"/>
  <c r="AC70" i="12"/>
  <c r="AE70" i="12"/>
  <c r="P44" i="12"/>
  <c r="N55" i="12"/>
  <c r="O55" i="12" s="1"/>
  <c r="P55" i="12" s="1"/>
  <c r="AD55" i="12"/>
  <c r="AE55" i="12" s="1"/>
  <c r="AF55" i="12" s="1"/>
  <c r="AD57" i="12"/>
  <c r="AE57" i="12" s="1"/>
  <c r="N57" i="12"/>
  <c r="O57" i="12" s="1"/>
  <c r="P64" i="12" l="1"/>
  <c r="P85" i="12"/>
  <c r="P78" i="12"/>
  <c r="AF66" i="12"/>
  <c r="AF58" i="12"/>
  <c r="P76" i="12"/>
  <c r="P62" i="12"/>
  <c r="AF70" i="12"/>
  <c r="AF62" i="12"/>
  <c r="P82" i="12"/>
  <c r="P57" i="12"/>
  <c r="AF72" i="12"/>
  <c r="P80" i="12"/>
  <c r="P75" i="12"/>
  <c r="AF61" i="12"/>
  <c r="AF57" i="12"/>
  <c r="AF64" i="12"/>
  <c r="N25" i="13"/>
  <c r="O25" i="13" s="1"/>
  <c r="G26" i="13"/>
  <c r="AC84" i="12"/>
  <c r="AE84" i="12"/>
  <c r="AC76" i="12"/>
  <c r="AE76" i="12"/>
  <c r="AF76" i="12" s="1"/>
  <c r="AC79" i="12"/>
  <c r="AE79" i="12"/>
  <c r="AF56" i="12"/>
  <c r="AC82" i="12"/>
  <c r="AE82" i="12"/>
  <c r="AC77" i="12"/>
  <c r="AE77" i="12"/>
  <c r="AF60" i="12"/>
  <c r="AF63" i="12"/>
  <c r="AF59" i="12"/>
  <c r="P56" i="12"/>
  <c r="AF73" i="12"/>
  <c r="AC75" i="12"/>
  <c r="AE75" i="12"/>
  <c r="AF75" i="12" s="1"/>
  <c r="P79" i="12"/>
  <c r="P24" i="13"/>
  <c r="P25" i="13" s="1"/>
  <c r="P63" i="12"/>
  <c r="AC78" i="12"/>
  <c r="AE78" i="12"/>
  <c r="P65" i="12"/>
  <c r="P58" i="12"/>
  <c r="M88" i="12"/>
  <c r="O88" i="12" s="1"/>
  <c r="M90" i="12"/>
  <c r="O90" i="12" s="1"/>
  <c r="M92" i="12"/>
  <c r="O92" i="12" s="1"/>
  <c r="M94" i="12"/>
  <c r="O94" i="12" s="1"/>
  <c r="P94" i="12" s="1"/>
  <c r="M96" i="12"/>
  <c r="O96" i="12" s="1"/>
  <c r="M98" i="12"/>
  <c r="O98" i="12" s="1"/>
  <c r="M99" i="12"/>
  <c r="M93" i="12"/>
  <c r="O93" i="12" s="1"/>
  <c r="O86" i="12"/>
  <c r="P86" i="12" s="1"/>
  <c r="M97" i="12"/>
  <c r="O97" i="12" s="1"/>
  <c r="M91" i="12"/>
  <c r="O91" i="12" s="1"/>
  <c r="P91" i="12" s="1"/>
  <c r="M95" i="12"/>
  <c r="O95" i="12" s="1"/>
  <c r="M89" i="12"/>
  <c r="O89" i="12" s="1"/>
  <c r="AC83" i="12"/>
  <c r="AE83" i="12"/>
  <c r="AC81" i="12"/>
  <c r="AE81" i="12"/>
  <c r="AA88" i="12"/>
  <c r="AA90" i="12"/>
  <c r="AA92" i="12"/>
  <c r="AA94" i="12"/>
  <c r="AA96" i="12"/>
  <c r="AA98" i="12"/>
  <c r="AA95" i="12"/>
  <c r="AA89" i="12"/>
  <c r="AA99" i="12"/>
  <c r="AA93" i="12"/>
  <c r="AE86" i="12"/>
  <c r="AA97" i="12"/>
  <c r="AC86" i="12"/>
  <c r="AA91" i="12"/>
  <c r="P60" i="12"/>
  <c r="P81" i="12"/>
  <c r="P84" i="12"/>
  <c r="P77" i="12"/>
  <c r="P61" i="12"/>
  <c r="AF19" i="12"/>
  <c r="AF20" i="12"/>
  <c r="AF65" i="12"/>
  <c r="P19" i="12"/>
  <c r="P20" i="12"/>
  <c r="AC80" i="12"/>
  <c r="AE80" i="12"/>
  <c r="AC85" i="12"/>
  <c r="AE85" i="12"/>
  <c r="AF85" i="12" s="1"/>
  <c r="AF69" i="12"/>
  <c r="P88" i="12" l="1"/>
  <c r="AF84" i="12"/>
  <c r="P89" i="12"/>
  <c r="P96" i="12"/>
  <c r="AF79" i="12"/>
  <c r="P95" i="12"/>
  <c r="AF83" i="12"/>
  <c r="AE97" i="12"/>
  <c r="AC97" i="12"/>
  <c r="AF80" i="12"/>
  <c r="AE93" i="12"/>
  <c r="AC93" i="12"/>
  <c r="P92" i="12"/>
  <c r="AA101" i="12"/>
  <c r="AA103" i="12"/>
  <c r="AA105" i="12"/>
  <c r="AA107" i="12"/>
  <c r="AA109" i="12"/>
  <c r="AA111" i="12"/>
  <c r="AA108" i="12"/>
  <c r="AA102" i="12"/>
  <c r="AA106" i="12"/>
  <c r="AC99" i="12"/>
  <c r="AA112" i="12"/>
  <c r="AA104" i="12"/>
  <c r="AE99" i="12"/>
  <c r="AA110" i="12"/>
  <c r="P97" i="12"/>
  <c r="P90" i="12"/>
  <c r="AF77" i="12"/>
  <c r="AC92" i="12"/>
  <c r="AE92" i="12"/>
  <c r="AC88" i="12"/>
  <c r="AE88" i="12"/>
  <c r="AF88" i="12" s="1"/>
  <c r="AC89" i="12"/>
  <c r="AE89" i="12"/>
  <c r="AF89" i="12" s="1"/>
  <c r="AF81" i="12"/>
  <c r="AC95" i="12"/>
  <c r="AE95" i="12"/>
  <c r="P93" i="12"/>
  <c r="AF82" i="12"/>
  <c r="AF86" i="12"/>
  <c r="AC90" i="12"/>
  <c r="AE90" i="12"/>
  <c r="AF90" i="12" s="1"/>
  <c r="AC91" i="12"/>
  <c r="AE91" i="12"/>
  <c r="AC98" i="12"/>
  <c r="AE98" i="12"/>
  <c r="AF98" i="12" s="1"/>
  <c r="M101" i="12"/>
  <c r="O101" i="12" s="1"/>
  <c r="M103" i="12"/>
  <c r="O103" i="12" s="1"/>
  <c r="M105" i="12"/>
  <c r="O105" i="12" s="1"/>
  <c r="M107" i="12"/>
  <c r="O107" i="12" s="1"/>
  <c r="M109" i="12"/>
  <c r="O109" i="12" s="1"/>
  <c r="M111" i="12"/>
  <c r="O111" i="12" s="1"/>
  <c r="M106" i="12"/>
  <c r="O106" i="12" s="1"/>
  <c r="M112" i="12"/>
  <c r="O99" i="12"/>
  <c r="P99" i="12" s="1"/>
  <c r="M110" i="12"/>
  <c r="O110" i="12" s="1"/>
  <c r="M104" i="12"/>
  <c r="O104" i="12" s="1"/>
  <c r="P104" i="12" s="1"/>
  <c r="M102" i="12"/>
  <c r="O102" i="12" s="1"/>
  <c r="P102" i="12" s="1"/>
  <c r="M108" i="12"/>
  <c r="O108" i="12" s="1"/>
  <c r="P108" i="12" s="1"/>
  <c r="G27" i="13"/>
  <c r="N26" i="13"/>
  <c r="O26" i="13" s="1"/>
  <c r="AC94" i="12"/>
  <c r="AE94" i="12"/>
  <c r="AC96" i="12"/>
  <c r="AE96" i="12"/>
  <c r="P98" i="12"/>
  <c r="AF78" i="12"/>
  <c r="P107" i="12" l="1"/>
  <c r="AF96" i="12"/>
  <c r="AF93" i="12"/>
  <c r="AF99" i="12"/>
  <c r="P101" i="12"/>
  <c r="P105" i="12"/>
  <c r="AF94" i="12"/>
  <c r="P111" i="12"/>
  <c r="AF91" i="12"/>
  <c r="P109" i="12"/>
  <c r="AC108" i="12"/>
  <c r="AE108" i="12"/>
  <c r="AC103" i="12"/>
  <c r="AE103" i="12"/>
  <c r="AC102" i="12"/>
  <c r="AE102" i="12"/>
  <c r="AC111" i="12"/>
  <c r="AE111" i="12"/>
  <c r="N27" i="13"/>
  <c r="O27" i="13" s="1"/>
  <c r="G28" i="13"/>
  <c r="AC106" i="12"/>
  <c r="AE106" i="12"/>
  <c r="P103" i="12"/>
  <c r="AC109" i="12"/>
  <c r="AE109" i="12"/>
  <c r="P110" i="12"/>
  <c r="AC110" i="12"/>
  <c r="AE110" i="12"/>
  <c r="M118" i="12"/>
  <c r="O118" i="12" s="1"/>
  <c r="M119" i="12"/>
  <c r="O119" i="12" s="1"/>
  <c r="O112" i="12"/>
  <c r="P112" i="12" s="1"/>
  <c r="M116" i="12"/>
  <c r="O116" i="12" s="1"/>
  <c r="M117" i="12"/>
  <c r="O117" i="12" s="1"/>
  <c r="M115" i="12"/>
  <c r="O115" i="12" s="1"/>
  <c r="M122" i="12"/>
  <c r="O122" i="12" s="1"/>
  <c r="M123" i="12"/>
  <c r="O123" i="12" s="1"/>
  <c r="P123" i="12" s="1"/>
  <c r="M114" i="12"/>
  <c r="O114" i="12" s="1"/>
  <c r="M121" i="12"/>
  <c r="O121" i="12" s="1"/>
  <c r="M125" i="12"/>
  <c r="M120" i="12"/>
  <c r="O120" i="12" s="1"/>
  <c r="P120" i="12" s="1"/>
  <c r="M124" i="12"/>
  <c r="O124" i="12" s="1"/>
  <c r="P26" i="13"/>
  <c r="AE104" i="12"/>
  <c r="AC104" i="12"/>
  <c r="AC107" i="12"/>
  <c r="AE107" i="12"/>
  <c r="AF107" i="12" s="1"/>
  <c r="AC101" i="12"/>
  <c r="AE101" i="12"/>
  <c r="AF101" i="12" s="1"/>
  <c r="P106" i="12"/>
  <c r="AF95" i="12"/>
  <c r="AF92" i="12"/>
  <c r="AA114" i="12"/>
  <c r="AA116" i="12"/>
  <c r="AA118" i="12"/>
  <c r="AA120" i="12"/>
  <c r="AA122" i="12"/>
  <c r="AA124" i="12"/>
  <c r="AA125" i="12"/>
  <c r="AA123" i="12"/>
  <c r="AA121" i="12"/>
  <c r="AE112" i="12"/>
  <c r="AA117" i="12"/>
  <c r="AA119" i="12"/>
  <c r="AC112" i="12"/>
  <c r="AA115" i="12"/>
  <c r="AC105" i="12"/>
  <c r="AE105" i="12"/>
  <c r="AF105" i="12" s="1"/>
  <c r="AF97" i="12"/>
  <c r="P27" i="13" l="1"/>
  <c r="P117" i="12"/>
  <c r="AF111" i="12"/>
  <c r="P124" i="12"/>
  <c r="P115" i="12"/>
  <c r="AF109" i="12"/>
  <c r="P119" i="12"/>
  <c r="AF106" i="12"/>
  <c r="AC124" i="12"/>
  <c r="AE124" i="12"/>
  <c r="AE120" i="12"/>
  <c r="AC120" i="12"/>
  <c r="M132" i="12"/>
  <c r="O132" i="12" s="1"/>
  <c r="M134" i="12"/>
  <c r="O134" i="12" s="1"/>
  <c r="M136" i="12"/>
  <c r="O136" i="12" s="1"/>
  <c r="M138" i="12"/>
  <c r="M129" i="12"/>
  <c r="O129" i="12" s="1"/>
  <c r="M130" i="12"/>
  <c r="O130" i="12" s="1"/>
  <c r="P130" i="12" s="1"/>
  <c r="M127" i="12"/>
  <c r="O127" i="12" s="1"/>
  <c r="M128" i="12"/>
  <c r="O128" i="12" s="1"/>
  <c r="P128" i="12" s="1"/>
  <c r="M131" i="12"/>
  <c r="O131" i="12" s="1"/>
  <c r="M133" i="12"/>
  <c r="O133" i="12" s="1"/>
  <c r="P133" i="12" s="1"/>
  <c r="M135" i="12"/>
  <c r="O135" i="12" s="1"/>
  <c r="P135" i="12" s="1"/>
  <c r="M137" i="12"/>
  <c r="O137" i="12" s="1"/>
  <c r="O125" i="12"/>
  <c r="P125" i="12" s="1"/>
  <c r="AE117" i="12"/>
  <c r="AC117" i="12"/>
  <c r="AF112" i="12"/>
  <c r="P114" i="12"/>
  <c r="P118" i="12"/>
  <c r="AC115" i="12"/>
  <c r="AE115" i="12"/>
  <c r="AC122" i="12"/>
  <c r="AE122" i="12"/>
  <c r="AF102" i="12"/>
  <c r="AC119" i="12"/>
  <c r="AE119" i="12"/>
  <c r="AC118" i="12"/>
  <c r="AE118" i="12"/>
  <c r="P121" i="12"/>
  <c r="AF103" i="12"/>
  <c r="AE116" i="12"/>
  <c r="AC116" i="12"/>
  <c r="AE121" i="12"/>
  <c r="AF121" i="12" s="1"/>
  <c r="AC121" i="12"/>
  <c r="AC114" i="12"/>
  <c r="AE114" i="12"/>
  <c r="AF114" i="12" s="1"/>
  <c r="AF110" i="12"/>
  <c r="G29" i="13"/>
  <c r="N28" i="13"/>
  <c r="O28" i="13" s="1"/>
  <c r="AF108" i="12"/>
  <c r="AA127" i="12"/>
  <c r="AA129" i="12"/>
  <c r="AA130" i="12"/>
  <c r="AA128" i="12"/>
  <c r="AC125" i="12"/>
  <c r="AA131" i="12"/>
  <c r="AA133" i="12"/>
  <c r="AA135" i="12"/>
  <c r="AA137" i="12"/>
  <c r="AE125" i="12"/>
  <c r="AA136" i="12"/>
  <c r="AA132" i="12"/>
  <c r="AA138" i="12"/>
  <c r="AA134" i="12"/>
  <c r="P116" i="12"/>
  <c r="AC123" i="12"/>
  <c r="AE123" i="12"/>
  <c r="AF104" i="12"/>
  <c r="P122" i="12"/>
  <c r="P134" i="12" l="1"/>
  <c r="AF116" i="12"/>
  <c r="AF118" i="12"/>
  <c r="P136" i="12"/>
  <c r="AF125" i="12"/>
  <c r="P131" i="12"/>
  <c r="AF123" i="12"/>
  <c r="P132" i="12"/>
  <c r="P127" i="12"/>
  <c r="AC128" i="12"/>
  <c r="AE128" i="12"/>
  <c r="AC136" i="12"/>
  <c r="AE136" i="12"/>
  <c r="AC137" i="12"/>
  <c r="AE137" i="12"/>
  <c r="AF137" i="12" s="1"/>
  <c r="AC132" i="12"/>
  <c r="AE132" i="12"/>
  <c r="AF120" i="12"/>
  <c r="AF122" i="12"/>
  <c r="AF117" i="12"/>
  <c r="AF124" i="12"/>
  <c r="AC130" i="12"/>
  <c r="AE130" i="12"/>
  <c r="AF130" i="12" s="1"/>
  <c r="AF119" i="12"/>
  <c r="AC133" i="12"/>
  <c r="AE133" i="12"/>
  <c r="AC134" i="12"/>
  <c r="AE134" i="12"/>
  <c r="AC131" i="12"/>
  <c r="AE131" i="12"/>
  <c r="N29" i="13"/>
  <c r="O29" i="13" s="1"/>
  <c r="G30" i="13"/>
  <c r="P129" i="12"/>
  <c r="AC129" i="12"/>
  <c r="AE129" i="12"/>
  <c r="AF129" i="12" s="1"/>
  <c r="AC127" i="12"/>
  <c r="AE127" i="12"/>
  <c r="AF127" i="12" s="1"/>
  <c r="AC135" i="12"/>
  <c r="AE135" i="12"/>
  <c r="AF135" i="12" s="1"/>
  <c r="AC138" i="12"/>
  <c r="AE138" i="12"/>
  <c r="AA140" i="12"/>
  <c r="AA142" i="12"/>
  <c r="AA144" i="12"/>
  <c r="AA146" i="12"/>
  <c r="AA148" i="12"/>
  <c r="AA150" i="12"/>
  <c r="AA141" i="12"/>
  <c r="AA149" i="12"/>
  <c r="AA143" i="12"/>
  <c r="AA147" i="12"/>
  <c r="AA151" i="12"/>
  <c r="AA145" i="12"/>
  <c r="AF115" i="12"/>
  <c r="P137" i="12"/>
  <c r="M141" i="12"/>
  <c r="O141" i="12" s="1"/>
  <c r="P141" i="12" s="1"/>
  <c r="M143" i="12"/>
  <c r="O143" i="12" s="1"/>
  <c r="M145" i="12"/>
  <c r="O145" i="12" s="1"/>
  <c r="M147" i="12"/>
  <c r="O147" i="12" s="1"/>
  <c r="O138" i="12"/>
  <c r="P138" i="12" s="1"/>
  <c r="M140" i="12"/>
  <c r="O140" i="12" s="1"/>
  <c r="P140" i="12" s="1"/>
  <c r="M142" i="12"/>
  <c r="O142" i="12" s="1"/>
  <c r="M144" i="12"/>
  <c r="O144" i="12" s="1"/>
  <c r="M146" i="12"/>
  <c r="O146" i="12" s="1"/>
  <c r="M148" i="12"/>
  <c r="O148" i="12" s="1"/>
  <c r="M151" i="12"/>
  <c r="M149" i="12"/>
  <c r="O149" i="12" s="1"/>
  <c r="M150" i="12"/>
  <c r="O150" i="12" s="1"/>
  <c r="P150" i="12" s="1"/>
  <c r="P28" i="13"/>
  <c r="P148" i="12" l="1"/>
  <c r="P143" i="12"/>
  <c r="AF138" i="12"/>
  <c r="AF132" i="12"/>
  <c r="P146" i="12"/>
  <c r="AF134" i="12"/>
  <c r="AF131" i="12"/>
  <c r="P144" i="12"/>
  <c r="AF136" i="12"/>
  <c r="AC141" i="12"/>
  <c r="AE141" i="12"/>
  <c r="AC150" i="12"/>
  <c r="AE150" i="12"/>
  <c r="P29" i="13"/>
  <c r="AE151" i="12"/>
  <c r="AA153" i="12"/>
  <c r="AA155" i="12"/>
  <c r="AA157" i="12"/>
  <c r="AA159" i="12"/>
  <c r="AA161" i="12"/>
  <c r="AA163" i="12"/>
  <c r="AA160" i="12"/>
  <c r="AA154" i="12"/>
  <c r="AA162" i="12"/>
  <c r="AA158" i="12"/>
  <c r="AA164" i="12"/>
  <c r="AC151" i="12"/>
  <c r="AA156" i="12"/>
  <c r="AC144" i="12"/>
  <c r="AE144" i="12"/>
  <c r="N30" i="13"/>
  <c r="O30" i="13" s="1"/>
  <c r="G31" i="13"/>
  <c r="AC148" i="12"/>
  <c r="AE148" i="12"/>
  <c r="AC146" i="12"/>
  <c r="AE146" i="12"/>
  <c r="P149" i="12"/>
  <c r="P147" i="12"/>
  <c r="AC147" i="12"/>
  <c r="AE147" i="12"/>
  <c r="AC142" i="12"/>
  <c r="AE142" i="12"/>
  <c r="AF128" i="12"/>
  <c r="AE149" i="12"/>
  <c r="AF149" i="12" s="1"/>
  <c r="AC149" i="12"/>
  <c r="P142" i="12"/>
  <c r="AC145" i="12"/>
  <c r="AE145" i="12"/>
  <c r="O151" i="12"/>
  <c r="P151" i="12" s="1"/>
  <c r="M164" i="12"/>
  <c r="M155" i="12"/>
  <c r="O155" i="12" s="1"/>
  <c r="M158" i="12"/>
  <c r="O158" i="12" s="1"/>
  <c r="P158" i="12" s="1"/>
  <c r="M161" i="12"/>
  <c r="O161" i="12" s="1"/>
  <c r="P161" i="12" s="1"/>
  <c r="M159" i="12"/>
  <c r="O159" i="12" s="1"/>
  <c r="M163" i="12"/>
  <c r="O163" i="12" s="1"/>
  <c r="M153" i="12"/>
  <c r="O153" i="12" s="1"/>
  <c r="M156" i="12"/>
  <c r="O156" i="12" s="1"/>
  <c r="M157" i="12"/>
  <c r="O157" i="12" s="1"/>
  <c r="P157" i="12" s="1"/>
  <c r="M160" i="12"/>
  <c r="O160" i="12" s="1"/>
  <c r="M162" i="12"/>
  <c r="O162" i="12" s="1"/>
  <c r="M154" i="12"/>
  <c r="O154" i="12" s="1"/>
  <c r="P145" i="12"/>
  <c r="AC143" i="12"/>
  <c r="AE143" i="12"/>
  <c r="AC140" i="12"/>
  <c r="AE140" i="12"/>
  <c r="AF140" i="12" s="1"/>
  <c r="AF133" i="12"/>
  <c r="P30" i="13" l="1"/>
  <c r="P154" i="12"/>
  <c r="AF150" i="12"/>
  <c r="AF146" i="12"/>
  <c r="AF148" i="12"/>
  <c r="AF142" i="12"/>
  <c r="P153" i="12"/>
  <c r="P159" i="12"/>
  <c r="AF144" i="12"/>
  <c r="P155" i="12"/>
  <c r="AE159" i="12"/>
  <c r="AC159" i="12"/>
  <c r="AF141" i="12"/>
  <c r="AE156" i="12"/>
  <c r="AC156" i="12"/>
  <c r="AA172" i="12"/>
  <c r="AA174" i="12"/>
  <c r="AA176" i="12"/>
  <c r="AA169" i="12"/>
  <c r="AA170" i="12"/>
  <c r="AA168" i="12"/>
  <c r="AA167" i="12"/>
  <c r="AA166" i="12"/>
  <c r="AA171" i="12"/>
  <c r="AA173" i="12"/>
  <c r="AA175" i="12"/>
  <c r="AA177" i="12"/>
  <c r="AC164" i="12"/>
  <c r="AE164" i="12"/>
  <c r="AC157" i="12"/>
  <c r="AE157" i="12"/>
  <c r="AF157" i="12" s="1"/>
  <c r="AC163" i="12"/>
  <c r="AE163" i="12"/>
  <c r="P160" i="12"/>
  <c r="P156" i="12"/>
  <c r="AE158" i="12"/>
  <c r="AC158" i="12"/>
  <c r="AC155" i="12"/>
  <c r="AE155" i="12"/>
  <c r="AE160" i="12"/>
  <c r="AC160" i="12"/>
  <c r="P162" i="12"/>
  <c r="AE161" i="12"/>
  <c r="AC161" i="12"/>
  <c r="O164" i="12"/>
  <c r="P164" i="12" s="1"/>
  <c r="M172" i="12"/>
  <c r="O172" i="12" s="1"/>
  <c r="M174" i="12"/>
  <c r="O174" i="12" s="1"/>
  <c r="M176" i="12"/>
  <c r="O176" i="12" s="1"/>
  <c r="P176" i="12" s="1"/>
  <c r="M170" i="12"/>
  <c r="O170" i="12" s="1"/>
  <c r="M169" i="12"/>
  <c r="O169" i="12" s="1"/>
  <c r="M168" i="12"/>
  <c r="O168" i="12" s="1"/>
  <c r="M171" i="12"/>
  <c r="O171" i="12" s="1"/>
  <c r="M173" i="12"/>
  <c r="O173" i="12" s="1"/>
  <c r="M175" i="12"/>
  <c r="O175" i="12" s="1"/>
  <c r="M177" i="12"/>
  <c r="M166" i="12"/>
  <c r="O166" i="12" s="1"/>
  <c r="M167" i="12"/>
  <c r="O167" i="12" s="1"/>
  <c r="AF143" i="12"/>
  <c r="AF145" i="12"/>
  <c r="AF147" i="12"/>
  <c r="G32" i="13"/>
  <c r="N31" i="13"/>
  <c r="O31" i="13" s="1"/>
  <c r="AC162" i="12"/>
  <c r="AE162" i="12"/>
  <c r="AC153" i="12"/>
  <c r="AE153" i="12"/>
  <c r="AF153" i="12" s="1"/>
  <c r="P163" i="12"/>
  <c r="AE154" i="12"/>
  <c r="AF154" i="12" s="1"/>
  <c r="AC154" i="12"/>
  <c r="AF151" i="12"/>
  <c r="P167" i="12" l="1"/>
  <c r="AF163" i="12"/>
  <c r="P170" i="12"/>
  <c r="AF160" i="12"/>
  <c r="P166" i="12"/>
  <c r="AF155" i="12"/>
  <c r="AF162" i="12"/>
  <c r="P174" i="12"/>
  <c r="P172" i="12"/>
  <c r="AC176" i="12"/>
  <c r="AE176" i="12"/>
  <c r="AC173" i="12"/>
  <c r="AE173" i="12"/>
  <c r="AC171" i="12"/>
  <c r="AE171" i="12"/>
  <c r="P175" i="12"/>
  <c r="N32" i="13"/>
  <c r="O32" i="13" s="1"/>
  <c r="G33" i="13"/>
  <c r="AC167" i="12"/>
  <c r="AE167" i="12"/>
  <c r="AF156" i="12"/>
  <c r="AC175" i="12"/>
  <c r="AE175" i="12"/>
  <c r="AC174" i="12"/>
  <c r="AE174" i="12"/>
  <c r="P31" i="13"/>
  <c r="AC172" i="12"/>
  <c r="AE172" i="12"/>
  <c r="AC166" i="12"/>
  <c r="AE166" i="12"/>
  <c r="AF166" i="12" s="1"/>
  <c r="P171" i="12"/>
  <c r="AF164" i="12"/>
  <c r="AF161" i="12"/>
  <c r="AC170" i="12"/>
  <c r="AE170" i="12"/>
  <c r="M179" i="12"/>
  <c r="O179" i="12" s="1"/>
  <c r="P179" i="12" s="1"/>
  <c r="M181" i="12"/>
  <c r="O181" i="12" s="1"/>
  <c r="M183" i="12"/>
  <c r="O183" i="12" s="1"/>
  <c r="M185" i="12"/>
  <c r="O185" i="12" s="1"/>
  <c r="M180" i="12"/>
  <c r="O180" i="12" s="1"/>
  <c r="M182" i="12"/>
  <c r="O182" i="12" s="1"/>
  <c r="M187" i="12"/>
  <c r="O187" i="12" s="1"/>
  <c r="O177" i="12"/>
  <c r="P177" i="12" s="1"/>
  <c r="M186" i="12"/>
  <c r="O186" i="12" s="1"/>
  <c r="M189" i="12"/>
  <c r="O189" i="12" s="1"/>
  <c r="M188" i="12"/>
  <c r="O188" i="12" s="1"/>
  <c r="M190" i="12"/>
  <c r="M184" i="12"/>
  <c r="O184" i="12" s="1"/>
  <c r="P184" i="12" s="1"/>
  <c r="P173" i="12"/>
  <c r="AF158" i="12"/>
  <c r="AC168" i="12"/>
  <c r="AE168" i="12"/>
  <c r="AF168" i="12" s="1"/>
  <c r="P168" i="12"/>
  <c r="P169" i="12"/>
  <c r="AA179" i="12"/>
  <c r="AA181" i="12"/>
  <c r="AA183" i="12"/>
  <c r="AA185" i="12"/>
  <c r="AA187" i="12"/>
  <c r="AA189" i="12"/>
  <c r="AA180" i="12"/>
  <c r="AA182" i="12"/>
  <c r="AA184" i="12"/>
  <c r="AC177" i="12"/>
  <c r="AA188" i="12"/>
  <c r="AA190" i="12"/>
  <c r="AA186" i="12"/>
  <c r="AE177" i="12"/>
  <c r="AF177" i="12" s="1"/>
  <c r="AC169" i="12"/>
  <c r="AE169" i="12"/>
  <c r="AF159" i="12"/>
  <c r="P182" i="12" l="1"/>
  <c r="AF174" i="12"/>
  <c r="P187" i="12"/>
  <c r="AF169" i="12"/>
  <c r="P180" i="12"/>
  <c r="AF171" i="12"/>
  <c r="AF173" i="12"/>
  <c r="P32" i="13"/>
  <c r="P33" i="13" s="1"/>
  <c r="AC188" i="12"/>
  <c r="AE188" i="12"/>
  <c r="AC181" i="12"/>
  <c r="AE181" i="12"/>
  <c r="P185" i="12"/>
  <c r="P188" i="12"/>
  <c r="P183" i="12"/>
  <c r="G34" i="13"/>
  <c r="N33" i="13"/>
  <c r="O33" i="13" s="1"/>
  <c r="AC183" i="12"/>
  <c r="AE183" i="12"/>
  <c r="AC184" i="12"/>
  <c r="AE184" i="12"/>
  <c r="AF184" i="12" s="1"/>
  <c r="M195" i="12"/>
  <c r="O195" i="12" s="1"/>
  <c r="M203" i="12"/>
  <c r="M194" i="12"/>
  <c r="O194" i="12" s="1"/>
  <c r="M202" i="12"/>
  <c r="O202" i="12" s="1"/>
  <c r="O190" i="12"/>
  <c r="P190" i="12" s="1"/>
  <c r="M197" i="12"/>
  <c r="O197" i="12" s="1"/>
  <c r="M198" i="12"/>
  <c r="O198" i="12" s="1"/>
  <c r="M199" i="12"/>
  <c r="O199" i="12" s="1"/>
  <c r="P199" i="12" s="1"/>
  <c r="M200" i="12"/>
  <c r="O200" i="12" s="1"/>
  <c r="M201" i="12"/>
  <c r="O201" i="12" s="1"/>
  <c r="P201" i="12" s="1"/>
  <c r="M193" i="12"/>
  <c r="O193" i="12" s="1"/>
  <c r="M196" i="12"/>
  <c r="O196" i="12" s="1"/>
  <c r="M192" i="12"/>
  <c r="O192" i="12" s="1"/>
  <c r="P192" i="12" s="1"/>
  <c r="AF175" i="12"/>
  <c r="AC180" i="12"/>
  <c r="AE180" i="12"/>
  <c r="P181" i="12"/>
  <c r="AE189" i="12"/>
  <c r="AC189" i="12"/>
  <c r="P186" i="12"/>
  <c r="AF172" i="12"/>
  <c r="AF167" i="12"/>
  <c r="AC185" i="12"/>
  <c r="AE185" i="12"/>
  <c r="AF185" i="12" s="1"/>
  <c r="AC179" i="12"/>
  <c r="AE179" i="12"/>
  <c r="AF179" i="12" s="1"/>
  <c r="AC182" i="12"/>
  <c r="AE182" i="12"/>
  <c r="P189" i="12"/>
  <c r="AC186" i="12"/>
  <c r="AE186" i="12"/>
  <c r="AE187" i="12"/>
  <c r="AF187" i="12" s="1"/>
  <c r="AC187" i="12"/>
  <c r="AF170" i="12"/>
  <c r="AF176" i="12"/>
  <c r="AA200" i="12"/>
  <c r="AA194" i="12"/>
  <c r="AA199" i="12"/>
  <c r="AA195" i="12"/>
  <c r="AC190" i="12"/>
  <c r="AA193" i="12"/>
  <c r="AA196" i="12"/>
  <c r="AA201" i="12"/>
  <c r="AA202" i="12"/>
  <c r="AA203" i="12"/>
  <c r="AE190" i="12"/>
  <c r="AA198" i="12"/>
  <c r="AA197" i="12"/>
  <c r="AA192" i="12"/>
  <c r="P197" i="12" l="1"/>
  <c r="AF183" i="12"/>
  <c r="AF182" i="12"/>
  <c r="P193" i="12"/>
  <c r="P194" i="12"/>
  <c r="AF189" i="12"/>
  <c r="P200" i="12"/>
  <c r="AE201" i="12"/>
  <c r="AC201" i="12"/>
  <c r="M207" i="12"/>
  <c r="O207" i="12" s="1"/>
  <c r="P207" i="12" s="1"/>
  <c r="M212" i="12"/>
  <c r="O212" i="12" s="1"/>
  <c r="O203" i="12"/>
  <c r="P203" i="12" s="1"/>
  <c r="M215" i="12"/>
  <c r="O215" i="12" s="1"/>
  <c r="M210" i="12"/>
  <c r="O210" i="12" s="1"/>
  <c r="M208" i="12"/>
  <c r="O208" i="12" s="1"/>
  <c r="M214" i="12"/>
  <c r="O214" i="12" s="1"/>
  <c r="M206" i="12"/>
  <c r="O206" i="12" s="1"/>
  <c r="M213" i="12"/>
  <c r="O213" i="12" s="1"/>
  <c r="P213" i="12" s="1"/>
  <c r="M211" i="12"/>
  <c r="O211" i="12" s="1"/>
  <c r="M216" i="12"/>
  <c r="M209" i="12"/>
  <c r="O209" i="12" s="1"/>
  <c r="M205" i="12"/>
  <c r="O205" i="12" s="1"/>
  <c r="AE192" i="12"/>
  <c r="AF192" i="12" s="1"/>
  <c r="AC192" i="12"/>
  <c r="N34" i="13"/>
  <c r="O34" i="13" s="1"/>
  <c r="G35" i="13"/>
  <c r="AE193" i="12"/>
  <c r="AC193" i="12"/>
  <c r="P195" i="12"/>
  <c r="AE198" i="12"/>
  <c r="AC198" i="12"/>
  <c r="AC195" i="12"/>
  <c r="AE195" i="12"/>
  <c r="AF186" i="12"/>
  <c r="P198" i="12"/>
  <c r="AF181" i="12"/>
  <c r="AE196" i="12"/>
  <c r="AF196" i="12" s="1"/>
  <c r="AC196" i="12"/>
  <c r="AF190" i="12"/>
  <c r="AC203" i="12"/>
  <c r="AA205" i="12"/>
  <c r="AA206" i="12"/>
  <c r="AA210" i="12"/>
  <c r="AA207" i="12"/>
  <c r="AA213" i="12"/>
  <c r="AA208" i="12"/>
  <c r="AA216" i="12"/>
  <c r="AA214" i="12"/>
  <c r="AA212" i="12"/>
  <c r="AA211" i="12"/>
  <c r="AA215" i="12"/>
  <c r="AA209" i="12"/>
  <c r="AE203" i="12"/>
  <c r="AC194" i="12"/>
  <c r="AE194" i="12"/>
  <c r="AF194" i="12" s="1"/>
  <c r="AF188" i="12"/>
  <c r="AE197" i="12"/>
  <c r="AC197" i="12"/>
  <c r="AF180" i="12"/>
  <c r="AC199" i="12"/>
  <c r="AE199" i="12"/>
  <c r="AC202" i="12"/>
  <c r="AE202" i="12"/>
  <c r="AF202" i="12" s="1"/>
  <c r="AE200" i="12"/>
  <c r="AC200" i="12"/>
  <c r="P196" i="12"/>
  <c r="P202" i="12"/>
  <c r="P215" i="12" l="1"/>
  <c r="AF201" i="12"/>
  <c r="P208" i="12"/>
  <c r="AF198" i="12"/>
  <c r="P205" i="12"/>
  <c r="P210" i="12"/>
  <c r="AF199" i="12"/>
  <c r="AC209" i="12"/>
  <c r="AE209" i="12"/>
  <c r="AC215" i="12"/>
  <c r="AE215" i="12"/>
  <c r="AC210" i="12"/>
  <c r="AE210" i="12"/>
  <c r="AF193" i="12"/>
  <c r="P211" i="12"/>
  <c r="P212" i="12"/>
  <c r="AA221" i="12"/>
  <c r="AA225" i="12"/>
  <c r="AA229" i="12"/>
  <c r="AA219" i="12"/>
  <c r="AA228" i="12"/>
  <c r="AA218" i="12"/>
  <c r="AA224" i="12"/>
  <c r="AA220" i="12"/>
  <c r="AA222" i="12"/>
  <c r="AA226" i="12"/>
  <c r="AE216" i="12"/>
  <c r="AF216" i="12" s="1"/>
  <c r="AC216" i="12"/>
  <c r="AA227" i="12"/>
  <c r="AA223" i="12"/>
  <c r="AE208" i="12"/>
  <c r="AC208" i="12"/>
  <c r="AC213" i="12"/>
  <c r="AE213" i="12"/>
  <c r="P209" i="12"/>
  <c r="M220" i="12"/>
  <c r="O220" i="12" s="1"/>
  <c r="M224" i="12"/>
  <c r="O224" i="12" s="1"/>
  <c r="M228" i="12"/>
  <c r="O228" i="12" s="1"/>
  <c r="P228" i="12" s="1"/>
  <c r="M226" i="12"/>
  <c r="O226" i="12" s="1"/>
  <c r="O216" i="12"/>
  <c r="P216" i="12" s="1"/>
  <c r="M222" i="12"/>
  <c r="O222" i="12" s="1"/>
  <c r="M218" i="12"/>
  <c r="O218" i="12" s="1"/>
  <c r="M227" i="12"/>
  <c r="O227" i="12" s="1"/>
  <c r="M223" i="12"/>
  <c r="O223" i="12" s="1"/>
  <c r="M229" i="12"/>
  <c r="M219" i="12"/>
  <c r="O219" i="12" s="1"/>
  <c r="P219" i="12" s="1"/>
  <c r="M225" i="12"/>
  <c r="O225" i="12" s="1"/>
  <c r="M221" i="12"/>
  <c r="O221" i="12" s="1"/>
  <c r="AC206" i="12"/>
  <c r="AE206" i="12"/>
  <c r="N35" i="13"/>
  <c r="O35" i="13" s="1"/>
  <c r="G36" i="13"/>
  <c r="AE212" i="12"/>
  <c r="AC212" i="12"/>
  <c r="P206" i="12"/>
  <c r="P34" i="13"/>
  <c r="AF203" i="12"/>
  <c r="AE207" i="12"/>
  <c r="AC207" i="12"/>
  <c r="AC211" i="12"/>
  <c r="AE211" i="12"/>
  <c r="AF211" i="12" s="1"/>
  <c r="AF197" i="12"/>
  <c r="AC205" i="12"/>
  <c r="AE205" i="12"/>
  <c r="AF205" i="12" s="1"/>
  <c r="AF195" i="12"/>
  <c r="AF200" i="12"/>
  <c r="AE214" i="12"/>
  <c r="AF214" i="12" s="1"/>
  <c r="AC214" i="12"/>
  <c r="P214" i="12"/>
  <c r="P222" i="12" l="1"/>
  <c r="AF209" i="12"/>
  <c r="AF212" i="12"/>
  <c r="P224" i="12"/>
  <c r="AF210" i="12"/>
  <c r="P223" i="12"/>
  <c r="P227" i="12"/>
  <c r="AF206" i="12"/>
  <c r="P218" i="12"/>
  <c r="AC218" i="12"/>
  <c r="AE218" i="12"/>
  <c r="AF218" i="12" s="1"/>
  <c r="AC227" i="12"/>
  <c r="AE227" i="12"/>
  <c r="AA234" i="12"/>
  <c r="AC229" i="12"/>
  <c r="AA231" i="12"/>
  <c r="AA235" i="12"/>
  <c r="AA239" i="12"/>
  <c r="AA233" i="12"/>
  <c r="AA237" i="12"/>
  <c r="AA241" i="12"/>
  <c r="AE229" i="12"/>
  <c r="AA240" i="12"/>
  <c r="AA242" i="12"/>
  <c r="AA232" i="12"/>
  <c r="AA236" i="12"/>
  <c r="AA238" i="12"/>
  <c r="AF215" i="12"/>
  <c r="AC219" i="12"/>
  <c r="AE219" i="12"/>
  <c r="AE226" i="12"/>
  <c r="AC226" i="12"/>
  <c r="AC225" i="12"/>
  <c r="AE225" i="12"/>
  <c r="AC223" i="12"/>
  <c r="AE223" i="12"/>
  <c r="AF207" i="12"/>
  <c r="AF213" i="12"/>
  <c r="AC222" i="12"/>
  <c r="AE222" i="12"/>
  <c r="AC221" i="12"/>
  <c r="AE221" i="12"/>
  <c r="G37" i="13"/>
  <c r="N36" i="13"/>
  <c r="O36" i="13" s="1"/>
  <c r="P35" i="13"/>
  <c r="P221" i="12"/>
  <c r="AC220" i="12"/>
  <c r="AE220" i="12"/>
  <c r="AF220" i="12" s="1"/>
  <c r="M233" i="12"/>
  <c r="O233" i="12" s="1"/>
  <c r="M234" i="12"/>
  <c r="O234" i="12" s="1"/>
  <c r="P234" i="12" s="1"/>
  <c r="M238" i="12"/>
  <c r="O238" i="12" s="1"/>
  <c r="M242" i="12"/>
  <c r="M232" i="12"/>
  <c r="O232" i="12" s="1"/>
  <c r="M236" i="12"/>
  <c r="O236" i="12" s="1"/>
  <c r="M240" i="12"/>
  <c r="O240" i="12" s="1"/>
  <c r="M239" i="12"/>
  <c r="O239" i="12" s="1"/>
  <c r="M241" i="12"/>
  <c r="O241" i="12" s="1"/>
  <c r="M237" i="12"/>
  <c r="O237" i="12" s="1"/>
  <c r="M235" i="12"/>
  <c r="O235" i="12" s="1"/>
  <c r="O229" i="12"/>
  <c r="P229" i="12" s="1"/>
  <c r="M231" i="12"/>
  <c r="O231" i="12" s="1"/>
  <c r="P231" i="12" s="1"/>
  <c r="AC228" i="12"/>
  <c r="AE228" i="12"/>
  <c r="P220" i="12"/>
  <c r="P225" i="12"/>
  <c r="P226" i="12"/>
  <c r="AF208" i="12"/>
  <c r="AC224" i="12"/>
  <c r="AE224" i="12"/>
  <c r="AF224" i="12" s="1"/>
  <c r="P36" i="13" l="1"/>
  <c r="P237" i="12"/>
  <c r="AF221" i="12"/>
  <c r="P241" i="12"/>
  <c r="AF225" i="12"/>
  <c r="P233" i="12"/>
  <c r="P239" i="12"/>
  <c r="AF228" i="12"/>
  <c r="P236" i="12"/>
  <c r="AF219" i="12"/>
  <c r="AE236" i="12"/>
  <c r="AC236" i="12"/>
  <c r="AF222" i="12"/>
  <c r="AC235" i="12"/>
  <c r="AE235" i="12"/>
  <c r="P240" i="12"/>
  <c r="AC241" i="12"/>
  <c r="AE241" i="12"/>
  <c r="AF227" i="12"/>
  <c r="AC239" i="12"/>
  <c r="AE239" i="12"/>
  <c r="AE232" i="12"/>
  <c r="AC232" i="12"/>
  <c r="AC231" i="12"/>
  <c r="AE231" i="12"/>
  <c r="AF231" i="12" s="1"/>
  <c r="AF226" i="12"/>
  <c r="AE240" i="12"/>
  <c r="AC240" i="12"/>
  <c r="AF229" i="12"/>
  <c r="AF223" i="12"/>
  <c r="AC237" i="12"/>
  <c r="AE237" i="12"/>
  <c r="AC242" i="12"/>
  <c r="AE242" i="12"/>
  <c r="AF242" i="12" s="1"/>
  <c r="AA249" i="12"/>
  <c r="AA253" i="12"/>
  <c r="AA257" i="12"/>
  <c r="AA247" i="12"/>
  <c r="AA251" i="12"/>
  <c r="AA255" i="12"/>
  <c r="AA246" i="12"/>
  <c r="AA254" i="12"/>
  <c r="AA256" i="12"/>
  <c r="AA250" i="12"/>
  <c r="AA252" i="12"/>
  <c r="AA248" i="12"/>
  <c r="AC234" i="12"/>
  <c r="AE234" i="12"/>
  <c r="P232" i="12"/>
  <c r="M244" i="12"/>
  <c r="M256" i="12" s="1"/>
  <c r="O256" i="12" s="1"/>
  <c r="O242" i="12"/>
  <c r="M250" i="12"/>
  <c r="O250" i="12" s="1"/>
  <c r="P235" i="12"/>
  <c r="P238" i="12"/>
  <c r="N37" i="13"/>
  <c r="O37" i="13" s="1"/>
  <c r="G38" i="13"/>
  <c r="AC238" i="12"/>
  <c r="AE238" i="12"/>
  <c r="AE233" i="12"/>
  <c r="AF233" i="12" s="1"/>
  <c r="AC233" i="12"/>
  <c r="AF236" i="12" l="1"/>
  <c r="AF241" i="12"/>
  <c r="AF234" i="12"/>
  <c r="M251" i="12"/>
  <c r="O251" i="12" s="1"/>
  <c r="P251" i="12" s="1"/>
  <c r="AE255" i="12"/>
  <c r="AC255" i="12"/>
  <c r="AE254" i="12"/>
  <c r="AC254" i="12"/>
  <c r="M252" i="12"/>
  <c r="O252" i="12" s="1"/>
  <c r="AC251" i="12"/>
  <c r="AE251" i="12"/>
  <c r="M257" i="12"/>
  <c r="AC247" i="12"/>
  <c r="AE247" i="12"/>
  <c r="AF247" i="12" s="1"/>
  <c r="M246" i="12"/>
  <c r="O246" i="12" s="1"/>
  <c r="AC252" i="12"/>
  <c r="AE252" i="12"/>
  <c r="AA263" i="12"/>
  <c r="AA261" i="12"/>
  <c r="AA265" i="12"/>
  <c r="AA271" i="12"/>
  <c r="AA272" i="12"/>
  <c r="AA264" i="12"/>
  <c r="AA266" i="12"/>
  <c r="AA268" i="12"/>
  <c r="AC257" i="12"/>
  <c r="AE257" i="12"/>
  <c r="AF257" i="12" s="1"/>
  <c r="AA262" i="12"/>
  <c r="AA267" i="12"/>
  <c r="AA270" i="12"/>
  <c r="AA269" i="12"/>
  <c r="AF239" i="12"/>
  <c r="M254" i="12"/>
  <c r="O254" i="12" s="1"/>
  <c r="AC248" i="12"/>
  <c r="AE248" i="12"/>
  <c r="AF232" i="12"/>
  <c r="AF238" i="12"/>
  <c r="M248" i="12"/>
  <c r="O248" i="12" s="1"/>
  <c r="AE250" i="12"/>
  <c r="AF250" i="12" s="1"/>
  <c r="AC250" i="12"/>
  <c r="AC253" i="12"/>
  <c r="AE253" i="12"/>
  <c r="AF253" i="12" s="1"/>
  <c r="AE246" i="12"/>
  <c r="AF246" i="12" s="1"/>
  <c r="AC246" i="12"/>
  <c r="M249" i="12"/>
  <c r="O249" i="12" s="1"/>
  <c r="P250" i="12" s="1"/>
  <c r="AF237" i="12"/>
  <c r="P37" i="13"/>
  <c r="P38" i="13" s="1"/>
  <c r="M253" i="12"/>
  <c r="O253" i="12" s="1"/>
  <c r="P253" i="12" s="1"/>
  <c r="AF235" i="12"/>
  <c r="M247" i="12"/>
  <c r="O247" i="12" s="1"/>
  <c r="M255" i="12"/>
  <c r="O255" i="12" s="1"/>
  <c r="P256" i="12" s="1"/>
  <c r="N38" i="13"/>
  <c r="O38" i="13" s="1"/>
  <c r="G39" i="13"/>
  <c r="O244" i="12"/>
  <c r="P244" i="12" s="1"/>
  <c r="P242" i="12"/>
  <c r="AC256" i="12"/>
  <c r="AE256" i="12"/>
  <c r="AC249" i="12"/>
  <c r="AE249" i="12"/>
  <c r="AF240" i="12"/>
  <c r="AF251" i="12" l="1"/>
  <c r="AF249" i="12"/>
  <c r="P247" i="12"/>
  <c r="AF256" i="12"/>
  <c r="P254" i="12"/>
  <c r="P252" i="12"/>
  <c r="AC263" i="12"/>
  <c r="AE263" i="12"/>
  <c r="AF263" i="12" s="1"/>
  <c r="AC266" i="12"/>
  <c r="AE266" i="12"/>
  <c r="AE264" i="12"/>
  <c r="AC264" i="12"/>
  <c r="P246" i="12"/>
  <c r="AF254" i="12"/>
  <c r="AF252" i="12"/>
  <c r="P248" i="12"/>
  <c r="P249" i="12"/>
  <c r="AC272" i="12"/>
  <c r="AE272" i="12"/>
  <c r="AE267" i="12"/>
  <c r="AF267" i="12" s="1"/>
  <c r="AC267" i="12"/>
  <c r="AC271" i="12"/>
  <c r="AE271" i="12"/>
  <c r="AF255" i="12"/>
  <c r="AE261" i="12"/>
  <c r="AF261" i="12" s="1"/>
  <c r="AC261" i="12"/>
  <c r="AE268" i="12"/>
  <c r="AC268" i="12"/>
  <c r="P39" i="13"/>
  <c r="AE269" i="12"/>
  <c r="AF269" i="12" s="1"/>
  <c r="AC269" i="12"/>
  <c r="G40" i="13"/>
  <c r="N39" i="13"/>
  <c r="O39" i="13" s="1"/>
  <c r="AC270" i="12"/>
  <c r="AE270" i="12"/>
  <c r="P255" i="12"/>
  <c r="AF248" i="12"/>
  <c r="AC262" i="12"/>
  <c r="AE262" i="12"/>
  <c r="AC265" i="12"/>
  <c r="AE265" i="12"/>
  <c r="M259" i="12"/>
  <c r="M268" i="12" s="1"/>
  <c r="O268" i="12" s="1"/>
  <c r="O257" i="12"/>
  <c r="M263" i="12"/>
  <c r="O263" i="12" s="1"/>
  <c r="M264" i="12" l="1"/>
  <c r="O264" i="12" s="1"/>
  <c r="P264" i="12"/>
  <c r="AF272" i="12"/>
  <c r="AF264" i="12"/>
  <c r="M271" i="12"/>
  <c r="O271" i="12" s="1"/>
  <c r="M269" i="12"/>
  <c r="O269" i="12" s="1"/>
  <c r="P269" i="12" s="1"/>
  <c r="P257" i="12"/>
  <c r="O259" i="12"/>
  <c r="P259" i="12" s="1"/>
  <c r="M266" i="12"/>
  <c r="O266" i="12" s="1"/>
  <c r="M265" i="12"/>
  <c r="O265" i="12" s="1"/>
  <c r="P265" i="12" s="1"/>
  <c r="AF266" i="12"/>
  <c r="M270" i="12"/>
  <c r="O270" i="12" s="1"/>
  <c r="AF268" i="12"/>
  <c r="AF265" i="12"/>
  <c r="M272" i="12"/>
  <c r="O272" i="12" s="1"/>
  <c r="P272" i="12" s="1"/>
  <c r="N40" i="13"/>
  <c r="O40" i="13" s="1"/>
  <c r="G41" i="13"/>
  <c r="AF270" i="12"/>
  <c r="M262" i="12"/>
  <c r="O262" i="12" s="1"/>
  <c r="M267" i="12"/>
  <c r="O267" i="12" s="1"/>
  <c r="P268" i="12" s="1"/>
  <c r="M261" i="12"/>
  <c r="O261" i="12" s="1"/>
  <c r="AF262" i="12"/>
  <c r="AF271" i="12"/>
  <c r="P266" i="12" l="1"/>
  <c r="G42" i="13"/>
  <c r="N41" i="13"/>
  <c r="O41" i="13" s="1"/>
  <c r="P261" i="12"/>
  <c r="P40" i="13"/>
  <c r="P267" i="12"/>
  <c r="P270" i="12"/>
  <c r="P262" i="12"/>
  <c r="P271" i="12"/>
  <c r="P263" i="12"/>
  <c r="P41" i="13" l="1"/>
  <c r="G43" i="13"/>
  <c r="N42" i="13"/>
  <c r="P42" i="13" s="1"/>
  <c r="O42" i="13"/>
  <c r="G44" i="13" l="1"/>
  <c r="N43" i="13"/>
  <c r="O43" i="13" s="1"/>
  <c r="P43" i="13" l="1"/>
  <c r="G45" i="13"/>
  <c r="N44" i="13"/>
  <c r="P44" i="13" s="1"/>
  <c r="O44" i="13"/>
  <c r="N45" i="13" l="1"/>
  <c r="O45" i="13" s="1"/>
  <c r="G46" i="13"/>
  <c r="P45" i="13" l="1"/>
  <c r="G47" i="13"/>
  <c r="N46" i="13"/>
  <c r="P46" i="13" s="1"/>
  <c r="O46" i="13"/>
  <c r="G48" i="13" l="1"/>
  <c r="N47" i="13"/>
  <c r="O47" i="13" s="1"/>
  <c r="P47" i="13" l="1"/>
  <c r="G49" i="13"/>
  <c r="N48" i="13"/>
  <c r="P48" i="13" s="1"/>
  <c r="P49" i="13" l="1"/>
  <c r="G50" i="13"/>
  <c r="N49" i="13"/>
  <c r="O49" i="13" s="1"/>
  <c r="O48" i="13"/>
  <c r="G51" i="13" l="1"/>
  <c r="N50" i="13"/>
  <c r="O50" i="13" s="1"/>
  <c r="P50" i="13" l="1"/>
  <c r="G52" i="13"/>
  <c r="N51" i="13"/>
  <c r="O51" i="13" s="1"/>
  <c r="P51" i="13" l="1"/>
  <c r="G53" i="13"/>
  <c r="N52" i="13"/>
  <c r="O52" i="13" s="1"/>
  <c r="G54" i="13" l="1"/>
  <c r="N53" i="13"/>
  <c r="O53" i="13" s="1"/>
  <c r="P52" i="13"/>
  <c r="P53" i="13" l="1"/>
  <c r="G55" i="13"/>
  <c r="N54" i="13"/>
  <c r="P54" i="13" s="1"/>
  <c r="O54" i="13" l="1"/>
  <c r="G56" i="13"/>
  <c r="N55" i="13"/>
  <c r="O55" i="13" s="1"/>
  <c r="P55" i="13"/>
  <c r="G57" i="13" l="1"/>
  <c r="N56" i="13"/>
  <c r="P56" i="13" s="1"/>
  <c r="O56" i="13"/>
  <c r="G58" i="13" l="1"/>
  <c r="N57" i="13"/>
  <c r="O57" i="13" s="1"/>
  <c r="P57" i="13" l="1"/>
  <c r="G59" i="13"/>
  <c r="N58" i="13"/>
  <c r="P58" i="13" s="1"/>
  <c r="N59" i="13" l="1"/>
  <c r="O59" i="13" s="1"/>
  <c r="G60" i="13"/>
  <c r="O58" i="13"/>
  <c r="N60" i="13" l="1"/>
  <c r="O60" i="13" s="1"/>
  <c r="G61" i="13"/>
  <c r="P59" i="13"/>
  <c r="P60" i="13" s="1"/>
  <c r="G62" i="13" l="1"/>
  <c r="N61" i="13"/>
  <c r="O61" i="13" s="1"/>
  <c r="G63" i="13" l="1"/>
  <c r="N62" i="13"/>
  <c r="O62" i="13" s="1"/>
  <c r="P61" i="13"/>
  <c r="P62" i="13" l="1"/>
  <c r="G64" i="13"/>
  <c r="N63" i="13"/>
  <c r="O63" i="13" s="1"/>
  <c r="O64" i="13" l="1"/>
  <c r="G65" i="13"/>
  <c r="N64" i="13"/>
  <c r="P63" i="13"/>
  <c r="P64" i="13" l="1"/>
  <c r="G66" i="13"/>
  <c r="N65" i="13"/>
  <c r="O65" i="13" s="1"/>
  <c r="P65" i="13" l="1"/>
  <c r="N66" i="13"/>
  <c r="G67" i="13"/>
  <c r="P66" i="13" l="1"/>
  <c r="G68" i="13"/>
  <c r="N67" i="13"/>
  <c r="O67" i="13" s="1"/>
  <c r="O66" i="13"/>
  <c r="P67" i="13" l="1"/>
  <c r="G69" i="13"/>
  <c r="N68" i="13"/>
  <c r="P68" i="13" s="1"/>
  <c r="O68" i="13"/>
  <c r="G70" i="13" l="1"/>
  <c r="N69" i="13"/>
  <c r="O69" i="13" s="1"/>
  <c r="P69" i="13" l="1"/>
  <c r="G71" i="13"/>
  <c r="N70" i="13"/>
  <c r="P70" i="13" s="1"/>
  <c r="O70" i="13"/>
  <c r="G72" i="13" l="1"/>
  <c r="N71" i="13"/>
  <c r="O71" i="13" s="1"/>
  <c r="P71" i="13" l="1"/>
  <c r="N72" i="13"/>
  <c r="O72" i="13" s="1"/>
  <c r="G73" i="13"/>
  <c r="P72" i="13" l="1"/>
  <c r="N73" i="13"/>
  <c r="O73" i="13" s="1"/>
  <c r="G74" i="13"/>
  <c r="N74" i="13" l="1"/>
  <c r="O74" i="13" s="1"/>
  <c r="G75" i="13"/>
  <c r="P73" i="13"/>
  <c r="P74" i="13" l="1"/>
  <c r="G76" i="13"/>
  <c r="N75" i="13"/>
  <c r="O75" i="13" s="1"/>
  <c r="P75" i="13" l="1"/>
  <c r="G77" i="13"/>
  <c r="N76" i="13"/>
  <c r="P76" i="13" s="1"/>
  <c r="G78" i="13" l="1"/>
  <c r="N77" i="13"/>
  <c r="O77" i="13" s="1"/>
  <c r="O76" i="13"/>
  <c r="P77" i="13" l="1"/>
  <c r="G79" i="13"/>
  <c r="N78" i="13"/>
  <c r="P78" i="13" s="1"/>
  <c r="G80" i="13" l="1"/>
  <c r="N79" i="13"/>
  <c r="O79" i="13" s="1"/>
  <c r="O78" i="13"/>
  <c r="N80" i="13" l="1"/>
  <c r="O80" i="13" s="1"/>
  <c r="G81" i="13"/>
  <c r="P79" i="13"/>
  <c r="P80" i="13" l="1"/>
  <c r="N81" i="13"/>
  <c r="O81" i="13" s="1"/>
  <c r="G82" i="13"/>
  <c r="P81" i="13"/>
  <c r="N82" i="13" l="1"/>
  <c r="P82" i="13" s="1"/>
  <c r="G83" i="13"/>
  <c r="O82" i="13"/>
  <c r="G84" i="13" l="1"/>
  <c r="N83" i="13"/>
  <c r="O83" i="13" s="1"/>
  <c r="G85" i="13" l="1"/>
  <c r="N84" i="13"/>
  <c r="O84" i="13" s="1"/>
  <c r="P83" i="13"/>
  <c r="P84" i="13" s="1"/>
  <c r="G86" i="13" l="1"/>
  <c r="N85" i="13"/>
  <c r="O85" i="13" s="1"/>
  <c r="G87" i="13" l="1"/>
  <c r="N86" i="13"/>
  <c r="O86" i="13" s="1"/>
  <c r="P85" i="13"/>
  <c r="P86" i="13" l="1"/>
  <c r="G88" i="13"/>
  <c r="N87" i="13"/>
  <c r="O87" i="13" s="1"/>
  <c r="N88" i="13" l="1"/>
  <c r="O88" i="13" s="1"/>
  <c r="G89" i="13"/>
  <c r="P87" i="13"/>
  <c r="P88" i="13" l="1"/>
  <c r="G90" i="13"/>
  <c r="N89" i="13"/>
  <c r="O89" i="13" s="1"/>
  <c r="G91" i="13" l="1"/>
  <c r="N90" i="13"/>
  <c r="O90" i="13" s="1"/>
  <c r="P89" i="13"/>
  <c r="P90" i="13" l="1"/>
  <c r="G92" i="13"/>
  <c r="N91" i="13"/>
  <c r="O91" i="13" s="1"/>
  <c r="G93" i="13" l="1"/>
  <c r="N92" i="13"/>
  <c r="O92" i="13" s="1"/>
  <c r="P91" i="13"/>
  <c r="P92" i="13" s="1"/>
  <c r="G94" i="13" l="1"/>
  <c r="N93" i="13"/>
  <c r="O93" i="13" s="1"/>
  <c r="N94" i="13" l="1"/>
  <c r="O94" i="13" s="1"/>
  <c r="G95" i="13"/>
  <c r="P93" i="13"/>
  <c r="P94" i="13" l="1"/>
  <c r="N95" i="13"/>
  <c r="O95" i="13" s="1"/>
  <c r="G96" i="13"/>
  <c r="P95" i="13" l="1"/>
  <c r="N96" i="13"/>
  <c r="G97" i="13"/>
  <c r="P96" i="13"/>
  <c r="O96" i="13"/>
  <c r="G98" i="13" l="1"/>
  <c r="N97" i="13"/>
  <c r="O97" i="13" s="1"/>
  <c r="P97" i="13"/>
  <c r="G99" i="13" l="1"/>
  <c r="N98" i="13"/>
  <c r="P98" i="13" s="1"/>
  <c r="O98" i="13"/>
  <c r="G100" i="13" l="1"/>
  <c r="N99" i="13"/>
  <c r="O99" i="13" s="1"/>
  <c r="P99" i="13" l="1"/>
  <c r="G101" i="13"/>
  <c r="N100" i="13"/>
  <c r="P100" i="13" s="1"/>
  <c r="N101" i="13" l="1"/>
  <c r="O101" i="13" s="1"/>
  <c r="G102" i="13"/>
  <c r="O100" i="13"/>
  <c r="P101" i="13" l="1"/>
  <c r="N102" i="13"/>
  <c r="O102" i="13" s="1"/>
  <c r="G103" i="13"/>
  <c r="P102" i="13" l="1"/>
  <c r="G104" i="13"/>
  <c r="N103" i="13"/>
  <c r="O103" i="13" s="1"/>
  <c r="P103" i="13" l="1"/>
  <c r="G105" i="13"/>
  <c r="N104" i="13"/>
  <c r="P104" i="13" s="1"/>
  <c r="N105" i="13" l="1"/>
  <c r="O105" i="13" s="1"/>
  <c r="G106" i="13"/>
  <c r="O104" i="13"/>
  <c r="P105" i="13" l="1"/>
  <c r="N106" i="13"/>
  <c r="P106" i="13" s="1"/>
  <c r="G107" i="13"/>
  <c r="O106" i="13"/>
  <c r="G108" i="13" l="1"/>
  <c r="N107" i="13"/>
  <c r="O107" i="13" s="1"/>
  <c r="G109" i="13" l="1"/>
  <c r="N108" i="13"/>
  <c r="O108" i="13" s="1"/>
  <c r="P107" i="13"/>
  <c r="P108" i="13" l="1"/>
  <c r="N109" i="13"/>
  <c r="O109" i="13" s="1"/>
  <c r="G110" i="13"/>
  <c r="N110" i="13" l="1"/>
  <c r="O110" i="13" s="1"/>
  <c r="G111" i="13"/>
  <c r="P109" i="13"/>
  <c r="P110" i="13" l="1"/>
  <c r="G112" i="13"/>
  <c r="N111" i="13"/>
  <c r="O111" i="13" s="1"/>
  <c r="P111" i="13" l="1"/>
  <c r="G113" i="13"/>
  <c r="N112" i="13"/>
  <c r="P112" i="13" s="1"/>
  <c r="N113" i="13" l="1"/>
  <c r="O113" i="13" s="1"/>
  <c r="G114" i="13"/>
  <c r="O112" i="13"/>
  <c r="N114" i="13" l="1"/>
  <c r="G115" i="13"/>
  <c r="O114" i="13"/>
  <c r="P113" i="13"/>
  <c r="P114" i="13" s="1"/>
  <c r="G116" i="13" l="1"/>
  <c r="N115" i="13"/>
  <c r="O115" i="13" s="1"/>
  <c r="G117" i="13" l="1"/>
  <c r="N116" i="13"/>
  <c r="O116" i="13" s="1"/>
  <c r="P115" i="13"/>
  <c r="P116" i="13" l="1"/>
  <c r="N117" i="13"/>
  <c r="O117" i="13" s="1"/>
  <c r="G118" i="13"/>
  <c r="N118" i="13" l="1"/>
  <c r="G119" i="13"/>
  <c r="O118" i="13"/>
  <c r="P117" i="13"/>
  <c r="P118" i="13" s="1"/>
  <c r="G120" i="13" l="1"/>
  <c r="N119" i="13"/>
  <c r="O119" i="13" s="1"/>
  <c r="G121" i="13" l="1"/>
  <c r="N120" i="13"/>
  <c r="O120" i="13" s="1"/>
  <c r="P119" i="13"/>
  <c r="P120" i="13" l="1"/>
  <c r="N121" i="13"/>
  <c r="O121" i="13" s="1"/>
  <c r="G122" i="13"/>
  <c r="N122" i="13" l="1"/>
  <c r="G123" i="13"/>
  <c r="O122" i="13"/>
  <c r="P121" i="13"/>
  <c r="P122" i="13" s="1"/>
  <c r="G124" i="13" l="1"/>
  <c r="N123" i="13"/>
  <c r="O123" i="13" s="1"/>
  <c r="G125" i="13" l="1"/>
  <c r="N124" i="13"/>
  <c r="O124" i="13" s="1"/>
  <c r="P123" i="13"/>
  <c r="P124" i="13" l="1"/>
  <c r="N125" i="13"/>
  <c r="O125" i="13" s="1"/>
  <c r="G126" i="13"/>
  <c r="N126" i="13" l="1"/>
  <c r="G127" i="13"/>
  <c r="O126" i="13"/>
  <c r="P125" i="13"/>
  <c r="P126" i="13" s="1"/>
  <c r="G128" i="13" l="1"/>
  <c r="N127" i="13"/>
  <c r="O127" i="13" s="1"/>
  <c r="G129" i="13" l="1"/>
  <c r="N128" i="13"/>
  <c r="O128" i="13" s="1"/>
  <c r="P127" i="13"/>
  <c r="P128" i="13" l="1"/>
  <c r="N129" i="13"/>
  <c r="O129" i="13" s="1"/>
  <c r="G130" i="13"/>
  <c r="N130" i="13" l="1"/>
  <c r="G131" i="13"/>
  <c r="O130" i="13"/>
  <c r="P129" i="13"/>
  <c r="P130" i="13" s="1"/>
  <c r="G132" i="13" l="1"/>
  <c r="N131" i="13"/>
  <c r="O131" i="13" s="1"/>
  <c r="G133" i="13" l="1"/>
  <c r="N132" i="13"/>
  <c r="O132" i="13" s="1"/>
  <c r="P131" i="13"/>
  <c r="P132" i="13" l="1"/>
  <c r="N133" i="13"/>
  <c r="O133" i="13" s="1"/>
  <c r="G134" i="13"/>
  <c r="N134" i="13" l="1"/>
  <c r="G135" i="13"/>
  <c r="O134" i="13"/>
  <c r="P133" i="13"/>
  <c r="P134" i="13" s="1"/>
  <c r="G136" i="13" l="1"/>
  <c r="N135" i="13"/>
  <c r="O135" i="13" s="1"/>
  <c r="P135" i="13" l="1"/>
  <c r="G137" i="13"/>
  <c r="N136" i="13"/>
  <c r="P136" i="13" s="1"/>
  <c r="N137" i="13" l="1"/>
  <c r="O137" i="13" s="1"/>
  <c r="G138" i="13"/>
  <c r="O136" i="13"/>
  <c r="N138" i="13" l="1"/>
  <c r="G139" i="13"/>
  <c r="O138" i="13"/>
  <c r="P137" i="13"/>
  <c r="P138" i="13" s="1"/>
  <c r="G140" i="13" l="1"/>
  <c r="N139" i="13"/>
  <c r="O139" i="13" s="1"/>
  <c r="P139" i="13" l="1"/>
  <c r="G141" i="13"/>
  <c r="N140" i="13"/>
  <c r="P140" i="13" s="1"/>
  <c r="N141" i="13" l="1"/>
  <c r="O141" i="13" s="1"/>
  <c r="G142" i="13"/>
  <c r="O140" i="13"/>
  <c r="N142" i="13" l="1"/>
  <c r="G143" i="13"/>
  <c r="O142" i="13"/>
  <c r="P141" i="13"/>
  <c r="P142" i="13" s="1"/>
  <c r="G144" i="13" l="1"/>
  <c r="N143" i="13"/>
  <c r="O143" i="13" s="1"/>
  <c r="G145" i="13" l="1"/>
  <c r="N144" i="13"/>
  <c r="O144" i="13" s="1"/>
  <c r="P143" i="13"/>
  <c r="P144" i="13" l="1"/>
  <c r="N145" i="13"/>
  <c r="O145" i="13" s="1"/>
  <c r="G146" i="13"/>
  <c r="N146" i="13" l="1"/>
  <c r="G147" i="13"/>
  <c r="O146" i="13"/>
  <c r="P145" i="13"/>
  <c r="P146" i="13" s="1"/>
  <c r="G148" i="13" l="1"/>
  <c r="N147" i="13"/>
  <c r="O147" i="13" s="1"/>
  <c r="G149" i="13" l="1"/>
  <c r="N148" i="13"/>
  <c r="O148" i="13" s="1"/>
  <c r="P147" i="13"/>
  <c r="P148" i="13" l="1"/>
  <c r="N149" i="13"/>
  <c r="O149" i="13" s="1"/>
  <c r="G150" i="13"/>
  <c r="G151" i="13" l="1"/>
  <c r="N150" i="13"/>
  <c r="O150" i="13"/>
  <c r="P149" i="13"/>
  <c r="P150" i="13" s="1"/>
  <c r="G152" i="13" l="1"/>
  <c r="N151" i="13"/>
  <c r="O151" i="13" s="1"/>
  <c r="G153" i="13" l="1"/>
  <c r="N152" i="13"/>
  <c r="O152" i="13" s="1"/>
  <c r="P151" i="13"/>
  <c r="P152" i="13" l="1"/>
  <c r="N153" i="13"/>
  <c r="O153" i="13" s="1"/>
  <c r="G154" i="13"/>
  <c r="G155" i="13" l="1"/>
  <c r="N154" i="13"/>
  <c r="O154" i="13"/>
  <c r="P153" i="13"/>
  <c r="P154" i="13" l="1"/>
  <c r="G156" i="13"/>
  <c r="N155" i="13"/>
  <c r="O155" i="13" s="1"/>
  <c r="G157" i="13" l="1"/>
  <c r="N156" i="13"/>
  <c r="O156" i="13" s="1"/>
  <c r="P155" i="13"/>
  <c r="P156" i="13" l="1"/>
  <c r="G158" i="13"/>
  <c r="N157" i="13"/>
  <c r="O157" i="13" s="1"/>
  <c r="G159" i="13" l="1"/>
  <c r="N158" i="13"/>
  <c r="O158" i="13" s="1"/>
  <c r="P157" i="13"/>
  <c r="P158" i="13" l="1"/>
  <c r="N159" i="13"/>
  <c r="O159" i="13" s="1"/>
  <c r="G160" i="13"/>
  <c r="G161" i="13" l="1"/>
  <c r="N160" i="13"/>
  <c r="O160" i="13"/>
  <c r="P159" i="13"/>
  <c r="P160" i="13" s="1"/>
  <c r="G162" i="13" l="1"/>
  <c r="N161" i="13"/>
  <c r="O161" i="13" s="1"/>
  <c r="G163" i="13" l="1"/>
  <c r="N162" i="13"/>
  <c r="O162" i="13" s="1"/>
  <c r="P161" i="13"/>
  <c r="P162" i="13" s="1"/>
  <c r="G164" i="13" l="1"/>
  <c r="N163" i="13"/>
  <c r="O163" i="13" s="1"/>
  <c r="G165" i="13" l="1"/>
  <c r="N164" i="13"/>
  <c r="O164" i="13" s="1"/>
  <c r="P163" i="13"/>
  <c r="P164" i="13" l="1"/>
  <c r="N165" i="13"/>
  <c r="O165" i="13" s="1"/>
  <c r="G166" i="13"/>
  <c r="G167" i="13" l="1"/>
  <c r="N166" i="13"/>
  <c r="O166" i="13"/>
  <c r="P165" i="13"/>
  <c r="P166" i="13" s="1"/>
  <c r="G168" i="13" l="1"/>
  <c r="N167" i="13"/>
  <c r="O167" i="13" s="1"/>
  <c r="G169" i="13" l="1"/>
  <c r="N168" i="13"/>
  <c r="O168" i="13" s="1"/>
  <c r="P167" i="13"/>
  <c r="P168" i="13" l="1"/>
  <c r="N169" i="13"/>
  <c r="O169" i="13" s="1"/>
  <c r="G170" i="13"/>
  <c r="G171" i="13" l="1"/>
  <c r="N170" i="13"/>
  <c r="O170" i="13"/>
  <c r="P169" i="13"/>
  <c r="P170" i="13" s="1"/>
  <c r="G172" i="13" l="1"/>
  <c r="N171" i="13"/>
  <c r="O171" i="13" s="1"/>
  <c r="G173" i="13" l="1"/>
  <c r="N172" i="13"/>
  <c r="O172" i="13" s="1"/>
  <c r="P171" i="13"/>
  <c r="P172" i="13" l="1"/>
  <c r="G174" i="13"/>
  <c r="N173" i="13"/>
  <c r="O173" i="13" s="1"/>
  <c r="G175" i="13" l="1"/>
  <c r="N174" i="13"/>
  <c r="O174" i="13" s="1"/>
  <c r="P173" i="13"/>
  <c r="P174" i="13" l="1"/>
  <c r="N175" i="13"/>
  <c r="O175" i="13" s="1"/>
  <c r="G176" i="13"/>
  <c r="G177" i="13" l="1"/>
  <c r="N176" i="13"/>
  <c r="O176" i="13"/>
  <c r="P175" i="13"/>
  <c r="P176" i="13" s="1"/>
  <c r="G178" i="13" l="1"/>
  <c r="N177" i="13"/>
  <c r="O177" i="13" s="1"/>
  <c r="G179" i="13" l="1"/>
  <c r="N178" i="13"/>
  <c r="O178" i="13" s="1"/>
  <c r="P177" i="13"/>
  <c r="P178" i="13" l="1"/>
  <c r="G180" i="13"/>
  <c r="N179" i="13"/>
  <c r="O179" i="13" s="1"/>
  <c r="G181" i="13" l="1"/>
  <c r="N180" i="13"/>
  <c r="O180" i="13" s="1"/>
  <c r="P179" i="13"/>
  <c r="P180" i="13" l="1"/>
  <c r="N181" i="13"/>
  <c r="O181" i="13" s="1"/>
  <c r="G182" i="13"/>
  <c r="G183" i="13" l="1"/>
  <c r="N182" i="13"/>
  <c r="O182" i="13"/>
  <c r="P181" i="13"/>
  <c r="P182" i="13" s="1"/>
  <c r="G184" i="13" l="1"/>
  <c r="N183" i="13"/>
  <c r="O183" i="13" s="1"/>
  <c r="G185" i="13" l="1"/>
  <c r="N184" i="13"/>
  <c r="O184" i="13" s="1"/>
  <c r="P183" i="13"/>
  <c r="P184" i="13" l="1"/>
  <c r="N185" i="13"/>
  <c r="O185" i="13" s="1"/>
  <c r="G186" i="13"/>
  <c r="G187" i="13" l="1"/>
  <c r="N186" i="13"/>
  <c r="O186" i="13" s="1"/>
  <c r="P185" i="13"/>
  <c r="P186" i="13" l="1"/>
  <c r="G188" i="13"/>
  <c r="N187" i="13"/>
  <c r="O187" i="13" s="1"/>
  <c r="G189" i="13" l="1"/>
  <c r="N188" i="13"/>
  <c r="O188" i="13" s="1"/>
  <c r="P187" i="13"/>
  <c r="P188" i="13" s="1"/>
  <c r="G190" i="13" l="1"/>
  <c r="N189" i="13"/>
  <c r="O189" i="13" s="1"/>
  <c r="G191" i="13" l="1"/>
  <c r="N190" i="13"/>
  <c r="O190" i="13" s="1"/>
  <c r="P189" i="13"/>
  <c r="P190" i="13" l="1"/>
  <c r="G192" i="13"/>
  <c r="N191" i="13"/>
  <c r="O191" i="13" s="1"/>
  <c r="G193" i="13" l="1"/>
  <c r="N192" i="13"/>
  <c r="O192" i="13" s="1"/>
  <c r="P191" i="13"/>
  <c r="P192" i="13" s="1"/>
  <c r="G194" i="13" l="1"/>
  <c r="N193" i="13"/>
  <c r="O193" i="13" s="1"/>
  <c r="G195" i="13" l="1"/>
  <c r="N194" i="13"/>
  <c r="O194" i="13" s="1"/>
  <c r="P193" i="13"/>
  <c r="P194" i="13" s="1"/>
  <c r="G196" i="13" l="1"/>
  <c r="N195" i="13"/>
  <c r="O195" i="13" s="1"/>
  <c r="G197" i="13" l="1"/>
  <c r="N196" i="13"/>
  <c r="O196" i="13" s="1"/>
  <c r="P195" i="13"/>
  <c r="P196" i="13" l="1"/>
  <c r="G198" i="13"/>
  <c r="N197" i="13"/>
  <c r="O197" i="13" s="1"/>
  <c r="G199" i="13" l="1"/>
  <c r="N198" i="13"/>
  <c r="O198" i="13" s="1"/>
  <c r="P197" i="13"/>
  <c r="P198" i="13" s="1"/>
  <c r="G200" i="13" l="1"/>
  <c r="N199" i="13"/>
  <c r="O199" i="13" s="1"/>
  <c r="G201" i="13" l="1"/>
  <c r="N200" i="13"/>
  <c r="O200" i="13" s="1"/>
  <c r="P199" i="13"/>
  <c r="P200" i="13" l="1"/>
  <c r="G202" i="13"/>
  <c r="N201" i="13"/>
  <c r="O201" i="13" s="1"/>
  <c r="G203" i="13" l="1"/>
  <c r="N202" i="13"/>
  <c r="O202" i="13" s="1"/>
  <c r="P201" i="13"/>
  <c r="P202" i="13" l="1"/>
  <c r="G204" i="13"/>
  <c r="N203" i="13"/>
  <c r="O203" i="13" s="1"/>
  <c r="G205" i="13" l="1"/>
  <c r="N204" i="13"/>
  <c r="O204" i="13" s="1"/>
  <c r="P203" i="13"/>
  <c r="P204" i="13" l="1"/>
  <c r="G206" i="13"/>
  <c r="N205" i="13"/>
  <c r="O205" i="13" s="1"/>
  <c r="G207" i="13" l="1"/>
  <c r="N206" i="13"/>
  <c r="O206" i="13" s="1"/>
  <c r="P205" i="13"/>
  <c r="P206" i="13" l="1"/>
  <c r="G208" i="13"/>
  <c r="N207" i="13"/>
  <c r="O207" i="13" s="1"/>
  <c r="G209" i="13" l="1"/>
  <c r="N208" i="13"/>
  <c r="O208" i="13" s="1"/>
  <c r="P207" i="13"/>
  <c r="P208" i="13" l="1"/>
  <c r="G210" i="13"/>
  <c r="N209" i="13"/>
  <c r="O209" i="13" s="1"/>
  <c r="G211" i="13" l="1"/>
  <c r="N210" i="13"/>
  <c r="O210" i="13" s="1"/>
  <c r="P209" i="13"/>
  <c r="P210" i="13" l="1"/>
  <c r="G212" i="13"/>
  <c r="N211" i="13"/>
  <c r="O211" i="13" s="1"/>
  <c r="G213" i="13" l="1"/>
  <c r="N212" i="13"/>
  <c r="O212" i="13" s="1"/>
  <c r="P211" i="13"/>
  <c r="P212" i="13" l="1"/>
  <c r="G214" i="13"/>
  <c r="N213" i="13"/>
  <c r="O213" i="13" s="1"/>
  <c r="G215" i="13" l="1"/>
  <c r="N214" i="13"/>
  <c r="O214" i="13" s="1"/>
  <c r="P213" i="13"/>
  <c r="P214" i="13" l="1"/>
  <c r="G216" i="13"/>
  <c r="N215" i="13"/>
  <c r="O215" i="13" s="1"/>
  <c r="G217" i="13" l="1"/>
  <c r="N216" i="13"/>
  <c r="O216" i="13" s="1"/>
  <c r="P215" i="13"/>
  <c r="P216" i="13" l="1"/>
  <c r="G218" i="13"/>
  <c r="N217" i="13"/>
  <c r="O217" i="13" s="1"/>
  <c r="G219" i="13" l="1"/>
  <c r="N218" i="13"/>
  <c r="O218" i="13" s="1"/>
  <c r="P217" i="13"/>
  <c r="P218" i="13" l="1"/>
  <c r="G220" i="13"/>
  <c r="N219" i="13"/>
  <c r="O219" i="13" s="1"/>
  <c r="G221" i="13" l="1"/>
  <c r="N220" i="13"/>
  <c r="O220" i="13" s="1"/>
  <c r="P219" i="13"/>
  <c r="P220" i="13" l="1"/>
  <c r="G222" i="13"/>
  <c r="N221" i="13"/>
  <c r="O221" i="13" s="1"/>
  <c r="G223" i="13" l="1"/>
  <c r="N222" i="13"/>
  <c r="O222" i="13" s="1"/>
  <c r="P221" i="13"/>
  <c r="P222" i="13" s="1"/>
  <c r="N223" i="13" l="1"/>
  <c r="O223" i="13" s="1"/>
  <c r="G224" i="13"/>
  <c r="G225" i="13" l="1"/>
  <c r="N224" i="13"/>
  <c r="O224" i="13"/>
  <c r="P223" i="13"/>
  <c r="P224" i="13" s="1"/>
  <c r="G226" i="13" l="1"/>
  <c r="N225" i="13"/>
  <c r="O225" i="13" s="1"/>
  <c r="G227" i="13" l="1"/>
  <c r="N226" i="13"/>
  <c r="O226" i="13" s="1"/>
  <c r="P225" i="13"/>
  <c r="P226" i="13" l="1"/>
  <c r="N227" i="13"/>
  <c r="O227" i="13" s="1"/>
  <c r="G228" i="13"/>
  <c r="G229" i="13" l="1"/>
  <c r="N228" i="13"/>
  <c r="O228" i="13"/>
  <c r="P227" i="13"/>
  <c r="P228" i="13" s="1"/>
  <c r="G230" i="13" l="1"/>
  <c r="N229" i="13"/>
  <c r="O229" i="13" s="1"/>
  <c r="G231" i="13" l="1"/>
  <c r="N230" i="13"/>
  <c r="O230" i="13" s="1"/>
  <c r="P229" i="13"/>
  <c r="P230" i="13" s="1"/>
  <c r="N231" i="13" l="1"/>
  <c r="O231" i="13" s="1"/>
  <c r="G232" i="13"/>
  <c r="G233" i="13" l="1"/>
  <c r="N232" i="13"/>
  <c r="O232" i="13"/>
  <c r="P231" i="13"/>
  <c r="P232" i="13" s="1"/>
  <c r="G234" i="13" l="1"/>
  <c r="N233" i="13"/>
  <c r="O233" i="13" s="1"/>
  <c r="G235" i="13" l="1"/>
  <c r="N234" i="13"/>
  <c r="O234" i="13" s="1"/>
  <c r="P233" i="13"/>
  <c r="P234" i="13" l="1"/>
  <c r="N235" i="13"/>
  <c r="O235" i="13" s="1"/>
  <c r="G236" i="13"/>
  <c r="G237" i="13" l="1"/>
  <c r="N236" i="13"/>
  <c r="O236" i="13"/>
  <c r="P235" i="13"/>
  <c r="P236" i="13" s="1"/>
  <c r="N237" i="13" l="1"/>
  <c r="O237" i="13" s="1"/>
  <c r="G238" i="13"/>
  <c r="G239" i="13" l="1"/>
  <c r="N238" i="13"/>
  <c r="O238" i="13"/>
  <c r="P237" i="13"/>
  <c r="P238" i="13" s="1"/>
  <c r="N239" i="13" l="1"/>
  <c r="O239" i="13" s="1"/>
  <c r="G240" i="13"/>
  <c r="G241" i="13" l="1"/>
  <c r="N240" i="13"/>
  <c r="O240" i="13"/>
  <c r="P239" i="13"/>
  <c r="P240" i="13" s="1"/>
  <c r="G242" i="13" l="1"/>
  <c r="N241" i="13"/>
  <c r="O241" i="13" s="1"/>
  <c r="G243" i="13" l="1"/>
  <c r="N242" i="13"/>
  <c r="O242" i="13" s="1"/>
  <c r="P241" i="13"/>
  <c r="P242" i="13" l="1"/>
  <c r="N243" i="13"/>
  <c r="O243" i="13" s="1"/>
  <c r="G244" i="13"/>
  <c r="G245" i="13" l="1"/>
  <c r="N244" i="13"/>
  <c r="O244" i="13" s="1"/>
  <c r="P243" i="13"/>
  <c r="P244" i="13" l="1"/>
  <c r="G246" i="13"/>
  <c r="N245" i="13"/>
  <c r="O245" i="13" s="1"/>
  <c r="G247" i="13" l="1"/>
  <c r="N246" i="13"/>
  <c r="O246" i="13" s="1"/>
  <c r="P245" i="13"/>
  <c r="P246" i="13" l="1"/>
  <c r="N247" i="13"/>
  <c r="O247" i="13" s="1"/>
  <c r="G248" i="13"/>
  <c r="G249" i="13" l="1"/>
  <c r="N248" i="13"/>
  <c r="O248" i="13" s="1"/>
  <c r="P247" i="13"/>
  <c r="P248" i="13" s="1"/>
  <c r="G250" i="13" l="1"/>
  <c r="N249" i="13"/>
  <c r="O249" i="13" s="1"/>
  <c r="G251" i="13" l="1"/>
  <c r="N250" i="13"/>
  <c r="O250" i="13" s="1"/>
  <c r="P249" i="13"/>
  <c r="P250" i="13" l="1"/>
  <c r="N251" i="13"/>
  <c r="O251" i="13" s="1"/>
  <c r="G252" i="13"/>
  <c r="G253" i="13" l="1"/>
  <c r="N252" i="13"/>
  <c r="O252" i="13"/>
  <c r="P251" i="13"/>
  <c r="P252" i="13" s="1"/>
  <c r="G254" i="13" l="1"/>
  <c r="N253" i="13"/>
  <c r="O253" i="13" s="1"/>
  <c r="G255" i="13" l="1"/>
  <c r="N254" i="13"/>
  <c r="O254" i="13" s="1"/>
  <c r="P253" i="13"/>
  <c r="P254" i="13" s="1"/>
  <c r="N255" i="13" l="1"/>
  <c r="O255" i="13" s="1"/>
  <c r="G256" i="13"/>
  <c r="G257" i="13" l="1"/>
  <c r="N256" i="13"/>
  <c r="O256" i="13"/>
  <c r="P255" i="13"/>
  <c r="P256" i="13" s="1"/>
  <c r="G258" i="13" l="1"/>
  <c r="N257" i="13"/>
  <c r="O257" i="13" s="1"/>
  <c r="G259" i="13" l="1"/>
  <c r="N258" i="13"/>
  <c r="O258" i="13" s="1"/>
  <c r="P257" i="13"/>
  <c r="P258" i="13" s="1"/>
  <c r="N259" i="13" l="1"/>
  <c r="O259" i="13" s="1"/>
  <c r="G260" i="13"/>
  <c r="G261" i="13" l="1"/>
  <c r="N260" i="13"/>
  <c r="O260" i="13" s="1"/>
  <c r="P259" i="13"/>
  <c r="P260" i="13" l="1"/>
  <c r="G262" i="13"/>
  <c r="N261" i="13"/>
  <c r="O261" i="13" s="1"/>
  <c r="G263" i="13" l="1"/>
  <c r="N262" i="13"/>
  <c r="O262" i="13" s="1"/>
  <c r="P261" i="13"/>
  <c r="P262" i="13" l="1"/>
  <c r="N263" i="13"/>
  <c r="O263" i="13" s="1"/>
  <c r="G264" i="13"/>
  <c r="P263" i="13" l="1"/>
  <c r="G265" i="13"/>
  <c r="N264" i="13"/>
  <c r="O264" i="13" s="1"/>
  <c r="P264" i="13" l="1"/>
  <c r="G266" i="13"/>
  <c r="N265" i="13"/>
  <c r="O265" i="13" s="1"/>
  <c r="P265" i="13" l="1"/>
  <c r="G267" i="13"/>
  <c r="N266" i="13"/>
  <c r="P266" i="13" s="1"/>
  <c r="O266" i="13" l="1"/>
  <c r="N267" i="13"/>
  <c r="O267" i="13" s="1"/>
  <c r="G268" i="13"/>
  <c r="G269" i="13" l="1"/>
  <c r="N268" i="13"/>
  <c r="O268" i="13"/>
  <c r="P267" i="13"/>
  <c r="P268" i="13" l="1"/>
  <c r="N269" i="13"/>
  <c r="O269" i="13" s="1"/>
  <c r="G270" i="13"/>
  <c r="G271" i="13" l="1"/>
  <c r="N270" i="13"/>
  <c r="O270" i="13" s="1"/>
  <c r="P269" i="13"/>
  <c r="N271" i="13" l="1"/>
  <c r="O271" i="13" s="1"/>
  <c r="G272" i="13"/>
  <c r="P270" i="13"/>
  <c r="P271" i="13" s="1"/>
  <c r="G273" i="13" l="1"/>
  <c r="N272" i="13"/>
  <c r="P272" i="13" s="1"/>
  <c r="O272" i="13"/>
  <c r="G274" i="13" l="1"/>
  <c r="N273" i="13"/>
  <c r="O273" i="13" s="1"/>
  <c r="G275" i="13" l="1"/>
  <c r="N274" i="13"/>
  <c r="O274" i="13"/>
  <c r="P273" i="13"/>
  <c r="P274" i="13" s="1"/>
  <c r="N275" i="13" l="1"/>
  <c r="O275" i="13" s="1"/>
  <c r="G276" i="13"/>
  <c r="G277" i="13" l="1"/>
  <c r="N276" i="13"/>
  <c r="O276" i="13"/>
  <c r="P275" i="13"/>
  <c r="P276" i="13" s="1"/>
  <c r="N277" i="13" l="1"/>
  <c r="O277" i="13" s="1"/>
  <c r="G278" i="13"/>
  <c r="G279" i="13" l="1"/>
  <c r="N278" i="13"/>
  <c r="O278" i="13"/>
  <c r="P277" i="13"/>
  <c r="P278" i="13" s="1"/>
  <c r="G280" i="13" l="1"/>
  <c r="N279" i="13"/>
  <c r="O279" i="13" s="1"/>
  <c r="G281" i="13" l="1"/>
  <c r="N280" i="13"/>
  <c r="O280" i="13" s="1"/>
  <c r="P279" i="13"/>
  <c r="P280" i="13" s="1"/>
  <c r="G282" i="13" l="1"/>
  <c r="N281" i="13"/>
  <c r="O281" i="13" s="1"/>
  <c r="P281" i="13" l="1"/>
  <c r="G283" i="13"/>
  <c r="N282" i="13"/>
  <c r="P282" i="13" s="1"/>
  <c r="N283" i="13" l="1"/>
  <c r="O283" i="13" s="1"/>
  <c r="G284" i="13"/>
  <c r="O282" i="13"/>
  <c r="G285" i="13" l="1"/>
  <c r="N284" i="13"/>
  <c r="O284" i="13" s="1"/>
  <c r="P283" i="13"/>
  <c r="P284" i="13" l="1"/>
  <c r="G286" i="13"/>
  <c r="N285" i="13"/>
  <c r="O285" i="13" s="1"/>
  <c r="G287" i="13" l="1"/>
  <c r="N286" i="13"/>
  <c r="O286" i="13" s="1"/>
  <c r="P285" i="13"/>
  <c r="P286" i="13" l="1"/>
  <c r="G288" i="13"/>
  <c r="N287" i="13"/>
  <c r="O287" i="13" s="1"/>
  <c r="G289" i="13" l="1"/>
  <c r="N288" i="13"/>
  <c r="O288" i="13" s="1"/>
  <c r="P287" i="13"/>
  <c r="G290" i="13" l="1"/>
  <c r="N289" i="13"/>
  <c r="O289" i="13" s="1"/>
  <c r="P288" i="13"/>
  <c r="P289" i="13" l="1"/>
  <c r="G291" i="13"/>
  <c r="N290" i="13"/>
  <c r="P290" i="13" s="1"/>
  <c r="G292" i="13" l="1"/>
  <c r="N291" i="13"/>
  <c r="O291" i="13" s="1"/>
  <c r="O290" i="13"/>
  <c r="G293" i="13" l="1"/>
  <c r="N292" i="13"/>
  <c r="O292" i="13" s="1"/>
  <c r="P291" i="13"/>
  <c r="P292" i="13" l="1"/>
  <c r="G294" i="13"/>
  <c r="N293" i="13"/>
  <c r="O293" i="13" s="1"/>
  <c r="G295" i="13" l="1"/>
  <c r="N294" i="13"/>
  <c r="O294" i="13" s="1"/>
  <c r="P293" i="13"/>
  <c r="P294" i="13" l="1"/>
  <c r="N295" i="13"/>
  <c r="O295" i="13" s="1"/>
  <c r="G296" i="13"/>
  <c r="G297" i="13" l="1"/>
  <c r="N296" i="13"/>
  <c r="O296" i="13"/>
  <c r="P295" i="13"/>
  <c r="P296" i="13" s="1"/>
  <c r="G298" i="13" l="1"/>
  <c r="N297" i="13"/>
  <c r="O297" i="13" s="1"/>
  <c r="N298" i="13" l="1"/>
  <c r="O298" i="13" s="1"/>
  <c r="G299" i="13"/>
  <c r="P297" i="13"/>
  <c r="P298" i="13" s="1"/>
  <c r="N299" i="13" l="1"/>
  <c r="O299" i="13" s="1"/>
  <c r="G300" i="13"/>
  <c r="G301" i="13" l="1"/>
  <c r="N300" i="13"/>
  <c r="O300" i="13"/>
  <c r="P299" i="13"/>
  <c r="P300" i="13" s="1"/>
  <c r="N301" i="13" l="1"/>
  <c r="O301" i="13" s="1"/>
  <c r="G302" i="13"/>
  <c r="G303" i="13" l="1"/>
  <c r="N302" i="13"/>
  <c r="O302" i="13" s="1"/>
  <c r="P301" i="13"/>
  <c r="P302" i="13" l="1"/>
  <c r="G304" i="13"/>
  <c r="N303" i="13"/>
  <c r="O303" i="13" s="1"/>
  <c r="P303" i="13" l="1"/>
  <c r="G305" i="13"/>
  <c r="N304" i="13"/>
  <c r="P304" i="13" s="1"/>
  <c r="O304" i="13"/>
  <c r="G306" i="13" l="1"/>
  <c r="N305" i="13"/>
  <c r="O305" i="13" s="1"/>
  <c r="G307" i="13" l="1"/>
  <c r="N306" i="13"/>
  <c r="O306" i="13" s="1"/>
  <c r="P305" i="13"/>
  <c r="P306" i="13" l="1"/>
  <c r="G308" i="13"/>
  <c r="N307" i="13"/>
  <c r="O307" i="13" s="1"/>
  <c r="G309" i="13" l="1"/>
  <c r="N308" i="13"/>
  <c r="O308" i="13" s="1"/>
  <c r="P307" i="13"/>
  <c r="P308" i="13" l="1"/>
  <c r="G310" i="13"/>
  <c r="N309" i="13"/>
  <c r="O309" i="13" s="1"/>
  <c r="G311" i="13" l="1"/>
  <c r="N310" i="13"/>
  <c r="O310" i="13" s="1"/>
  <c r="P309" i="13"/>
  <c r="P310" i="13" l="1"/>
  <c r="G312" i="13"/>
  <c r="N311" i="13"/>
  <c r="O311" i="13" s="1"/>
  <c r="P311" i="13" l="1"/>
  <c r="G313" i="13"/>
  <c r="N312" i="13"/>
  <c r="P312" i="13" s="1"/>
  <c r="O312" i="13"/>
  <c r="G314" i="13" l="1"/>
  <c r="N313" i="13"/>
  <c r="O313" i="13" s="1"/>
  <c r="G315" i="13" l="1"/>
  <c r="N314" i="13"/>
  <c r="O314" i="13" s="1"/>
  <c r="P313" i="13"/>
  <c r="P314" i="13" l="1"/>
  <c r="G316" i="13"/>
  <c r="N315" i="13"/>
  <c r="O315" i="13" s="1"/>
  <c r="G317" i="13" l="1"/>
  <c r="N316" i="13"/>
  <c r="O316" i="13" s="1"/>
  <c r="P315" i="13"/>
  <c r="P316" i="13" s="1"/>
  <c r="G318" i="13" l="1"/>
  <c r="N317" i="13"/>
  <c r="O317" i="13" s="1"/>
  <c r="G319" i="13" l="1"/>
  <c r="N318" i="13"/>
  <c r="P317" i="13"/>
  <c r="O318" i="13"/>
  <c r="P318" i="13" l="1"/>
  <c r="N319" i="13"/>
  <c r="O319" i="13" s="1"/>
  <c r="G320" i="13"/>
  <c r="G321" i="13" l="1"/>
  <c r="N320" i="13"/>
  <c r="O320" i="13" s="1"/>
  <c r="P319" i="13"/>
  <c r="P320" i="13" l="1"/>
  <c r="G322" i="13"/>
  <c r="N321" i="13"/>
  <c r="O321" i="13" s="1"/>
  <c r="P321" i="13" l="1"/>
  <c r="N322" i="13"/>
  <c r="O322" i="13" s="1"/>
  <c r="G323" i="13"/>
  <c r="G324" i="13" l="1"/>
  <c r="N323" i="13"/>
  <c r="O323" i="13" s="1"/>
  <c r="P322" i="13"/>
  <c r="P323" i="13" l="1"/>
  <c r="G325" i="13"/>
  <c r="N324" i="13"/>
  <c r="O324" i="13" s="1"/>
  <c r="G326" i="13" l="1"/>
  <c r="N325" i="13"/>
  <c r="O325" i="13" s="1"/>
  <c r="P324" i="13"/>
  <c r="P325" i="13" l="1"/>
  <c r="N326" i="13"/>
  <c r="P326" i="13" s="1"/>
  <c r="G327" i="13"/>
  <c r="G328" i="13" l="1"/>
  <c r="N327" i="13"/>
  <c r="O327" i="13" s="1"/>
  <c r="O326" i="13"/>
  <c r="G329" i="13" l="1"/>
  <c r="N328" i="13"/>
  <c r="O328" i="13" s="1"/>
  <c r="P327" i="13"/>
  <c r="P328" i="13" l="1"/>
  <c r="G330" i="13"/>
  <c r="N329" i="13"/>
  <c r="O329" i="13" s="1"/>
  <c r="N330" i="13" l="1"/>
  <c r="O330" i="13" s="1"/>
  <c r="G331" i="13"/>
  <c r="P329" i="13"/>
  <c r="P330" i="13" l="1"/>
  <c r="G332" i="13"/>
  <c r="N331" i="13"/>
  <c r="O331" i="13" s="1"/>
  <c r="G333" i="13" l="1"/>
  <c r="N332" i="13"/>
  <c r="O332" i="13" s="1"/>
  <c r="P331" i="13"/>
  <c r="G334" i="13" l="1"/>
  <c r="N333" i="13"/>
  <c r="O333" i="13" s="1"/>
  <c r="P332" i="13"/>
  <c r="P333" i="13" l="1"/>
  <c r="N334" i="13"/>
  <c r="O334" i="13" s="1"/>
  <c r="G335" i="13"/>
  <c r="P334" i="13" l="1"/>
  <c r="G336" i="13"/>
  <c r="N335" i="13"/>
  <c r="O335" i="13" s="1"/>
  <c r="G337" i="13" l="1"/>
  <c r="N336" i="13"/>
  <c r="O336" i="13" s="1"/>
  <c r="P335" i="13"/>
  <c r="G338" i="13" l="1"/>
  <c r="N337" i="13"/>
  <c r="O337" i="13" s="1"/>
  <c r="P336" i="13"/>
  <c r="P337" i="13" l="1"/>
  <c r="N338" i="13"/>
  <c r="P338" i="13" s="1"/>
  <c r="G339" i="13"/>
  <c r="G340" i="13" l="1"/>
  <c r="N339" i="13"/>
  <c r="O339" i="13" s="1"/>
  <c r="O338" i="13"/>
  <c r="G341" i="13" l="1"/>
  <c r="N340" i="13"/>
  <c r="O340" i="13" s="1"/>
  <c r="P339" i="13"/>
  <c r="P340" i="13" l="1"/>
  <c r="G342" i="13"/>
  <c r="N341" i="13"/>
  <c r="O341" i="13" s="1"/>
  <c r="N342" i="13" l="1"/>
  <c r="O342" i="13" s="1"/>
  <c r="G343" i="13"/>
  <c r="P341" i="13"/>
  <c r="P342" i="13" s="1"/>
  <c r="G344" i="13" l="1"/>
  <c r="N343" i="13"/>
  <c r="O343" i="13" s="1"/>
  <c r="N344" i="13" l="1"/>
  <c r="O344" i="13" s="1"/>
  <c r="G345" i="13"/>
  <c r="P343" i="13"/>
  <c r="P344" i="13" s="1"/>
  <c r="N345" i="13" l="1"/>
  <c r="O345" i="13" s="1"/>
  <c r="G346" i="13"/>
  <c r="G347" i="13" l="1"/>
  <c r="N346" i="13"/>
  <c r="O346" i="13" s="1"/>
  <c r="P345" i="13"/>
  <c r="P346" i="13" s="1"/>
  <c r="G348" i="13" l="1"/>
  <c r="N347" i="13"/>
  <c r="O347" i="13" s="1"/>
  <c r="N348" i="13" l="1"/>
  <c r="O348" i="13" s="1"/>
  <c r="G349" i="13"/>
  <c r="P347" i="13"/>
  <c r="P348" i="13" s="1"/>
  <c r="N349" i="13" l="1"/>
  <c r="O349" i="13" s="1"/>
  <c r="G350" i="13"/>
  <c r="G351" i="13" l="1"/>
  <c r="N350" i="13"/>
  <c r="O350" i="13"/>
  <c r="P349" i="13"/>
  <c r="P350" i="13" s="1"/>
  <c r="G352" i="13" l="1"/>
  <c r="N351" i="13"/>
  <c r="O351" i="13" s="1"/>
  <c r="G353" i="13" l="1"/>
  <c r="N352" i="13"/>
  <c r="O352" i="13" s="1"/>
  <c r="P351" i="13"/>
  <c r="P352" i="13" l="1"/>
  <c r="N353" i="13"/>
  <c r="O353" i="13" s="1"/>
  <c r="G354" i="13"/>
  <c r="G355" i="13" l="1"/>
  <c r="N354" i="13"/>
  <c r="O354" i="13"/>
  <c r="P353" i="13"/>
  <c r="P354" i="13" s="1"/>
  <c r="G356" i="13" l="1"/>
  <c r="N355" i="13"/>
  <c r="O355" i="13" s="1"/>
  <c r="G357" i="13" l="1"/>
  <c r="N356" i="13"/>
  <c r="O356" i="13" s="1"/>
  <c r="P355" i="13"/>
  <c r="P356" i="13" l="1"/>
  <c r="N357" i="13"/>
  <c r="O357" i="13" s="1"/>
  <c r="G358" i="13"/>
  <c r="P357" i="13" l="1"/>
  <c r="G359" i="13"/>
  <c r="N358" i="13"/>
  <c r="O358" i="13" s="1"/>
  <c r="P358" i="13" l="1"/>
  <c r="G360" i="13"/>
  <c r="N359" i="13"/>
  <c r="O359" i="13" s="1"/>
  <c r="G361" i="13" l="1"/>
  <c r="N360" i="13"/>
  <c r="O360" i="13" s="1"/>
  <c r="P359" i="13"/>
  <c r="P360" i="13" l="1"/>
  <c r="G362" i="13"/>
  <c r="N361" i="13"/>
  <c r="O361" i="13" s="1"/>
  <c r="G363" i="13" l="1"/>
  <c r="N362" i="13"/>
  <c r="O362" i="13" s="1"/>
  <c r="P361" i="13"/>
  <c r="P362" i="13" l="1"/>
  <c r="G364" i="13"/>
  <c r="N363" i="13"/>
  <c r="O363" i="13" s="1"/>
  <c r="G365" i="13" l="1"/>
  <c r="N364" i="13"/>
  <c r="O364" i="13" s="1"/>
  <c r="P363" i="13"/>
  <c r="P364" i="13" s="1"/>
  <c r="N365" i="13" l="1"/>
  <c r="O365" i="13" s="1"/>
  <c r="G366" i="13"/>
  <c r="G367" i="13" l="1"/>
  <c r="N366" i="13"/>
  <c r="O366" i="13" s="1"/>
  <c r="P365" i="13"/>
  <c r="P366" i="13" s="1"/>
  <c r="N367" i="13" l="1"/>
  <c r="O367" i="13" s="1"/>
  <c r="G368" i="13"/>
  <c r="G369" i="13" l="1"/>
  <c r="N368" i="13"/>
  <c r="O368" i="13"/>
  <c r="P367" i="13"/>
  <c r="P368" i="13" s="1"/>
  <c r="G370" i="13" l="1"/>
  <c r="N369" i="13"/>
  <c r="O369" i="13" s="1"/>
  <c r="G371" i="13" l="1"/>
  <c r="N370" i="13"/>
  <c r="O370" i="13" s="1"/>
  <c r="P369" i="13"/>
  <c r="P370" i="13" l="1"/>
  <c r="G372" i="13"/>
  <c r="N371" i="13"/>
  <c r="O371" i="13" s="1"/>
  <c r="N372" i="13" l="1"/>
  <c r="O372" i="13" s="1"/>
  <c r="G373" i="13"/>
  <c r="P371" i="13"/>
  <c r="P372" i="13" l="1"/>
  <c r="G374" i="13"/>
  <c r="N373" i="13"/>
  <c r="O373" i="13" s="1"/>
  <c r="G375" i="13" l="1"/>
  <c r="N374" i="13"/>
  <c r="O374" i="13" s="1"/>
  <c r="P373" i="13"/>
  <c r="P374" i="13" l="1"/>
  <c r="G376" i="13"/>
  <c r="N375" i="13"/>
  <c r="O375" i="13" s="1"/>
  <c r="G377" i="13" l="1"/>
  <c r="N376" i="13"/>
  <c r="O376" i="13" s="1"/>
  <c r="P375" i="13"/>
  <c r="P376" i="13" s="1"/>
  <c r="G378" i="13" l="1"/>
  <c r="N377" i="13"/>
  <c r="O377" i="13" s="1"/>
  <c r="P377" i="13" l="1"/>
  <c r="G379" i="13"/>
  <c r="N378" i="13"/>
  <c r="O378" i="13" s="1"/>
  <c r="P378" i="13" l="1"/>
  <c r="N379" i="13"/>
  <c r="O379" i="13" s="1"/>
  <c r="G380" i="13"/>
  <c r="N380" i="13" l="1"/>
  <c r="O380" i="13" s="1"/>
  <c r="G381" i="13"/>
  <c r="P379" i="13"/>
  <c r="P380" i="13" l="1"/>
  <c r="G382" i="13"/>
  <c r="N381" i="13"/>
  <c r="O381" i="13" s="1"/>
  <c r="G383" i="13" l="1"/>
  <c r="N382" i="13"/>
  <c r="O382" i="13" s="1"/>
  <c r="P381" i="13"/>
  <c r="P382" i="13" l="1"/>
  <c r="G384" i="13"/>
  <c r="N383" i="13"/>
  <c r="O383" i="13" s="1"/>
  <c r="N384" i="13" l="1"/>
  <c r="O384" i="13" s="1"/>
  <c r="G385" i="13"/>
  <c r="P383" i="13"/>
  <c r="P384" i="13" l="1"/>
  <c r="G386" i="13"/>
  <c r="N385" i="13"/>
  <c r="O385" i="13" s="1"/>
  <c r="G387" i="13" l="1"/>
  <c r="N386" i="13"/>
  <c r="O386" i="13" s="1"/>
  <c r="P385" i="13"/>
  <c r="P386" i="13" l="1"/>
  <c r="G388" i="13"/>
  <c r="N387" i="13"/>
  <c r="O387" i="13" s="1"/>
  <c r="G389" i="13" l="1"/>
  <c r="N388" i="13"/>
  <c r="O388" i="13" s="1"/>
  <c r="P387" i="13"/>
  <c r="P388" i="13" l="1"/>
  <c r="G390" i="13"/>
  <c r="N389" i="13"/>
  <c r="O389" i="13" s="1"/>
  <c r="G391" i="13" l="1"/>
  <c r="N390" i="13"/>
  <c r="O390" i="13" s="1"/>
  <c r="P389" i="13"/>
  <c r="P390" i="13" l="1"/>
  <c r="G392" i="13"/>
  <c r="N391" i="13"/>
  <c r="O391" i="13" s="1"/>
  <c r="G393" i="13" l="1"/>
  <c r="N392" i="13"/>
  <c r="O392" i="13" s="1"/>
  <c r="P391" i="13"/>
  <c r="P392" i="13" l="1"/>
  <c r="G394" i="13"/>
  <c r="N393" i="13"/>
  <c r="O393" i="13" s="1"/>
  <c r="N394" i="13" l="1"/>
  <c r="O394" i="13" s="1"/>
  <c r="G395" i="13"/>
  <c r="P393" i="13"/>
  <c r="P394" i="13" l="1"/>
  <c r="G396" i="13"/>
  <c r="N395" i="13"/>
  <c r="O395" i="13" s="1"/>
  <c r="G397" i="13" l="1"/>
  <c r="N396" i="13"/>
  <c r="O396" i="13" s="1"/>
  <c r="P395" i="13"/>
  <c r="P396" i="13" l="1"/>
  <c r="G398" i="13"/>
  <c r="N397" i="13"/>
  <c r="O397" i="13" s="1"/>
  <c r="G399" i="13" l="1"/>
  <c r="N398" i="13"/>
  <c r="O398" i="13" s="1"/>
  <c r="P397" i="13"/>
  <c r="P398" i="13" s="1"/>
  <c r="G400" i="13" l="1"/>
  <c r="N399" i="13"/>
  <c r="O399" i="13" s="1"/>
  <c r="G401" i="13" l="1"/>
  <c r="N400" i="13"/>
  <c r="O400" i="13" s="1"/>
  <c r="P399" i="13"/>
  <c r="P400" i="13" l="1"/>
  <c r="G402" i="13"/>
  <c r="N401" i="13"/>
  <c r="O401" i="13" s="1"/>
  <c r="G403" i="13" l="1"/>
  <c r="N402" i="13"/>
  <c r="O402" i="13" s="1"/>
  <c r="P401" i="13"/>
  <c r="P402" i="13" s="1"/>
  <c r="G404" i="13" l="1"/>
  <c r="N403" i="13"/>
  <c r="O403" i="13" s="1"/>
  <c r="G405" i="13" l="1"/>
  <c r="N404" i="13"/>
  <c r="O404" i="13" s="1"/>
  <c r="P403" i="13"/>
  <c r="P404" i="13" s="1"/>
  <c r="G406" i="13" l="1"/>
  <c r="N405" i="13"/>
  <c r="O405" i="13" s="1"/>
  <c r="G407" i="13" l="1"/>
  <c r="N406" i="13"/>
  <c r="O406" i="13" s="1"/>
  <c r="P405" i="13"/>
  <c r="P406" i="13" l="1"/>
  <c r="G408" i="13"/>
  <c r="N407" i="13"/>
  <c r="O407" i="13" s="1"/>
  <c r="G409" i="13" l="1"/>
  <c r="N408" i="13"/>
  <c r="O408" i="13" s="1"/>
  <c r="P407" i="13"/>
  <c r="P408" i="13" l="1"/>
  <c r="G410" i="13"/>
  <c r="N409" i="13"/>
  <c r="O409" i="13" s="1"/>
  <c r="G411" i="13" l="1"/>
  <c r="N410" i="13"/>
  <c r="O410" i="13" s="1"/>
  <c r="P409" i="13"/>
  <c r="P410" i="13" l="1"/>
  <c r="G412" i="13"/>
  <c r="N411" i="13"/>
  <c r="O411" i="13" s="1"/>
  <c r="G413" i="13" l="1"/>
  <c r="E435" i="13"/>
  <c r="N412" i="13"/>
  <c r="O412" i="13" s="1"/>
  <c r="P411" i="13"/>
  <c r="P412" i="13" l="1"/>
  <c r="G435" i="13"/>
  <c r="F435" i="13"/>
  <c r="G414" i="13"/>
  <c r="N413" i="13"/>
  <c r="O413" i="13" s="1"/>
  <c r="G415" i="13" l="1"/>
  <c r="N414" i="13"/>
  <c r="O414" i="13" s="1"/>
  <c r="P435" i="13"/>
  <c r="P413" i="13"/>
  <c r="P414" i="13" l="1"/>
  <c r="N415" i="13"/>
  <c r="O415" i="13" s="1"/>
  <c r="G416" i="13"/>
  <c r="P415" i="13" l="1"/>
  <c r="G417" i="13"/>
  <c r="N416" i="13"/>
  <c r="O416" i="13"/>
  <c r="G418" i="13" l="1"/>
  <c r="N417" i="13"/>
  <c r="O417" i="13" s="1"/>
  <c r="P416" i="13"/>
  <c r="N418" i="13" l="1"/>
  <c r="O418" i="13" s="1"/>
  <c r="G419" i="13"/>
  <c r="P417" i="13"/>
  <c r="P418" i="13" l="1"/>
  <c r="G420" i="13"/>
  <c r="N419" i="13"/>
  <c r="O419" i="13" s="1"/>
  <c r="G421" i="13" l="1"/>
  <c r="N420" i="13"/>
  <c r="O420" i="13" s="1"/>
  <c r="P419" i="13"/>
  <c r="P420" i="13" l="1"/>
  <c r="G422" i="13"/>
  <c r="N421" i="13"/>
  <c r="O421" i="13" s="1"/>
  <c r="N422" i="13" l="1"/>
  <c r="O422" i="13" s="1"/>
  <c r="G423" i="13"/>
  <c r="P421" i="13"/>
  <c r="P422" i="13" l="1"/>
  <c r="G424" i="13"/>
  <c r="N423" i="13"/>
  <c r="O423" i="13" s="1"/>
  <c r="G425" i="13" l="1"/>
  <c r="N424" i="13"/>
  <c r="O424" i="13" s="1"/>
  <c r="P423" i="13"/>
  <c r="P424" i="13" s="1"/>
  <c r="G426" i="13" l="1"/>
  <c r="N425" i="13"/>
  <c r="O425" i="13" s="1"/>
  <c r="G427" i="13" l="1"/>
  <c r="N426" i="13"/>
  <c r="O426" i="13" s="1"/>
  <c r="P425" i="13"/>
  <c r="P426" i="13" l="1"/>
  <c r="G428" i="13"/>
  <c r="N427" i="13"/>
  <c r="O427" i="13" s="1"/>
  <c r="G429" i="13" l="1"/>
  <c r="N428" i="13"/>
  <c r="O428" i="13" s="1"/>
  <c r="P427" i="13"/>
  <c r="P428" i="13" l="1"/>
  <c r="G430" i="13"/>
  <c r="N429" i="13"/>
  <c r="O429" i="13" s="1"/>
  <c r="G431" i="13" l="1"/>
  <c r="N430" i="13"/>
  <c r="O430" i="13" s="1"/>
  <c r="P429" i="13"/>
  <c r="P430" i="13" s="1"/>
  <c r="G432" i="13" l="1"/>
  <c r="N431" i="13"/>
  <c r="O431" i="13" s="1"/>
  <c r="G433" i="13" l="1"/>
  <c r="N432" i="13"/>
  <c r="O432" i="13" s="1"/>
  <c r="P431" i="13"/>
  <c r="P432" i="13" l="1"/>
  <c r="G434" i="13"/>
  <c r="N433" i="13"/>
  <c r="O433" i="13" s="1"/>
  <c r="N434" i="13" l="1"/>
  <c r="O434" i="13" s="1"/>
  <c r="G436" i="13"/>
  <c r="P433" i="13"/>
  <c r="P434" i="13" l="1"/>
  <c r="G437" i="13"/>
  <c r="N436" i="13"/>
  <c r="O436" i="13" s="1"/>
  <c r="P436" i="13" l="1"/>
  <c r="E460" i="13"/>
  <c r="G438" i="13"/>
  <c r="N437" i="13"/>
  <c r="P437" i="13" s="1"/>
  <c r="P460" i="13" l="1"/>
  <c r="F460" i="13"/>
  <c r="G460" i="13"/>
  <c r="G439" i="13"/>
  <c r="N438" i="13"/>
  <c r="O438" i="13" s="1"/>
  <c r="O437" i="13"/>
  <c r="G440" i="13" l="1"/>
  <c r="N439" i="13"/>
  <c r="O439" i="13" s="1"/>
  <c r="P438" i="13"/>
  <c r="P439" i="13" l="1"/>
  <c r="G441" i="13"/>
  <c r="N440" i="13"/>
  <c r="O440" i="13" s="1"/>
  <c r="G442" i="13" l="1"/>
  <c r="N441" i="13"/>
  <c r="O441" i="13" s="1"/>
  <c r="P440" i="13"/>
  <c r="P441" i="13" l="1"/>
  <c r="G443" i="13"/>
  <c r="N442" i="13"/>
  <c r="O442" i="13" s="1"/>
  <c r="G444" i="13" l="1"/>
  <c r="N443" i="13"/>
  <c r="O443" i="13" s="1"/>
  <c r="P442" i="13"/>
  <c r="P443" i="13" l="1"/>
  <c r="G445" i="13"/>
  <c r="N444" i="13"/>
  <c r="O444" i="13" s="1"/>
  <c r="G446" i="13" l="1"/>
  <c r="N445" i="13"/>
  <c r="O445" i="13" s="1"/>
  <c r="P444" i="13"/>
  <c r="P445" i="13" l="1"/>
  <c r="G447" i="13"/>
  <c r="N446" i="13"/>
  <c r="O446" i="13" s="1"/>
  <c r="N447" i="13" l="1"/>
  <c r="O447" i="13" s="1"/>
  <c r="G448" i="13"/>
  <c r="P446" i="13"/>
  <c r="P447" i="13" s="1"/>
  <c r="G449" i="13" l="1"/>
  <c r="N448" i="13"/>
  <c r="O448" i="13" s="1"/>
  <c r="G450" i="13" l="1"/>
  <c r="N449" i="13"/>
  <c r="O449" i="13" s="1"/>
  <c r="P448" i="13"/>
  <c r="P449" i="13" l="1"/>
  <c r="G451" i="13"/>
  <c r="N450" i="13"/>
  <c r="O450" i="13" s="1"/>
  <c r="N451" i="13" l="1"/>
  <c r="O451" i="13" s="1"/>
  <c r="G452" i="13"/>
  <c r="P450" i="13"/>
  <c r="P451" i="13" s="1"/>
  <c r="G453" i="13" l="1"/>
  <c r="N452" i="13"/>
  <c r="O452" i="13" s="1"/>
  <c r="G454" i="13" l="1"/>
  <c r="N453" i="13"/>
  <c r="O453" i="13" s="1"/>
  <c r="P452" i="13"/>
  <c r="P453" i="13" l="1"/>
  <c r="G455" i="13"/>
  <c r="N454" i="13"/>
  <c r="O454" i="13" s="1"/>
  <c r="G456" i="13" l="1"/>
  <c r="N455" i="13"/>
  <c r="O455" i="13" s="1"/>
  <c r="P454" i="13"/>
  <c r="P455" i="13" l="1"/>
  <c r="G457" i="13"/>
  <c r="N456" i="13"/>
  <c r="O456" i="13" s="1"/>
  <c r="G458" i="13" l="1"/>
  <c r="N457" i="13"/>
  <c r="O457" i="13" s="1"/>
  <c r="P456" i="13"/>
  <c r="P457" i="13" s="1"/>
  <c r="G459" i="13" l="1"/>
  <c r="N458" i="13"/>
  <c r="O458" i="13" s="1"/>
  <c r="G461" i="13" l="1"/>
  <c r="N459" i="13"/>
  <c r="O459" i="13" s="1"/>
  <c r="P458" i="13"/>
  <c r="P459" i="13" l="1"/>
  <c r="G462" i="13"/>
  <c r="N462" i="13" s="1"/>
  <c r="N461" i="13"/>
  <c r="O461" i="13" s="1"/>
  <c r="O462" i="13" s="1"/>
  <c r="P461" i="13" l="1"/>
  <c r="P462" i="13"/>
  <c r="Q32" i="5" l="1"/>
  <c r="J28" i="5"/>
  <c r="I28" i="5"/>
  <c r="H28" i="5"/>
  <c r="H33" i="5" s="1"/>
  <c r="G28" i="5"/>
  <c r="G33" i="5" s="1"/>
  <c r="F28" i="5"/>
  <c r="F33" i="5" s="1"/>
  <c r="E28" i="5"/>
  <c r="E33" i="5" s="1"/>
  <c r="P26" i="5"/>
  <c r="P29" i="5" s="1"/>
  <c r="P33" i="5" s="1"/>
  <c r="O26" i="5"/>
  <c r="O29" i="5" s="1"/>
  <c r="O33" i="5" s="1"/>
  <c r="N26" i="5"/>
  <c r="N29" i="5" s="1"/>
  <c r="N33" i="5" s="1"/>
  <c r="M26" i="5"/>
  <c r="M29" i="5" s="1"/>
  <c r="M33" i="5" s="1"/>
  <c r="L26" i="5"/>
  <c r="L29" i="5" s="1"/>
  <c r="L33" i="5" s="1"/>
  <c r="K26" i="5"/>
  <c r="K29" i="5" s="1"/>
  <c r="K33" i="5" s="1"/>
  <c r="J26" i="5"/>
  <c r="I26" i="5"/>
  <c r="H26" i="5"/>
  <c r="G26" i="5"/>
  <c r="F26" i="5"/>
  <c r="E26" i="5"/>
  <c r="Q25" i="5"/>
  <c r="Q24" i="5"/>
  <c r="Q26" i="5" s="1"/>
  <c r="D41" i="15" s="1"/>
  <c r="Q20" i="5"/>
  <c r="D16" i="15" s="1"/>
  <c r="Q19" i="5"/>
  <c r="D15" i="15" s="1"/>
  <c r="E10" i="3"/>
  <c r="G10" i="3" s="1"/>
  <c r="K10" i="3"/>
  <c r="E11" i="3"/>
  <c r="G11" i="3" s="1"/>
  <c r="K11" i="3"/>
  <c r="E12" i="3"/>
  <c r="G12" i="3" s="1"/>
  <c r="K12" i="3"/>
  <c r="E13" i="3"/>
  <c r="G13" i="3" s="1"/>
  <c r="K13" i="3"/>
  <c r="E14" i="3"/>
  <c r="G14" i="3" s="1"/>
  <c r="K14" i="3"/>
  <c r="E15" i="3"/>
  <c r="G15" i="3" s="1"/>
  <c r="K15" i="3"/>
  <c r="E16" i="3"/>
  <c r="G16" i="3" s="1"/>
  <c r="K16" i="3"/>
  <c r="E17" i="3"/>
  <c r="G17" i="3" s="1"/>
  <c r="K17" i="3"/>
  <c r="E18" i="3"/>
  <c r="G18" i="3" s="1"/>
  <c r="K18" i="3"/>
  <c r="E19" i="3"/>
  <c r="G19" i="3" s="1"/>
  <c r="K19" i="3"/>
  <c r="E20" i="3"/>
  <c r="G20" i="3" s="1"/>
  <c r="K20" i="3"/>
  <c r="E21" i="3"/>
  <c r="G21" i="3" s="1"/>
  <c r="K21" i="3"/>
  <c r="E22" i="3"/>
  <c r="G22" i="3" s="1"/>
  <c r="K22" i="3"/>
  <c r="E23" i="3"/>
  <c r="G23" i="3"/>
  <c r="K23" i="3"/>
  <c r="E24" i="3"/>
  <c r="G24" i="3" s="1"/>
  <c r="E25" i="3"/>
  <c r="G25" i="3" s="1"/>
  <c r="E26" i="3"/>
  <c r="G26" i="3" s="1"/>
  <c r="E27" i="3"/>
  <c r="G27" i="3"/>
  <c r="D29" i="3"/>
  <c r="E29" i="3" s="1"/>
  <c r="G29" i="3" s="1"/>
  <c r="A31" i="3"/>
  <c r="E31" i="3"/>
  <c r="G31" i="3" s="1"/>
  <c r="F32" i="3"/>
  <c r="Q28" i="5" l="1"/>
  <c r="Q13" i="5"/>
  <c r="D31" i="15" s="1"/>
  <c r="E31" i="15" s="1"/>
  <c r="D32" i="3"/>
  <c r="G31" i="15"/>
  <c r="I16" i="5"/>
  <c r="I21" i="5" s="1"/>
  <c r="Q15" i="5"/>
  <c r="D24" i="15" s="1"/>
  <c r="J33" i="5"/>
  <c r="Q8" i="5"/>
  <c r="D19" i="15" s="1"/>
  <c r="E15" i="15"/>
  <c r="G15" i="15"/>
  <c r="E16" i="15"/>
  <c r="G16" i="15"/>
  <c r="J16" i="5"/>
  <c r="J21" i="5" s="1"/>
  <c r="I33" i="5"/>
  <c r="L16" i="5"/>
  <c r="L21" i="5" s="1"/>
  <c r="L35" i="5" s="1"/>
  <c r="L36" i="5" s="1"/>
  <c r="L40" i="5" s="1"/>
  <c r="L42" i="5" s="1"/>
  <c r="L43" i="5" s="1"/>
  <c r="Q14" i="5"/>
  <c r="D28" i="15" s="1"/>
  <c r="O16" i="5"/>
  <c r="O21" i="5" s="1"/>
  <c r="O35" i="5" s="1"/>
  <c r="O36" i="5" s="1"/>
  <c r="O40" i="5" s="1"/>
  <c r="O42" i="5" s="1"/>
  <c r="O43" i="5" s="1"/>
  <c r="Q10" i="5"/>
  <c r="D20" i="15" s="1"/>
  <c r="Q9" i="5"/>
  <c r="D27" i="15" s="1"/>
  <c r="N16" i="5"/>
  <c r="N21" i="5" s="1"/>
  <c r="N35" i="5" s="1"/>
  <c r="N36" i="5" s="1"/>
  <c r="N40" i="5" s="1"/>
  <c r="N42" i="5" s="1"/>
  <c r="N43" i="5" s="1"/>
  <c r="Q11" i="5"/>
  <c r="D32" i="15" s="1"/>
  <c r="G16" i="5"/>
  <c r="G21" i="5" s="1"/>
  <c r="G35" i="5" s="1"/>
  <c r="G36" i="5" s="1"/>
  <c r="G39" i="5" s="1"/>
  <c r="G42" i="5" s="1"/>
  <c r="G43" i="5" s="1"/>
  <c r="K16" i="5"/>
  <c r="K21" i="5" s="1"/>
  <c r="K35" i="5" s="1"/>
  <c r="K36" i="5" s="1"/>
  <c r="K40" i="5" s="1"/>
  <c r="E16" i="5"/>
  <c r="E21" i="5" s="1"/>
  <c r="E35" i="5" s="1"/>
  <c r="E36" i="5" s="1"/>
  <c r="E39" i="5" s="1"/>
  <c r="M16" i="5"/>
  <c r="M21" i="5" s="1"/>
  <c r="M35" i="5" s="1"/>
  <c r="M36" i="5" s="1"/>
  <c r="M40" i="5" s="1"/>
  <c r="M42" i="5" s="1"/>
  <c r="M43" i="5" s="1"/>
  <c r="H16" i="5"/>
  <c r="H21" i="5" s="1"/>
  <c r="H35" i="5" s="1"/>
  <c r="H36" i="5" s="1"/>
  <c r="H39" i="5" s="1"/>
  <c r="H42" i="5" s="1"/>
  <c r="H43" i="5" s="1"/>
  <c r="P16" i="5"/>
  <c r="P21" i="5" s="1"/>
  <c r="P35" i="5" s="1"/>
  <c r="P36" i="5" s="1"/>
  <c r="P40" i="5" s="1"/>
  <c r="P42" i="5" s="1"/>
  <c r="P43" i="5" s="1"/>
  <c r="Q29" i="5"/>
  <c r="Q31" i="5"/>
  <c r="F16" i="5"/>
  <c r="F21" i="5" s="1"/>
  <c r="F35" i="5" s="1"/>
  <c r="F36" i="5" s="1"/>
  <c r="F39" i="5" s="1"/>
  <c r="F42" i="5" s="1"/>
  <c r="F43" i="5" s="1"/>
  <c r="Q12" i="5"/>
  <c r="I35" i="5" l="1"/>
  <c r="I36" i="5" s="1"/>
  <c r="I39" i="5" s="1"/>
  <c r="I42" i="5" s="1"/>
  <c r="I43" i="5" s="1"/>
  <c r="J35" i="5"/>
  <c r="J36" i="5" s="1"/>
  <c r="J39" i="5" s="1"/>
  <c r="J42" i="5" s="1"/>
  <c r="J43" i="5" s="1"/>
  <c r="E19" i="15"/>
  <c r="G19" i="15"/>
  <c r="E24" i="15"/>
  <c r="G24" i="15"/>
  <c r="E28" i="15"/>
  <c r="G28" i="15"/>
  <c r="E32" i="15"/>
  <c r="G32" i="15"/>
  <c r="E27" i="15"/>
  <c r="G27" i="15"/>
  <c r="Q39" i="5"/>
  <c r="E42" i="5"/>
  <c r="E45" i="5" s="1"/>
  <c r="F45" i="5" s="1"/>
  <c r="G45" i="5" s="1"/>
  <c r="H45" i="5" s="1"/>
  <c r="I45" i="5" s="1"/>
  <c r="J45" i="5" s="1"/>
  <c r="Q16" i="5"/>
  <c r="Q21" i="5" s="1"/>
  <c r="D26" i="15"/>
  <c r="E20" i="15"/>
  <c r="G20" i="15"/>
  <c r="K42" i="5"/>
  <c r="K43" i="5" s="1"/>
  <c r="Q40" i="5"/>
  <c r="Q33" i="5"/>
  <c r="E26" i="15" l="1"/>
  <c r="E38" i="15" s="1"/>
  <c r="G26" i="15"/>
  <c r="G38" i="15" s="1"/>
  <c r="D38" i="15"/>
  <c r="Q35" i="5"/>
  <c r="Q36" i="5" s="1"/>
  <c r="F38" i="15"/>
  <c r="E43" i="5"/>
  <c r="E46" i="5" s="1"/>
  <c r="F46" i="5" s="1"/>
  <c r="G46" i="5" s="1"/>
  <c r="H46" i="5" s="1"/>
  <c r="I46" i="5" s="1"/>
  <c r="J46" i="5" s="1"/>
  <c r="K46" i="5" s="1"/>
  <c r="L46" i="5" s="1"/>
  <c r="M46" i="5" s="1"/>
  <c r="N46" i="5" s="1"/>
  <c r="O46" i="5" s="1"/>
  <c r="P46" i="5" s="1"/>
  <c r="Q42" i="5"/>
  <c r="Q43" i="5" s="1"/>
  <c r="Q46" i="5" s="1"/>
  <c r="K45" i="5"/>
  <c r="L45" i="5" s="1"/>
  <c r="M45" i="5" s="1"/>
  <c r="N45" i="5" s="1"/>
  <c r="O45" i="5" s="1"/>
  <c r="P45" i="5" s="1"/>
  <c r="Q45" i="5" l="1"/>
  <c r="D46" i="15"/>
  <c r="D47" i="15"/>
  <c r="I25" i="3" l="1"/>
  <c r="H25" i="3" l="1"/>
  <c r="I26" i="3"/>
  <c r="I24" i="3"/>
  <c r="H26" i="3" l="1"/>
  <c r="H27" i="3" l="1"/>
  <c r="H24" i="3"/>
  <c r="H29" i="3" l="1"/>
  <c r="I29" i="3"/>
  <c r="I30" i="3" l="1"/>
  <c r="C30" i="3" s="1"/>
  <c r="E30" i="3" s="1"/>
  <c r="G30" i="3" s="1"/>
  <c r="H31" i="3"/>
  <c r="H32" i="3" s="1"/>
  <c r="J24" i="3" l="1"/>
  <c r="K24" i="3" l="1"/>
  <c r="I27" i="3" l="1"/>
  <c r="I28" i="3" l="1"/>
  <c r="C28" i="3" s="1"/>
  <c r="E28" i="3" l="1"/>
  <c r="C32" i="3"/>
  <c r="G28" i="3" l="1"/>
  <c r="G32" i="3" s="1"/>
  <c r="E32" i="3"/>
  <c r="J25" i="3" l="1"/>
  <c r="K25" i="3" l="1"/>
  <c r="J26" i="3" l="1"/>
  <c r="K26" i="3" l="1"/>
  <c r="J27" i="3" l="1"/>
  <c r="K27" i="3" l="1"/>
  <c r="J28" i="3"/>
  <c r="K28" i="3" l="1"/>
  <c r="J29" i="3" l="1"/>
  <c r="J30" i="3" l="1"/>
  <c r="K29" i="3"/>
  <c r="K30" i="3" l="1"/>
  <c r="I31" i="3" l="1"/>
  <c r="I32" i="3" l="1"/>
  <c r="C10" i="16" s="1"/>
  <c r="J31" i="3" l="1"/>
  <c r="J32" i="3" l="1"/>
  <c r="C11" i="16" s="1"/>
  <c r="C12" i="16" s="1"/>
  <c r="C17" i="16" s="1"/>
  <c r="K31" i="3"/>
  <c r="K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Moore, Annette</author>
  </authors>
  <commentList>
    <comment ref="K2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Moore, Annette:</t>
        </r>
        <r>
          <rPr>
            <sz val="9"/>
            <color indexed="81"/>
            <rFont val="Tahoma"/>
            <family val="2"/>
          </rPr>
          <t xml:space="preserve">
Ends as of July 1, 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amoore</author>
  </authors>
  <commentList>
    <comment ref="B89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amoore:</t>
        </r>
        <r>
          <rPr>
            <sz val="8"/>
            <color indexed="81"/>
            <rFont val="Tahoma"/>
            <family val="2"/>
          </rPr>
          <t xml:space="preserve">
July 2006</t>
        </r>
      </text>
    </comment>
    <comment ref="B101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amoore:</t>
        </r>
        <r>
          <rPr>
            <sz val="8"/>
            <color indexed="81"/>
            <rFont val="Tahoma"/>
            <family val="2"/>
          </rPr>
          <t xml:space="preserve">
January 2007
</t>
        </r>
      </text>
    </comment>
    <comment ref="B125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amoore:</t>
        </r>
        <r>
          <rPr>
            <sz val="8"/>
            <color indexed="81"/>
            <rFont val="Tahoma"/>
            <family val="2"/>
          </rPr>
          <t xml:space="preserve">
January 2008
</t>
        </r>
      </text>
    </comment>
  </commentList>
</comments>
</file>

<file path=xl/sharedStrings.xml><?xml version="1.0" encoding="utf-8"?>
<sst xmlns="http://schemas.openxmlformats.org/spreadsheetml/2006/main" count="768" uniqueCount="336">
  <si>
    <t>Exhibit A-1 – Power Cost Rate Approved in UE-200907</t>
  </si>
  <si>
    <t>8.</t>
  </si>
  <si>
    <t>7.</t>
  </si>
  <si>
    <t>Calculation of Customer Interest Portion</t>
  </si>
  <si>
    <t>6.</t>
  </si>
  <si>
    <t>Application of the Sharing Bands to the PCA Mechanism Calculation</t>
  </si>
  <si>
    <t>5.</t>
  </si>
  <si>
    <t>4.</t>
  </si>
  <si>
    <t>3.</t>
  </si>
  <si>
    <t>Power Cost Summary</t>
  </si>
  <si>
    <t>2.</t>
  </si>
  <si>
    <t xml:space="preserve">Exhibits in Support of Updated Power Cost Rate: </t>
  </si>
  <si>
    <t>1.</t>
  </si>
  <si>
    <t>Tab Name</t>
  </si>
  <si>
    <t xml:space="preserve">Index </t>
  </si>
  <si>
    <t>Power Cost Adjustment Mechanism</t>
  </si>
  <si>
    <t xml:space="preserve">      Puget Sound Energy</t>
  </si>
  <si>
    <t>2021 Annual Report</t>
  </si>
  <si>
    <t>Twelve Months Ended December 31, 2021</t>
  </si>
  <si>
    <t>1/1/21 – 12/31/21</t>
  </si>
  <si>
    <t>Exhibit A-1 – Power Cost Rate - Updated Actual (1/1/21 - 12/31/21)</t>
  </si>
  <si>
    <t>Exhibit B – PCA Mechanism Calculation (1/1/21 - 12/31/21)</t>
  </si>
  <si>
    <t>Exhibit A-1 – Power Cost Rate Approved in UE-200980</t>
  </si>
  <si>
    <t>Cumulative</t>
  </si>
  <si>
    <t>PCA Period 19 Rec</t>
  </si>
  <si>
    <t>12 mo end 12.31.20</t>
  </si>
  <si>
    <t>PCA Period 18 Rec</t>
  </si>
  <si>
    <t>12 mo end 12.31.19</t>
  </si>
  <si>
    <t>12 mo end 12.31.18</t>
  </si>
  <si>
    <t>12 mo end 12.31.17</t>
  </si>
  <si>
    <t>12 mo end 12.31.16</t>
  </si>
  <si>
    <t>12 mo end 12.31.15</t>
  </si>
  <si>
    <t>12 mo end 12.31.14</t>
  </si>
  <si>
    <t>12 mo end 12.31.13</t>
  </si>
  <si>
    <t>12 mo end 12.31.12</t>
  </si>
  <si>
    <t>12 mo end 12.31.11</t>
  </si>
  <si>
    <t>12 mo end 12.31.10</t>
  </si>
  <si>
    <t>12 mo end 12.31.09</t>
  </si>
  <si>
    <t>12 mo end 12.31.08</t>
  </si>
  <si>
    <t>12 mo end 12.31.07</t>
  </si>
  <si>
    <t>6 mo end 12.31.06</t>
  </si>
  <si>
    <t>12 mo end 6.30.06</t>
  </si>
  <si>
    <t>12 mo end 6.30.05</t>
  </si>
  <si>
    <t>12 mo end 6.30.04</t>
  </si>
  <si>
    <t>12 mo end 6.30.03</t>
  </si>
  <si>
    <t>Total Customer Share With Interest</t>
  </si>
  <si>
    <t>Customer Interest</t>
  </si>
  <si>
    <t>Customers</t>
  </si>
  <si>
    <t>Company</t>
  </si>
  <si>
    <t>Total Cost Over (Under) Baseline</t>
  </si>
  <si>
    <t>Wholesale Customers</t>
  </si>
  <si>
    <t>Difference</t>
  </si>
  <si>
    <t>Baseline</t>
  </si>
  <si>
    <t>Actual</t>
  </si>
  <si>
    <t>PCA Period</t>
  </si>
  <si>
    <t>Time Period</t>
  </si>
  <si>
    <t>Allocation of Power Costs</t>
  </si>
  <si>
    <t>Power Costs</t>
  </si>
  <si>
    <t>Description</t>
  </si>
  <si>
    <t>Cumulative Amounts</t>
  </si>
  <si>
    <t>Power Cost Adjustment Summary</t>
  </si>
  <si>
    <t xml:space="preserve">Puget Sound Energy </t>
  </si>
  <si>
    <t>Schedule B:  Monthly Power Costs -- PCA PERIOD 20</t>
  </si>
  <si>
    <t>Current</t>
  </si>
  <si>
    <t>Period</t>
  </si>
  <si>
    <t>Row</t>
  </si>
  <si>
    <t>to Date</t>
  </si>
  <si>
    <t>Total Variable Component Actual</t>
  </si>
  <si>
    <t>FERC Acct.</t>
  </si>
  <si>
    <t>Steam Operating Fuel</t>
  </si>
  <si>
    <t>Other Power Generation Fuel</t>
  </si>
  <si>
    <t>Purchased &amp; Interchanged</t>
  </si>
  <si>
    <t>Purchases/Sales of Non-Core Gas</t>
  </si>
  <si>
    <t>45600080, 81</t>
  </si>
  <si>
    <t>Brokerage Fees</t>
  </si>
  <si>
    <t>Sales to Others</t>
  </si>
  <si>
    <t>Wheeling</t>
  </si>
  <si>
    <t>Montana Electric Energy Tax</t>
  </si>
  <si>
    <t>Subtotal Variable Components</t>
  </si>
  <si>
    <t>Adjustments</t>
  </si>
  <si>
    <t xml:space="preserve">  Centralia PPA ROR Equity Adjustment</t>
  </si>
  <si>
    <t>N/A</t>
  </si>
  <si>
    <t xml:space="preserve">  Energy Imbalance Market Fixed Cost Adjustment</t>
  </si>
  <si>
    <t>Total allowable costs</t>
  </si>
  <si>
    <t xml:space="preserve">PCA period delivered load (Kwh) </t>
  </si>
  <si>
    <t>Green Direct - load</t>
  </si>
  <si>
    <t>PCA period net delivered load (Kwh)  - as of July 2021</t>
  </si>
  <si>
    <t>Variable Baseline Rate</t>
  </si>
  <si>
    <t>Oct 15, 2020 -  Jun 30, 2021</t>
  </si>
  <si>
    <t xml:space="preserve">July 1, 2021 -   </t>
  </si>
  <si>
    <t>Green Direct - Embedded Market $/kWh</t>
  </si>
  <si>
    <t>Baseline Power Costs</t>
  </si>
  <si>
    <t>Imbalance for Sharing</t>
  </si>
  <si>
    <t xml:space="preserve"> Surcharge or underrecovery/(refund or overrecovery)</t>
  </si>
  <si>
    <t>Less Firm Wholesale</t>
  </si>
  <si>
    <t xml:space="preserve">Oct 15, 2020 - Jun 30, 2021 </t>
  </si>
  <si>
    <t xml:space="preserve">July 1, 2021 -    </t>
  </si>
  <si>
    <t>Gross PCA</t>
  </si>
  <si>
    <t>Gross PCA Contra</t>
  </si>
  <si>
    <t>Cumulative Gross PCA</t>
  </si>
  <si>
    <t>Cumulative Gross PCA Contra</t>
  </si>
  <si>
    <t>Total</t>
  </si>
  <si>
    <t>Month</t>
  </si>
  <si>
    <t xml:space="preserve"> </t>
  </si>
  <si>
    <t>Exh. SEF-3 page 3 of 5</t>
  </si>
  <si>
    <t>Monthly</t>
  </si>
  <si>
    <t>PCA Transfer</t>
  </si>
  <si>
    <t>(E) Sharing bands were revised as of January 2017</t>
  </si>
  <si>
    <t>(D) PCA 6 is for calendar year 2007 so sharing bands have been returned to the full amounts as shown in row 9</t>
  </si>
  <si>
    <t xml:space="preserve">     Also, PCA 5 is for six months only so the sharing bands have been cut in half and show on row 10.</t>
  </si>
  <si>
    <t>(C) Beginning with PCA 5, the $40 million cap no longer applies so equations in columns N, AB and AD were zeroed out for rows 64 - 69.</t>
  </si>
  <si>
    <t xml:space="preserve">      A debit balance represents an underrecovery of power costs (actual rate was greater than baseline rate)</t>
  </si>
  <si>
    <t>(B)  A credit balance represents an overrecovery of power costs (baseline rate was greater than actual rate).</t>
  </si>
  <si>
    <t>(A)  This schedule was derived from original PCA collaborative exhibit C</t>
  </si>
  <si>
    <t>2b</t>
  </si>
  <si>
    <t>2a</t>
  </si>
  <si>
    <t>Customer</t>
  </si>
  <si>
    <t>Sharing bands</t>
  </si>
  <si>
    <t>As of January 2017</t>
  </si>
  <si>
    <t>Company &gt; $40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</si>
  <si>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</si>
  <si>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</si>
  <si>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</si>
  <si>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</si>
  <si>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</si>
  <si>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</si>
  <si>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</si>
  <si>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</si>
  <si>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</si>
  <si>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</si>
  <si>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</si>
  <si>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</si>
  <si>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N/A</t>
  </si>
  <si>
    <t>As of January 1, 2017</t>
  </si>
  <si>
    <t>99% over $40M</t>
  </si>
  <si>
    <t>Total Monthly Company Deferral</t>
  </si>
  <si>
    <t>Accumulated Company Deferral Including $40M Cap</t>
  </si>
  <si>
    <t>1% of Excess Company Deferral</t>
  </si>
  <si>
    <t>Accumulated Company Deferral  Adjusted to $40M Cap</t>
  </si>
  <si>
    <t>Company Deferral Excess Over $40M Cap</t>
  </si>
  <si>
    <t>Accumulated Company Deferral W/O $40M Cap</t>
  </si>
  <si>
    <t xml:space="preserve">Band 4 Deferral </t>
  </si>
  <si>
    <t>Band 3 Deferral</t>
  </si>
  <si>
    <t>Band 2 Deferral</t>
  </si>
  <si>
    <t>Band 1 Deferral</t>
  </si>
  <si>
    <t>Overall Cap Spread</t>
  </si>
  <si>
    <t>Total Monthly Customer Deferal</t>
  </si>
  <si>
    <t>Accum Cust Deferral including 99% of Company Excess over $40M</t>
  </si>
  <si>
    <t>99% of Company Deferral Exceeding $40M</t>
  </si>
  <si>
    <t>Accumulated Customer Deferral W/O $40M Cap</t>
  </si>
  <si>
    <t>Amount Subject to Band 4</t>
  </si>
  <si>
    <t>Amount Subject to Band 3</t>
  </si>
  <si>
    <t>Amount Subject to Band 2</t>
  </si>
  <si>
    <t>Amount Subject to Band 1</t>
  </si>
  <si>
    <t>Accumulated Imbalance for Sharing</t>
  </si>
  <si>
    <t xml:space="preserve">PCA Year </t>
  </si>
  <si>
    <t>UE-130617 as of January 2017</t>
  </si>
  <si>
    <t>UE-011570</t>
  </si>
  <si>
    <t>Gross PCA Roll Forward &amp; Sharing Provision</t>
  </si>
  <si>
    <t>Schedule C</t>
  </si>
  <si>
    <t>Remove Rec</t>
  </si>
  <si>
    <t>(2021)</t>
  </si>
  <si>
    <t>PCA Year 20</t>
  </si>
  <si>
    <t>(2020)</t>
  </si>
  <si>
    <t>PCA Year 19</t>
  </si>
  <si>
    <t>(2019)</t>
  </si>
  <si>
    <t>PCA Year 18</t>
  </si>
  <si>
    <t>(2018)</t>
  </si>
  <si>
    <t>PCA Year 17</t>
  </si>
  <si>
    <t>(2017)</t>
  </si>
  <si>
    <t>PCA Year 16</t>
  </si>
  <si>
    <t>(2016)</t>
  </si>
  <si>
    <t>PCA Year 15</t>
  </si>
  <si>
    <t>(2015)</t>
  </si>
  <si>
    <t>PCA Year 14</t>
  </si>
  <si>
    <t>(2014)</t>
  </si>
  <si>
    <t>PCA Year 13</t>
  </si>
  <si>
    <t>(2013)</t>
  </si>
  <si>
    <t>PCA Year 12</t>
  </si>
  <si>
    <t>(2012)</t>
  </si>
  <si>
    <t>PCA Year 11</t>
  </si>
  <si>
    <t>(2011)</t>
  </si>
  <si>
    <t>PCA Year 10</t>
  </si>
  <si>
    <t>(2010)</t>
  </si>
  <si>
    <t>PCA Year 9</t>
  </si>
  <si>
    <t>(2009)</t>
  </si>
  <si>
    <t>PCA Year 8</t>
  </si>
  <si>
    <t>(2008)</t>
  </si>
  <si>
    <t>PCA Year 7</t>
  </si>
  <si>
    <t>(2007)</t>
  </si>
  <si>
    <t>PCA Year 6</t>
  </si>
  <si>
    <t>PCA Year 5</t>
  </si>
  <si>
    <t>"</t>
  </si>
  <si>
    <t>PCA Year 4</t>
  </si>
  <si>
    <t>PCA Year 3</t>
  </si>
  <si>
    <t>PCA Year 2</t>
  </si>
  <si>
    <t>PCA Year 1</t>
  </si>
  <si>
    <t>Interest</t>
  </si>
  <si>
    <t>Calc Interest</t>
  </si>
  <si>
    <t>Interest Rate</t>
  </si>
  <si>
    <t>Days</t>
  </si>
  <si>
    <t>Date To</t>
  </si>
  <si>
    <t>Date</t>
  </si>
  <si>
    <t>Balance</t>
  </si>
  <si>
    <t>Change</t>
  </si>
  <si>
    <t>Credits</t>
  </si>
  <si>
    <t>Surcharges</t>
  </si>
  <si>
    <t>Net Change</t>
  </si>
  <si>
    <t>Quarterly</t>
  </si>
  <si>
    <t>Total Deferred</t>
  </si>
  <si>
    <t>JE286</t>
  </si>
  <si>
    <t>JE Reference</t>
  </si>
  <si>
    <t>Account</t>
  </si>
  <si>
    <t>Customer Portion</t>
  </si>
  <si>
    <t>Exh. SEF-3 page 1 of 5</t>
  </si>
  <si>
    <t>As Included in in UE-200907</t>
  </si>
  <si>
    <t>&lt;=Correct Fixed Production Categorization in 2019 GRC=&gt;</t>
  </si>
  <si>
    <t xml:space="preserve">Test Year </t>
  </si>
  <si>
    <t>No change was made to the PCA related categories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</si>
  <si>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</si>
  <si>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</si>
  <si>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</si>
  <si>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</si>
  <si>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</si>
  <si>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</si>
  <si>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Fixed</t>
  </si>
  <si>
    <t>Variable</t>
  </si>
  <si>
    <t>Test Yr</t>
  </si>
  <si>
    <t>Prod Costs</t>
  </si>
  <si>
    <t>$/MWh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</si>
  <si>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</si>
  <si>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</si>
  <si>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</si>
  <si>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</si>
  <si>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</si>
  <si>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</si>
  <si>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</si>
  <si>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</si>
  <si>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</si>
  <si>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</si>
  <si>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</si>
  <si>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</si>
  <si>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</si>
  <si>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</si>
  <si>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</si>
  <si>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</si>
  <si>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</si>
  <si>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</si>
  <si>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</si>
  <si>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</si>
  <si>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</si>
  <si>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</si>
  <si>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</si>
  <si>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</si>
  <si>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</si>
  <si>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</si>
  <si>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</si>
  <si>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</si>
  <si>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</si>
  <si>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</si>
  <si>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</si>
  <si>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</si>
  <si>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</si>
  <si>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</si>
  <si>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</si>
  <si>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</si>
  <si>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</si>
  <si>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</si>
  <si>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</si>
  <si>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</si>
  <si>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</si>
  <si>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>Baseline Rate Summarized</t>
  </si>
  <si>
    <t>BLR Net of RSI</t>
  </si>
  <si>
    <t>BLR Grossed Up for RSI</t>
  </si>
  <si>
    <t>&lt;=2020 PCORC=&gt;</t>
  </si>
  <si>
    <t>As Included in Compliance Filing in UE-200980</t>
  </si>
  <si>
    <t>SEF-3 p 1 PC Summary</t>
  </si>
  <si>
    <t>SEF-3 p 2 Actual BLR</t>
  </si>
  <si>
    <t>SEF-3 p 3 Sch B</t>
  </si>
  <si>
    <t>SEF-3 p 4 Bands</t>
  </si>
  <si>
    <t>SEF-3 p 5 Interest</t>
  </si>
  <si>
    <t>SEF-3 p 6 Approved BLRs</t>
  </si>
  <si>
    <t>Variable Power Cost Rate</t>
  </si>
  <si>
    <t>Items (the adjusted baseline)</t>
  </si>
  <si>
    <t>Power Cost in Rates with Revenue Sensitive</t>
  </si>
  <si>
    <t>Sensitive Items</t>
  </si>
  <si>
    <t>Before Rev.</t>
  </si>
  <si>
    <t xml:space="preserve"> (incl. Firm Whlsl)</t>
  </si>
  <si>
    <t>Hedging Line of Credit</t>
  </si>
  <si>
    <t>Amortization  - Regulatory Assets (1)</t>
  </si>
  <si>
    <t>565-Wheeling</t>
  </si>
  <si>
    <t>547-Fuel</t>
  </si>
  <si>
    <t>555-Purchased power</t>
  </si>
  <si>
    <t>501-Steam Fuel</t>
  </si>
  <si>
    <t>Energy Imbalance Market Fixed Cost Adjustment</t>
  </si>
  <si>
    <t>10b</t>
  </si>
  <si>
    <t>Test Year</t>
  </si>
  <si>
    <t>Costs</t>
  </si>
  <si>
    <t>Production</t>
  </si>
  <si>
    <t>PCA MECHANISM ANNUAL REPORT</t>
  </si>
  <si>
    <t>PUGET SOUND ENERGY</t>
  </si>
  <si>
    <t>Exh. SEF-3 page 2 of 5</t>
  </si>
  <si>
    <t>check</t>
  </si>
  <si>
    <t>TWELVE MONTHS ENDED DECEMBER 31, 2021</t>
  </si>
  <si>
    <t>Exhibit A-1 Power Cost Rate Updated:  1/1/2021 - 12/31/2021</t>
  </si>
  <si>
    <t>Amortization  - Regulatory Assets &amp; Liab - Non Power Cost Only</t>
  </si>
  <si>
    <t>Green Direct - $ ADJUSTMENT FOR JAN - APRIL</t>
  </si>
  <si>
    <t>Green Direct - $ ADJUSTMENT FOR MAY AND JUNE</t>
  </si>
  <si>
    <t>Power Cost Adjustment</t>
  </si>
  <si>
    <t>PCA Recovery</t>
  </si>
  <si>
    <t>Total 2021</t>
  </si>
  <si>
    <t>Customer Share of PCA as of 12/31/2021</t>
  </si>
  <si>
    <t xml:space="preserve">Interest on Customer Share </t>
  </si>
  <si>
    <t xml:space="preserve">Customer Share with Interest </t>
  </si>
  <si>
    <t>Grossing Up for Revenue Sensitive Items:</t>
  </si>
  <si>
    <t>Pretax Conversion Factor With Anticipated Filing Fee</t>
  </si>
  <si>
    <t>Customer Share of PCA Balance to be Recovered</t>
  </si>
  <si>
    <t xml:space="preserve">PUGET SOUND ENERGY </t>
  </si>
  <si>
    <t>ELECTRIC RESULTS OF OPERATIONS</t>
  </si>
  <si>
    <t>2019 GENERAL RATE CASE ADJUSTED FOR FILING FEE ANTICIPATED UPDATE</t>
  </si>
  <si>
    <t>12 MONTHS ENDED DECEMBER 31, 2018</t>
  </si>
  <si>
    <t>CONVERSION FACTOR</t>
  </si>
  <si>
    <t>LINE</t>
  </si>
  <si>
    <t>NO.</t>
  </si>
  <si>
    <t>DESCRIPTION</t>
  </si>
  <si>
    <t>BAD DEBTS</t>
  </si>
  <si>
    <t>STATE UTILITY TAX ( 3.8406% - ( LINE 1 * 3.8406% )  )</t>
  </si>
  <si>
    <t>SUM OF TAXES OTHER</t>
  </si>
  <si>
    <t>CONVERSION FACTOR EXCLUDING FEDERAL INCOME TAX ( 1 - LINE 6 )</t>
  </si>
  <si>
    <t>FEDERAL INCOME TAX ( LINE 7  * 21% )</t>
  </si>
  <si>
    <t xml:space="preserve">CONVERSION FACTOR INCL FEDERAL INCOME TAX ( LINE 7 - LINE 8 ) </t>
  </si>
  <si>
    <t>ANNUAL FILING FEE (Anticipated Update)</t>
  </si>
  <si>
    <t>9.</t>
  </si>
  <si>
    <t>Customer Share of PCA Balance for 2021</t>
  </si>
  <si>
    <t>SEF-3 p 7 2021 Imbalance</t>
  </si>
  <si>
    <t>Exh. SEF-3 page i of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</si>
</sst>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&quot;Year to Date&quot;\ mm\.dd\.yy"/>
    <numFmt numFmtId="166" formatCode="&quot;As of&quot;\ mmmm\ dd\,\ yyyy"/>
    <numFmt numFmtId="167" formatCode="_(* #,##0_);_(* \(#,##0\);_(* &quot;-&quot;??_);_(@_)"/>
    <numFmt numFmtId="168" formatCode="_(&quot;$&quot;* #,##0_);_(&quot;$&quot;* \(#,##0\);_(&quot;$&quot;* &quot;-&quot;??_);_(@_)"/>
    <numFmt numFmtId="169" formatCode="0_);\(0\)"/>
    <numFmt numFmtId="170" formatCode="&quot;$&quot;#,##0.000_);\(&quot;$&quot;#,##0.000\)"/>
    <numFmt numFmtId="171" formatCode="&quot;$&quot;#,##0.000000_);\(&quot;$&quot;#,##0.000000\)"/>
    <numFmt numFmtId="172" formatCode="&quot;$&quot;#,##0.00000_);\(&quot;$&quot;#,##0.00000\)"/>
    <numFmt numFmtId="173" formatCode="0.00000%"/>
    <numFmt numFmtId="174" formatCode="[$-409]mmm\-yy;@"/>
    <numFmt numFmtId="175" formatCode="mm/dd/yy"/>
    <numFmt numFmtId="176" formatCode="_(&quot;$&quot;* #,##0.000_);_(&quot;$&quot;* \(#,##0.000\);_(&quot;$&quot;* &quot;-&quot;??_);_(@_)"/>
    <numFmt numFmtId="177" formatCode="_(* #,##0.0000000_);_(* \(#,##0.0000000\);_(* &quot;-&quot;??_);_(@_)"/>
    <numFmt numFmtId="178" formatCode="_(* #,##0.000_);_(* \(#,##0.000\);_(* &quot;-&quot;??_);_(@_)"/>
    <numFmt numFmtId="179" formatCode="_(&quot;$&quot;* #,##0.000_);_(&quot;$&quot;* \(#,##0.000\);_(&quot;$&quot;* &quot;-&quot;???_);_(@_)"/>
    <numFmt numFmtId="180" formatCode="_(* #,##0.000_);_(* \(#,##0.000\);_(* &quot;-&quot;???_);_(@_)"/>
    <numFmt numFmtId="181" formatCode="0.00000"/>
    <numFmt numFmtId="182" formatCode="0.0000%"/>
  </numFmts>
  <fonts count="6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rgb="FF0000FF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0000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u val="singleAccounting"/>
      <sz val="10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9"/>
      <color rgb="FF0000FF"/>
      <name val="Arial"/>
      <family val="2"/>
    </font>
    <font>
      <b/>
      <sz val="10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rgb="FFFF0000"/>
      <name val="Helv"/>
    </font>
    <font>
      <sz val="14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color rgb="FF0000FF"/>
      <name val="Times New Roman"/>
      <family val="1"/>
    </font>
    <font>
      <b/>
      <i/>
      <sz val="10"/>
      <color rgb="FF0000FF"/>
      <name val="Arial"/>
      <family val="2"/>
    </font>
    <font>
      <sz val="10"/>
      <color rgb="FFFF5050"/>
      <name val="Arial"/>
      <family val="2"/>
    </font>
    <font>
      <u/>
      <sz val="10"/>
      <name val="Arial"/>
      <family val="2"/>
    </font>
    <font>
      <u/>
      <sz val="9"/>
      <color rgb="FFFF5050"/>
      <name val="Arial"/>
      <family val="2"/>
    </font>
    <font>
      <u/>
      <sz val="9"/>
      <name val="Arial"/>
      <family val="2"/>
    </font>
    <font>
      <b/>
      <sz val="10"/>
      <color rgb="FFFF5050"/>
      <name val="Arial"/>
      <family val="2"/>
    </font>
    <font>
      <b/>
      <i/>
      <sz val="10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Times New Roman"/>
      <family val="1"/>
    </font>
    <font>
      <sz val="7"/>
      <color rgb="FFFF0000"/>
      <name val="Arial"/>
      <family val="2"/>
    </font>
    <font>
      <sz val="7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164" fontId="1" fillId="0" borderId="0">
      <alignment horizontal="left" wrapText="1"/>
    </xf>
    <xf numFmtId="164" fontId="12" fillId="0" borderId="0">
      <alignment horizontal="left" wrapText="1"/>
    </xf>
    <xf numFmtId="43" fontId="1" fillId="0" borderId="0" applyFont="0" applyFill="0" applyBorder="0" applyAlignment="0" applyProtection="0"/>
    <xf numFmtId="164" fontId="57" fillId="0" borderId="0">
      <alignment horizontal="left" wrapText="1"/>
    </xf>
    <xf numFmtId="43" fontId="56" fillId="0" borderId="0" applyFont="0" applyFill="0" applyBorder="0" applyAlignment="0" applyProtection="0"/>
    <xf numFmtId="0" fontId="1" fillId="0" borderId="0"/>
    <xf numFmtId="0" fontId="1" fillId="0" borderId="0"/>
    <xf numFmtId="0" fontId="56" fillId="0" borderId="0"/>
  </cellStyleXfs>
  <cellXfs count="442">
    <xf numFmtId="0" fontId="0" fillId="0" borderId="0" xfId="0"/>
    <xf numFmtId="0" fontId="1" fillId="2" borderId="0" xfId="1" applyNumberFormat="1" applyFill="1" applyAlignment="1"/>
    <xf numFmtId="0" fontId="2" fillId="2" borderId="0" xfId="1" applyNumberFormat="1" applyFont="1" applyFill="1" applyAlignment="1"/>
    <xf numFmtId="0" fontId="2" fillId="2" borderId="0" xfId="1" quotePrefix="1" applyNumberFormat="1" applyFont="1" applyFill="1" applyAlignment="1">
      <alignment horizontal="left" vertical="center"/>
    </xf>
    <xf numFmtId="0" fontId="2" fillId="2" borderId="0" xfId="1" applyNumberFormat="1" applyFont="1" applyFill="1" applyAlignment="1">
      <alignment vertical="center"/>
    </xf>
    <xf numFmtId="0" fontId="3" fillId="2" borderId="0" xfId="1" applyNumberFormat="1" applyFont="1" applyFill="1" applyAlignment="1">
      <alignment horizontal="left" vertical="center"/>
    </xf>
    <xf numFmtId="0" fontId="2" fillId="2" borderId="0" xfId="1" applyNumberFormat="1" applyFont="1" applyFill="1" applyAlignment="1">
      <alignment horizontal="left" vertical="center"/>
    </xf>
    <xf numFmtId="0" fontId="1" fillId="2" borderId="0" xfId="1" applyNumberFormat="1" applyFill="1" applyBorder="1" applyAlignment="1"/>
    <xf numFmtId="0" fontId="3" fillId="2" borderId="0" xfId="1" applyNumberFormat="1" applyFont="1" applyFill="1" applyBorder="1" applyAlignment="1">
      <alignment horizontal="left" vertical="center"/>
    </xf>
    <xf numFmtId="0" fontId="1" fillId="2" borderId="1" xfId="1" applyNumberFormat="1" applyFill="1" applyBorder="1" applyAlignment="1"/>
    <xf numFmtId="0" fontId="1" fillId="2" borderId="2" xfId="1" applyNumberFormat="1" applyFill="1" applyBorder="1" applyAlignment="1"/>
    <xf numFmtId="0" fontId="3" fillId="2" borderId="3" xfId="1" applyNumberFormat="1" applyFont="1" applyFill="1" applyBorder="1" applyAlignment="1">
      <alignment horizontal="left" vertical="center"/>
    </xf>
    <xf numFmtId="0" fontId="1" fillId="2" borderId="4" xfId="1" applyNumberFormat="1" applyFill="1" applyBorder="1" applyAlignment="1"/>
    <xf numFmtId="0" fontId="3" fillId="2" borderId="0" xfId="1" applyNumberFormat="1" applyFont="1" applyFill="1" applyBorder="1" applyAlignment="1">
      <alignment vertical="center"/>
    </xf>
    <xf numFmtId="0" fontId="3" fillId="2" borderId="5" xfId="1" applyNumberFormat="1" applyFont="1" applyFill="1" applyBorder="1" applyAlignment="1">
      <alignment horizontal="left" vertical="center"/>
    </xf>
    <xf numFmtId="0" fontId="3" fillId="2" borderId="5" xfId="1" quotePrefix="1" applyNumberFormat="1" applyFont="1" applyFill="1" applyBorder="1" applyAlignment="1">
      <alignment horizontal="left" vertical="center"/>
    </xf>
    <xf numFmtId="0" fontId="1" fillId="2" borderId="6" xfId="1" applyNumberFormat="1" applyFill="1" applyBorder="1" applyAlignment="1"/>
    <xf numFmtId="0" fontId="1" fillId="2" borderId="7" xfId="1" applyNumberFormat="1" applyFill="1" applyBorder="1" applyAlignment="1"/>
    <xf numFmtId="0" fontId="3" fillId="2" borderId="8" xfId="1" applyNumberFormat="1" applyFont="1" applyFill="1" applyBorder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1" fillId="2" borderId="0" xfId="1" applyNumberFormat="1" applyFill="1" applyAlignment="1">
      <alignment horizontal="centerContinuous"/>
    </xf>
    <xf numFmtId="0" fontId="3" fillId="2" borderId="0" xfId="1" applyNumberFormat="1" applyFont="1" applyFill="1" applyAlignment="1">
      <alignment horizontal="centerContinuous" vertical="center"/>
    </xf>
    <xf numFmtId="0" fontId="1" fillId="2" borderId="0" xfId="1" applyNumberFormat="1" applyFill="1" applyAlignment="1">
      <alignment horizontal="right"/>
    </xf>
    <xf numFmtId="0" fontId="4" fillId="0" borderId="0" xfId="1" applyNumberFormat="1" applyFont="1" applyFill="1" applyAlignment="1">
      <alignment horizontal="right"/>
    </xf>
    <xf numFmtId="0" fontId="1" fillId="0" borderId="0" xfId="1" applyNumberFormat="1" applyAlignment="1"/>
    <xf numFmtId="0" fontId="1" fillId="0" borderId="0" xfId="1" applyNumberFormat="1" applyFill="1" applyAlignment="1"/>
    <xf numFmtId="0" fontId="1" fillId="0" borderId="0" xfId="1" applyNumberFormat="1" applyFont="1" applyFill="1" applyAlignment="1">
      <alignment wrapText="1"/>
    </xf>
    <xf numFmtId="0" fontId="1" fillId="0" borderId="0" xfId="1" applyNumberFormat="1" applyFont="1" applyAlignment="1"/>
    <xf numFmtId="0" fontId="7" fillId="0" borderId="0" xfId="1" applyNumberFormat="1" applyFont="1" applyAlignment="1"/>
    <xf numFmtId="17" fontId="8" fillId="0" borderId="0" xfId="1" applyNumberFormat="1" applyFont="1" applyAlignment="1">
      <alignment horizontal="left"/>
    </xf>
    <xf numFmtId="42" fontId="1" fillId="0" borderId="0" xfId="1" applyNumberFormat="1" applyAlignment="1"/>
    <xf numFmtId="42" fontId="9" fillId="0" borderId="9" xfId="1" applyNumberFormat="1" applyFont="1" applyBorder="1" applyAlignment="1"/>
    <xf numFmtId="42" fontId="9" fillId="0" borderId="10" xfId="1" applyNumberFormat="1" applyFont="1" applyFill="1" applyBorder="1" applyAlignment="1"/>
    <xf numFmtId="42" fontId="9" fillId="0" borderId="10" xfId="1" applyNumberFormat="1" applyFont="1" applyBorder="1" applyAlignment="1"/>
    <xf numFmtId="0" fontId="9" fillId="0" borderId="11" xfId="1" applyNumberFormat="1" applyFont="1" applyBorder="1" applyAlignment="1"/>
    <xf numFmtId="0" fontId="9" fillId="0" borderId="10" xfId="1" applyNumberFormat="1" applyFont="1" applyBorder="1" applyAlignment="1"/>
    <xf numFmtId="41" fontId="10" fillId="0" borderId="4" xfId="1" applyNumberFormat="1" applyFont="1" applyBorder="1" applyAlignment="1"/>
    <xf numFmtId="41" fontId="1" fillId="0" borderId="0" xfId="1" applyNumberFormat="1" applyFill="1" applyAlignment="1"/>
    <xf numFmtId="41" fontId="1" fillId="0" borderId="0" xfId="1" applyNumberFormat="1" applyAlignment="1"/>
    <xf numFmtId="41" fontId="10" fillId="0" borderId="5" xfId="1" applyNumberFormat="1" applyFont="1" applyBorder="1" applyAlignment="1"/>
    <xf numFmtId="41" fontId="1" fillId="0" borderId="0" xfId="1" applyNumberFormat="1" applyBorder="1" applyAlignment="1"/>
    <xf numFmtId="0" fontId="1" fillId="0" borderId="0" xfId="1" applyNumberFormat="1" applyAlignment="1">
      <alignment horizontal="center"/>
    </xf>
    <xf numFmtId="165" fontId="10" fillId="0" borderId="12" xfId="1" applyNumberFormat="1" applyFont="1" applyBorder="1" applyAlignment="1">
      <alignment horizontal="left"/>
    </xf>
    <xf numFmtId="0" fontId="10" fillId="0" borderId="13" xfId="1" applyNumberFormat="1" applyFont="1" applyBorder="1" applyAlignment="1"/>
    <xf numFmtId="41" fontId="10" fillId="0" borderId="0" xfId="1" applyNumberFormat="1" applyFont="1" applyFill="1" applyBorder="1" applyAlignment="1"/>
    <xf numFmtId="41" fontId="10" fillId="0" borderId="0" xfId="1" applyNumberFormat="1" applyFont="1" applyBorder="1" applyAlignment="1"/>
    <xf numFmtId="41" fontId="10" fillId="0" borderId="5" xfId="1" applyNumberFormat="1" applyFont="1" applyFill="1" applyBorder="1" applyAlignment="1"/>
    <xf numFmtId="0" fontId="1" fillId="0" borderId="0" xfId="1" applyNumberFormat="1" applyFill="1" applyAlignment="1">
      <alignment horizontal="center"/>
    </xf>
    <xf numFmtId="0" fontId="10" fillId="0" borderId="13" xfId="1" applyNumberFormat="1" applyFont="1" applyFill="1" applyBorder="1" applyAlignment="1"/>
    <xf numFmtId="42" fontId="10" fillId="0" borderId="4" xfId="1" applyNumberFormat="1" applyFont="1" applyBorder="1" applyAlignment="1"/>
    <xf numFmtId="42" fontId="1" fillId="0" borderId="0" xfId="1" applyNumberFormat="1" applyFill="1" applyAlignment="1"/>
    <xf numFmtId="42" fontId="10" fillId="0" borderId="8" xfId="1" applyNumberFormat="1" applyFont="1" applyBorder="1" applyAlignment="1"/>
    <xf numFmtId="0" fontId="10" fillId="0" borderId="14" xfId="1" applyNumberFormat="1" applyFont="1" applyBorder="1" applyAlignment="1"/>
    <xf numFmtId="0" fontId="9" fillId="0" borderId="11" xfId="1" applyNumberFormat="1" applyFont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Border="1" applyAlignment="1">
      <alignment horizontal="center" vertical="center" wrapText="1"/>
    </xf>
    <xf numFmtId="0" fontId="9" fillId="0" borderId="10" xfId="1" applyNumberFormat="1" applyFont="1" applyBorder="1" applyAlignment="1">
      <alignment horizontal="center" vertical="center" wrapText="1"/>
    </xf>
    <xf numFmtId="0" fontId="5" fillId="0" borderId="10" xfId="1" applyNumberFormat="1" applyFont="1" applyBorder="1" applyAlignment="1">
      <alignment horizontal="center" vertical="center" wrapText="1"/>
    </xf>
    <xf numFmtId="0" fontId="5" fillId="0" borderId="10" xfId="1" applyNumberFormat="1" applyFont="1" applyBorder="1" applyAlignment="1">
      <alignment horizontal="center" vertical="center"/>
    </xf>
    <xf numFmtId="0" fontId="9" fillId="0" borderId="11" xfId="1" applyNumberFormat="1" applyFont="1" applyBorder="1" applyAlignment="1">
      <alignment horizontal="centerContinuous" vertical="center"/>
    </xf>
    <xf numFmtId="0" fontId="9" fillId="0" borderId="15" xfId="1" applyNumberFormat="1" applyFont="1" applyBorder="1" applyAlignment="1">
      <alignment horizontal="centerContinuous" vertical="center"/>
    </xf>
    <xf numFmtId="164" fontId="9" fillId="0" borderId="10" xfId="1" applyFont="1" applyBorder="1" applyAlignment="1">
      <alignment horizontal="centerContinuous" vertical="center"/>
    </xf>
    <xf numFmtId="164" fontId="9" fillId="0" borderId="6" xfId="1" applyFont="1" applyBorder="1" applyAlignment="1">
      <alignment horizontal="centerContinuous" vertical="center"/>
    </xf>
    <xf numFmtId="164" fontId="9" fillId="0" borderId="8" xfId="1" applyFont="1" applyBorder="1" applyAlignment="1">
      <alignment horizontal="centerContinuous" vertical="center"/>
    </xf>
    <xf numFmtId="0" fontId="6" fillId="0" borderId="0" xfId="1" applyNumberFormat="1" applyFont="1" applyAlignment="1">
      <alignment horizontal="right"/>
    </xf>
    <xf numFmtId="0" fontId="1" fillId="0" borderId="0" xfId="2" applyNumberFormat="1" applyFont="1" applyAlignment="1"/>
    <xf numFmtId="0" fontId="12" fillId="0" borderId="0" xfId="2" applyNumberFormat="1" applyAlignment="1">
      <alignment horizontal="center"/>
    </xf>
    <xf numFmtId="0" fontId="13" fillId="0" borderId="0" xfId="2" applyNumberFormat="1" applyFont="1" applyAlignment="1">
      <alignment horizontal="left"/>
    </xf>
    <xf numFmtId="0" fontId="12" fillId="0" borderId="0" xfId="2" applyNumberFormat="1" applyAlignment="1"/>
    <xf numFmtId="164" fontId="14" fillId="0" borderId="0" xfId="2" applyFont="1" applyAlignment="1">
      <alignment horizontal="left"/>
    </xf>
    <xf numFmtId="0" fontId="7" fillId="0" borderId="0" xfId="2" applyNumberFormat="1" applyFont="1" applyAlignment="1"/>
    <xf numFmtId="0" fontId="11" fillId="0" borderId="0" xfId="2" applyNumberFormat="1" applyFont="1" applyAlignment="1">
      <alignment horizontal="left"/>
    </xf>
    <xf numFmtId="167" fontId="15" fillId="0" borderId="0" xfId="2" applyNumberFormat="1" applyFont="1" applyAlignment="1"/>
    <xf numFmtId="0" fontId="12" fillId="0" borderId="0" xfId="2" applyNumberFormat="1" applyAlignment="1">
      <alignment horizontal="left"/>
    </xf>
    <xf numFmtId="0" fontId="6" fillId="0" borderId="0" xfId="2" applyNumberFormat="1" applyFont="1" applyAlignment="1">
      <alignment horizontal="center"/>
    </xf>
    <xf numFmtId="0" fontId="6" fillId="0" borderId="0" xfId="2" applyNumberFormat="1" applyFont="1" applyAlignment="1"/>
    <xf numFmtId="0" fontId="11" fillId="0" borderId="0" xfId="2" applyNumberFormat="1" applyFont="1" applyFill="1" applyAlignment="1">
      <alignment horizontal="left"/>
    </xf>
    <xf numFmtId="0" fontId="6" fillId="0" borderId="0" xfId="2" applyNumberFormat="1" applyFont="1" applyFill="1" applyBorder="1" applyAlignment="1">
      <alignment horizontal="centerContinuous"/>
    </xf>
    <xf numFmtId="0" fontId="1" fillId="0" borderId="0" xfId="2" applyNumberFormat="1" applyFont="1" applyAlignment="1">
      <alignment horizontal="center"/>
    </xf>
    <xf numFmtId="0" fontId="12" fillId="0" borderId="0" xfId="2" applyNumberFormat="1" applyBorder="1" applyAlignment="1"/>
    <xf numFmtId="0" fontId="12" fillId="0" borderId="0" xfId="2" applyNumberFormat="1" applyBorder="1" applyAlignment="1">
      <alignment horizontal="center"/>
    </xf>
    <xf numFmtId="17" fontId="6" fillId="0" borderId="0" xfId="2" applyNumberFormat="1" applyFont="1" applyFill="1" applyBorder="1" applyAlignment="1">
      <alignment horizontal="center"/>
    </xf>
    <xf numFmtId="17" fontId="6" fillId="0" borderId="0" xfId="2" applyNumberFormat="1" applyFont="1" applyBorder="1" applyAlignment="1">
      <alignment horizontal="center"/>
    </xf>
    <xf numFmtId="43" fontId="16" fillId="0" borderId="0" xfId="2" applyNumberFormat="1" applyFont="1" applyAlignment="1">
      <alignment horizontal="center"/>
    </xf>
    <xf numFmtId="43" fontId="1" fillId="0" borderId="0" xfId="2" applyNumberFormat="1" applyFont="1" applyAlignment="1"/>
    <xf numFmtId="168" fontId="17" fillId="0" borderId="0" xfId="2" applyNumberFormat="1" applyFont="1" applyBorder="1" applyAlignment="1"/>
    <xf numFmtId="0" fontId="12" fillId="0" borderId="0" xfId="2" applyNumberFormat="1" applyAlignment="1">
      <alignment horizontal="left" indent="1"/>
    </xf>
    <xf numFmtId="169" fontId="1" fillId="0" borderId="0" xfId="2" applyNumberFormat="1" applyFont="1" applyAlignment="1">
      <alignment horizontal="center"/>
    </xf>
    <xf numFmtId="168" fontId="1" fillId="0" borderId="0" xfId="2" applyNumberFormat="1" applyFont="1" applyFill="1" applyBorder="1" applyAlignment="1"/>
    <xf numFmtId="167" fontId="1" fillId="0" borderId="0" xfId="2" applyNumberFormat="1" applyFont="1" applyFill="1" applyBorder="1" applyAlignment="1"/>
    <xf numFmtId="0" fontId="12" fillId="0" borderId="0" xfId="2" applyNumberFormat="1" applyFill="1" applyAlignment="1">
      <alignment horizontal="left" indent="1"/>
    </xf>
    <xf numFmtId="169" fontId="1" fillId="0" borderId="0" xfId="2" applyNumberFormat="1" applyFont="1" applyFill="1" applyAlignment="1">
      <alignment horizontal="center"/>
    </xf>
    <xf numFmtId="43" fontId="1" fillId="0" borderId="0" xfId="2" applyNumberFormat="1" applyFont="1" applyFill="1" applyAlignment="1"/>
    <xf numFmtId="0" fontId="6" fillId="0" borderId="0" xfId="2" applyNumberFormat="1" applyFont="1" applyFill="1" applyAlignment="1"/>
    <xf numFmtId="0" fontId="12" fillId="0" borderId="0" xfId="2" applyNumberFormat="1" applyFill="1" applyAlignment="1"/>
    <xf numFmtId="0" fontId="1" fillId="0" borderId="0" xfId="2" applyNumberFormat="1" applyFont="1" applyFill="1" applyAlignment="1">
      <alignment horizontal="left" indent="1"/>
    </xf>
    <xf numFmtId="168" fontId="1" fillId="0" borderId="7" xfId="2" applyNumberFormat="1" applyFont="1" applyFill="1" applyBorder="1" applyAlignment="1"/>
    <xf numFmtId="168" fontId="17" fillId="0" borderId="0" xfId="2" applyNumberFormat="1" applyFont="1" applyFill="1" applyBorder="1" applyAlignment="1"/>
    <xf numFmtId="0" fontId="18" fillId="0" borderId="0" xfId="2" applyNumberFormat="1" applyFont="1" applyAlignment="1"/>
    <xf numFmtId="37" fontId="1" fillId="0" borderId="0" xfId="2" applyNumberFormat="1" applyFont="1" applyAlignment="1"/>
    <xf numFmtId="37" fontId="1" fillId="0" borderId="0" xfId="2" applyNumberFormat="1" applyFont="1" applyFill="1" applyAlignment="1"/>
    <xf numFmtId="43" fontId="1" fillId="0" borderId="0" xfId="2" applyNumberFormat="1" applyFont="1" applyBorder="1" applyAlignment="1"/>
    <xf numFmtId="170" fontId="1" fillId="0" borderId="0" xfId="2" applyNumberFormat="1" applyFont="1" applyBorder="1" applyAlignment="1"/>
    <xf numFmtId="168" fontId="1" fillId="0" borderId="16" xfId="2" applyNumberFormat="1" applyFont="1" applyBorder="1" applyAlignment="1"/>
    <xf numFmtId="168" fontId="1" fillId="0" borderId="16" xfId="2" applyNumberFormat="1" applyFont="1" applyFill="1" applyBorder="1" applyAlignment="1"/>
    <xf numFmtId="0" fontId="20" fillId="0" borderId="0" xfId="2" applyNumberFormat="1" applyFont="1" applyAlignment="1">
      <alignment horizontal="right" vertical="top"/>
    </xf>
    <xf numFmtId="0" fontId="7" fillId="0" borderId="0" xfId="2" applyNumberFormat="1" applyFont="1" applyFill="1" applyAlignment="1">
      <alignment horizontal="right" vertical="top"/>
    </xf>
    <xf numFmtId="49" fontId="21" fillId="0" borderId="0" xfId="2" applyNumberFormat="1" applyFont="1" applyAlignment="1">
      <alignment horizontal="right" vertical="top"/>
    </xf>
    <xf numFmtId="0" fontId="7" fillId="0" borderId="0" xfId="2" applyNumberFormat="1" applyFont="1" applyAlignment="1">
      <alignment horizontal="center" vertical="top"/>
    </xf>
    <xf numFmtId="37" fontId="1" fillId="0" borderId="0" xfId="2" applyNumberFormat="1" applyFont="1" applyBorder="1" applyAlignment="1"/>
    <xf numFmtId="0" fontId="1" fillId="0" borderId="0" xfId="2" applyNumberFormat="1" applyFont="1" applyAlignment="1" applyProtection="1">
      <alignment horizontal="left"/>
      <protection locked="0"/>
    </xf>
    <xf numFmtId="167" fontId="1" fillId="0" borderId="0" xfId="2" applyNumberFormat="1" applyFont="1" applyBorder="1" applyAlignment="1"/>
    <xf numFmtId="43" fontId="6" fillId="0" borderId="0" xfId="2" applyNumberFormat="1" applyFont="1" applyFill="1" applyBorder="1" applyAlignment="1"/>
    <xf numFmtId="0" fontId="1" fillId="0" borderId="0" xfId="2" applyNumberFormat="1" applyFont="1" applyFill="1" applyAlignment="1">
      <alignment horizontal="left"/>
    </xf>
    <xf numFmtId="167" fontId="1" fillId="0" borderId="7" xfId="3" applyNumberFormat="1" applyFont="1" applyBorder="1" applyAlignment="1"/>
    <xf numFmtId="171" fontId="22" fillId="0" borderId="0" xfId="2" applyNumberFormat="1" applyFont="1" applyFill="1" applyBorder="1" applyAlignment="1"/>
    <xf numFmtId="168" fontId="1" fillId="0" borderId="0" xfId="2" applyNumberFormat="1" applyFont="1" applyBorder="1" applyAlignment="1"/>
    <xf numFmtId="0" fontId="1" fillId="0" borderId="0" xfId="2" applyNumberFormat="1" applyFont="1" applyFill="1" applyAlignment="1"/>
    <xf numFmtId="0" fontId="1" fillId="0" borderId="0" xfId="2" applyNumberFormat="1" applyFont="1" applyAlignment="1">
      <alignment horizontal="right"/>
    </xf>
    <xf numFmtId="0" fontId="18" fillId="0" borderId="0" xfId="2" applyNumberFormat="1" applyFont="1" applyAlignment="1">
      <alignment horizontal="left"/>
    </xf>
    <xf numFmtId="49" fontId="21" fillId="0" borderId="0" xfId="2" applyNumberFormat="1" applyFont="1" applyFill="1" applyAlignment="1">
      <alignment horizontal="center" vertical="top"/>
    </xf>
    <xf numFmtId="168" fontId="1" fillId="0" borderId="15" xfId="2" applyNumberFormat="1" applyFont="1" applyBorder="1" applyAlignment="1"/>
    <xf numFmtId="0" fontId="12" fillId="0" borderId="0" xfId="2" applyNumberFormat="1" applyAlignment="1">
      <alignment horizontal="right"/>
    </xf>
    <xf numFmtId="167" fontId="17" fillId="0" borderId="0" xfId="2" applyNumberFormat="1" applyFont="1" applyBorder="1" applyAlignment="1"/>
    <xf numFmtId="0" fontId="6" fillId="0" borderId="0" xfId="2" quotePrefix="1" applyNumberFormat="1" applyFont="1" applyAlignment="1" applyProtection="1">
      <alignment horizontal="left"/>
      <protection locked="0"/>
    </xf>
    <xf numFmtId="0" fontId="22" fillId="0" borderId="0" xfId="2" applyNumberFormat="1" applyFont="1" applyAlignment="1"/>
    <xf numFmtId="168" fontId="12" fillId="0" borderId="0" xfId="2" applyNumberFormat="1" applyAlignment="1"/>
    <xf numFmtId="0" fontId="22" fillId="0" borderId="0" xfId="2" quotePrefix="1" applyNumberFormat="1" applyFont="1" applyAlignment="1">
      <alignment horizontal="center"/>
    </xf>
    <xf numFmtId="168" fontId="1" fillId="0" borderId="0" xfId="2" applyNumberFormat="1" applyFont="1" applyAlignment="1"/>
    <xf numFmtId="0" fontId="1" fillId="0" borderId="0" xfId="2" applyNumberFormat="1" applyFont="1" applyFill="1" applyAlignment="1">
      <alignment horizontal="right"/>
    </xf>
    <xf numFmtId="173" fontId="22" fillId="0" borderId="0" xfId="2" applyNumberFormat="1" applyFont="1" applyFill="1" applyAlignment="1"/>
    <xf numFmtId="164" fontId="6" fillId="0" borderId="0" xfId="2" applyFont="1" applyAlignment="1">
      <alignment wrapText="1"/>
    </xf>
    <xf numFmtId="44" fontId="1" fillId="0" borderId="0" xfId="2" applyNumberFormat="1" applyFont="1" applyBorder="1" applyAlignment="1"/>
    <xf numFmtId="167" fontId="12" fillId="0" borderId="0" xfId="2" applyNumberFormat="1" applyFont="1" applyAlignment="1"/>
    <xf numFmtId="43" fontId="12" fillId="0" borderId="0" xfId="2" applyNumberFormat="1" applyAlignment="1"/>
    <xf numFmtId="44" fontId="12" fillId="0" borderId="0" xfId="2" applyNumberFormat="1" applyAlignment="1"/>
    <xf numFmtId="43" fontId="12" fillId="0" borderId="0" xfId="2" applyNumberFormat="1" applyFont="1" applyAlignment="1"/>
    <xf numFmtId="167" fontId="12" fillId="0" borderId="0" xfId="2" applyNumberFormat="1" applyAlignment="1"/>
    <xf numFmtId="0" fontId="12" fillId="0" borderId="0" xfId="2" applyNumberFormat="1" applyAlignment="1" applyProtection="1">
      <alignment horizontal="center"/>
      <protection locked="0"/>
    </xf>
    <xf numFmtId="167" fontId="1" fillId="0" borderId="0" xfId="2" applyNumberFormat="1" applyFont="1" applyFill="1" applyAlignment="1"/>
    <xf numFmtId="9" fontId="1" fillId="0" borderId="0" xfId="2" applyNumberFormat="1" applyFont="1" applyAlignment="1"/>
    <xf numFmtId="0" fontId="1" fillId="0" borderId="0" xfId="2" applyNumberFormat="1" applyFont="1" applyAlignment="1">
      <alignment wrapText="1"/>
    </xf>
    <xf numFmtId="0" fontId="4" fillId="0" borderId="0" xfId="0" applyNumberFormat="1" applyFont="1" applyAlignment="1">
      <alignment horizontal="right"/>
    </xf>
    <xf numFmtId="0" fontId="6" fillId="0" borderId="0" xfId="2" applyNumberFormat="1" applyFont="1" applyFill="1" applyBorder="1" applyAlignment="1">
      <alignment horizontal="center"/>
    </xf>
    <xf numFmtId="0" fontId="1" fillId="0" borderId="0" xfId="2" applyNumberFormat="1" applyFont="1" applyBorder="1" applyAlignment="1"/>
    <xf numFmtId="0" fontId="1" fillId="0" borderId="0" xfId="2" applyNumberFormat="1" applyFont="1" applyFill="1" applyAlignment="1">
      <alignment horizontal="center"/>
    </xf>
    <xf numFmtId="43" fontId="1" fillId="0" borderId="0" xfId="2" applyNumberFormat="1" applyFont="1" applyFill="1" applyBorder="1" applyAlignment="1"/>
    <xf numFmtId="174" fontId="1" fillId="0" borderId="0" xfId="2" applyNumberFormat="1" applyFont="1" applyAlignment="1"/>
    <xf numFmtId="0" fontId="1" fillId="0" borderId="0" xfId="2" applyNumberFormat="1" applyFont="1" applyFill="1" applyBorder="1" applyAlignment="1"/>
    <xf numFmtId="9" fontId="1" fillId="0" borderId="0" xfId="2" applyNumberFormat="1" applyFont="1" applyFill="1" applyAlignment="1"/>
    <xf numFmtId="0" fontId="29" fillId="0" borderId="0" xfId="2" applyNumberFormat="1" applyFont="1" applyAlignment="1">
      <alignment horizontal="center"/>
    </xf>
    <xf numFmtId="9" fontId="1" fillId="3" borderId="0" xfId="2" applyNumberFormat="1" applyFont="1" applyFill="1" applyAlignment="1"/>
    <xf numFmtId="0" fontId="1" fillId="3" borderId="0" xfId="2" applyNumberFormat="1" applyFont="1" applyFill="1" applyAlignment="1"/>
    <xf numFmtId="0" fontId="1" fillId="3" borderId="0" xfId="2" applyNumberFormat="1" applyFont="1" applyFill="1" applyAlignment="1">
      <alignment horizontal="right"/>
    </xf>
    <xf numFmtId="0" fontId="1" fillId="3" borderId="0" xfId="2" applyNumberFormat="1" applyFont="1" applyFill="1" applyAlignment="1">
      <alignment horizontal="center"/>
    </xf>
    <xf numFmtId="0" fontId="6" fillId="3" borderId="0" xfId="2" applyNumberFormat="1" applyFont="1" applyFill="1" applyAlignment="1"/>
    <xf numFmtId="0" fontId="29" fillId="0" borderId="0" xfId="2" applyNumberFormat="1" applyFont="1" applyAlignment="1"/>
    <xf numFmtId="43" fontId="22" fillId="0" borderId="0" xfId="2" applyNumberFormat="1" applyFont="1" applyAlignment="1"/>
    <xf numFmtId="174" fontId="12" fillId="0" borderId="0" xfId="2" applyNumberFormat="1" applyAlignment="1"/>
    <xf numFmtId="43" fontId="21" fillId="0" borderId="0" xfId="2" applyNumberFormat="1" applyFont="1" applyAlignment="1">
      <alignment horizontal="center" vertical="center"/>
    </xf>
    <xf numFmtId="43" fontId="25" fillId="0" borderId="0" xfId="2" applyNumberFormat="1" applyFont="1" applyAlignment="1">
      <alignment horizontal="center"/>
    </xf>
    <xf numFmtId="49" fontId="25" fillId="0" borderId="0" xfId="2" applyNumberFormat="1" applyFont="1" applyAlignment="1">
      <alignment horizontal="left"/>
    </xf>
    <xf numFmtId="0" fontId="12" fillId="0" borderId="0" xfId="2" quotePrefix="1" applyNumberFormat="1" applyAlignment="1"/>
    <xf numFmtId="43" fontId="22" fillId="0" borderId="0" xfId="2" applyNumberFormat="1" applyFont="1" applyFill="1" applyAlignment="1"/>
    <xf numFmtId="43" fontId="12" fillId="0" borderId="0" xfId="2" applyNumberFormat="1" applyFill="1" applyAlignment="1"/>
    <xf numFmtId="174" fontId="12" fillId="0" borderId="0" xfId="2" applyNumberFormat="1" applyFill="1" applyAlignment="1"/>
    <xf numFmtId="0" fontId="12" fillId="0" borderId="0" xfId="2" applyNumberFormat="1" applyFill="1" applyAlignment="1">
      <alignment horizontal="center"/>
    </xf>
    <xf numFmtId="0" fontId="12" fillId="0" borderId="0" xfId="2" applyNumberFormat="1" applyFill="1" applyBorder="1" applyAlignment="1"/>
    <xf numFmtId="0" fontId="12" fillId="0" borderId="0" xfId="2" applyNumberFormat="1" applyFill="1" applyBorder="1" applyAlignment="1">
      <alignment horizontal="center"/>
    </xf>
    <xf numFmtId="0" fontId="17" fillId="0" borderId="0" xfId="2" applyNumberFormat="1" applyFont="1" applyFill="1" applyAlignment="1"/>
    <xf numFmtId="43" fontId="17" fillId="0" borderId="0" xfId="2" applyNumberFormat="1" applyFont="1" applyFill="1" applyAlignment="1"/>
    <xf numFmtId="0" fontId="17" fillId="0" borderId="0" xfId="2" applyNumberFormat="1" applyFont="1" applyFill="1" applyAlignment="1">
      <alignment horizontal="center"/>
    </xf>
    <xf numFmtId="167" fontId="1" fillId="0" borderId="0" xfId="2" applyNumberFormat="1" applyFont="1" applyFill="1" applyAlignment="1">
      <alignment horizontal="center"/>
    </xf>
    <xf numFmtId="167" fontId="30" fillId="0" borderId="0" xfId="2" applyNumberFormat="1" applyFont="1" applyFill="1" applyAlignment="1"/>
    <xf numFmtId="43" fontId="1" fillId="0" borderId="0" xfId="2" applyNumberFormat="1" applyFont="1" applyFill="1" applyAlignment="1">
      <alignment horizontal="center"/>
    </xf>
    <xf numFmtId="0" fontId="12" fillId="4" borderId="0" xfId="2" applyNumberFormat="1" applyFill="1" applyAlignment="1">
      <alignment horizontal="center"/>
    </xf>
    <xf numFmtId="167" fontId="1" fillId="4" borderId="0" xfId="2" applyNumberFormat="1" applyFont="1" applyFill="1" applyAlignment="1">
      <alignment horizontal="center"/>
    </xf>
    <xf numFmtId="43" fontId="1" fillId="4" borderId="0" xfId="2" applyNumberFormat="1" applyFont="1" applyFill="1" applyAlignment="1">
      <alignment horizontal="center"/>
    </xf>
    <xf numFmtId="167" fontId="30" fillId="4" borderId="0" xfId="2" applyNumberFormat="1" applyFont="1" applyFill="1" applyAlignment="1">
      <alignment horizontal="center"/>
    </xf>
    <xf numFmtId="0" fontId="12" fillId="0" borderId="0" xfId="2" applyNumberFormat="1" applyAlignment="1">
      <alignment wrapText="1"/>
    </xf>
    <xf numFmtId="0" fontId="12" fillId="4" borderId="0" xfId="2" applyNumberFormat="1" applyFill="1" applyAlignment="1">
      <alignment horizontal="center" wrapText="1"/>
    </xf>
    <xf numFmtId="0" fontId="12" fillId="0" borderId="0" xfId="2" applyNumberFormat="1" applyFill="1" applyAlignment="1">
      <alignment wrapText="1"/>
    </xf>
    <xf numFmtId="0" fontId="6" fillId="0" borderId="0" xfId="2" applyNumberFormat="1" applyFont="1" applyAlignment="1">
      <alignment horizontal="center" wrapText="1"/>
    </xf>
    <xf numFmtId="0" fontId="12" fillId="4" borderId="0" xfId="2" applyNumberFormat="1" applyFill="1" applyAlignment="1"/>
    <xf numFmtId="0" fontId="11" fillId="4" borderId="0" xfId="2" applyNumberFormat="1" applyFont="1" applyFill="1" applyAlignment="1">
      <alignment horizontal="center"/>
    </xf>
    <xf numFmtId="49" fontId="25" fillId="0" borderId="0" xfId="2" applyNumberFormat="1" applyFont="1" applyFill="1" applyAlignment="1">
      <alignment horizontal="center"/>
    </xf>
    <xf numFmtId="10" fontId="1" fillId="0" borderId="0" xfId="2" applyNumberFormat="1" applyFont="1" applyFill="1" applyAlignment="1"/>
    <xf numFmtId="167" fontId="1" fillId="0" borderId="0" xfId="2" applyNumberFormat="1" applyFont="1" applyFill="1" applyAlignment="1" applyProtection="1">
      <protection locked="0"/>
    </xf>
    <xf numFmtId="14" fontId="1" fillId="0" borderId="0" xfId="2" applyNumberFormat="1" applyFont="1" applyFill="1" applyAlignment="1"/>
    <xf numFmtId="49" fontId="25" fillId="0" borderId="0" xfId="2" applyNumberFormat="1" applyFont="1" applyFill="1" applyAlignment="1" applyProtection="1">
      <alignment horizontal="right"/>
      <protection locked="0"/>
    </xf>
    <xf numFmtId="49" fontId="1" fillId="0" borderId="0" xfId="2" applyNumberFormat="1" applyFont="1" applyFill="1" applyAlignment="1">
      <alignment horizontal="center"/>
    </xf>
    <xf numFmtId="10" fontId="1" fillId="0" borderId="0" xfId="2" applyNumberFormat="1" applyFont="1" applyAlignment="1"/>
    <xf numFmtId="14" fontId="1" fillId="0" borderId="0" xfId="2" applyNumberFormat="1" applyFont="1" applyAlignment="1"/>
    <xf numFmtId="49" fontId="1" fillId="0" borderId="0" xfId="2" applyNumberFormat="1" applyFont="1" applyAlignment="1">
      <alignment horizontal="center"/>
    </xf>
    <xf numFmtId="175" fontId="1" fillId="0" borderId="0" xfId="2" applyNumberFormat="1" applyFont="1" applyAlignment="1" applyProtection="1">
      <protection locked="0"/>
    </xf>
    <xf numFmtId="175" fontId="1" fillId="0" borderId="0" xfId="2" applyNumberFormat="1" applyFont="1" applyAlignment="1" applyProtection="1">
      <alignment horizontal="right"/>
      <protection locked="0"/>
    </xf>
    <xf numFmtId="0" fontId="7" fillId="0" borderId="0" xfId="0" applyNumberFormat="1" applyFont="1" applyAlignment="1"/>
    <xf numFmtId="0" fontId="31" fillId="0" borderId="0" xfId="0" applyNumberFormat="1" applyFont="1" applyAlignment="1"/>
    <xf numFmtId="0" fontId="22" fillId="0" borderId="0" xfId="0" applyNumberFormat="1" applyFont="1" applyAlignment="1"/>
    <xf numFmtId="0" fontId="22" fillId="0" borderId="0" xfId="0" applyNumberFormat="1" applyFont="1" applyFill="1" applyAlignment="1"/>
    <xf numFmtId="0" fontId="31" fillId="0" borderId="0" xfId="0" applyNumberFormat="1" applyFont="1" applyAlignment="1">
      <alignment horizontal="left"/>
    </xf>
    <xf numFmtId="0" fontId="20" fillId="0" borderId="0" xfId="0" applyNumberFormat="1" applyFont="1" applyFill="1" applyAlignment="1"/>
    <xf numFmtId="0" fontId="32" fillId="0" borderId="0" xfId="0" applyNumberFormat="1" applyFont="1" applyAlignment="1"/>
    <xf numFmtId="0" fontId="31" fillId="0" borderId="0" xfId="0" applyNumberFormat="1" applyFont="1" applyAlignment="1">
      <alignment horizontal="right"/>
    </xf>
    <xf numFmtId="0" fontId="22" fillId="0" borderId="0" xfId="0" applyNumberFormat="1" applyFont="1" applyAlignment="1">
      <alignment horizontal="center"/>
    </xf>
    <xf numFmtId="0" fontId="22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right"/>
    </xf>
    <xf numFmtId="0" fontId="1" fillId="0" borderId="0" xfId="1" applyNumberFormat="1" applyFont="1" applyFill="1" applyAlignment="1"/>
    <xf numFmtId="164" fontId="33" fillId="0" borderId="0" xfId="1" applyFont="1">
      <alignment horizontal="left" wrapText="1"/>
    </xf>
    <xf numFmtId="0" fontId="22" fillId="0" borderId="0" xfId="1" applyNumberFormat="1" applyFont="1" applyAlignment="1">
      <alignment horizontal="right" wrapText="1"/>
    </xf>
    <xf numFmtId="0" fontId="34" fillId="0" borderId="0" xfId="1" applyNumberFormat="1" applyFont="1" applyAlignment="1"/>
    <xf numFmtId="0" fontId="35" fillId="0" borderId="0" xfId="1" applyNumberFormat="1" applyFont="1" applyAlignment="1">
      <alignment horizontal="right"/>
    </xf>
    <xf numFmtId="164" fontId="13" fillId="0" borderId="0" xfId="1" applyFont="1" applyFill="1" applyAlignment="1">
      <alignment horizontal="left"/>
    </xf>
    <xf numFmtId="0" fontId="11" fillId="0" borderId="0" xfId="1" applyNumberFormat="1" applyFont="1" applyFill="1" applyAlignment="1"/>
    <xf numFmtId="0" fontId="34" fillId="0" borderId="0" xfId="1" applyNumberFormat="1" applyFont="1" applyAlignment="1">
      <alignment horizontal="center"/>
    </xf>
    <xf numFmtId="0" fontId="36" fillId="0" borderId="0" xfId="1" applyNumberFormat="1" applyFont="1" applyFill="1" applyAlignment="1">
      <alignment horizontal="left"/>
    </xf>
    <xf numFmtId="164" fontId="37" fillId="0" borderId="0" xfId="1" applyFont="1" applyFill="1" applyAlignment="1">
      <alignment horizontal="centerContinuous"/>
    </xf>
    <xf numFmtId="0" fontId="38" fillId="6" borderId="20" xfId="1" applyNumberFormat="1" applyFont="1" applyFill="1" applyBorder="1" applyAlignment="1">
      <alignment horizontal="centerContinuous"/>
    </xf>
    <xf numFmtId="0" fontId="39" fillId="6" borderId="21" xfId="1" applyNumberFormat="1" applyFont="1" applyFill="1" applyBorder="1" applyAlignment="1">
      <alignment horizontal="centerContinuous"/>
    </xf>
    <xf numFmtId="0" fontId="39" fillId="6" borderId="22" xfId="1" applyNumberFormat="1" applyFont="1" applyFill="1" applyBorder="1" applyAlignment="1">
      <alignment horizontal="centerContinuous"/>
    </xf>
    <xf numFmtId="0" fontId="6" fillId="0" borderId="0" xfId="1" applyNumberFormat="1" applyFont="1" applyFill="1" applyAlignment="1">
      <alignment horizontal="left"/>
    </xf>
    <xf numFmtId="0" fontId="40" fillId="5" borderId="20" xfId="1" applyNumberFormat="1" applyFont="1" applyFill="1" applyBorder="1" applyAlignment="1">
      <alignment horizontal="centerContinuous"/>
    </xf>
    <xf numFmtId="0" fontId="40" fillId="5" borderId="21" xfId="1" applyNumberFormat="1" applyFont="1" applyFill="1" applyBorder="1" applyAlignment="1">
      <alignment horizontal="centerContinuous"/>
    </xf>
    <xf numFmtId="164" fontId="41" fillId="5" borderId="21" xfId="1" applyFont="1" applyFill="1" applyBorder="1" applyAlignment="1">
      <alignment horizontal="centerContinuous" wrapText="1"/>
    </xf>
    <xf numFmtId="164" fontId="41" fillId="5" borderId="22" xfId="1" applyFont="1" applyFill="1" applyBorder="1" applyAlignment="1">
      <alignment horizontal="centerContinuous" wrapText="1"/>
    </xf>
    <xf numFmtId="0" fontId="42" fillId="0" borderId="0" xfId="1" applyNumberFormat="1" applyFont="1" applyAlignment="1"/>
    <xf numFmtId="0" fontId="22" fillId="0" borderId="0" xfId="1" applyNumberFormat="1" applyFont="1" applyFill="1" applyAlignment="1">
      <alignment horizontal="center"/>
    </xf>
    <xf numFmtId="0" fontId="22" fillId="0" borderId="0" xfId="1" quotePrefix="1" applyNumberFormat="1" applyFont="1" applyFill="1" applyAlignment="1">
      <alignment horizontal="left"/>
    </xf>
    <xf numFmtId="0" fontId="31" fillId="0" borderId="23" xfId="1" applyNumberFormat="1" applyFont="1" applyFill="1" applyBorder="1" applyAlignment="1">
      <alignment horizontal="center"/>
    </xf>
    <xf numFmtId="0" fontId="34" fillId="0" borderId="24" xfId="1" applyNumberFormat="1" applyFont="1" applyBorder="1" applyAlignment="1"/>
    <xf numFmtId="0" fontId="34" fillId="0" borderId="25" xfId="1" applyNumberFormat="1" applyFont="1" applyBorder="1" applyAlignment="1"/>
    <xf numFmtId="0" fontId="43" fillId="7" borderId="20" xfId="1" applyNumberFormat="1" applyFont="1" applyFill="1" applyBorder="1" applyAlignment="1">
      <alignment horizontal="centerContinuous"/>
    </xf>
    <xf numFmtId="0" fontId="44" fillId="7" borderId="21" xfId="1" applyNumberFormat="1" applyFont="1" applyFill="1" applyBorder="1" applyAlignment="1">
      <alignment horizontal="centerContinuous"/>
    </xf>
    <xf numFmtId="0" fontId="44" fillId="7" borderId="22" xfId="1" applyNumberFormat="1" applyFont="1" applyFill="1" applyBorder="1" applyAlignment="1">
      <alignment horizontal="centerContinuous"/>
    </xf>
    <xf numFmtId="0" fontId="22" fillId="0" borderId="0" xfId="1" applyNumberFormat="1" applyFont="1" applyFill="1" applyAlignment="1">
      <alignment horizontal="left"/>
    </xf>
    <xf numFmtId="168" fontId="22" fillId="0" borderId="26" xfId="1" applyNumberFormat="1" applyFont="1" applyFill="1" applyBorder="1" applyAlignment="1"/>
    <xf numFmtId="164" fontId="33" fillId="0" borderId="0" xfId="1" applyFont="1" applyBorder="1">
      <alignment horizontal="left" wrapText="1"/>
    </xf>
    <xf numFmtId="164" fontId="33" fillId="0" borderId="27" xfId="1" applyFont="1" applyBorder="1">
      <alignment horizontal="left" wrapText="1"/>
    </xf>
    <xf numFmtId="167" fontId="22" fillId="0" borderId="26" xfId="1" applyNumberFormat="1" applyFont="1" applyFill="1" applyBorder="1" applyAlignment="1">
      <alignment horizontal="right"/>
    </xf>
    <xf numFmtId="0" fontId="22" fillId="0" borderId="0" xfId="1" applyNumberFormat="1" applyFont="1" applyBorder="1" applyAlignment="1"/>
    <xf numFmtId="0" fontId="22" fillId="0" borderId="27" xfId="1" applyNumberFormat="1" applyFont="1" applyBorder="1" applyAlignment="1"/>
    <xf numFmtId="0" fontId="45" fillId="0" borderId="0" xfId="1" applyNumberFormat="1" applyFont="1" applyBorder="1" applyAlignment="1">
      <alignment horizontal="right"/>
    </xf>
    <xf numFmtId="0" fontId="22" fillId="0" borderId="0" xfId="1" applyNumberFormat="1" applyFont="1" applyFill="1" applyAlignment="1"/>
    <xf numFmtId="168" fontId="22" fillId="0" borderId="28" xfId="1" applyNumberFormat="1" applyFont="1" applyFill="1" applyBorder="1" applyAlignment="1">
      <alignment horizontal="right"/>
    </xf>
    <xf numFmtId="0" fontId="22" fillId="0" borderId="0" xfId="1" applyNumberFormat="1" applyFont="1" applyFill="1" applyBorder="1" applyAlignment="1"/>
    <xf numFmtId="0" fontId="22" fillId="0" borderId="0" xfId="1" applyNumberFormat="1" applyFont="1" applyFill="1" applyBorder="1" applyAlignment="1">
      <alignment horizontal="center"/>
    </xf>
    <xf numFmtId="0" fontId="45" fillId="0" borderId="0" xfId="1" applyNumberFormat="1" applyFont="1" applyFill="1" applyBorder="1" applyAlignment="1">
      <alignment horizontal="center"/>
    </xf>
    <xf numFmtId="10" fontId="22" fillId="0" borderId="26" xfId="1" applyNumberFormat="1" applyFont="1" applyBorder="1" applyAlignment="1"/>
    <xf numFmtId="43" fontId="22" fillId="0" borderId="0" xfId="1" applyNumberFormat="1" applyFont="1" applyFill="1" applyBorder="1" applyAlignment="1">
      <alignment horizontal="right"/>
    </xf>
    <xf numFmtId="0" fontId="31" fillId="0" borderId="0" xfId="1" applyNumberFormat="1" applyFont="1" applyFill="1" applyBorder="1" applyAlignment="1">
      <alignment horizontal="center"/>
    </xf>
    <xf numFmtId="0" fontId="31" fillId="0" borderId="27" xfId="1" applyNumberFormat="1" applyFont="1" applyFill="1" applyBorder="1" applyAlignment="1">
      <alignment horizontal="center"/>
    </xf>
    <xf numFmtId="168" fontId="22" fillId="0" borderId="0" xfId="1" applyNumberFormat="1" applyFont="1" applyFill="1" applyAlignment="1">
      <alignment horizontal="left"/>
    </xf>
    <xf numFmtId="0" fontId="22" fillId="0" borderId="26" xfId="1" applyNumberFormat="1" applyFont="1" applyBorder="1" applyAlignment="1"/>
    <xf numFmtId="43" fontId="22" fillId="0" borderId="0" xfId="1" applyNumberFormat="1" applyFont="1" applyFill="1" applyAlignment="1">
      <alignment horizontal="left"/>
    </xf>
    <xf numFmtId="167" fontId="31" fillId="0" borderId="0" xfId="1" applyNumberFormat="1" applyFont="1" applyFill="1" applyBorder="1" applyAlignment="1">
      <alignment horizontal="center"/>
    </xf>
    <xf numFmtId="167" fontId="31" fillId="0" borderId="27" xfId="1" applyNumberFormat="1" applyFont="1" applyFill="1" applyBorder="1" applyAlignment="1">
      <alignment horizontal="center"/>
    </xf>
    <xf numFmtId="0" fontId="34" fillId="0" borderId="0" xfId="1" applyNumberFormat="1" applyFont="1" applyFill="1" applyAlignment="1"/>
    <xf numFmtId="0" fontId="31" fillId="0" borderId="26" xfId="1" applyNumberFormat="1" applyFont="1" applyFill="1" applyBorder="1" applyAlignment="1">
      <alignment horizontal="center"/>
    </xf>
    <xf numFmtId="176" fontId="22" fillId="0" borderId="0" xfId="1" applyNumberFormat="1" applyFont="1" applyFill="1" applyBorder="1" applyAlignment="1"/>
    <xf numFmtId="167" fontId="22" fillId="0" borderId="0" xfId="1" applyNumberFormat="1" applyFont="1" applyFill="1" applyBorder="1" applyAlignment="1">
      <alignment horizontal="center"/>
    </xf>
    <xf numFmtId="168" fontId="22" fillId="0" borderId="0" xfId="1" applyNumberFormat="1" applyFont="1" applyBorder="1" applyAlignment="1"/>
    <xf numFmtId="168" fontId="22" fillId="0" borderId="27" xfId="1" applyNumberFormat="1" applyFont="1" applyBorder="1" applyAlignment="1"/>
    <xf numFmtId="167" fontId="34" fillId="0" borderId="0" xfId="1" applyNumberFormat="1" applyFont="1" applyFill="1" applyAlignment="1"/>
    <xf numFmtId="167" fontId="22" fillId="0" borderId="27" xfId="1" applyNumberFormat="1" applyFont="1" applyBorder="1" applyAlignment="1"/>
    <xf numFmtId="167" fontId="22" fillId="0" borderId="26" xfId="1" applyNumberFormat="1" applyFont="1" applyFill="1" applyBorder="1" applyAlignment="1"/>
    <xf numFmtId="167" fontId="22" fillId="0" borderId="0" xfId="1" applyNumberFormat="1" applyFont="1" applyBorder="1" applyAlignment="1"/>
    <xf numFmtId="0" fontId="22" fillId="0" borderId="0" xfId="1" applyNumberFormat="1" applyFont="1" applyFill="1" applyBorder="1" applyAlignment="1">
      <alignment horizontal="left" indent="1"/>
    </xf>
    <xf numFmtId="0" fontId="22" fillId="0" borderId="0" xfId="1" applyNumberFormat="1" applyFont="1" applyFill="1" applyAlignment="1">
      <alignment horizontal="center" vertical="top"/>
    </xf>
    <xf numFmtId="0" fontId="22" fillId="0" borderId="0" xfId="1" applyNumberFormat="1" applyFont="1" applyFill="1" applyAlignment="1">
      <alignment vertical="top"/>
    </xf>
    <xf numFmtId="0" fontId="22" fillId="0" borderId="0" xfId="1" quotePrefix="1" applyNumberFormat="1" applyFont="1" applyFill="1" applyBorder="1" applyAlignment="1">
      <alignment horizontal="left"/>
    </xf>
    <xf numFmtId="0" fontId="46" fillId="0" borderId="0" xfId="1" applyNumberFormat="1" applyFont="1" applyAlignment="1"/>
    <xf numFmtId="0" fontId="45" fillId="0" borderId="26" xfId="1" applyNumberFormat="1" applyFont="1" applyFill="1" applyBorder="1" applyAlignment="1"/>
    <xf numFmtId="0" fontId="45" fillId="0" borderId="0" xfId="1" applyNumberFormat="1" applyFont="1" applyFill="1" applyBorder="1" applyAlignment="1"/>
    <xf numFmtId="0" fontId="45" fillId="0" borderId="27" xfId="1" applyNumberFormat="1" applyFont="1" applyFill="1" applyBorder="1" applyAlignment="1"/>
    <xf numFmtId="0" fontId="22" fillId="0" borderId="0" xfId="1" applyNumberFormat="1" applyFont="1" applyFill="1" applyAlignment="1">
      <alignment horizontal="left" vertical="center" indent="1"/>
    </xf>
    <xf numFmtId="168" fontId="22" fillId="0" borderId="28" xfId="1" applyNumberFormat="1" applyFont="1" applyFill="1" applyBorder="1" applyAlignment="1"/>
    <xf numFmtId="176" fontId="22" fillId="0" borderId="7" xfId="1" applyNumberFormat="1" applyFont="1" applyBorder="1" applyAlignment="1"/>
    <xf numFmtId="168" fontId="22" fillId="0" borderId="7" xfId="1" applyNumberFormat="1" applyFont="1" applyFill="1" applyBorder="1" applyAlignment="1"/>
    <xf numFmtId="168" fontId="22" fillId="0" borderId="29" xfId="1" applyNumberFormat="1" applyFont="1" applyFill="1" applyBorder="1" applyAlignment="1"/>
    <xf numFmtId="177" fontId="22" fillId="0" borderId="26" xfId="1" applyNumberFormat="1" applyFont="1" applyFill="1" applyBorder="1" applyAlignment="1">
      <alignment horizontal="right"/>
    </xf>
    <xf numFmtId="177" fontId="22" fillId="0" borderId="0" xfId="1" applyNumberFormat="1" applyFont="1" applyFill="1" applyBorder="1" applyAlignment="1">
      <alignment horizontal="right"/>
    </xf>
    <xf numFmtId="177" fontId="22" fillId="0" borderId="0" xfId="1" applyNumberFormat="1" applyFont="1" applyBorder="1" applyAlignment="1"/>
    <xf numFmtId="177" fontId="22" fillId="0" borderId="27" xfId="1" applyNumberFormat="1" applyFont="1" applyBorder="1" applyAlignment="1"/>
    <xf numFmtId="167" fontId="22" fillId="0" borderId="0" xfId="1" applyNumberFormat="1" applyFont="1" applyFill="1" applyBorder="1" applyAlignment="1"/>
    <xf numFmtId="168" fontId="22" fillId="0" borderId="26" xfId="1" applyNumberFormat="1" applyFont="1" applyBorder="1" applyAlignment="1"/>
    <xf numFmtId="0" fontId="22" fillId="0" borderId="0" xfId="1" applyNumberFormat="1" applyFont="1" applyBorder="1" applyAlignment="1">
      <alignment horizontal="center" wrapText="1"/>
    </xf>
    <xf numFmtId="0" fontId="22" fillId="0" borderId="27" xfId="1" applyNumberFormat="1" applyFont="1" applyBorder="1" applyAlignment="1">
      <alignment horizontal="center" wrapText="1"/>
    </xf>
    <xf numFmtId="0" fontId="45" fillId="0" borderId="26" xfId="1" applyNumberFormat="1" applyFont="1" applyBorder="1" applyAlignment="1"/>
    <xf numFmtId="0" fontId="45" fillId="0" borderId="0" xfId="1" applyNumberFormat="1" applyFont="1" applyBorder="1" applyAlignment="1"/>
    <xf numFmtId="0" fontId="45" fillId="0" borderId="27" xfId="1" applyNumberFormat="1" applyFont="1" applyBorder="1" applyAlignment="1"/>
    <xf numFmtId="168" fontId="45" fillId="0" borderId="26" xfId="1" applyNumberFormat="1" applyFont="1" applyBorder="1" applyAlignment="1"/>
    <xf numFmtId="176" fontId="22" fillId="0" borderId="0" xfId="1" applyNumberFormat="1" applyFont="1" applyBorder="1" applyAlignment="1"/>
    <xf numFmtId="176" fontId="22" fillId="0" borderId="27" xfId="1" applyNumberFormat="1" applyFont="1" applyBorder="1" applyAlignment="1"/>
    <xf numFmtId="0" fontId="45" fillId="0" borderId="19" xfId="1" applyNumberFormat="1" applyFont="1" applyBorder="1" applyAlignment="1"/>
    <xf numFmtId="176" fontId="22" fillId="0" borderId="18" xfId="1" applyNumberFormat="1" applyFont="1" applyBorder="1" applyAlignment="1"/>
    <xf numFmtId="176" fontId="22" fillId="0" borderId="17" xfId="1" applyNumberFormat="1" applyFont="1" applyBorder="1" applyAlignment="1"/>
    <xf numFmtId="0" fontId="45" fillId="0" borderId="0" xfId="1" applyNumberFormat="1" applyFont="1" applyFill="1" applyAlignment="1"/>
    <xf numFmtId="164" fontId="47" fillId="0" borderId="0" xfId="1" applyFont="1" applyFill="1" applyBorder="1" applyAlignment="1"/>
    <xf numFmtId="0" fontId="33" fillId="0" borderId="0" xfId="1" applyNumberFormat="1" applyFont="1" applyAlignment="1"/>
    <xf numFmtId="0" fontId="30" fillId="0" borderId="0" xfId="1" applyNumberFormat="1" applyFont="1" applyBorder="1" applyAlignment="1"/>
    <xf numFmtId="176" fontId="26" fillId="0" borderId="0" xfId="0" applyNumberFormat="1" applyFont="1" applyFill="1" applyBorder="1" applyAlignment="1"/>
    <xf numFmtId="0" fontId="1" fillId="0" borderId="0" xfId="1" applyNumberFormat="1" applyFont="1" applyBorder="1" applyAlignment="1"/>
    <xf numFmtId="41" fontId="1" fillId="0" borderId="0" xfId="1" applyNumberFormat="1" applyFont="1" applyAlignment="1"/>
    <xf numFmtId="167" fontId="1" fillId="0" borderId="0" xfId="1" applyNumberFormat="1" applyFont="1" applyFill="1" applyAlignment="1"/>
    <xf numFmtId="43" fontId="1" fillId="0" borderId="0" xfId="1" applyNumberFormat="1" applyFont="1" applyFill="1" applyAlignment="1"/>
    <xf numFmtId="0" fontId="48" fillId="0" borderId="0" xfId="1" applyNumberFormat="1" applyFont="1" applyFill="1" applyAlignment="1">
      <alignment horizontal="left"/>
    </xf>
    <xf numFmtId="178" fontId="1" fillId="0" borderId="0" xfId="1" applyNumberFormat="1" applyFont="1" applyFill="1" applyAlignment="1"/>
    <xf numFmtId="0" fontId="1" fillId="0" borderId="0" xfId="1" applyNumberFormat="1" applyFont="1" applyFill="1" applyAlignment="1">
      <alignment horizontal="center"/>
    </xf>
    <xf numFmtId="0" fontId="1" fillId="0" borderId="0" xfId="1" applyNumberFormat="1" applyFont="1" applyFill="1" applyBorder="1" applyAlignment="1"/>
    <xf numFmtId="176" fontId="1" fillId="0" borderId="0" xfId="1" applyNumberFormat="1" applyFont="1" applyFill="1" applyAlignment="1"/>
    <xf numFmtId="176" fontId="49" fillId="0" borderId="0" xfId="1" applyNumberFormat="1" applyFont="1" applyFill="1" applyBorder="1" applyAlignment="1"/>
    <xf numFmtId="179" fontId="1" fillId="0" borderId="0" xfId="1" applyNumberFormat="1" applyFont="1" applyFill="1" applyAlignment="1"/>
    <xf numFmtId="167" fontId="49" fillId="0" borderId="0" xfId="1" applyNumberFormat="1" applyFont="1" applyFill="1" applyBorder="1" applyAlignment="1"/>
    <xf numFmtId="167" fontId="1" fillId="0" borderId="0" xfId="1" applyNumberFormat="1" applyFont="1" applyFill="1" applyBorder="1" applyAlignment="1"/>
    <xf numFmtId="178" fontId="50" fillId="0" borderId="0" xfId="1" applyNumberFormat="1" applyFont="1" applyFill="1" applyAlignment="1">
      <alignment horizontal="center"/>
    </xf>
    <xf numFmtId="0" fontId="1" fillId="0" borderId="0" xfId="1" applyNumberFormat="1" applyFont="1" applyAlignment="1">
      <alignment horizontal="center"/>
    </xf>
    <xf numFmtId="178" fontId="18" fillId="0" borderId="0" xfId="1" applyNumberFormat="1" applyFont="1" applyFill="1" applyAlignment="1">
      <alignment horizontal="center"/>
    </xf>
    <xf numFmtId="178" fontId="18" fillId="0" borderId="0" xfId="1" applyNumberFormat="1" applyFont="1" applyFill="1" applyAlignment="1"/>
    <xf numFmtId="0" fontId="1" fillId="0" borderId="0" xfId="1" quotePrefix="1" applyNumberFormat="1" applyFont="1" applyFill="1" applyAlignment="1">
      <alignment horizontal="left"/>
    </xf>
    <xf numFmtId="0" fontId="51" fillId="0" borderId="0" xfId="1" applyNumberFormat="1" applyFont="1" applyFill="1" applyBorder="1" applyAlignment="1"/>
    <xf numFmtId="0" fontId="52" fillId="0" borderId="0" xfId="1" applyNumberFormat="1" applyFont="1" applyFill="1" applyAlignment="1">
      <alignment horizontal="right"/>
    </xf>
    <xf numFmtId="178" fontId="51" fillId="0" borderId="0" xfId="1" applyNumberFormat="1" applyFont="1" applyFill="1" applyBorder="1" applyAlignment="1">
      <alignment horizontal="left"/>
    </xf>
    <xf numFmtId="178" fontId="52" fillId="0" borderId="0" xfId="1" applyNumberFormat="1" applyFont="1" applyFill="1" applyAlignment="1">
      <alignment horizontal="right"/>
    </xf>
    <xf numFmtId="178" fontId="1" fillId="0" borderId="0" xfId="1" applyNumberFormat="1" applyFont="1" applyFill="1" applyBorder="1" applyAlignment="1">
      <alignment horizontal="left"/>
    </xf>
    <xf numFmtId="41" fontId="1" fillId="0" borderId="0" xfId="1" applyNumberFormat="1" applyFont="1" applyFill="1" applyBorder="1" applyAlignment="1"/>
    <xf numFmtId="42" fontId="1" fillId="0" borderId="7" xfId="1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/>
    <xf numFmtId="177" fontId="1" fillId="0" borderId="2" xfId="1" applyNumberFormat="1" applyFont="1" applyFill="1" applyBorder="1" applyAlignment="1"/>
    <xf numFmtId="179" fontId="6" fillId="0" borderId="30" xfId="1" applyNumberFormat="1" applyFont="1" applyFill="1" applyBorder="1" applyAlignment="1">
      <alignment vertical="center"/>
    </xf>
    <xf numFmtId="39" fontId="1" fillId="0" borderId="0" xfId="1" applyNumberFormat="1" applyFont="1" applyFill="1" applyAlignment="1">
      <alignment vertical="center"/>
    </xf>
    <xf numFmtId="0" fontId="1" fillId="0" borderId="0" xfId="1" applyNumberFormat="1" applyFont="1" applyFill="1" applyAlignment="1">
      <alignment horizontal="left" vertical="center" indent="1"/>
    </xf>
    <xf numFmtId="0" fontId="1" fillId="0" borderId="2" xfId="1" applyNumberFormat="1" applyFont="1" applyBorder="1" applyAlignment="1"/>
    <xf numFmtId="41" fontId="1" fillId="0" borderId="0" xfId="1" applyNumberFormat="1" applyFont="1" applyFill="1" applyBorder="1" applyAlignment="1">
      <alignment horizontal="right"/>
    </xf>
    <xf numFmtId="41" fontId="1" fillId="0" borderId="0" xfId="1" applyNumberFormat="1" applyFont="1" applyFill="1" applyAlignment="1"/>
    <xf numFmtId="0" fontId="1" fillId="0" borderId="0" xfId="1" quotePrefix="1" applyNumberFormat="1" applyFont="1" applyFill="1" applyBorder="1" applyAlignment="1">
      <alignment horizontal="left"/>
    </xf>
    <xf numFmtId="180" fontId="1" fillId="0" borderId="0" xfId="1" applyNumberFormat="1" applyFont="1" applyFill="1" applyAlignment="1"/>
    <xf numFmtId="0" fontId="1" fillId="0" borderId="0" xfId="1" applyNumberFormat="1" applyFont="1" applyFill="1" applyAlignment="1">
      <alignment horizontal="center" vertical="top"/>
    </xf>
    <xf numFmtId="0" fontId="1" fillId="0" borderId="0" xfId="1" applyNumberFormat="1" applyFont="1" applyFill="1" applyBorder="1" applyAlignment="1">
      <alignment horizontal="left" indent="1"/>
    </xf>
    <xf numFmtId="168" fontId="1" fillId="0" borderId="0" xfId="1" applyNumberFormat="1" applyFont="1" applyFill="1" applyAlignment="1"/>
    <xf numFmtId="42" fontId="1" fillId="0" borderId="0" xfId="1" applyNumberFormat="1" applyFont="1" applyFill="1" applyBorder="1" applyAlignment="1"/>
    <xf numFmtId="0" fontId="1" fillId="0" borderId="0" xfId="1" applyNumberFormat="1" applyFont="1" applyFill="1" applyAlignment="1">
      <alignment horizontal="left"/>
    </xf>
    <xf numFmtId="0" fontId="53" fillId="0" borderId="0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167" fontId="6" fillId="0" borderId="2" xfId="1" applyNumberFormat="1" applyFont="1" applyFill="1" applyBorder="1" applyAlignment="1">
      <alignment horizontal="center"/>
    </xf>
    <xf numFmtId="0" fontId="6" fillId="0" borderId="2" xfId="1" applyNumberFormat="1" applyFont="1" applyFill="1" applyBorder="1" applyAlignment="1">
      <alignment horizontal="center"/>
    </xf>
    <xf numFmtId="0" fontId="1" fillId="0" borderId="2" xfId="1" applyNumberFormat="1" applyFont="1" applyFill="1" applyBorder="1" applyAlignment="1">
      <alignment horizontal="center"/>
    </xf>
    <xf numFmtId="0" fontId="9" fillId="0" borderId="0" xfId="1" applyNumberFormat="1" applyFont="1" applyFill="1" applyAlignment="1">
      <alignment horizontal="center"/>
    </xf>
    <xf numFmtId="181" fontId="1" fillId="0" borderId="0" xfId="1" applyNumberFormat="1" applyFont="1" applyFill="1" applyAlignment="1">
      <alignment horizontal="center"/>
    </xf>
    <xf numFmtId="0" fontId="6" fillId="0" borderId="0" xfId="1" applyNumberFormat="1" applyFont="1" applyFill="1" applyAlignment="1">
      <alignment horizontal="center"/>
    </xf>
    <xf numFmtId="10" fontId="1" fillId="0" borderId="0" xfId="1" applyNumberFormat="1" applyFont="1" applyFill="1" applyAlignment="1">
      <alignment horizontal="right"/>
    </xf>
    <xf numFmtId="168" fontId="1" fillId="0" borderId="0" xfId="1" applyNumberFormat="1" applyFont="1" applyFill="1" applyAlignment="1">
      <alignment horizontal="left"/>
    </xf>
    <xf numFmtId="43" fontId="49" fillId="0" borderId="0" xfId="1" applyNumberFormat="1" applyFont="1" applyFill="1" applyBorder="1" applyAlignment="1">
      <alignment horizontal="right"/>
    </xf>
    <xf numFmtId="167" fontId="1" fillId="0" borderId="0" xfId="1" applyNumberFormat="1" applyFont="1" applyFill="1" applyAlignment="1">
      <alignment horizontal="center"/>
    </xf>
    <xf numFmtId="43" fontId="1" fillId="0" borderId="0" xfId="1" applyNumberFormat="1" applyFont="1" applyFill="1" applyAlignment="1">
      <alignment horizontal="right"/>
    </xf>
    <xf numFmtId="43" fontId="1" fillId="0" borderId="0" xfId="1" applyNumberFormat="1" applyFont="1" applyFill="1" applyAlignment="1">
      <alignment horizontal="center"/>
    </xf>
    <xf numFmtId="0" fontId="49" fillId="0" borderId="0" xfId="1" applyNumberFormat="1" applyFont="1" applyFill="1" applyBorder="1" applyAlignment="1"/>
    <xf numFmtId="42" fontId="1" fillId="0" borderId="0" xfId="1" applyNumberFormat="1" applyFont="1" applyFill="1" applyBorder="1" applyAlignment="1">
      <alignment horizontal="right"/>
    </xf>
    <xf numFmtId="0" fontId="49" fillId="0" borderId="0" xfId="1" applyNumberFormat="1" applyFont="1" applyFill="1" applyBorder="1" applyAlignment="1">
      <alignment horizontal="right"/>
    </xf>
    <xf numFmtId="0" fontId="54" fillId="0" borderId="0" xfId="1" applyNumberFormat="1" applyFont="1" applyFill="1" applyAlignment="1">
      <alignment horizontal="center"/>
    </xf>
    <xf numFmtId="0" fontId="1" fillId="0" borderId="11" xfId="1" applyNumberFormat="1" applyFont="1" applyFill="1" applyBorder="1" applyAlignment="1">
      <alignment horizontal="centerContinuous"/>
    </xf>
    <xf numFmtId="0" fontId="6" fillId="0" borderId="15" xfId="1" applyNumberFormat="1" applyFont="1" applyFill="1" applyBorder="1" applyAlignment="1">
      <alignment horizontal="centerContinuous"/>
    </xf>
    <xf numFmtId="0" fontId="6" fillId="0" borderId="10" xfId="1" applyNumberFormat="1" applyFont="1" applyFill="1" applyBorder="1" applyAlignment="1">
      <alignment horizontal="centerContinuous"/>
    </xf>
    <xf numFmtId="0" fontId="1" fillId="0" borderId="0" xfId="1" applyNumberFormat="1" applyFont="1" applyFill="1" applyAlignment="1">
      <alignment horizontal="centerContinuous"/>
    </xf>
    <xf numFmtId="0" fontId="6" fillId="0" borderId="0" xfId="1" applyNumberFormat="1" applyFont="1" applyFill="1" applyAlignment="1">
      <alignment horizontal="centerContinuous"/>
    </xf>
    <xf numFmtId="0" fontId="1" fillId="0" borderId="0" xfId="1" applyNumberFormat="1" applyFont="1" applyAlignment="1">
      <alignment horizontal="centerContinuous"/>
    </xf>
    <xf numFmtId="0" fontId="1" fillId="0" borderId="0" xfId="1" applyNumberFormat="1" applyFill="1" applyAlignment="1">
      <alignment horizontal="right"/>
    </xf>
    <xf numFmtId="41" fontId="30" fillId="5" borderId="30" xfId="1" applyNumberFormat="1" applyFont="1" applyFill="1" applyBorder="1" applyAlignment="1"/>
    <xf numFmtId="167" fontId="55" fillId="0" borderId="0" xfId="1" applyNumberFormat="1" applyFont="1" applyFill="1" applyAlignment="1"/>
    <xf numFmtId="178" fontId="1" fillId="0" borderId="0" xfId="5" applyNumberFormat="1" applyFont="1" applyFill="1" applyAlignment="1"/>
    <xf numFmtId="0" fontId="31" fillId="0" borderId="0" xfId="2" applyNumberFormat="1" applyFont="1" applyAlignment="1">
      <alignment horizontal="right" vertical="top"/>
    </xf>
    <xf numFmtId="0" fontId="6" fillId="0" borderId="0" xfId="2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 vertical="top"/>
    </xf>
    <xf numFmtId="49" fontId="19" fillId="0" borderId="0" xfId="2" applyNumberFormat="1" applyFont="1" applyAlignment="1">
      <alignment horizontal="right" vertical="top"/>
    </xf>
    <xf numFmtId="0" fontId="6" fillId="0" borderId="0" xfId="2" applyNumberFormat="1" applyFont="1" applyAlignment="1">
      <alignment horizontal="center" vertical="top"/>
    </xf>
    <xf numFmtId="37" fontId="1" fillId="0" borderId="0" xfId="2" applyNumberFormat="1" applyFont="1" applyFill="1" applyBorder="1" applyAlignment="1"/>
    <xf numFmtId="172" fontId="6" fillId="0" borderId="0" xfId="2" applyNumberFormat="1" applyFont="1" applyAlignment="1"/>
    <xf numFmtId="49" fontId="19" fillId="0" borderId="0" xfId="2" applyNumberFormat="1" applyFont="1" applyFill="1" applyAlignment="1">
      <alignment horizontal="center" vertical="top"/>
    </xf>
    <xf numFmtId="168" fontId="6" fillId="0" borderId="0" xfId="2" applyNumberFormat="1" applyFont="1" applyBorder="1" applyAlignment="1">
      <alignment horizontal="center" vertical="top"/>
    </xf>
    <xf numFmtId="172" fontId="1" fillId="0" borderId="0" xfId="2" applyNumberFormat="1" applyFont="1" applyAlignment="1"/>
    <xf numFmtId="49" fontId="25" fillId="0" borderId="0" xfId="2" applyNumberFormat="1" applyFont="1" applyFill="1" applyAlignment="1">
      <alignment horizontal="left"/>
    </xf>
    <xf numFmtId="0" fontId="0" fillId="0" borderId="0" xfId="0" applyNumberFormat="1" applyAlignment="1"/>
    <xf numFmtId="0" fontId="58" fillId="0" borderId="0" xfId="0" applyNumberFormat="1" applyFont="1" applyAlignment="1"/>
    <xf numFmtId="0" fontId="7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0" fillId="0" borderId="0" xfId="0" applyNumberFormat="1" applyFill="1" applyAlignment="1"/>
    <xf numFmtId="0" fontId="6" fillId="0" borderId="0" xfId="0" applyFont="1" applyFill="1" applyBorder="1" applyAlignment="1">
      <alignment horizontal="left"/>
    </xf>
    <xf numFmtId="0" fontId="59" fillId="0" borderId="0" xfId="6" applyFont="1" applyFill="1" applyBorder="1" applyAlignment="1">
      <alignment horizontal="center"/>
    </xf>
    <xf numFmtId="168" fontId="60" fillId="0" borderId="0" xfId="0" applyNumberFormat="1" applyFont="1" applyAlignment="1"/>
    <xf numFmtId="0" fontId="0" fillId="0" borderId="7" xfId="0" applyNumberFormat="1" applyFill="1" applyBorder="1" applyAlignment="1"/>
    <xf numFmtId="0" fontId="0" fillId="0" borderId="7" xfId="0" applyNumberFormat="1" applyBorder="1" applyAlignment="1"/>
    <xf numFmtId="0" fontId="61" fillId="0" borderId="0" xfId="0" applyNumberFormat="1" applyFont="1" applyAlignment="1"/>
    <xf numFmtId="0" fontId="62" fillId="0" borderId="0" xfId="0" applyNumberFormat="1" applyFont="1" applyFill="1" applyAlignment="1">
      <alignment horizontal="right"/>
    </xf>
    <xf numFmtId="0" fontId="63" fillId="0" borderId="0" xfId="0" applyNumberFormat="1" applyFont="1" applyFill="1" applyBorder="1" applyAlignment="1"/>
    <xf numFmtId="168" fontId="63" fillId="0" borderId="0" xfId="7" applyNumberFormat="1" applyFont="1" applyFill="1" applyBorder="1"/>
    <xf numFmtId="0" fontId="63" fillId="0" borderId="0" xfId="0" applyNumberFormat="1" applyFont="1" applyFill="1" applyAlignment="1"/>
    <xf numFmtId="168" fontId="63" fillId="0" borderId="7" xfId="7" applyNumberFormat="1" applyFont="1" applyFill="1" applyBorder="1"/>
    <xf numFmtId="0" fontId="64" fillId="0" borderId="31" xfId="0" applyFont="1" applyFill="1" applyBorder="1" applyAlignment="1"/>
    <xf numFmtId="0" fontId="62" fillId="0" borderId="0" xfId="8" applyNumberFormat="1" applyFont="1" applyFill="1" applyAlignment="1">
      <alignment horizontal="left"/>
    </xf>
    <xf numFmtId="164" fontId="62" fillId="0" borderId="0" xfId="8" applyNumberFormat="1" applyFont="1" applyFill="1" applyBorder="1" applyAlignment="1" applyProtection="1">
      <protection locked="0"/>
    </xf>
    <xf numFmtId="168" fontId="1" fillId="0" borderId="2" xfId="7" applyNumberFormat="1" applyFont="1" applyFill="1" applyBorder="1"/>
    <xf numFmtId="164" fontId="63" fillId="0" borderId="31" xfId="0" applyNumberFormat="1" applyFont="1" applyFill="1" applyBorder="1" applyAlignment="1"/>
    <xf numFmtId="168" fontId="65" fillId="0" borderId="32" xfId="7" applyNumberFormat="1" applyFont="1" applyFill="1" applyBorder="1"/>
    <xf numFmtId="0" fontId="6" fillId="0" borderId="0" xfId="0" applyNumberFormat="1" applyFont="1" applyAlignment="1"/>
    <xf numFmtId="0" fontId="66" fillId="0" borderId="2" xfId="0" applyNumberFormat="1" applyFont="1" applyFill="1" applyBorder="1" applyAlignment="1">
      <alignment horizontal="center"/>
    </xf>
    <xf numFmtId="0" fontId="67" fillId="0" borderId="2" xfId="0" applyFont="1" applyFill="1" applyBorder="1" applyAlignment="1"/>
    <xf numFmtId="0" fontId="66" fillId="0" borderId="8" xfId="0" applyFont="1" applyFill="1" applyBorder="1" applyAlignment="1">
      <alignment horizontal="centerContinuous"/>
    </xf>
    <xf numFmtId="0" fontId="66" fillId="0" borderId="7" xfId="0" applyFont="1" applyFill="1" applyBorder="1" applyAlignment="1">
      <alignment horizontal="centerContinuous"/>
    </xf>
    <xf numFmtId="0" fontId="67" fillId="0" borderId="7" xfId="0" applyFont="1" applyFill="1" applyBorder="1" applyAlignment="1">
      <alignment horizontal="centerContinuous"/>
    </xf>
    <xf numFmtId="0" fontId="67" fillId="0" borderId="6" xfId="0" applyFont="1" applyFill="1" applyBorder="1" applyAlignment="1">
      <alignment horizontal="centerContinuous"/>
    </xf>
    <xf numFmtId="0" fontId="66" fillId="0" borderId="5" xfId="0" applyFont="1" applyFill="1" applyBorder="1" applyAlignment="1">
      <alignment horizontal="centerContinuous"/>
    </xf>
    <xf numFmtId="0" fontId="66" fillId="0" borderId="0" xfId="0" applyFont="1" applyFill="1" applyBorder="1" applyAlignment="1">
      <alignment horizontal="centerContinuous"/>
    </xf>
    <xf numFmtId="0" fontId="67" fillId="0" borderId="0" xfId="0" applyFont="1" applyFill="1" applyBorder="1" applyAlignment="1">
      <alignment horizontal="centerContinuous"/>
    </xf>
    <xf numFmtId="0" fontId="67" fillId="0" borderId="4" xfId="0" applyFont="1" applyFill="1" applyBorder="1" applyAlignment="1">
      <alignment horizontal="centerContinuous"/>
    </xf>
    <xf numFmtId="0" fontId="66" fillId="0" borderId="4" xfId="0" applyFont="1" applyFill="1" applyBorder="1" applyAlignment="1">
      <alignment horizontal="centerContinuous"/>
    </xf>
    <xf numFmtId="0" fontId="67" fillId="0" borderId="5" xfId="0" applyFont="1" applyFill="1" applyBorder="1" applyAlignment="1">
      <alignment horizontal="centerContinuous"/>
    </xf>
    <xf numFmtId="0" fontId="67" fillId="0" borderId="4" xfId="0" applyFont="1" applyFill="1" applyBorder="1" applyAlignment="1"/>
    <xf numFmtId="0" fontId="66" fillId="0" borderId="5" xfId="0" applyNumberFormat="1" applyFont="1" applyFill="1" applyBorder="1" applyAlignment="1">
      <alignment horizontal="center"/>
    </xf>
    <xf numFmtId="0" fontId="66" fillId="0" borderId="0" xfId="0" applyNumberFormat="1" applyFont="1" applyFill="1" applyBorder="1" applyAlignment="1">
      <alignment horizontal="center"/>
    </xf>
    <xf numFmtId="0" fontId="67" fillId="0" borderId="0" xfId="0" applyFont="1" applyFill="1" applyBorder="1" applyAlignment="1"/>
    <xf numFmtId="0" fontId="66" fillId="0" borderId="3" xfId="0" applyNumberFormat="1" applyFont="1" applyFill="1" applyBorder="1" applyAlignment="1">
      <alignment horizontal="center"/>
    </xf>
    <xf numFmtId="0" fontId="67" fillId="0" borderId="1" xfId="0" applyFont="1" applyFill="1" applyBorder="1" applyAlignment="1"/>
    <xf numFmtId="0" fontId="67" fillId="0" borderId="5" xfId="0" applyFont="1" applyFill="1" applyBorder="1" applyAlignment="1"/>
    <xf numFmtId="0" fontId="67" fillId="0" borderId="5" xfId="0" applyNumberFormat="1" applyFont="1" applyFill="1" applyBorder="1" applyAlignment="1">
      <alignment horizontal="center"/>
    </xf>
    <xf numFmtId="0" fontId="67" fillId="0" borderId="0" xfId="0" applyNumberFormat="1" applyFont="1" applyFill="1" applyBorder="1" applyAlignment="1">
      <alignment horizontal="left"/>
    </xf>
    <xf numFmtId="0" fontId="67" fillId="0" borderId="0" xfId="0" applyNumberFormat="1" applyFont="1" applyFill="1" applyBorder="1" applyAlignment="1"/>
    <xf numFmtId="164" fontId="67" fillId="0" borderId="4" xfId="0" applyNumberFormat="1" applyFont="1" applyFill="1" applyBorder="1" applyAlignment="1"/>
    <xf numFmtId="164" fontId="36" fillId="0" borderId="4" xfId="0" applyNumberFormat="1" applyFont="1" applyFill="1" applyBorder="1" applyAlignment="1"/>
    <xf numFmtId="182" fontId="67" fillId="0" borderId="0" xfId="0" applyNumberFormat="1" applyFont="1" applyFill="1" applyBorder="1" applyAlignment="1"/>
    <xf numFmtId="9" fontId="67" fillId="0" borderId="0" xfId="0" applyNumberFormat="1" applyFont="1" applyFill="1" applyBorder="1" applyAlignment="1"/>
    <xf numFmtId="0" fontId="67" fillId="0" borderId="3" xfId="0" applyNumberFormat="1" applyFont="1" applyFill="1" applyBorder="1" applyAlignment="1">
      <alignment horizontal="center"/>
    </xf>
    <xf numFmtId="0" fontId="67" fillId="0" borderId="2" xfId="0" applyNumberFormat="1" applyFont="1" applyFill="1" applyBorder="1" applyAlignment="1">
      <alignment horizontal="left"/>
    </xf>
    <xf numFmtId="0" fontId="67" fillId="0" borderId="2" xfId="0" applyNumberFormat="1" applyFont="1" applyFill="1" applyBorder="1" applyAlignment="1"/>
    <xf numFmtId="164" fontId="67" fillId="0" borderId="11" xfId="0" applyNumberFormat="1" applyFont="1" applyFill="1" applyBorder="1" applyAlignment="1" applyProtection="1">
      <protection locked="0"/>
    </xf>
    <xf numFmtId="164" fontId="67" fillId="0" borderId="1" xfId="0" applyNumberFormat="1" applyFont="1" applyFill="1" applyBorder="1" applyAlignment="1"/>
    <xf numFmtId="0" fontId="9" fillId="0" borderId="10" xfId="1" applyNumberFormat="1" applyFont="1" applyBorder="1" applyAlignment="1">
      <alignment horizontal="center" vertical="center" wrapText="1"/>
    </xf>
    <xf numFmtId="0" fontId="9" fillId="0" borderId="15" xfId="1" applyNumberFormat="1" applyFont="1" applyBorder="1" applyAlignment="1">
      <alignment horizontal="center" vertical="center" wrapText="1"/>
    </xf>
    <xf numFmtId="0" fontId="9" fillId="0" borderId="11" xfId="1" applyNumberFormat="1" applyFont="1" applyBorder="1" applyAlignment="1">
      <alignment horizontal="center" vertical="center" wrapText="1"/>
    </xf>
    <xf numFmtId="0" fontId="11" fillId="0" borderId="0" xfId="1" applyNumberFormat="1" applyFont="1" applyAlignment="1">
      <alignment horizontal="center"/>
    </xf>
    <xf numFmtId="166" fontId="11" fillId="0" borderId="0" xfId="1" applyNumberFormat="1" applyFont="1" applyAlignment="1">
      <alignment horizontal="center" wrapText="1"/>
    </xf>
    <xf numFmtId="0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 wrapText="1"/>
    </xf>
  </cellXfs>
  <cellStyles count="9">
    <cellStyle name="Comma" xfId="5" builtinId="3"/>
    <cellStyle name="Comma 2" xfId="3" xr:uid="{00000000-0005-0000-0000-000001000000}"/>
    <cellStyle name="Currency 10 3 4 2" xfId="7" xr:uid="{00000000-0005-0000-0000-000002000000}"/>
    <cellStyle name="Normal" xfId="0" builtinId="0"/>
    <cellStyle name="Normal 157 3" xfId="8" xr:uid="{00000000-0005-0000-0000-000004000000}"/>
    <cellStyle name="Normal 2" xfId="1" xr:uid="{00000000-0005-0000-0000-000005000000}"/>
    <cellStyle name="Normal 3" xfId="2" xr:uid="{00000000-0005-0000-0000-000006000000}"/>
    <cellStyle name="Normal 3 2" xfId="6" xr:uid="{00000000-0005-0000-0000-000007000000}"/>
    <cellStyle name="Normal 4" xfId="4" xr:uid="{00000000-0005-0000-0000-000008000000}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568926</xdr:colOff>
      <xdr:row>25</xdr:row>
      <xdr:rowOff>21278</xdr:rowOff>
    </xdr:from>
    <xdr:to>
      <xdr:col>9</xdr:col>
      <xdr:colOff>411355</xdr:colOff>
      <xdr:row>30</xdr:row>
      <xdr:rowOff>63689</xdr:rowOff>
    </xdr:to>
    <xdr:sp macro="" textlink="">
      <xdr:nvSpPr>
        <xdr:cNvPr id="2" name="Text Box 1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483391" y="5019661"/>
          <a:ext cx="2707773" cy="10554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532285</xdr:colOff>
      <xdr:row>21</xdr:row>
      <xdr:rowOff>132354</xdr:rowOff>
    </xdr:from>
    <xdr:to>
      <xdr:col>7</xdr:col>
      <xdr:colOff>562765</xdr:colOff>
      <xdr:row>24</xdr:row>
      <xdr:rowOff>42089</xdr:rowOff>
    </xdr:to>
    <xdr:sp macro="" textlink="">
      <xdr:nvSpPr>
        <xdr:cNvPr id="3" name="Text Box 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7399250" y="4353050"/>
          <a:ext cx="30480" cy="5070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smr/AppData/Local/Temp/Workshare/n5oke4np.bgm/1/Documents%20and%20Settings/wgho/Local%20Settings/Temporary%20Internet%20Files/OLKCA/14stat01%202008%20rev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Compliance%20Filing\190529-30-PSE-WP-Cmpl-RevReq-COS-(9-23-20)(C)\190529-30-PSE-WP-SEF-18.00E-ELECTRIC-MODEL-REBUTTAL-19GRC-01-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smr/AppData/Local/Temp/Workshare/n5oke4np.bgm/1/Documents%20and%20Settings/wgho/Local%20Settings/Temporary%20Internet%20Files/OLKCA/14stat07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smr/AppData/Local/Temp/Workshare/n5oke4np.bgm/1/Documents%20and%20Settings/wgho/Local%20Settings/Temporary%20Internet%20Files/Content.Outlook/MYT8SSOH/14stat10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MW Sum"/>
      <sheetName val="U1"/>
      <sheetName val="U2"/>
      <sheetName val="U2HtRt"/>
      <sheetName val="U3"/>
      <sheetName val="U4"/>
      <sheetName val="U4 HP"/>
      <sheetName val="12Perf"/>
      <sheetName val="1HR"/>
      <sheetName val="2HR"/>
      <sheetName val="12Mo08"/>
      <sheetName val="34Mo08"/>
      <sheetName val="34Perf"/>
      <sheetName val="3HR"/>
      <sheetName val="4HR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"/>
      <sheetName val="141X&amp;141Z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MW Sum"/>
      <sheetName val="U1"/>
      <sheetName val="U2"/>
      <sheetName val="U2HtRt"/>
      <sheetName val="U3"/>
      <sheetName val="U4"/>
      <sheetName val="U4 HP"/>
      <sheetName val="12Perf"/>
      <sheetName val="1HR"/>
      <sheetName val="2HR"/>
      <sheetName val="12Mo08"/>
      <sheetName val="34Mo08"/>
      <sheetName val="34Perf"/>
      <sheetName val="3HR"/>
      <sheetName val="4HR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MW Sum"/>
      <sheetName val="U1"/>
      <sheetName val="U2"/>
      <sheetName val="U2HtRt"/>
      <sheetName val="U3"/>
      <sheetName val="U4"/>
      <sheetName val="U4 HP"/>
      <sheetName val="12Perf"/>
      <sheetName val="1HR"/>
      <sheetName val="2HR"/>
      <sheetName val="12Mo08"/>
      <sheetName val="34Mo08"/>
      <sheetName val="34Perf"/>
      <sheetName val="3HR"/>
      <sheetName val="4HR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9"/>
  <sheetViews>
    <sheetView tabSelected="1" topLeftCell="A21" workbookViewId="0">
      <selection activeCell="J1" sqref="J1"/>
    </sheetView>
  </sheetViews>
  <sheetFormatPr defaultColWidth="9.1796875" defaultRowHeight="12.5" x14ac:dyDescent="0.25"/>
  <cols>
    <col min="1" max="1" width="2" style="1" customWidth="1"/>
    <col min="2" max="2" width="5.453125" style="1" customWidth="1"/>
    <col min="3" max="9" width="9.1796875" style="1"/>
    <col min="10" max="10" width="25.81640625" style="1" bestFit="1" customWidth="1"/>
    <col min="11" max="16384" width="9.1796875" style="1"/>
  </cols>
  <sheetData>
    <row r="1" spans="2:10" ht="13" x14ac:dyDescent="0.3">
      <c r="J1" s="23" t="s">
        <v>335</v>
      </c>
    </row>
    <row r="2" spans="2:10" x14ac:dyDescent="0.25">
      <c r="J2" s="22"/>
    </row>
    <row r="3" spans="2:10" ht="15" x14ac:dyDescent="0.25">
      <c r="B3" s="21" t="s">
        <v>16</v>
      </c>
      <c r="C3" s="20"/>
      <c r="D3" s="20"/>
      <c r="E3" s="20"/>
      <c r="F3" s="20"/>
      <c r="G3" s="20"/>
      <c r="H3" s="20"/>
      <c r="I3" s="20"/>
      <c r="J3" s="20"/>
    </row>
    <row r="4" spans="2:10" ht="15" x14ac:dyDescent="0.25">
      <c r="B4" s="21" t="s">
        <v>15</v>
      </c>
      <c r="C4" s="20"/>
      <c r="D4" s="20"/>
      <c r="E4" s="20"/>
      <c r="F4" s="20"/>
      <c r="G4" s="20"/>
      <c r="H4" s="20"/>
      <c r="I4" s="20"/>
      <c r="J4" s="20"/>
    </row>
    <row r="5" spans="2:10" ht="15" x14ac:dyDescent="0.25">
      <c r="B5" s="21" t="s">
        <v>17</v>
      </c>
      <c r="C5" s="20"/>
      <c r="D5" s="20"/>
      <c r="E5" s="20"/>
      <c r="F5" s="20"/>
      <c r="G5" s="20"/>
      <c r="H5" s="20"/>
      <c r="I5" s="20"/>
      <c r="J5" s="20"/>
    </row>
    <row r="6" spans="2:10" ht="15" x14ac:dyDescent="0.25">
      <c r="B6" s="21" t="s">
        <v>18</v>
      </c>
      <c r="C6" s="20"/>
      <c r="D6" s="20"/>
      <c r="E6" s="20"/>
      <c r="F6" s="20"/>
      <c r="G6" s="20"/>
      <c r="H6" s="20"/>
      <c r="I6" s="20"/>
      <c r="J6" s="20"/>
    </row>
    <row r="7" spans="2:10" ht="15.5" x14ac:dyDescent="0.25">
      <c r="B7" s="4"/>
      <c r="C7" s="4"/>
      <c r="D7" s="4"/>
      <c r="E7" s="4"/>
      <c r="F7" s="4"/>
      <c r="G7" s="4"/>
      <c r="H7" s="4"/>
      <c r="I7" s="4"/>
      <c r="J7" s="4"/>
    </row>
    <row r="8" spans="2:10" ht="15" x14ac:dyDescent="0.25">
      <c r="B8" s="19" t="s">
        <v>14</v>
      </c>
      <c r="J8" s="5" t="s">
        <v>13</v>
      </c>
    </row>
    <row r="9" spans="2:10" ht="15.5" x14ac:dyDescent="0.25">
      <c r="B9" s="4"/>
    </row>
    <row r="10" spans="2:10" ht="15" x14ac:dyDescent="0.25">
      <c r="B10" s="18"/>
      <c r="C10" s="17"/>
      <c r="D10" s="17"/>
      <c r="E10" s="17"/>
      <c r="F10" s="17"/>
      <c r="G10" s="17"/>
      <c r="H10" s="17"/>
      <c r="I10" s="17"/>
      <c r="J10" s="16"/>
    </row>
    <row r="11" spans="2:10" ht="15" x14ac:dyDescent="0.25">
      <c r="B11" s="15" t="s">
        <v>12</v>
      </c>
      <c r="C11" s="13" t="s">
        <v>11</v>
      </c>
      <c r="D11" s="7"/>
      <c r="E11" s="7"/>
      <c r="F11" s="7"/>
      <c r="G11" s="7"/>
      <c r="H11" s="7"/>
      <c r="I11" s="7"/>
      <c r="J11" s="12"/>
    </row>
    <row r="12" spans="2:10" ht="15" x14ac:dyDescent="0.25">
      <c r="B12" s="14"/>
      <c r="C12" s="13" t="s">
        <v>19</v>
      </c>
      <c r="D12" s="7"/>
      <c r="E12" s="7"/>
      <c r="F12" s="7"/>
      <c r="G12" s="7"/>
      <c r="H12" s="7"/>
      <c r="I12" s="7"/>
      <c r="J12" s="12"/>
    </row>
    <row r="13" spans="2:10" ht="15" x14ac:dyDescent="0.25">
      <c r="B13" s="11"/>
      <c r="C13" s="10"/>
      <c r="D13" s="10"/>
      <c r="E13" s="10"/>
      <c r="F13" s="10"/>
      <c r="G13" s="10"/>
      <c r="H13" s="10"/>
      <c r="I13" s="10"/>
      <c r="J13" s="9"/>
    </row>
    <row r="14" spans="2:10" ht="15" x14ac:dyDescent="0.25">
      <c r="B14" s="8"/>
      <c r="C14" s="7"/>
      <c r="D14" s="7"/>
      <c r="E14" s="7"/>
      <c r="F14" s="7"/>
      <c r="G14" s="7"/>
      <c r="H14" s="7"/>
      <c r="I14" s="7"/>
      <c r="J14" s="7"/>
    </row>
    <row r="15" spans="2:10" ht="15.5" x14ac:dyDescent="0.25">
      <c r="B15" s="3" t="s">
        <v>10</v>
      </c>
      <c r="C15" s="4" t="s">
        <v>9</v>
      </c>
      <c r="J15" s="4" t="s">
        <v>276</v>
      </c>
    </row>
    <row r="16" spans="2:10" ht="15.5" x14ac:dyDescent="0.25">
      <c r="B16" s="6"/>
    </row>
    <row r="17" spans="2:10" ht="15.5" x14ac:dyDescent="0.25">
      <c r="B17" s="3" t="s">
        <v>8</v>
      </c>
      <c r="C17" s="4" t="s">
        <v>20</v>
      </c>
      <c r="J17" s="4" t="s">
        <v>277</v>
      </c>
    </row>
    <row r="18" spans="2:10" ht="15.5" x14ac:dyDescent="0.25">
      <c r="B18" s="6"/>
    </row>
    <row r="19" spans="2:10" ht="15.5" x14ac:dyDescent="0.25">
      <c r="B19" s="3" t="s">
        <v>7</v>
      </c>
      <c r="C19" s="4" t="s">
        <v>21</v>
      </c>
      <c r="J19" s="4" t="s">
        <v>278</v>
      </c>
    </row>
    <row r="20" spans="2:10" ht="15.5" x14ac:dyDescent="0.25">
      <c r="B20" s="3"/>
      <c r="C20" s="4"/>
      <c r="J20" s="4"/>
    </row>
    <row r="21" spans="2:10" ht="15.5" x14ac:dyDescent="0.25">
      <c r="B21" s="3" t="s">
        <v>6</v>
      </c>
      <c r="C21" s="4" t="s">
        <v>5</v>
      </c>
      <c r="J21" s="4" t="s">
        <v>279</v>
      </c>
    </row>
    <row r="22" spans="2:10" ht="15" x14ac:dyDescent="0.25">
      <c r="B22" s="5"/>
    </row>
    <row r="23" spans="2:10" ht="15.5" x14ac:dyDescent="0.25">
      <c r="B23" s="3" t="s">
        <v>4</v>
      </c>
      <c r="C23" s="4" t="s">
        <v>3</v>
      </c>
      <c r="J23" s="4" t="s">
        <v>280</v>
      </c>
    </row>
    <row r="24" spans="2:10" ht="15" x14ac:dyDescent="0.25">
      <c r="B24" s="5"/>
    </row>
    <row r="25" spans="2:10" ht="15.5" x14ac:dyDescent="0.35">
      <c r="B25" s="3" t="s">
        <v>2</v>
      </c>
      <c r="C25" s="2" t="s">
        <v>0</v>
      </c>
      <c r="J25" s="4" t="s">
        <v>281</v>
      </c>
    </row>
    <row r="26" spans="2:10" ht="15.5" x14ac:dyDescent="0.25">
      <c r="B26" s="4"/>
    </row>
    <row r="27" spans="2:10" ht="15.5" x14ac:dyDescent="0.35">
      <c r="B27" s="3" t="s">
        <v>1</v>
      </c>
      <c r="C27" s="2" t="s">
        <v>22</v>
      </c>
      <c r="J27" s="4" t="s">
        <v>281</v>
      </c>
    </row>
    <row r="28" spans="2:10" ht="15.5" x14ac:dyDescent="0.25">
      <c r="B28" s="4"/>
    </row>
    <row r="29" spans="2:10" ht="15.5" x14ac:dyDescent="0.35">
      <c r="B29" s="3" t="s">
        <v>332</v>
      </c>
      <c r="C29" s="2" t="s">
        <v>333</v>
      </c>
      <c r="J29" s="4" t="s">
        <v>334</v>
      </c>
    </row>
  </sheetData>
  <pageMargins left="0.7" right="0.7" top="0.75" bottom="0.75" header="0.3" footer="0.3"/>
  <pageSetup scale="92" orientation="portrait" r:id="rId1"/>
  <headerFooter>
    <oddFooter>&amp;L&amp;"Times New Roman,Regular"&amp;8 156650783.1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workbookViewId="0">
      <selection activeCell="I32" sqref="I32"/>
    </sheetView>
  </sheetViews>
  <sheetFormatPr defaultColWidth="9.1796875" defaultRowHeight="12.5" x14ac:dyDescent="0.25"/>
  <cols>
    <col min="1" max="1" width="22.54296875" style="24" customWidth="1"/>
    <col min="2" max="2" width="7.453125" style="24" customWidth="1"/>
    <col min="3" max="3" width="16" style="24" bestFit="1" customWidth="1"/>
    <col min="4" max="4" width="16" style="24" customWidth="1"/>
    <col min="5" max="5" width="14.26953125" style="24" bestFit="1" customWidth="1"/>
    <col min="6" max="6" width="15.26953125" style="24" customWidth="1"/>
    <col min="7" max="7" width="14" style="24" customWidth="1"/>
    <col min="8" max="8" width="13.26953125" style="24" bestFit="1" customWidth="1"/>
    <col min="9" max="9" width="14" style="24" bestFit="1" customWidth="1"/>
    <col min="10" max="10" width="11.7265625" style="25" customWidth="1"/>
    <col min="11" max="11" width="14" style="24" customWidth="1"/>
    <col min="12" max="12" width="9.1796875" style="24"/>
    <col min="13" max="13" width="44.81640625" style="24" customWidth="1"/>
    <col min="14" max="16384" width="9.1796875" style="24"/>
  </cols>
  <sheetData>
    <row r="1" spans="1:11" ht="13" x14ac:dyDescent="0.3">
      <c r="K1" s="206" t="s">
        <v>214</v>
      </c>
    </row>
    <row r="2" spans="1:11" ht="15.5" x14ac:dyDescent="0.35">
      <c r="A2" s="438" t="s">
        <v>61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11" ht="15.5" x14ac:dyDescent="0.35">
      <c r="A3" s="438" t="s">
        <v>60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</row>
    <row r="4" spans="1:11" ht="15.5" x14ac:dyDescent="0.35">
      <c r="A4" s="438" t="s">
        <v>59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</row>
    <row r="5" spans="1:11" ht="15.5" x14ac:dyDescent="0.35">
      <c r="A5" s="439">
        <v>44561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</row>
    <row r="6" spans="1:11" ht="16.899999999999999" customHeight="1" x14ac:dyDescent="0.3">
      <c r="K6" s="64"/>
    </row>
    <row r="7" spans="1:11" ht="13" x14ac:dyDescent="0.3">
      <c r="K7" s="64"/>
    </row>
    <row r="8" spans="1:11" ht="15" customHeight="1" x14ac:dyDescent="0.25">
      <c r="A8" s="63" t="s">
        <v>58</v>
      </c>
      <c r="B8" s="62"/>
      <c r="C8" s="61" t="s">
        <v>57</v>
      </c>
      <c r="D8" s="60"/>
      <c r="E8" s="60"/>
      <c r="F8" s="60"/>
      <c r="G8" s="59"/>
      <c r="H8" s="435" t="s">
        <v>56</v>
      </c>
      <c r="I8" s="436"/>
      <c r="J8" s="436"/>
      <c r="K8" s="437"/>
    </row>
    <row r="9" spans="1:11" ht="52" x14ac:dyDescent="0.25">
      <c r="A9" s="58" t="s">
        <v>55</v>
      </c>
      <c r="B9" s="57" t="s">
        <v>54</v>
      </c>
      <c r="C9" s="56" t="s">
        <v>53</v>
      </c>
      <c r="D9" s="55" t="s">
        <v>52</v>
      </c>
      <c r="E9" s="55" t="s">
        <v>51</v>
      </c>
      <c r="F9" s="55" t="s">
        <v>50</v>
      </c>
      <c r="G9" s="53" t="s">
        <v>49</v>
      </c>
      <c r="H9" s="55" t="s">
        <v>48</v>
      </c>
      <c r="I9" s="55" t="s">
        <v>47</v>
      </c>
      <c r="J9" s="54" t="s">
        <v>46</v>
      </c>
      <c r="K9" s="53" t="s">
        <v>45</v>
      </c>
    </row>
    <row r="10" spans="1:11" x14ac:dyDescent="0.25">
      <c r="A10" s="52" t="s">
        <v>44</v>
      </c>
      <c r="B10" s="41">
        <v>1</v>
      </c>
      <c r="C10" s="51">
        <v>844964750</v>
      </c>
      <c r="D10" s="30">
        <v>843126410</v>
      </c>
      <c r="E10" s="30">
        <f t="shared" ref="E10:E21" si="0">C10-D10</f>
        <v>1838340</v>
      </c>
      <c r="F10" s="30">
        <v>-10041.857816</v>
      </c>
      <c r="G10" s="30">
        <f>E10+F10</f>
        <v>1828298.142184</v>
      </c>
      <c r="H10" s="51">
        <v>1828298.1421840005</v>
      </c>
      <c r="I10" s="30">
        <v>0</v>
      </c>
      <c r="J10" s="50">
        <v>0</v>
      </c>
      <c r="K10" s="49">
        <f>SUM(I10:J10)</f>
        <v>0</v>
      </c>
    </row>
    <row r="11" spans="1:11" x14ac:dyDescent="0.25">
      <c r="A11" s="43" t="s">
        <v>43</v>
      </c>
      <c r="B11" s="41">
        <v>2</v>
      </c>
      <c r="C11" s="39">
        <v>902349263.97024715</v>
      </c>
      <c r="D11" s="38">
        <v>872785984.59352458</v>
      </c>
      <c r="E11" s="38">
        <f t="shared" si="0"/>
        <v>29563279.376722574</v>
      </c>
      <c r="F11" s="38">
        <v>-11955.56486819593</v>
      </c>
      <c r="G11" s="38">
        <f>E11+F11</f>
        <v>29551323.811854377</v>
      </c>
      <c r="H11" s="39">
        <v>24775661.905927196</v>
      </c>
      <c r="I11" s="38">
        <v>4775661.905927198</v>
      </c>
      <c r="J11" s="37">
        <v>59850.54</v>
      </c>
      <c r="K11" s="36">
        <f>SUM(I11:J11)</f>
        <v>4835512.445927198</v>
      </c>
    </row>
    <row r="12" spans="1:11" x14ac:dyDescent="0.25">
      <c r="A12" s="43" t="s">
        <v>42</v>
      </c>
      <c r="B12" s="41">
        <v>3</v>
      </c>
      <c r="C12" s="39">
        <v>959374104.03139043</v>
      </c>
      <c r="D12" s="38">
        <v>949412458.91374898</v>
      </c>
      <c r="E12" s="38">
        <f t="shared" si="0"/>
        <v>9961645.117641449</v>
      </c>
      <c r="F12" s="38">
        <v>-4084.5046275270583</v>
      </c>
      <c r="G12" s="38">
        <f>E12+F12</f>
        <v>9957560.6130139213</v>
      </c>
      <c r="H12" s="39">
        <v>9957560.1130137034</v>
      </c>
      <c r="I12" s="38">
        <v>0</v>
      </c>
      <c r="J12" s="37">
        <v>318471.18</v>
      </c>
      <c r="K12" s="36">
        <f>SUM(I12:J12)</f>
        <v>318471.18</v>
      </c>
    </row>
    <row r="13" spans="1:11" x14ac:dyDescent="0.25">
      <c r="A13" s="43" t="s">
        <v>41</v>
      </c>
      <c r="B13" s="41">
        <v>4</v>
      </c>
      <c r="C13" s="39">
        <v>1062847819.7545457</v>
      </c>
      <c r="D13" s="38">
        <v>1075227682.880441</v>
      </c>
      <c r="E13" s="38">
        <f t="shared" si="0"/>
        <v>-12379863.125895262</v>
      </c>
      <c r="F13" s="38">
        <v>4375.2658466270659</v>
      </c>
      <c r="G13" s="38">
        <f>E13+F13</f>
        <v>-12375487.860048635</v>
      </c>
      <c r="H13" s="39">
        <v>-12375488</v>
      </c>
      <c r="I13" s="38">
        <v>0</v>
      </c>
      <c r="J13" s="37">
        <v>633012.99</v>
      </c>
      <c r="K13" s="36">
        <f>SUM(I13:J13)</f>
        <v>633012.99</v>
      </c>
    </row>
    <row r="14" spans="1:11" x14ac:dyDescent="0.25">
      <c r="A14" s="43" t="s">
        <v>40</v>
      </c>
      <c r="B14" s="41">
        <v>5</v>
      </c>
      <c r="C14" s="39">
        <v>596418335.19410086</v>
      </c>
      <c r="D14" s="38">
        <v>597089566.84872186</v>
      </c>
      <c r="E14" s="38">
        <f t="shared" si="0"/>
        <v>-671231.65462100506</v>
      </c>
      <c r="F14" s="38">
        <v>198.48320027138107</v>
      </c>
      <c r="G14" s="38">
        <f>E14+F14</f>
        <v>-671033.17142073368</v>
      </c>
      <c r="H14" s="39">
        <v>-671033.17142074555</v>
      </c>
      <c r="I14" s="38">
        <v>0</v>
      </c>
      <c r="J14" s="37">
        <v>97548.88</v>
      </c>
      <c r="K14" s="36">
        <f>SUM(I14:J14)</f>
        <v>97548.88</v>
      </c>
    </row>
    <row r="15" spans="1:11" x14ac:dyDescent="0.25">
      <c r="A15" s="43" t="s">
        <v>39</v>
      </c>
      <c r="B15" s="41">
        <v>6</v>
      </c>
      <c r="C15" s="39">
        <v>1222865319.6180968</v>
      </c>
      <c r="D15" s="38">
        <v>1253089187.2173302</v>
      </c>
      <c r="E15" s="38">
        <f t="shared" si="0"/>
        <v>-30223867.599233389</v>
      </c>
      <c r="F15" s="38">
        <v>11197.107687541837</v>
      </c>
      <c r="G15" s="38">
        <f>E15+F15-0.01</f>
        <v>-30212670.50154585</v>
      </c>
      <c r="H15" s="39">
        <v>-25106334.74577</v>
      </c>
      <c r="I15" s="38">
        <v>-5106336.2457729317</v>
      </c>
      <c r="J15" s="37">
        <v>-57570.279999999977</v>
      </c>
      <c r="K15" s="36">
        <f>SUM(I15:J15)+0.03</f>
        <v>-5163906.4957729317</v>
      </c>
    </row>
    <row r="16" spans="1:11" x14ac:dyDescent="0.25">
      <c r="A16" s="43" t="s">
        <v>38</v>
      </c>
      <c r="B16" s="41">
        <v>7</v>
      </c>
      <c r="C16" s="39">
        <v>1328115191.0171254</v>
      </c>
      <c r="D16" s="38">
        <v>1329880671.323267</v>
      </c>
      <c r="E16" s="38">
        <f t="shared" si="0"/>
        <v>-1765480.3061416149</v>
      </c>
      <c r="F16" s="38">
        <v>555.92425131658092</v>
      </c>
      <c r="G16" s="38">
        <f t="shared" ref="G16:G31" si="1">E16+F16</f>
        <v>-1764924.3818902983</v>
      </c>
      <c r="H16" s="39">
        <v>-1764924.3818904329</v>
      </c>
      <c r="I16" s="38">
        <v>0</v>
      </c>
      <c r="J16" s="37">
        <v>-140876.32999999999</v>
      </c>
      <c r="K16" s="36">
        <f t="shared" ref="K16:K27" si="2">SUM(I16:J16)</f>
        <v>-140876.32999999999</v>
      </c>
    </row>
    <row r="17" spans="1:11" x14ac:dyDescent="0.25">
      <c r="A17" s="43" t="s">
        <v>37</v>
      </c>
      <c r="B17" s="41">
        <v>8</v>
      </c>
      <c r="C17" s="39">
        <v>1404869952.8157759</v>
      </c>
      <c r="D17" s="38">
        <v>1374588966.0130439</v>
      </c>
      <c r="E17" s="38">
        <f t="shared" si="0"/>
        <v>30280986.802731991</v>
      </c>
      <c r="F17" s="38">
        <v>-10889.345664129194</v>
      </c>
      <c r="G17" s="38">
        <f t="shared" si="1"/>
        <v>30270097.457067862</v>
      </c>
      <c r="H17" s="39">
        <v>25135048.728533998</v>
      </c>
      <c r="I17" s="38">
        <v>5135048.7285339981</v>
      </c>
      <c r="J17" s="37">
        <v>-28888.25</v>
      </c>
      <c r="K17" s="36">
        <f t="shared" si="2"/>
        <v>5106160.4785339981</v>
      </c>
    </row>
    <row r="18" spans="1:11" x14ac:dyDescent="0.25">
      <c r="A18" s="43" t="s">
        <v>36</v>
      </c>
      <c r="B18" s="41">
        <v>9</v>
      </c>
      <c r="C18" s="39">
        <v>1373029095.7777412</v>
      </c>
      <c r="D18" s="38">
        <v>1336852575.7359295</v>
      </c>
      <c r="E18" s="38">
        <f t="shared" si="0"/>
        <v>36176520.041811705</v>
      </c>
      <c r="F18" s="38">
        <v>-12991.809044456051</v>
      </c>
      <c r="G18" s="38">
        <f t="shared" si="1"/>
        <v>36163528.232767247</v>
      </c>
      <c r="H18" s="39">
        <v>28081764.116383635</v>
      </c>
      <c r="I18" s="38">
        <v>8081764.1163836308</v>
      </c>
      <c r="J18" s="37">
        <v>228424.27000000002</v>
      </c>
      <c r="K18" s="36">
        <f t="shared" si="2"/>
        <v>8310188.3863836303</v>
      </c>
    </row>
    <row r="19" spans="1:11" x14ac:dyDescent="0.25">
      <c r="A19" s="43" t="s">
        <v>35</v>
      </c>
      <c r="B19" s="41">
        <v>10</v>
      </c>
      <c r="C19" s="39">
        <v>1351667526.8192265</v>
      </c>
      <c r="D19" s="38">
        <v>1386507506.9778061</v>
      </c>
      <c r="E19" s="38">
        <f t="shared" si="0"/>
        <v>-34839980.158579588</v>
      </c>
      <c r="F19" s="38">
        <v>12162.637073359452</v>
      </c>
      <c r="G19" s="38">
        <f t="shared" si="1"/>
        <v>-34827817.521506228</v>
      </c>
      <c r="H19" s="39">
        <v>-27413908.760753103</v>
      </c>
      <c r="I19" s="38">
        <v>-7413908.7607531026</v>
      </c>
      <c r="J19" s="37">
        <v>235834.49</v>
      </c>
      <c r="K19" s="36">
        <f t="shared" si="2"/>
        <v>-7178074.2707531024</v>
      </c>
    </row>
    <row r="20" spans="1:11" x14ac:dyDescent="0.25">
      <c r="A20" s="43" t="s">
        <v>34</v>
      </c>
      <c r="B20" s="41">
        <v>11</v>
      </c>
      <c r="C20" s="39">
        <v>1291380391.3549569</v>
      </c>
      <c r="D20" s="38">
        <v>1317033977.9436071</v>
      </c>
      <c r="E20" s="38">
        <f t="shared" si="0"/>
        <v>-25653586.588650227</v>
      </c>
      <c r="F20" s="38">
        <v>9022.6316473116167</v>
      </c>
      <c r="G20" s="38">
        <f t="shared" si="1"/>
        <v>-25644563.957002915</v>
      </c>
      <c r="H20" s="39">
        <v>-22822281.978501365</v>
      </c>
      <c r="I20" s="38">
        <v>-2822281.9785013627</v>
      </c>
      <c r="J20" s="37">
        <v>-222321.84999999998</v>
      </c>
      <c r="K20" s="36">
        <f t="shared" si="2"/>
        <v>-3044603.8285013628</v>
      </c>
    </row>
    <row r="21" spans="1:11" x14ac:dyDescent="0.25">
      <c r="A21" s="43" t="s">
        <v>33</v>
      </c>
      <c r="B21" s="41">
        <v>12</v>
      </c>
      <c r="C21" s="39">
        <v>1274102997.3475122</v>
      </c>
      <c r="D21" s="37">
        <v>1312154858.628</v>
      </c>
      <c r="E21" s="38">
        <f t="shared" si="0"/>
        <v>-38051861.280487776</v>
      </c>
      <c r="F21" s="37">
        <v>12978.624</v>
      </c>
      <c r="G21" s="38">
        <f t="shared" si="1"/>
        <v>-38038882.656487778</v>
      </c>
      <c r="H21" s="46">
        <v>-29019441.328000002</v>
      </c>
      <c r="I21" s="37">
        <v>-9019441.3279999997</v>
      </c>
      <c r="J21" s="37">
        <v>-213421.28</v>
      </c>
      <c r="K21" s="36">
        <f t="shared" si="2"/>
        <v>-9232862.6079999991</v>
      </c>
    </row>
    <row r="22" spans="1:11" x14ac:dyDescent="0.25">
      <c r="A22" s="43" t="s">
        <v>32</v>
      </c>
      <c r="B22" s="41">
        <v>13</v>
      </c>
      <c r="C22" s="39">
        <v>1287974217.5695443</v>
      </c>
      <c r="D22" s="38">
        <v>1248312258.778192</v>
      </c>
      <c r="E22" s="38">
        <f>C22-D22+1</f>
        <v>39661959.791352272</v>
      </c>
      <c r="F22" s="38">
        <v>-14285.279181989725</v>
      </c>
      <c r="G22" s="38">
        <f t="shared" si="1"/>
        <v>39647674.512170285</v>
      </c>
      <c r="H22" s="39">
        <v>29823837.132318199</v>
      </c>
      <c r="I22" s="38">
        <v>9823837.1323181987</v>
      </c>
      <c r="J22" s="37">
        <v>-152027.51</v>
      </c>
      <c r="K22" s="36">
        <f t="shared" si="2"/>
        <v>9671809.6223181989</v>
      </c>
    </row>
    <row r="23" spans="1:11" x14ac:dyDescent="0.25">
      <c r="A23" s="43" t="s">
        <v>31</v>
      </c>
      <c r="B23" s="41">
        <v>14</v>
      </c>
      <c r="C23" s="39">
        <v>1236017951.8704073</v>
      </c>
      <c r="D23" s="38">
        <v>1227782112.6010308</v>
      </c>
      <c r="E23" s="38">
        <f t="shared" ref="E23:E31" si="3">C23-D23</f>
        <v>8235839.2693765163</v>
      </c>
      <c r="F23" s="38">
        <v>-2871.0135693038465</v>
      </c>
      <c r="G23" s="38">
        <f t="shared" si="1"/>
        <v>8232968.2558072126</v>
      </c>
      <c r="H23" s="39">
        <v>8232968.2558071353</v>
      </c>
      <c r="I23" s="38">
        <v>0</v>
      </c>
      <c r="J23" s="37">
        <v>112266.22</v>
      </c>
      <c r="K23" s="36">
        <f t="shared" si="2"/>
        <v>112266.22</v>
      </c>
    </row>
    <row r="24" spans="1:11" x14ac:dyDescent="0.25">
      <c r="A24" s="43" t="s">
        <v>30</v>
      </c>
      <c r="B24" s="41">
        <v>15</v>
      </c>
      <c r="C24" s="39">
        <v>1220596542.9704072</v>
      </c>
      <c r="D24" s="38">
        <v>1218537443.1465518</v>
      </c>
      <c r="E24" s="38">
        <f t="shared" si="3"/>
        <v>2059099.8238554001</v>
      </c>
      <c r="F24" s="38">
        <v>-717.80219859653153</v>
      </c>
      <c r="G24" s="38">
        <f t="shared" si="1"/>
        <v>2058382.0216568036</v>
      </c>
      <c r="H24" s="39">
        <f>SUM('SEF-3 p 4 Bands'!AF192:AF203)</f>
        <v>2058382.0216568038</v>
      </c>
      <c r="I24" s="38">
        <f>SUM('SEF-3 p 4 Bands'!P192:P203)</f>
        <v>0</v>
      </c>
      <c r="J24" s="37">
        <f>SUM('SEF-3 p 5 Interest'!N317:N340)</f>
        <v>118735.72000000002</v>
      </c>
      <c r="K24" s="36">
        <f t="shared" si="2"/>
        <v>118735.72000000002</v>
      </c>
    </row>
    <row r="25" spans="1:11" x14ac:dyDescent="0.25">
      <c r="A25" s="43" t="s">
        <v>29</v>
      </c>
      <c r="B25" s="41">
        <v>16</v>
      </c>
      <c r="C25" s="39">
        <v>724504794.36064517</v>
      </c>
      <c r="D25" s="38">
        <v>712806440.73005688</v>
      </c>
      <c r="E25" s="38">
        <f t="shared" si="3"/>
        <v>11698353.630588293</v>
      </c>
      <c r="F25" s="38">
        <v>-4074.8446242641658</v>
      </c>
      <c r="G25" s="38">
        <f t="shared" si="1"/>
        <v>11694278.785964029</v>
      </c>
      <c r="H25" s="39">
        <f>SUM('SEF-3 p 4 Bands'!AF205:AF216)</f>
        <v>11694278.78596409</v>
      </c>
      <c r="I25" s="38">
        <f>SUM('SEF-3 p 4 Bands'!P205:P216)</f>
        <v>0</v>
      </c>
      <c r="J25" s="37">
        <f>SUM('SEF-3 p 5 Interest'!N341:N364)</f>
        <v>132897.58000000002</v>
      </c>
      <c r="K25" s="36">
        <f t="shared" si="2"/>
        <v>132897.58000000002</v>
      </c>
    </row>
    <row r="26" spans="1:11" x14ac:dyDescent="0.25">
      <c r="A26" s="48" t="s">
        <v>28</v>
      </c>
      <c r="B26" s="47">
        <v>17</v>
      </c>
      <c r="C26" s="46">
        <v>672820072.63999999</v>
      </c>
      <c r="D26" s="38">
        <v>681067291.78421998</v>
      </c>
      <c r="E26" s="38">
        <f t="shared" si="3"/>
        <v>-8247219.1442199945</v>
      </c>
      <c r="F26" s="38">
        <v>2757.8700818255311</v>
      </c>
      <c r="G26" s="38">
        <f t="shared" si="1"/>
        <v>-8244461.2741381694</v>
      </c>
      <c r="H26" s="39">
        <f>SUM('SEF-3 p 4 Bands'!AF218:AF229)</f>
        <v>-8244461.2741381861</v>
      </c>
      <c r="I26" s="38">
        <f>SUM('SEF-3 p 4 Bands'!P218:P229)</f>
        <v>0</v>
      </c>
      <c r="J26" s="37">
        <f>SUM('SEF-3 p 5 Interest'!N365:N388)</f>
        <v>144165.36000000002</v>
      </c>
      <c r="K26" s="36">
        <f t="shared" si="2"/>
        <v>144165.36000000002</v>
      </c>
    </row>
    <row r="27" spans="1:11" x14ac:dyDescent="0.25">
      <c r="A27" s="43" t="s">
        <v>27</v>
      </c>
      <c r="B27" s="41">
        <v>18</v>
      </c>
      <c r="C27" s="39">
        <v>756262068.65999997</v>
      </c>
      <c r="D27" s="38">
        <v>689007443.93178606</v>
      </c>
      <c r="E27" s="38">
        <f t="shared" si="3"/>
        <v>67254624.728213906</v>
      </c>
      <c r="F27" s="40">
        <v>-22489.946509033442</v>
      </c>
      <c r="G27" s="38">
        <f t="shared" si="1"/>
        <v>67232134.781704873</v>
      </c>
      <c r="H27" s="39">
        <f>SUM('SEF-3 p 4 Bands'!AF231:AF242)</f>
        <v>31223213.478170488</v>
      </c>
      <c r="I27" s="38">
        <f>SUM('SEF-3 p 4 Bands'!P231:P242)</f>
        <v>36008921.303534389</v>
      </c>
      <c r="J27" s="37">
        <f>SUM('SEF-3 p 5 Interest'!N389:N412)</f>
        <v>1001058.1200000001</v>
      </c>
      <c r="K27" s="36">
        <f t="shared" si="2"/>
        <v>37009979.423534386</v>
      </c>
    </row>
    <row r="28" spans="1:11" x14ac:dyDescent="0.25">
      <c r="A28" s="43" t="s">
        <v>26</v>
      </c>
      <c r="B28" s="41">
        <v>18</v>
      </c>
      <c r="C28" s="39">
        <f>I28</f>
        <v>-39463264.873670019</v>
      </c>
      <c r="D28" s="38"/>
      <c r="E28" s="38">
        <f t="shared" si="3"/>
        <v>-39463264.873670019</v>
      </c>
      <c r="F28" s="40"/>
      <c r="G28" s="38">
        <f t="shared" si="1"/>
        <v>-39463264.873670019</v>
      </c>
      <c r="H28" s="39"/>
      <c r="I28" s="45">
        <f>-SUM(I10:I27)</f>
        <v>-39463264.873670019</v>
      </c>
      <c r="J28" s="44">
        <f>-SUM(J10:J27)</f>
        <v>-2267159.8500000006</v>
      </c>
      <c r="K28" s="36">
        <f>-SUM(K10:K27)</f>
        <v>-41730424.753670014</v>
      </c>
    </row>
    <row r="29" spans="1:11" x14ac:dyDescent="0.25">
      <c r="A29" s="43" t="s">
        <v>25</v>
      </c>
      <c r="B29" s="41">
        <v>19</v>
      </c>
      <c r="C29" s="39">
        <v>747585116.75419354</v>
      </c>
      <c r="D29" s="38">
        <f>672193615.309545-752158.73</f>
        <v>671441456.57954502</v>
      </c>
      <c r="E29" s="38">
        <f t="shared" si="3"/>
        <v>76143660.174648523</v>
      </c>
      <c r="F29" s="40">
        <v>-25000.775112628937</v>
      </c>
      <c r="G29" s="38">
        <f t="shared" si="1"/>
        <v>76118659.399535894</v>
      </c>
      <c r="H29" s="39">
        <f>SUM('SEF-3 p 4 Bands'!AF246:AF257)</f>
        <v>32111865.93995592</v>
      </c>
      <c r="I29" s="38">
        <f>SUM('SEF-3 p 4 Bands'!P246:P257)</f>
        <v>44006793.459603339</v>
      </c>
      <c r="J29" s="37">
        <f>SUM('SEF-3 p 5 Interest'!N413:N437)</f>
        <v>2002495.3099999998</v>
      </c>
      <c r="K29" s="36">
        <f>SUM(I29:J29)</f>
        <v>46009288.769603342</v>
      </c>
    </row>
    <row r="30" spans="1:11" x14ac:dyDescent="0.25">
      <c r="A30" s="43" t="s">
        <v>24</v>
      </c>
      <c r="B30" s="41">
        <v>19</v>
      </c>
      <c r="C30" s="39">
        <f>I30</f>
        <v>-44006793.459603339</v>
      </c>
      <c r="D30" s="38"/>
      <c r="E30" s="38">
        <f t="shared" si="3"/>
        <v>-44006793.459603339</v>
      </c>
      <c r="F30" s="40"/>
      <c r="G30" s="38">
        <f t="shared" si="1"/>
        <v>-44006793.459603339</v>
      </c>
      <c r="H30" s="39"/>
      <c r="I30" s="38">
        <f>-I29</f>
        <v>-44006793.459603339</v>
      </c>
      <c r="J30" s="37">
        <f>-J29</f>
        <v>-2002495.3099999998</v>
      </c>
      <c r="K30" s="36">
        <f>-K29</f>
        <v>-46009288.769603342</v>
      </c>
    </row>
    <row r="31" spans="1:11" x14ac:dyDescent="0.25">
      <c r="A31" s="42">
        <f>A5</f>
        <v>44561</v>
      </c>
      <c r="B31" s="41">
        <v>20</v>
      </c>
      <c r="C31" s="39">
        <v>825196883.17000008</v>
      </c>
      <c r="D31" s="38">
        <v>757171008.84383881</v>
      </c>
      <c r="E31" s="38">
        <f t="shared" si="3"/>
        <v>68025874.326161265</v>
      </c>
      <c r="F31" s="40">
        <v>-23634.527035430074</v>
      </c>
      <c r="G31" s="38">
        <f t="shared" si="1"/>
        <v>68002239.799125835</v>
      </c>
      <c r="H31" s="39">
        <f>SUM('SEF-3 p 4 Bands'!AF261:AF272)</f>
        <v>31300223.979912579</v>
      </c>
      <c r="I31" s="38">
        <f>SUM('SEF-3 p 4 Bands'!P261:P272)</f>
        <v>36702015.819213256</v>
      </c>
      <c r="J31" s="37">
        <f>SUM('SEF-3 p 5 Interest'!N438:N462)</f>
        <v>1656378.0399999996</v>
      </c>
      <c r="K31" s="36">
        <f>SUM(I31:J31)</f>
        <v>38358393.859213255</v>
      </c>
    </row>
    <row r="32" spans="1:11" ht="13" x14ac:dyDescent="0.3">
      <c r="A32" s="35" t="s">
        <v>23</v>
      </c>
      <c r="B32" s="34"/>
      <c r="C32" s="33">
        <f t="shared" ref="C32:K32" si="4">SUM(C10:C31)</f>
        <v>20999472337.36264</v>
      </c>
      <c r="D32" s="33">
        <f t="shared" si="4"/>
        <v>20853875303.470642</v>
      </c>
      <c r="E32" s="33">
        <f t="shared" si="4"/>
        <v>145597034.89200169</v>
      </c>
      <c r="F32" s="33">
        <f t="shared" si="4"/>
        <v>-89788.726463301486</v>
      </c>
      <c r="G32" s="33">
        <f t="shared" si="4"/>
        <v>145507246.15553838</v>
      </c>
      <c r="H32" s="33">
        <f t="shared" si="4"/>
        <v>108805228.95935392</v>
      </c>
      <c r="I32" s="33">
        <f t="shared" si="4"/>
        <v>36702015.819213256</v>
      </c>
      <c r="J32" s="32">
        <f t="shared" si="4"/>
        <v>1656378.0399999996</v>
      </c>
      <c r="K32" s="31">
        <f t="shared" si="4"/>
        <v>38358393.859213255</v>
      </c>
    </row>
    <row r="34" spans="1:8" ht="15.75" customHeight="1" x14ac:dyDescent="0.4">
      <c r="A34" s="29"/>
      <c r="H34" s="30"/>
    </row>
  </sheetData>
  <mergeCells count="5">
    <mergeCell ref="H8:K8"/>
    <mergeCell ref="A2:K2"/>
    <mergeCell ref="A3:K3"/>
    <mergeCell ref="A5:K5"/>
    <mergeCell ref="A4:K4"/>
  </mergeCells>
  <printOptions horizontalCentered="1"/>
  <pageMargins left="0.2" right="0.2" top="0.4" bottom="0.5" header="0.3" footer="0.2"/>
  <pageSetup scale="85" orientation="landscape" r:id="rId1"/>
  <headerFooter>
    <oddFooter>&amp;L&amp;"Times New Roman,Regular"&amp;8 156650783.1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42"/>
  <sheetViews>
    <sheetView zoomScale="90" zoomScaleNormal="90" workbookViewId="0"/>
  </sheetViews>
  <sheetFormatPr defaultColWidth="9.1796875" defaultRowHeight="12.5" x14ac:dyDescent="0.25"/>
  <cols>
    <col min="1" max="1" width="5.1796875" style="27" customWidth="1"/>
    <col min="2" max="2" width="37.26953125" style="27" customWidth="1"/>
    <col min="3" max="3" width="9.26953125" style="27" customWidth="1"/>
    <col min="4" max="4" width="17.81640625" style="27" bestFit="1" customWidth="1"/>
    <col min="5" max="5" width="11.81640625" style="27" customWidth="1"/>
    <col min="6" max="6" width="5.7265625" style="27" customWidth="1"/>
    <col min="7" max="7" width="14.1796875" style="27" customWidth="1"/>
    <col min="8" max="11" width="12.1796875" style="27" bestFit="1" customWidth="1"/>
    <col min="12" max="16384" width="9.1796875" style="27"/>
  </cols>
  <sheetData>
    <row r="1" spans="1:13" ht="15.65" customHeight="1" x14ac:dyDescent="0.3">
      <c r="A1" s="24" t="str">
        <f ca="1">MID(CELL("filename",A1),FIND("]",CELL("filename",A1))+1,255)</f>
        <v>SEF-3 p 2 Actual BLR</v>
      </c>
      <c r="G1" s="23" t="s">
        <v>301</v>
      </c>
    </row>
    <row r="2" spans="1:13" ht="15.65" customHeight="1" x14ac:dyDescent="0.25">
      <c r="G2" s="366"/>
    </row>
    <row r="3" spans="1:13" ht="15.65" customHeight="1" x14ac:dyDescent="0.3">
      <c r="A3" s="364" t="s">
        <v>300</v>
      </c>
      <c r="B3" s="364"/>
      <c r="C3" s="364"/>
      <c r="D3" s="364"/>
      <c r="E3" s="364"/>
      <c r="F3" s="364"/>
      <c r="G3" s="365"/>
    </row>
    <row r="4" spans="1:13" ht="15.65" customHeight="1" x14ac:dyDescent="0.3">
      <c r="A4" s="364" t="s">
        <v>299</v>
      </c>
      <c r="B4" s="364"/>
      <c r="C4" s="364"/>
      <c r="D4" s="364"/>
      <c r="E4" s="364"/>
      <c r="F4" s="364"/>
      <c r="G4" s="363"/>
    </row>
    <row r="5" spans="1:13" ht="15.65" customHeight="1" x14ac:dyDescent="0.3">
      <c r="A5" s="364" t="s">
        <v>303</v>
      </c>
      <c r="B5" s="364"/>
      <c r="C5" s="364"/>
      <c r="D5" s="364"/>
      <c r="E5" s="364"/>
      <c r="F5" s="364"/>
      <c r="G5" s="363"/>
    </row>
    <row r="6" spans="1:13" ht="18" customHeight="1" x14ac:dyDescent="0.25">
      <c r="H6" s="207"/>
      <c r="I6" s="207"/>
      <c r="J6" s="207"/>
      <c r="K6" s="207"/>
      <c r="L6" s="207"/>
      <c r="M6" s="207"/>
    </row>
    <row r="7" spans="1:13" ht="18" customHeight="1" x14ac:dyDescent="0.3">
      <c r="A7" s="362" t="s">
        <v>304</v>
      </c>
      <c r="B7" s="361"/>
      <c r="C7" s="361"/>
      <c r="D7" s="361"/>
      <c r="E7" s="361"/>
      <c r="F7" s="361"/>
      <c r="G7" s="360"/>
      <c r="H7" s="308"/>
      <c r="I7" s="308"/>
      <c r="J7" s="308"/>
      <c r="K7" s="308"/>
      <c r="L7" s="308"/>
      <c r="M7" s="308"/>
    </row>
    <row r="8" spans="1:13" ht="13" x14ac:dyDescent="0.3">
      <c r="A8" s="307"/>
      <c r="B8" s="340"/>
      <c r="C8" s="307"/>
      <c r="D8" s="324"/>
      <c r="E8" s="359"/>
      <c r="F8" s="359"/>
      <c r="G8" s="358"/>
      <c r="H8" s="358"/>
      <c r="I8" s="358"/>
      <c r="J8" s="358"/>
      <c r="K8" s="358"/>
      <c r="L8" s="358"/>
      <c r="M8" s="358"/>
    </row>
    <row r="9" spans="1:13" ht="13" x14ac:dyDescent="0.3">
      <c r="A9" s="307"/>
      <c r="B9" s="207"/>
      <c r="C9" s="207"/>
      <c r="D9" s="357"/>
      <c r="E9" s="207"/>
      <c r="F9" s="353"/>
      <c r="G9" s="347" t="s">
        <v>224</v>
      </c>
      <c r="H9" s="356"/>
      <c r="I9" s="356"/>
      <c r="J9" s="356"/>
      <c r="K9" s="356"/>
      <c r="L9" s="356"/>
      <c r="M9" s="356"/>
    </row>
    <row r="10" spans="1:13" ht="13" x14ac:dyDescent="0.3">
      <c r="A10" s="307"/>
      <c r="B10" s="340"/>
      <c r="C10" s="355"/>
      <c r="D10" s="350"/>
      <c r="E10" s="354"/>
      <c r="F10" s="353"/>
      <c r="G10" s="347" t="s">
        <v>298</v>
      </c>
      <c r="H10" s="352"/>
      <c r="I10" s="352"/>
      <c r="J10" s="352"/>
      <c r="K10" s="352"/>
      <c r="L10" s="352"/>
      <c r="M10" s="352"/>
    </row>
    <row r="11" spans="1:13" ht="13" x14ac:dyDescent="0.3">
      <c r="A11" s="307"/>
      <c r="B11" s="351"/>
      <c r="C11" s="307"/>
      <c r="D11" s="350"/>
      <c r="E11" s="349" t="s">
        <v>227</v>
      </c>
      <c r="F11" s="348"/>
      <c r="G11" s="347" t="s">
        <v>297</v>
      </c>
      <c r="H11" s="341"/>
      <c r="I11" s="341"/>
      <c r="J11" s="341"/>
      <c r="K11" s="341"/>
      <c r="L11" s="341"/>
      <c r="M11" s="341"/>
    </row>
    <row r="12" spans="1:13" ht="13" x14ac:dyDescent="0.3">
      <c r="A12" s="345" t="s">
        <v>65</v>
      </c>
      <c r="B12" s="345" t="s">
        <v>58</v>
      </c>
      <c r="C12" s="346"/>
      <c r="D12" s="345" t="s">
        <v>217</v>
      </c>
      <c r="E12" s="345" t="s">
        <v>229</v>
      </c>
      <c r="F12" s="344"/>
      <c r="G12" s="344" t="s">
        <v>296</v>
      </c>
      <c r="H12" s="341"/>
      <c r="I12" s="341"/>
      <c r="J12" s="341"/>
      <c r="K12" s="341"/>
      <c r="L12" s="341"/>
      <c r="M12" s="341"/>
    </row>
    <row r="13" spans="1:13" ht="13" x14ac:dyDescent="0.3">
      <c r="B13" s="340"/>
      <c r="C13" s="307"/>
      <c r="D13" s="303"/>
      <c r="E13" s="343" t="s">
        <v>233</v>
      </c>
      <c r="F13" s="342"/>
      <c r="G13" s="341"/>
      <c r="H13" s="341"/>
      <c r="I13" s="341"/>
      <c r="J13" s="341"/>
      <c r="K13" s="341"/>
      <c r="L13" s="341"/>
      <c r="M13" s="341"/>
    </row>
    <row r="14" spans="1:13" x14ac:dyDescent="0.25">
      <c r="A14" s="307">
        <v>10</v>
      </c>
      <c r="B14" s="340" t="s">
        <v>238</v>
      </c>
      <c r="C14" s="303"/>
      <c r="D14" s="332" t="s">
        <v>81</v>
      </c>
      <c r="E14" s="311"/>
      <c r="F14" s="303" t="s">
        <v>239</v>
      </c>
      <c r="G14" s="339">
        <v>0</v>
      </c>
      <c r="H14" s="207"/>
      <c r="I14" s="207"/>
      <c r="J14" s="207"/>
      <c r="K14" s="207"/>
      <c r="L14" s="207"/>
      <c r="M14" s="207"/>
    </row>
    <row r="15" spans="1:13" x14ac:dyDescent="0.25">
      <c r="A15" s="307" t="s">
        <v>240</v>
      </c>
      <c r="B15" s="340" t="s">
        <v>241</v>
      </c>
      <c r="C15" s="303"/>
      <c r="D15" s="324">
        <f>+'SEF-3 p 3 Sch B'!Q19</f>
        <v>4094424.4000000004</v>
      </c>
      <c r="E15" s="311">
        <f>D15/$D$41</f>
        <v>0.20044953221104211</v>
      </c>
      <c r="F15" s="303" t="s">
        <v>242</v>
      </c>
      <c r="G15" s="333">
        <f>D15</f>
        <v>4094424.4000000004</v>
      </c>
      <c r="H15" s="207"/>
      <c r="I15" s="207"/>
      <c r="J15" s="207"/>
      <c r="K15" s="207"/>
      <c r="L15" s="207"/>
      <c r="M15" s="207"/>
    </row>
    <row r="16" spans="1:13" x14ac:dyDescent="0.25">
      <c r="A16" s="307" t="s">
        <v>295</v>
      </c>
      <c r="B16" s="27" t="s">
        <v>294</v>
      </c>
      <c r="C16" s="303"/>
      <c r="D16" s="324">
        <f>+'SEF-3 p 3 Sch B'!Q20</f>
        <v>1703232</v>
      </c>
      <c r="E16" s="335">
        <f>D16/$D$41</f>
        <v>8.3384628532127164E-2</v>
      </c>
      <c r="F16" s="303" t="s">
        <v>242</v>
      </c>
      <c r="G16" s="333">
        <f>D16</f>
        <v>1703232</v>
      </c>
      <c r="H16" s="207"/>
      <c r="I16" s="207"/>
      <c r="J16" s="207"/>
      <c r="K16" s="207"/>
      <c r="L16" s="207"/>
      <c r="M16" s="207"/>
    </row>
    <row r="17" spans="1:13" x14ac:dyDescent="0.25">
      <c r="A17" s="307">
        <v>11</v>
      </c>
      <c r="B17" s="207" t="s">
        <v>243</v>
      </c>
      <c r="C17" s="303"/>
      <c r="D17" s="332" t="s">
        <v>81</v>
      </c>
      <c r="E17" s="335"/>
      <c r="F17" s="303" t="s">
        <v>239</v>
      </c>
      <c r="G17" s="207"/>
      <c r="H17" s="207"/>
      <c r="I17" s="207"/>
      <c r="J17" s="207"/>
      <c r="K17" s="207"/>
      <c r="L17" s="207"/>
      <c r="M17" s="207"/>
    </row>
    <row r="18" spans="1:13" x14ac:dyDescent="0.25">
      <c r="A18" s="307">
        <v>12</v>
      </c>
      <c r="B18" s="207" t="s">
        <v>244</v>
      </c>
      <c r="C18" s="303"/>
      <c r="D18" s="332" t="s">
        <v>81</v>
      </c>
      <c r="E18" s="335"/>
      <c r="F18" s="338" t="s">
        <v>239</v>
      </c>
      <c r="G18" s="207"/>
      <c r="H18" s="207"/>
      <c r="I18" s="207"/>
      <c r="J18" s="207"/>
      <c r="K18" s="207"/>
      <c r="L18" s="207"/>
      <c r="M18" s="207"/>
    </row>
    <row r="19" spans="1:13" x14ac:dyDescent="0.25">
      <c r="A19" s="307">
        <v>13</v>
      </c>
      <c r="B19" s="207" t="s">
        <v>293</v>
      </c>
      <c r="C19" s="207"/>
      <c r="D19" s="324">
        <f>+'SEF-3 p 3 Sch B'!Q8</f>
        <v>49596335.460000001</v>
      </c>
      <c r="E19" s="335">
        <f>D19/$D$41</f>
        <v>2.4280732213150449</v>
      </c>
      <c r="F19" s="333" t="s">
        <v>242</v>
      </c>
      <c r="G19" s="333">
        <f>D19</f>
        <v>49596335.460000001</v>
      </c>
      <c r="H19" s="207"/>
      <c r="I19" s="207"/>
      <c r="J19" s="207"/>
      <c r="K19" s="207"/>
      <c r="L19" s="207"/>
      <c r="M19" s="207"/>
    </row>
    <row r="20" spans="1:13" x14ac:dyDescent="0.25">
      <c r="A20" s="307">
        <v>14</v>
      </c>
      <c r="B20" s="207" t="s">
        <v>292</v>
      </c>
      <c r="C20" s="207"/>
      <c r="D20" s="324">
        <f>+'SEF-3 p 3 Sch B'!Q10</f>
        <v>605209565.63999999</v>
      </c>
      <c r="E20" s="335">
        <f>D20/$D$41</f>
        <v>29.629066865219439</v>
      </c>
      <c r="F20" s="333" t="s">
        <v>242</v>
      </c>
      <c r="G20" s="333">
        <f>D20</f>
        <v>605209565.63999999</v>
      </c>
      <c r="H20" s="207"/>
      <c r="I20" s="207"/>
      <c r="J20" s="207"/>
      <c r="K20" s="207"/>
      <c r="L20" s="207"/>
      <c r="M20" s="207"/>
    </row>
    <row r="21" spans="1:13" x14ac:dyDescent="0.25">
      <c r="A21" s="307">
        <v>15</v>
      </c>
      <c r="B21" s="207" t="s">
        <v>247</v>
      </c>
      <c r="C21" s="207"/>
      <c r="D21" s="332" t="s">
        <v>81</v>
      </c>
      <c r="E21" s="335"/>
      <c r="F21" s="333" t="s">
        <v>239</v>
      </c>
      <c r="G21" s="207"/>
      <c r="H21" s="207"/>
      <c r="I21" s="207"/>
      <c r="J21" s="207"/>
      <c r="K21" s="207"/>
      <c r="L21" s="207"/>
      <c r="M21" s="207"/>
    </row>
    <row r="22" spans="1:13" x14ac:dyDescent="0.25">
      <c r="A22" s="307" t="s">
        <v>248</v>
      </c>
      <c r="B22" s="337" t="s">
        <v>249</v>
      </c>
      <c r="C22" s="207"/>
      <c r="D22" s="332" t="s">
        <v>81</v>
      </c>
      <c r="E22" s="335"/>
      <c r="F22" s="333" t="s">
        <v>239</v>
      </c>
      <c r="G22" s="207"/>
      <c r="H22" s="207"/>
      <c r="I22" s="207"/>
      <c r="J22" s="207"/>
      <c r="K22" s="207"/>
      <c r="L22" s="207"/>
      <c r="M22" s="207"/>
    </row>
    <row r="23" spans="1:13" x14ac:dyDescent="0.25">
      <c r="A23" s="307" t="s">
        <v>250</v>
      </c>
      <c r="B23" s="337" t="s">
        <v>251</v>
      </c>
      <c r="C23" s="207"/>
      <c r="D23" s="332" t="s">
        <v>81</v>
      </c>
      <c r="E23" s="335"/>
      <c r="F23" s="333" t="s">
        <v>239</v>
      </c>
      <c r="G23" s="207"/>
      <c r="H23" s="207"/>
      <c r="I23" s="207"/>
      <c r="J23" s="207"/>
      <c r="K23" s="207"/>
      <c r="L23" s="207"/>
      <c r="M23" s="207"/>
    </row>
    <row r="24" spans="1:13" x14ac:dyDescent="0.25">
      <c r="A24" s="307" t="s">
        <v>252</v>
      </c>
      <c r="B24" s="337" t="s">
        <v>77</v>
      </c>
      <c r="C24" s="207"/>
      <c r="D24" s="324">
        <f>+'SEF-3 p 3 Sch B'!Q15</f>
        <v>718105</v>
      </c>
      <c r="E24" s="335">
        <f>D24/$D$41</f>
        <v>3.5156055471047505E-2</v>
      </c>
      <c r="F24" s="333" t="s">
        <v>242</v>
      </c>
      <c r="G24" s="333">
        <f>D24</f>
        <v>718105</v>
      </c>
      <c r="H24" s="207"/>
      <c r="I24" s="207"/>
      <c r="J24" s="207"/>
      <c r="K24" s="207"/>
      <c r="L24" s="207"/>
      <c r="M24" s="207"/>
    </row>
    <row r="25" spans="1:13" x14ac:dyDescent="0.25">
      <c r="A25" s="307" t="s">
        <v>253</v>
      </c>
      <c r="B25" s="337" t="s">
        <v>254</v>
      </c>
      <c r="C25" s="207"/>
      <c r="D25" s="332" t="s">
        <v>81</v>
      </c>
      <c r="E25" s="335"/>
      <c r="F25" s="333" t="s">
        <v>239</v>
      </c>
      <c r="G25" s="207"/>
      <c r="H25" s="207"/>
      <c r="I25" s="207"/>
      <c r="J25" s="207"/>
      <c r="K25" s="207"/>
      <c r="L25" s="207"/>
      <c r="M25" s="207"/>
    </row>
    <row r="26" spans="1:13" x14ac:dyDescent="0.25">
      <c r="A26" s="307" t="s">
        <v>255</v>
      </c>
      <c r="B26" s="337" t="s">
        <v>256</v>
      </c>
      <c r="C26" s="207"/>
      <c r="D26" s="324">
        <f>+'SEF-3 p 3 Sch B'!Q12</f>
        <v>506567.12</v>
      </c>
      <c r="E26" s="335">
        <f>D26/$D$41</f>
        <v>2.479985763993953E-2</v>
      </c>
      <c r="F26" s="333" t="s">
        <v>242</v>
      </c>
      <c r="G26" s="333">
        <f>D26</f>
        <v>506567.12</v>
      </c>
      <c r="H26" s="207"/>
      <c r="I26" s="207"/>
      <c r="J26" s="207"/>
      <c r="K26" s="207"/>
      <c r="L26" s="207"/>
      <c r="M26" s="207"/>
    </row>
    <row r="27" spans="1:13" x14ac:dyDescent="0.25">
      <c r="A27" s="307">
        <v>16</v>
      </c>
      <c r="B27" s="207" t="s">
        <v>291</v>
      </c>
      <c r="C27" s="207"/>
      <c r="D27" s="324">
        <f>+'SEF-3 p 3 Sch B'!Q9</f>
        <v>232657565.11000001</v>
      </c>
      <c r="E27" s="335">
        <f>D27/$D$41</f>
        <v>11.390148049054117</v>
      </c>
      <c r="F27" s="333" t="s">
        <v>242</v>
      </c>
      <c r="G27" s="333">
        <f>D27</f>
        <v>232657565.11000001</v>
      </c>
      <c r="H27" s="207"/>
      <c r="I27" s="207"/>
      <c r="J27" s="207"/>
      <c r="K27" s="207"/>
      <c r="L27" s="207"/>
      <c r="M27" s="207"/>
    </row>
    <row r="28" spans="1:13" x14ac:dyDescent="0.25">
      <c r="A28" s="307">
        <v>17</v>
      </c>
      <c r="B28" s="207" t="s">
        <v>290</v>
      </c>
      <c r="C28" s="207"/>
      <c r="D28" s="324">
        <f>+'SEF-3 p 3 Sch B'!Q14</f>
        <v>125928846.34999999</v>
      </c>
      <c r="E28" s="335">
        <f>D28/$D$41</f>
        <v>6.1650615267761921</v>
      </c>
      <c r="F28" s="333" t="s">
        <v>242</v>
      </c>
      <c r="G28" s="333">
        <f>D28</f>
        <v>125928846.34999999</v>
      </c>
      <c r="H28" s="207"/>
      <c r="I28" s="207"/>
      <c r="J28" s="207"/>
      <c r="K28" s="207"/>
      <c r="L28" s="207"/>
      <c r="M28" s="207"/>
    </row>
    <row r="29" spans="1:13" x14ac:dyDescent="0.25">
      <c r="A29" s="307">
        <v>18</v>
      </c>
      <c r="B29" s="207" t="s">
        <v>259</v>
      </c>
      <c r="C29" s="207"/>
      <c r="D29" s="332" t="s">
        <v>81</v>
      </c>
      <c r="E29" s="335"/>
      <c r="F29" s="333" t="s">
        <v>239</v>
      </c>
      <c r="G29" s="207"/>
      <c r="H29" s="207"/>
      <c r="I29" s="207"/>
      <c r="J29" s="207"/>
      <c r="K29" s="207"/>
      <c r="L29" s="207"/>
      <c r="M29" s="207"/>
    </row>
    <row r="30" spans="1:13" x14ac:dyDescent="0.25">
      <c r="A30" s="307">
        <v>19</v>
      </c>
      <c r="B30" s="207" t="s">
        <v>260</v>
      </c>
      <c r="C30" s="207"/>
      <c r="D30" s="332" t="s">
        <v>81</v>
      </c>
      <c r="E30" s="335"/>
      <c r="F30" s="333" t="s">
        <v>239</v>
      </c>
      <c r="G30" s="207"/>
      <c r="H30" s="207"/>
      <c r="I30" s="207"/>
      <c r="J30" s="207"/>
      <c r="K30" s="207"/>
      <c r="L30" s="207"/>
      <c r="M30" s="207"/>
    </row>
    <row r="31" spans="1:13" x14ac:dyDescent="0.25">
      <c r="A31" s="307">
        <v>20</v>
      </c>
      <c r="B31" s="207" t="s">
        <v>261</v>
      </c>
      <c r="C31" s="207"/>
      <c r="D31" s="324">
        <f>+'SEF-3 p 3 Sch B'!Q13</f>
        <v>-146256271.25999999</v>
      </c>
      <c r="E31" s="335">
        <f>D31/$D$41</f>
        <v>-7.1602252949152705</v>
      </c>
      <c r="F31" s="333" t="s">
        <v>242</v>
      </c>
      <c r="G31" s="333">
        <f>D31</f>
        <v>-146256271.25999999</v>
      </c>
      <c r="H31" s="207"/>
      <c r="I31" s="207"/>
      <c r="J31" s="207"/>
      <c r="K31" s="207"/>
      <c r="L31" s="207"/>
      <c r="M31" s="207"/>
    </row>
    <row r="32" spans="1:13" x14ac:dyDescent="0.25">
      <c r="A32" s="336">
        <v>21</v>
      </c>
      <c r="B32" s="24" t="s">
        <v>262</v>
      </c>
      <c r="C32" s="207"/>
      <c r="D32" s="324">
        <f>+'SEF-3 p 3 Sch B'!Q11</f>
        <v>-48961486.649999999</v>
      </c>
      <c r="E32" s="335">
        <f>D32/$D$41</f>
        <v>-2.3969931146731351</v>
      </c>
      <c r="F32" s="333" t="s">
        <v>242</v>
      </c>
      <c r="G32" s="333">
        <f>D32</f>
        <v>-48961486.649999999</v>
      </c>
      <c r="H32" s="207"/>
      <c r="I32" s="207"/>
      <c r="J32" s="207"/>
      <c r="K32" s="207"/>
      <c r="L32" s="207"/>
      <c r="M32" s="207"/>
    </row>
    <row r="33" spans="1:13" x14ac:dyDescent="0.25">
      <c r="A33" s="307">
        <v>22</v>
      </c>
      <c r="B33" s="207" t="s">
        <v>263</v>
      </c>
      <c r="C33" s="207"/>
      <c r="D33" s="332" t="s">
        <v>81</v>
      </c>
      <c r="E33" s="311"/>
      <c r="F33" s="333" t="s">
        <v>239</v>
      </c>
      <c r="G33" s="207"/>
      <c r="H33" s="207"/>
      <c r="I33" s="207"/>
      <c r="J33" s="207"/>
      <c r="K33" s="207"/>
      <c r="L33" s="207"/>
      <c r="M33" s="207"/>
    </row>
    <row r="34" spans="1:13" x14ac:dyDescent="0.25">
      <c r="A34" s="307">
        <v>23</v>
      </c>
      <c r="B34" s="334" t="s">
        <v>264</v>
      </c>
      <c r="C34" s="207" t="s">
        <v>103</v>
      </c>
      <c r="D34" s="332" t="s">
        <v>81</v>
      </c>
      <c r="E34" s="311"/>
      <c r="F34" s="333" t="s">
        <v>239</v>
      </c>
      <c r="G34" s="207"/>
      <c r="H34" s="207"/>
      <c r="I34" s="207"/>
      <c r="J34" s="207"/>
      <c r="K34" s="207"/>
      <c r="L34" s="207"/>
      <c r="M34" s="207"/>
    </row>
    <row r="35" spans="1:13" x14ac:dyDescent="0.25">
      <c r="A35" s="307">
        <v>24</v>
      </c>
      <c r="B35" s="318" t="s">
        <v>265</v>
      </c>
      <c r="C35" s="303"/>
      <c r="D35" s="332" t="s">
        <v>81</v>
      </c>
      <c r="E35" s="311"/>
      <c r="F35" s="333" t="s">
        <v>239</v>
      </c>
      <c r="G35" s="207"/>
      <c r="H35" s="207"/>
      <c r="I35" s="207"/>
      <c r="J35" s="207"/>
      <c r="K35" s="207"/>
      <c r="L35" s="207"/>
      <c r="M35" s="207"/>
    </row>
    <row r="36" spans="1:13" x14ac:dyDescent="0.25">
      <c r="A36" s="307">
        <v>25</v>
      </c>
      <c r="B36" s="318" t="s">
        <v>289</v>
      </c>
      <c r="C36" s="207"/>
      <c r="D36" s="332" t="s">
        <v>81</v>
      </c>
      <c r="E36" s="311"/>
      <c r="F36" s="333" t="s">
        <v>239</v>
      </c>
      <c r="G36" s="312"/>
      <c r="H36" s="312"/>
      <c r="I36" s="312"/>
      <c r="J36" s="312"/>
      <c r="K36" s="333"/>
      <c r="L36" s="207"/>
      <c r="M36" s="207"/>
    </row>
    <row r="37" spans="1:13" ht="13" thickBot="1" x14ac:dyDescent="0.3">
      <c r="A37" s="307">
        <f t="shared" ref="A37:A47" si="0">A36+1</f>
        <v>26</v>
      </c>
      <c r="B37" s="207" t="s">
        <v>288</v>
      </c>
      <c r="C37" s="307"/>
      <c r="D37" s="332" t="s">
        <v>81</v>
      </c>
      <c r="E37" s="311"/>
      <c r="F37" s="324" t="s">
        <v>239</v>
      </c>
      <c r="G37" s="331"/>
      <c r="L37" s="312"/>
      <c r="M37" s="312"/>
    </row>
    <row r="38" spans="1:13" ht="22" customHeight="1" thickBot="1" x14ac:dyDescent="0.3">
      <c r="A38" s="307">
        <f t="shared" si="0"/>
        <v>27</v>
      </c>
      <c r="B38" s="330" t="s">
        <v>267</v>
      </c>
      <c r="C38" s="329"/>
      <c r="D38" s="325">
        <f>SUM(D14:D37)</f>
        <v>825196883.17000008</v>
      </c>
      <c r="E38" s="328">
        <f>SUM(E14:E37)</f>
        <v>40.398921326630543</v>
      </c>
      <c r="F38" s="367">
        <f>+'SEF-3 p 3 Sch B'!Q21-D38</f>
        <v>0</v>
      </c>
      <c r="G38" s="325">
        <f>SUM(G14:G37)</f>
        <v>825196883.17000008</v>
      </c>
      <c r="H38" s="312"/>
      <c r="I38" s="312"/>
      <c r="J38" s="312"/>
      <c r="K38" s="312"/>
      <c r="L38" s="312"/>
      <c r="M38" s="312"/>
    </row>
    <row r="39" spans="1:13" x14ac:dyDescent="0.25">
      <c r="A39" s="307">
        <f t="shared" si="0"/>
        <v>28</v>
      </c>
      <c r="B39" s="207" t="s">
        <v>268</v>
      </c>
      <c r="C39" s="207"/>
      <c r="D39" s="327"/>
      <c r="E39" s="326"/>
      <c r="F39" s="368" t="s">
        <v>302</v>
      </c>
      <c r="G39" s="312"/>
      <c r="H39" s="312"/>
      <c r="I39" s="312"/>
      <c r="J39" s="312"/>
      <c r="K39" s="312"/>
      <c r="L39" s="312"/>
      <c r="M39" s="312"/>
    </row>
    <row r="40" spans="1:13" x14ac:dyDescent="0.25">
      <c r="A40" s="307">
        <f t="shared" si="0"/>
        <v>29</v>
      </c>
      <c r="B40" s="207"/>
      <c r="C40" s="207"/>
      <c r="D40" s="325"/>
      <c r="E40" s="369"/>
      <c r="F40" s="313"/>
      <c r="G40" s="312"/>
      <c r="H40" s="312"/>
      <c r="I40" s="312"/>
      <c r="J40" s="312"/>
      <c r="K40" s="312"/>
      <c r="L40" s="312"/>
      <c r="M40" s="312"/>
    </row>
    <row r="41" spans="1:13" x14ac:dyDescent="0.25">
      <c r="A41" s="307">
        <f t="shared" si="0"/>
        <v>30</v>
      </c>
      <c r="B41" s="207" t="s">
        <v>270</v>
      </c>
      <c r="C41" s="207"/>
      <c r="D41" s="324">
        <f>+'SEF-3 p 3 Sch B'!Q26/1000</f>
        <v>20426210.801476002</v>
      </c>
      <c r="E41" s="323"/>
      <c r="F41" s="303"/>
      <c r="G41" s="312"/>
      <c r="H41" s="312"/>
      <c r="I41" s="312"/>
      <c r="J41" s="312"/>
      <c r="K41" s="312"/>
      <c r="L41" s="312"/>
      <c r="M41" s="312"/>
    </row>
    <row r="42" spans="1:13" x14ac:dyDescent="0.25">
      <c r="A42" s="307">
        <f t="shared" si="0"/>
        <v>31</v>
      </c>
      <c r="B42" s="207" t="s">
        <v>287</v>
      </c>
      <c r="C42" s="207"/>
      <c r="D42" s="313"/>
      <c r="E42" s="313"/>
      <c r="F42" s="303"/>
      <c r="G42" s="312"/>
      <c r="H42" s="312"/>
      <c r="I42" s="312"/>
      <c r="J42" s="312"/>
      <c r="K42" s="312"/>
      <c r="L42" s="312"/>
      <c r="M42" s="312"/>
    </row>
    <row r="43" spans="1:13" x14ac:dyDescent="0.25">
      <c r="A43" s="307">
        <f t="shared" si="0"/>
        <v>32</v>
      </c>
      <c r="B43" s="207"/>
      <c r="C43" s="207"/>
      <c r="D43" s="322" t="s">
        <v>286</v>
      </c>
      <c r="E43" s="313"/>
      <c r="F43" s="322"/>
      <c r="G43" s="312"/>
      <c r="H43" s="321"/>
      <c r="I43" s="321"/>
      <c r="J43" s="321"/>
      <c r="K43" s="321"/>
      <c r="L43" s="321"/>
      <c r="M43" s="321"/>
    </row>
    <row r="44" spans="1:13" x14ac:dyDescent="0.25">
      <c r="A44" s="307">
        <f t="shared" si="0"/>
        <v>33</v>
      </c>
      <c r="B44" s="207"/>
      <c r="C44" s="207"/>
      <c r="D44" s="320" t="s">
        <v>285</v>
      </c>
      <c r="E44" s="313"/>
      <c r="F44" s="320"/>
      <c r="G44" s="312"/>
      <c r="H44" s="319"/>
      <c r="I44" s="319"/>
      <c r="J44" s="319"/>
      <c r="K44" s="319"/>
      <c r="L44" s="319"/>
      <c r="M44" s="319"/>
    </row>
    <row r="45" spans="1:13" ht="13" x14ac:dyDescent="0.3">
      <c r="A45" s="307">
        <f t="shared" si="0"/>
        <v>34</v>
      </c>
      <c r="B45" s="318" t="s">
        <v>284</v>
      </c>
      <c r="C45" s="207"/>
      <c r="D45" s="317"/>
      <c r="E45" s="313"/>
      <c r="F45" s="316"/>
      <c r="G45" s="312"/>
      <c r="H45" s="314"/>
      <c r="I45" s="315"/>
      <c r="K45" s="207"/>
      <c r="L45" s="314"/>
    </row>
    <row r="46" spans="1:13" x14ac:dyDescent="0.25">
      <c r="A46" s="307">
        <f t="shared" si="0"/>
        <v>35</v>
      </c>
      <c r="B46" s="207" t="s">
        <v>283</v>
      </c>
      <c r="C46" s="207"/>
      <c r="D46" s="311">
        <f>E38</f>
        <v>40.398921326630543</v>
      </c>
      <c r="E46" s="313"/>
      <c r="F46" s="309"/>
      <c r="G46" s="312"/>
      <c r="H46" s="310"/>
      <c r="I46" s="310"/>
      <c r="J46" s="310"/>
      <c r="K46" s="310"/>
      <c r="L46" s="310"/>
      <c r="M46" s="310"/>
    </row>
    <row r="47" spans="1:13" x14ac:dyDescent="0.25">
      <c r="A47" s="307">
        <f t="shared" si="0"/>
        <v>36</v>
      </c>
      <c r="B47" s="207" t="s">
        <v>282</v>
      </c>
      <c r="C47" s="207"/>
      <c r="D47" s="311">
        <f>E38</f>
        <v>40.398921326630543</v>
      </c>
      <c r="E47" s="313"/>
      <c r="F47" s="309"/>
      <c r="G47" s="312"/>
      <c r="H47" s="310"/>
      <c r="I47" s="310"/>
      <c r="J47" s="310"/>
      <c r="K47" s="310"/>
      <c r="L47" s="310"/>
      <c r="M47" s="310"/>
    </row>
    <row r="48" spans="1:13" x14ac:dyDescent="0.25">
      <c r="A48" s="307"/>
      <c r="B48" s="26"/>
      <c r="C48" s="26"/>
      <c r="D48" s="311"/>
      <c r="E48" s="311"/>
      <c r="F48" s="309"/>
      <c r="G48" s="310"/>
      <c r="H48" s="310"/>
      <c r="I48" s="310"/>
      <c r="J48" s="310"/>
      <c r="K48" s="310"/>
      <c r="L48" s="310"/>
      <c r="M48" s="310"/>
    </row>
    <row r="49" spans="1:13" ht="12.75" customHeight="1" x14ac:dyDescent="0.25">
      <c r="A49" s="307"/>
      <c r="B49" s="207"/>
      <c r="C49" s="207"/>
      <c r="D49" s="207"/>
      <c r="E49" s="207"/>
      <c r="F49" s="303"/>
      <c r="G49" s="308"/>
      <c r="H49" s="308"/>
      <c r="I49" s="308"/>
      <c r="J49" s="308"/>
      <c r="K49" s="301"/>
      <c r="L49" s="301"/>
      <c r="M49" s="301"/>
    </row>
    <row r="50" spans="1:13" x14ac:dyDescent="0.25">
      <c r="A50" s="307"/>
      <c r="B50" s="207"/>
      <c r="C50" s="207"/>
      <c r="D50" s="309"/>
      <c r="E50" s="207"/>
      <c r="F50" s="306"/>
      <c r="G50" s="308"/>
      <c r="H50" s="308"/>
      <c r="I50" s="308"/>
      <c r="J50" s="308"/>
      <c r="K50" s="301"/>
      <c r="L50" s="301"/>
      <c r="M50" s="301"/>
    </row>
    <row r="51" spans="1:13" x14ac:dyDescent="0.25">
      <c r="A51" s="307"/>
      <c r="B51" s="307"/>
      <c r="C51" s="26"/>
      <c r="D51" s="306"/>
      <c r="E51" s="304"/>
      <c r="F51" s="306"/>
      <c r="G51" s="301"/>
      <c r="H51" s="301"/>
      <c r="I51" s="301"/>
      <c r="J51" s="301"/>
      <c r="K51" s="301"/>
      <c r="L51" s="301"/>
      <c r="M51" s="301"/>
    </row>
    <row r="52" spans="1:13" ht="13" x14ac:dyDescent="0.3">
      <c r="B52" s="305" t="s">
        <v>103</v>
      </c>
      <c r="C52" s="207"/>
      <c r="D52" s="207"/>
      <c r="E52" s="304"/>
      <c r="F52" s="303"/>
      <c r="G52" s="301"/>
      <c r="H52" s="301"/>
      <c r="I52" s="301"/>
      <c r="J52" s="301"/>
      <c r="K52" s="301"/>
      <c r="L52" s="301"/>
      <c r="M52" s="301"/>
    </row>
    <row r="55" spans="1:13" x14ac:dyDescent="0.25">
      <c r="D55" s="302"/>
    </row>
    <row r="56" spans="1:13" x14ac:dyDescent="0.25">
      <c r="D56" s="302"/>
    </row>
    <row r="89" spans="1:5" x14ac:dyDescent="0.25">
      <c r="A89" s="301"/>
      <c r="B89" s="301"/>
      <c r="C89" s="301"/>
      <c r="D89" s="301"/>
      <c r="E89" s="301"/>
    </row>
    <row r="90" spans="1:5" x14ac:dyDescent="0.25">
      <c r="A90" s="301"/>
      <c r="B90" s="301"/>
      <c r="C90" s="301"/>
      <c r="D90" s="301"/>
      <c r="E90" s="301"/>
    </row>
    <row r="91" spans="1:5" x14ac:dyDescent="0.25">
      <c r="A91" s="301"/>
      <c r="B91" s="301"/>
      <c r="C91" s="301"/>
      <c r="D91" s="301"/>
      <c r="E91" s="301"/>
    </row>
    <row r="92" spans="1:5" x14ac:dyDescent="0.25">
      <c r="A92" s="301"/>
      <c r="B92" s="301"/>
      <c r="C92" s="301"/>
      <c r="D92" s="301"/>
      <c r="E92" s="301"/>
    </row>
    <row r="93" spans="1:5" x14ac:dyDescent="0.25">
      <c r="A93" s="301"/>
      <c r="B93" s="301"/>
      <c r="C93" s="301"/>
      <c r="D93" s="301"/>
      <c r="E93" s="301"/>
    </row>
    <row r="94" spans="1:5" x14ac:dyDescent="0.25">
      <c r="A94" s="301"/>
      <c r="B94" s="301"/>
      <c r="C94" s="301"/>
      <c r="D94" s="301"/>
      <c r="E94" s="301"/>
    </row>
    <row r="95" spans="1:5" x14ac:dyDescent="0.25">
      <c r="A95" s="301"/>
      <c r="B95" s="301"/>
      <c r="C95" s="301"/>
      <c r="D95" s="301"/>
      <c r="E95" s="301"/>
    </row>
    <row r="96" spans="1:5" x14ac:dyDescent="0.25">
      <c r="A96" s="301"/>
      <c r="B96" s="301"/>
      <c r="C96" s="301"/>
      <c r="D96" s="301"/>
      <c r="E96" s="301"/>
    </row>
    <row r="97" spans="1:5" x14ac:dyDescent="0.25">
      <c r="A97" s="301"/>
      <c r="B97" s="301"/>
      <c r="C97" s="301"/>
      <c r="D97" s="301"/>
      <c r="E97" s="301"/>
    </row>
    <row r="98" spans="1:5" x14ac:dyDescent="0.25">
      <c r="A98" s="301"/>
      <c r="B98" s="301"/>
      <c r="C98" s="301"/>
      <c r="D98" s="301"/>
      <c r="E98" s="301"/>
    </row>
    <row r="99" spans="1:5" x14ac:dyDescent="0.25">
      <c r="A99" s="301"/>
      <c r="B99" s="301"/>
      <c r="C99" s="301"/>
      <c r="D99" s="301"/>
      <c r="E99" s="301"/>
    </row>
    <row r="100" spans="1:5" x14ac:dyDescent="0.25">
      <c r="A100" s="301"/>
      <c r="B100" s="301"/>
      <c r="C100" s="301"/>
      <c r="D100" s="301"/>
      <c r="E100" s="301"/>
    </row>
    <row r="101" spans="1:5" x14ac:dyDescent="0.25">
      <c r="A101" s="301"/>
      <c r="B101" s="301"/>
      <c r="C101" s="301"/>
      <c r="D101" s="301"/>
      <c r="E101" s="301"/>
    </row>
    <row r="102" spans="1:5" x14ac:dyDescent="0.25">
      <c r="A102" s="301"/>
      <c r="B102" s="301"/>
      <c r="C102" s="301"/>
      <c r="D102" s="301"/>
      <c r="E102" s="301"/>
    </row>
    <row r="103" spans="1:5" x14ac:dyDescent="0.25">
      <c r="A103" s="301"/>
      <c r="B103" s="301"/>
      <c r="C103" s="301"/>
      <c r="D103" s="301"/>
      <c r="E103" s="301"/>
    </row>
    <row r="104" spans="1:5" x14ac:dyDescent="0.25">
      <c r="A104" s="301"/>
      <c r="B104" s="301"/>
      <c r="C104" s="301"/>
      <c r="D104" s="301"/>
      <c r="E104" s="301"/>
    </row>
    <row r="105" spans="1:5" x14ac:dyDescent="0.25">
      <c r="A105" s="301"/>
      <c r="B105" s="301"/>
      <c r="C105" s="301"/>
      <c r="D105" s="301"/>
      <c r="E105" s="301"/>
    </row>
    <row r="106" spans="1:5" x14ac:dyDescent="0.25">
      <c r="A106" s="301"/>
      <c r="B106" s="301"/>
      <c r="C106" s="301"/>
      <c r="D106" s="301"/>
      <c r="E106" s="301"/>
    </row>
    <row r="107" spans="1:5" x14ac:dyDescent="0.25">
      <c r="A107" s="301"/>
      <c r="B107" s="301"/>
      <c r="C107" s="301"/>
      <c r="D107" s="301"/>
      <c r="E107" s="301"/>
    </row>
    <row r="108" spans="1:5" x14ac:dyDescent="0.25">
      <c r="A108" s="301"/>
      <c r="B108" s="301"/>
      <c r="C108" s="301"/>
      <c r="D108" s="301"/>
      <c r="E108" s="301"/>
    </row>
    <row r="109" spans="1:5" x14ac:dyDescent="0.25">
      <c r="A109" s="301"/>
      <c r="B109" s="301"/>
      <c r="C109" s="301"/>
      <c r="D109" s="301"/>
      <c r="E109" s="301"/>
    </row>
    <row r="110" spans="1:5" x14ac:dyDescent="0.25">
      <c r="A110" s="301"/>
      <c r="B110" s="301"/>
      <c r="C110" s="301"/>
      <c r="D110" s="301"/>
      <c r="E110" s="301"/>
    </row>
    <row r="111" spans="1:5" x14ac:dyDescent="0.25">
      <c r="A111" s="301"/>
      <c r="B111" s="301"/>
      <c r="C111" s="301"/>
      <c r="D111" s="301"/>
      <c r="E111" s="301"/>
    </row>
    <row r="112" spans="1:5" x14ac:dyDescent="0.25">
      <c r="A112" s="301"/>
      <c r="B112" s="301"/>
      <c r="C112" s="301"/>
      <c r="D112" s="301"/>
      <c r="E112" s="301"/>
    </row>
    <row r="113" spans="1:5" x14ac:dyDescent="0.25">
      <c r="A113" s="301"/>
      <c r="B113" s="301"/>
      <c r="C113" s="301"/>
      <c r="D113" s="301"/>
      <c r="E113" s="301"/>
    </row>
    <row r="114" spans="1:5" x14ac:dyDescent="0.25">
      <c r="A114" s="301"/>
      <c r="B114" s="301"/>
      <c r="C114" s="301"/>
      <c r="D114" s="301"/>
      <c r="E114" s="301"/>
    </row>
    <row r="115" spans="1:5" x14ac:dyDescent="0.25">
      <c r="A115" s="301"/>
      <c r="B115" s="301"/>
      <c r="C115" s="301"/>
      <c r="D115" s="301"/>
      <c r="E115" s="301"/>
    </row>
    <row r="116" spans="1:5" x14ac:dyDescent="0.25">
      <c r="A116" s="301"/>
      <c r="B116" s="301"/>
      <c r="C116" s="301"/>
      <c r="D116" s="301"/>
      <c r="E116" s="301"/>
    </row>
    <row r="117" spans="1:5" x14ac:dyDescent="0.25">
      <c r="A117" s="301"/>
      <c r="B117" s="301"/>
      <c r="C117" s="301"/>
      <c r="D117" s="301"/>
      <c r="E117" s="301"/>
    </row>
    <row r="118" spans="1:5" x14ac:dyDescent="0.25">
      <c r="A118" s="301"/>
      <c r="B118" s="301"/>
      <c r="C118" s="301"/>
      <c r="D118" s="301"/>
      <c r="E118" s="301"/>
    </row>
    <row r="119" spans="1:5" x14ac:dyDescent="0.25">
      <c r="A119" s="301"/>
      <c r="B119" s="301"/>
      <c r="C119" s="301"/>
      <c r="D119" s="301"/>
      <c r="E119" s="301"/>
    </row>
    <row r="120" spans="1:5" x14ac:dyDescent="0.25">
      <c r="A120" s="301"/>
      <c r="B120" s="301"/>
      <c r="C120" s="301"/>
      <c r="D120" s="301"/>
      <c r="E120" s="301"/>
    </row>
    <row r="121" spans="1:5" x14ac:dyDescent="0.25">
      <c r="A121" s="301"/>
      <c r="B121" s="301"/>
      <c r="C121" s="301"/>
      <c r="D121" s="301"/>
      <c r="E121" s="301"/>
    </row>
    <row r="122" spans="1:5" x14ac:dyDescent="0.25">
      <c r="A122" s="301"/>
      <c r="B122" s="301"/>
      <c r="C122" s="301"/>
      <c r="D122" s="301"/>
      <c r="E122" s="301"/>
    </row>
    <row r="123" spans="1:5" x14ac:dyDescent="0.25">
      <c r="A123" s="301"/>
      <c r="B123" s="301"/>
      <c r="C123" s="301"/>
      <c r="D123" s="301"/>
      <c r="E123" s="301"/>
    </row>
    <row r="124" spans="1:5" x14ac:dyDescent="0.25">
      <c r="A124" s="301"/>
      <c r="B124" s="301"/>
      <c r="C124" s="301"/>
      <c r="D124" s="301"/>
      <c r="E124" s="301"/>
    </row>
    <row r="125" spans="1:5" x14ac:dyDescent="0.25">
      <c r="A125" s="301"/>
      <c r="B125" s="301"/>
      <c r="C125" s="301"/>
      <c r="D125" s="301"/>
      <c r="E125" s="301"/>
    </row>
    <row r="126" spans="1:5" x14ac:dyDescent="0.25">
      <c r="A126" s="301"/>
      <c r="B126" s="301"/>
      <c r="C126" s="301"/>
      <c r="D126" s="301"/>
      <c r="E126" s="301"/>
    </row>
    <row r="127" spans="1:5" x14ac:dyDescent="0.25">
      <c r="A127" s="301"/>
      <c r="B127" s="301"/>
      <c r="C127" s="301"/>
      <c r="D127" s="301"/>
      <c r="E127" s="301"/>
    </row>
    <row r="128" spans="1:5" x14ac:dyDescent="0.25">
      <c r="A128" s="301"/>
      <c r="B128" s="301"/>
      <c r="C128" s="301"/>
      <c r="D128" s="301"/>
      <c r="E128" s="301"/>
    </row>
    <row r="129" spans="1:5" x14ac:dyDescent="0.25">
      <c r="A129" s="301"/>
      <c r="B129" s="301"/>
      <c r="C129" s="301"/>
      <c r="D129" s="301"/>
      <c r="E129" s="301"/>
    </row>
    <row r="130" spans="1:5" x14ac:dyDescent="0.25">
      <c r="A130" s="301"/>
      <c r="B130" s="301"/>
      <c r="C130" s="301"/>
      <c r="D130" s="301"/>
      <c r="E130" s="301"/>
    </row>
    <row r="131" spans="1:5" x14ac:dyDescent="0.25">
      <c r="A131" s="301"/>
      <c r="B131" s="301"/>
      <c r="C131" s="301"/>
      <c r="D131" s="301"/>
      <c r="E131" s="301"/>
    </row>
    <row r="132" spans="1:5" x14ac:dyDescent="0.25">
      <c r="A132" s="301"/>
      <c r="B132" s="301"/>
      <c r="C132" s="301"/>
      <c r="D132" s="301"/>
      <c r="E132" s="301"/>
    </row>
    <row r="133" spans="1:5" x14ac:dyDescent="0.25">
      <c r="A133" s="301"/>
      <c r="B133" s="301"/>
      <c r="C133" s="301"/>
      <c r="D133" s="301"/>
      <c r="E133" s="301"/>
    </row>
    <row r="134" spans="1:5" x14ac:dyDescent="0.25">
      <c r="A134" s="301"/>
      <c r="B134" s="301"/>
      <c r="C134" s="301"/>
      <c r="D134" s="301"/>
      <c r="E134" s="301"/>
    </row>
    <row r="135" spans="1:5" x14ac:dyDescent="0.25">
      <c r="A135" s="301"/>
      <c r="B135" s="301"/>
      <c r="C135" s="301"/>
      <c r="D135" s="301"/>
      <c r="E135" s="301"/>
    </row>
    <row r="136" spans="1:5" x14ac:dyDescent="0.25">
      <c r="A136" s="301"/>
      <c r="B136" s="301"/>
      <c r="C136" s="301"/>
      <c r="D136" s="301"/>
      <c r="E136" s="301"/>
    </row>
    <row r="137" spans="1:5" x14ac:dyDescent="0.25">
      <c r="A137" s="301"/>
      <c r="B137" s="301"/>
      <c r="C137" s="301"/>
      <c r="D137" s="301"/>
      <c r="E137" s="301"/>
    </row>
    <row r="138" spans="1:5" x14ac:dyDescent="0.25">
      <c r="A138" s="301"/>
      <c r="B138" s="301"/>
      <c r="C138" s="301"/>
      <c r="D138" s="301"/>
      <c r="E138" s="301"/>
    </row>
    <row r="139" spans="1:5" x14ac:dyDescent="0.25">
      <c r="A139" s="301"/>
      <c r="B139" s="301"/>
      <c r="C139" s="301"/>
      <c r="D139" s="301"/>
      <c r="E139" s="301"/>
    </row>
    <row r="140" spans="1:5" x14ac:dyDescent="0.25">
      <c r="A140" s="301"/>
      <c r="B140" s="301"/>
      <c r="C140" s="301"/>
      <c r="D140" s="301"/>
      <c r="E140" s="301"/>
    </row>
    <row r="141" spans="1:5" x14ac:dyDescent="0.25">
      <c r="A141" s="301"/>
      <c r="B141" s="301"/>
      <c r="C141" s="301"/>
      <c r="D141" s="301"/>
      <c r="E141" s="301"/>
    </row>
    <row r="142" spans="1:5" x14ac:dyDescent="0.25">
      <c r="A142" s="301"/>
      <c r="B142" s="301"/>
      <c r="C142" s="301"/>
      <c r="D142" s="301"/>
      <c r="E142" s="301"/>
    </row>
  </sheetData>
  <pageMargins left="0.7" right="0.7" top="0.75" bottom="0.75" header="0.3" footer="0.3"/>
  <pageSetup scale="89" orientation="portrait" r:id="rId1"/>
  <headerFooter>
    <oddFooter>&amp;L&amp;"Times New Roman,Regular"&amp;8 156650783.1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947"/>
  <sheetViews>
    <sheetView zoomScale="85" zoomScaleNormal="85" workbookViewId="0">
      <pane xSplit="4" ySplit="5" topLeftCell="P6" activePane="bottomRight" state="frozen"/>
      <selection pane="topRight" activeCell="E1" sqref="E1"/>
      <selection pane="bottomLeft" activeCell="A6" sqref="A6"/>
      <selection pane="bottomRight" activeCell="A30" sqref="A30:XFD30"/>
    </sheetView>
  </sheetViews>
  <sheetFormatPr defaultRowHeight="14.5" x14ac:dyDescent="0.35"/>
  <cols>
    <col min="1" max="1" width="7.453125" style="66" customWidth="1"/>
    <col min="2" max="2" width="33.453125" style="68" customWidth="1"/>
    <col min="3" max="3" width="13.7265625" style="68" customWidth="1"/>
    <col min="4" max="4" width="2.453125" style="68" customWidth="1"/>
    <col min="5" max="5" width="15.453125" style="68" customWidth="1"/>
    <col min="6" max="6" width="16.26953125" style="68" bestFit="1" customWidth="1"/>
    <col min="7" max="7" width="14.26953125" style="68" customWidth="1"/>
    <col min="8" max="8" width="14.54296875" style="68" customWidth="1"/>
    <col min="9" max="9" width="14.1796875" style="68" customWidth="1"/>
    <col min="10" max="11" width="14.81640625" style="68" customWidth="1"/>
    <col min="12" max="12" width="15.7265625" style="68" customWidth="1"/>
    <col min="13" max="13" width="15.1796875" style="68" customWidth="1"/>
    <col min="14" max="14" width="15.453125" style="68" customWidth="1"/>
    <col min="15" max="16" width="14.81640625" style="68" customWidth="1"/>
    <col min="17" max="24" width="17.453125" style="68" customWidth="1"/>
    <col min="25" max="25" width="97.26953125" customWidth="1"/>
    <col min="26" max="26" width="6" customWidth="1"/>
    <col min="27" max="27" width="10.7265625" bestFit="1" customWidth="1"/>
    <col min="28" max="28" width="44" bestFit="1" customWidth="1"/>
    <col min="29" max="29" width="14" bestFit="1" customWidth="1"/>
    <col min="30" max="30" width="4.81640625" bestFit="1" customWidth="1"/>
  </cols>
  <sheetData>
    <row r="1" spans="1:24" ht="18" x14ac:dyDescent="0.4">
      <c r="B1" s="67" t="s">
        <v>62</v>
      </c>
      <c r="F1" s="69"/>
      <c r="H1" s="70"/>
      <c r="Q1" s="142" t="s">
        <v>104</v>
      </c>
      <c r="R1" s="142"/>
      <c r="S1" s="142"/>
      <c r="T1" s="142"/>
      <c r="U1" s="142"/>
      <c r="V1" s="142"/>
      <c r="W1" s="142"/>
      <c r="X1" s="142"/>
    </row>
    <row r="2" spans="1:24" ht="18" x14ac:dyDescent="0.4">
      <c r="B2" s="71"/>
      <c r="F2" s="65"/>
      <c r="G2" s="72"/>
    </row>
    <row r="3" spans="1:24" ht="15.5" x14ac:dyDescent="0.35">
      <c r="A3" s="73"/>
      <c r="B3" s="71"/>
      <c r="D3" s="66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4" spans="1:24" ht="15.5" x14ac:dyDescent="0.35">
      <c r="A4" s="73" t="s">
        <v>63</v>
      </c>
      <c r="B4" s="76"/>
      <c r="D4" s="66"/>
      <c r="E4" s="74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143" t="s">
        <v>64</v>
      </c>
      <c r="R4" s="77"/>
      <c r="S4" s="77"/>
      <c r="T4" s="77"/>
      <c r="U4" s="77"/>
      <c r="V4" s="77"/>
      <c r="W4" s="77"/>
      <c r="X4" s="77"/>
    </row>
    <row r="5" spans="1:24" x14ac:dyDescent="0.35">
      <c r="A5" s="66" t="s">
        <v>65</v>
      </c>
      <c r="B5" s="79"/>
      <c r="D5" s="80"/>
      <c r="E5" s="81">
        <v>44197</v>
      </c>
      <c r="F5" s="82">
        <v>44228</v>
      </c>
      <c r="G5" s="81">
        <v>44256</v>
      </c>
      <c r="H5" s="82">
        <v>44287</v>
      </c>
      <c r="I5" s="81">
        <v>44317</v>
      </c>
      <c r="J5" s="82">
        <v>44348</v>
      </c>
      <c r="K5" s="81">
        <v>44378</v>
      </c>
      <c r="L5" s="82">
        <v>44409</v>
      </c>
      <c r="M5" s="81">
        <v>44440</v>
      </c>
      <c r="N5" s="82">
        <v>44470</v>
      </c>
      <c r="O5" s="81">
        <v>44501</v>
      </c>
      <c r="P5" s="82">
        <v>44531</v>
      </c>
      <c r="Q5" s="82" t="s">
        <v>66</v>
      </c>
      <c r="R5" s="82"/>
      <c r="S5" s="82"/>
      <c r="T5" s="82"/>
      <c r="U5" s="82"/>
      <c r="V5" s="82"/>
      <c r="W5" s="82"/>
      <c r="X5" s="82"/>
    </row>
    <row r="6" spans="1:24" x14ac:dyDescent="0.35">
      <c r="A6" s="66">
        <f>ROW()*1</f>
        <v>6</v>
      </c>
    </row>
    <row r="7" spans="1:24" ht="15" x14ac:dyDescent="0.4">
      <c r="A7" s="66">
        <f t="shared" ref="A7:A48" si="0">ROW()*1</f>
        <v>7</v>
      </c>
      <c r="B7" s="68" t="s">
        <v>67</v>
      </c>
      <c r="C7" s="83" t="s">
        <v>68</v>
      </c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</row>
    <row r="8" spans="1:24" x14ac:dyDescent="0.35">
      <c r="A8" s="66">
        <f t="shared" si="0"/>
        <v>8</v>
      </c>
      <c r="B8" s="86" t="s">
        <v>69</v>
      </c>
      <c r="C8" s="87">
        <v>501</v>
      </c>
      <c r="D8" s="84"/>
      <c r="E8" s="88">
        <v>4938590</v>
      </c>
      <c r="F8" s="88">
        <v>4729962</v>
      </c>
      <c r="G8" s="88">
        <v>4636765.87</v>
      </c>
      <c r="H8" s="88">
        <v>2024201</v>
      </c>
      <c r="I8" s="88">
        <v>2457921</v>
      </c>
      <c r="J8" s="88">
        <v>2541909</v>
      </c>
      <c r="K8" s="88">
        <v>4607683</v>
      </c>
      <c r="L8" s="88">
        <v>4346897.9400000004</v>
      </c>
      <c r="M8" s="88">
        <v>4848348</v>
      </c>
      <c r="N8" s="88">
        <v>5094312</v>
      </c>
      <c r="O8" s="88">
        <v>5545636.6500000004</v>
      </c>
      <c r="P8" s="88">
        <v>3824109</v>
      </c>
      <c r="Q8" s="88">
        <f t="shared" ref="Q8:Q15" si="1">SUM(E8:P8)</f>
        <v>49596335.460000001</v>
      </c>
      <c r="R8" s="88"/>
      <c r="S8" s="88"/>
      <c r="T8" s="88"/>
      <c r="U8" s="88"/>
      <c r="V8" s="88"/>
      <c r="W8" s="88"/>
      <c r="X8" s="88"/>
    </row>
    <row r="9" spans="1:24" x14ac:dyDescent="0.35">
      <c r="A9" s="66">
        <f t="shared" si="0"/>
        <v>9</v>
      </c>
      <c r="B9" s="86" t="s">
        <v>70</v>
      </c>
      <c r="C9" s="87">
        <v>547</v>
      </c>
      <c r="D9" s="84"/>
      <c r="E9" s="89">
        <v>12597693</v>
      </c>
      <c r="F9" s="89">
        <v>15807355</v>
      </c>
      <c r="G9" s="89">
        <v>17707240.420000002</v>
      </c>
      <c r="H9" s="89">
        <v>16390690</v>
      </c>
      <c r="I9" s="89">
        <v>13705037</v>
      </c>
      <c r="J9" s="89">
        <v>19328766</v>
      </c>
      <c r="K9" s="89">
        <v>25872480</v>
      </c>
      <c r="L9" s="89">
        <v>26301590.039999999</v>
      </c>
      <c r="M9" s="89">
        <v>26906160</v>
      </c>
      <c r="N9" s="89">
        <v>16953615</v>
      </c>
      <c r="O9" s="89">
        <v>20880069.649999999</v>
      </c>
      <c r="P9" s="89">
        <v>20206869</v>
      </c>
      <c r="Q9" s="89">
        <f t="shared" si="1"/>
        <v>232657565.11000001</v>
      </c>
      <c r="R9" s="89"/>
      <c r="S9" s="89"/>
      <c r="T9" s="89"/>
      <c r="U9" s="89"/>
      <c r="V9" s="89"/>
      <c r="W9" s="89"/>
      <c r="X9" s="89"/>
    </row>
    <row r="10" spans="1:24" x14ac:dyDescent="0.35">
      <c r="A10" s="66">
        <f t="shared" si="0"/>
        <v>10</v>
      </c>
      <c r="B10" s="90" t="s">
        <v>71</v>
      </c>
      <c r="C10" s="91">
        <v>555</v>
      </c>
      <c r="D10" s="92"/>
      <c r="E10" s="89">
        <v>54206749</v>
      </c>
      <c r="F10" s="89">
        <v>53927440.539999999</v>
      </c>
      <c r="G10" s="89">
        <v>45249291.780000001</v>
      </c>
      <c r="H10" s="89">
        <v>32041904</v>
      </c>
      <c r="I10" s="89">
        <v>34534046</v>
      </c>
      <c r="J10" s="89">
        <v>49826771</v>
      </c>
      <c r="K10" s="89">
        <v>70598216</v>
      </c>
      <c r="L10" s="89">
        <v>45033943.439999998</v>
      </c>
      <c r="M10" s="89">
        <v>35823160</v>
      </c>
      <c r="N10" s="89">
        <v>52935650</v>
      </c>
      <c r="O10" s="89">
        <v>50464723.880000003</v>
      </c>
      <c r="P10" s="89">
        <v>80567670</v>
      </c>
      <c r="Q10" s="89">
        <f t="shared" si="1"/>
        <v>605209565.63999999</v>
      </c>
      <c r="R10" s="89"/>
      <c r="S10" s="89"/>
      <c r="T10" s="89"/>
      <c r="U10" s="89"/>
      <c r="V10" s="89"/>
      <c r="W10" s="89"/>
      <c r="X10" s="89"/>
    </row>
    <row r="11" spans="1:24" x14ac:dyDescent="0.35">
      <c r="A11" s="66">
        <f t="shared" si="0"/>
        <v>11</v>
      </c>
      <c r="B11" s="86" t="s">
        <v>72</v>
      </c>
      <c r="C11" s="91" t="s">
        <v>73</v>
      </c>
      <c r="D11" s="84"/>
      <c r="E11" s="89">
        <v>-3067458</v>
      </c>
      <c r="F11" s="89">
        <v>-3950358</v>
      </c>
      <c r="G11" s="89">
        <v>-1355716.28</v>
      </c>
      <c r="H11" s="89">
        <v>-807053</v>
      </c>
      <c r="I11" s="89">
        <v>-568246</v>
      </c>
      <c r="J11" s="89">
        <v>-232821</v>
      </c>
      <c r="K11" s="89">
        <v>-3799179</v>
      </c>
      <c r="L11" s="89">
        <v>-5478005.5099999998</v>
      </c>
      <c r="M11" s="89">
        <v>-8143241</v>
      </c>
      <c r="N11" s="89">
        <v>-7458338</v>
      </c>
      <c r="O11" s="89">
        <v>-4667673.8600000003</v>
      </c>
      <c r="P11" s="89">
        <v>-9433397</v>
      </c>
      <c r="Q11" s="89">
        <f t="shared" si="1"/>
        <v>-48961486.649999999</v>
      </c>
      <c r="R11" s="89"/>
      <c r="S11" s="89"/>
      <c r="T11" s="89"/>
      <c r="U11" s="89"/>
      <c r="V11" s="89"/>
      <c r="W11" s="89"/>
      <c r="X11" s="89"/>
    </row>
    <row r="12" spans="1:24" x14ac:dyDescent="0.35">
      <c r="A12" s="66">
        <f t="shared" si="0"/>
        <v>12</v>
      </c>
      <c r="B12" s="86" t="s">
        <v>74</v>
      </c>
      <c r="C12" s="91">
        <v>55700003</v>
      </c>
      <c r="D12" s="84"/>
      <c r="E12" s="89">
        <v>38562</v>
      </c>
      <c r="F12" s="89">
        <v>27838</v>
      </c>
      <c r="G12" s="89">
        <v>28549.17</v>
      </c>
      <c r="H12" s="89">
        <v>44238</v>
      </c>
      <c r="I12" s="89">
        <v>64367</v>
      </c>
      <c r="J12" s="89">
        <v>87418</v>
      </c>
      <c r="K12" s="89">
        <v>33033</v>
      </c>
      <c r="L12" s="89">
        <v>60104.56</v>
      </c>
      <c r="M12" s="89">
        <v>36267</v>
      </c>
      <c r="N12" s="89">
        <v>26708</v>
      </c>
      <c r="O12" s="89">
        <v>32924.39</v>
      </c>
      <c r="P12" s="89">
        <v>26558</v>
      </c>
      <c r="Q12" s="89">
        <f t="shared" si="1"/>
        <v>506567.12</v>
      </c>
      <c r="R12" s="89"/>
      <c r="S12" s="89"/>
      <c r="T12" s="89"/>
      <c r="U12" s="89"/>
      <c r="V12" s="89"/>
      <c r="W12" s="89"/>
      <c r="X12" s="89"/>
    </row>
    <row r="13" spans="1:24" x14ac:dyDescent="0.35">
      <c r="A13" s="66">
        <f t="shared" si="0"/>
        <v>13</v>
      </c>
      <c r="B13" s="86" t="s">
        <v>75</v>
      </c>
      <c r="C13" s="91">
        <v>447</v>
      </c>
      <c r="D13" s="84"/>
      <c r="E13" s="89">
        <v>-3529515</v>
      </c>
      <c r="F13" s="89">
        <v>-9117869</v>
      </c>
      <c r="G13" s="89">
        <v>-6066218.5499999998</v>
      </c>
      <c r="H13" s="89">
        <v>-6512202</v>
      </c>
      <c r="I13" s="89">
        <v>-5805811</v>
      </c>
      <c r="J13" s="89">
        <v>-13652436</v>
      </c>
      <c r="K13" s="89">
        <v>-26533162</v>
      </c>
      <c r="L13" s="89">
        <v>-19118339.359999999</v>
      </c>
      <c r="M13" s="89">
        <v>-22669427</v>
      </c>
      <c r="N13" s="89">
        <v>-10989283</v>
      </c>
      <c r="O13" s="89">
        <v>-14793277.35</v>
      </c>
      <c r="P13" s="89">
        <v>-7468731</v>
      </c>
      <c r="Q13" s="89">
        <f t="shared" si="1"/>
        <v>-146256271.25999999</v>
      </c>
      <c r="R13" s="89"/>
      <c r="S13" s="89"/>
      <c r="T13" s="89"/>
      <c r="U13" s="89"/>
      <c r="V13" s="89"/>
      <c r="W13" s="89"/>
      <c r="X13" s="89"/>
    </row>
    <row r="14" spans="1:24" x14ac:dyDescent="0.35">
      <c r="A14" s="66">
        <f t="shared" si="0"/>
        <v>14</v>
      </c>
      <c r="B14" s="86" t="s">
        <v>76</v>
      </c>
      <c r="C14" s="91">
        <v>565</v>
      </c>
      <c r="D14" s="84"/>
      <c r="E14" s="89">
        <v>10030707</v>
      </c>
      <c r="F14" s="89">
        <v>10678976</v>
      </c>
      <c r="G14" s="89">
        <v>10393021.07</v>
      </c>
      <c r="H14" s="89">
        <v>10518588</v>
      </c>
      <c r="I14" s="89">
        <v>10399039</v>
      </c>
      <c r="J14" s="89">
        <v>10461282</v>
      </c>
      <c r="K14" s="89">
        <v>10460579</v>
      </c>
      <c r="L14" s="89">
        <v>10488443.59</v>
      </c>
      <c r="M14" s="89">
        <v>10414981</v>
      </c>
      <c r="N14" s="89">
        <v>10827600</v>
      </c>
      <c r="O14" s="89">
        <v>12412232.689999999</v>
      </c>
      <c r="P14" s="89">
        <v>8843397</v>
      </c>
      <c r="Q14" s="89">
        <f t="shared" si="1"/>
        <v>125928846.34999999</v>
      </c>
      <c r="R14" s="89"/>
      <c r="S14" s="89"/>
      <c r="T14" s="89"/>
      <c r="U14" s="89"/>
      <c r="V14" s="89"/>
      <c r="W14" s="89"/>
      <c r="X14" s="89"/>
    </row>
    <row r="15" spans="1:24" x14ac:dyDescent="0.35">
      <c r="A15" s="66">
        <f t="shared" si="0"/>
        <v>15</v>
      </c>
      <c r="B15" s="95" t="s">
        <v>77</v>
      </c>
      <c r="C15" s="91">
        <v>40810005</v>
      </c>
      <c r="D15" s="92"/>
      <c r="E15" s="89">
        <v>-10927</v>
      </c>
      <c r="F15" s="89">
        <v>60005</v>
      </c>
      <c r="G15" s="89">
        <v>60004</v>
      </c>
      <c r="H15" s="89">
        <v>58056</v>
      </c>
      <c r="I15" s="89">
        <v>63426</v>
      </c>
      <c r="J15" s="89">
        <v>55608</v>
      </c>
      <c r="K15" s="89">
        <v>66347</v>
      </c>
      <c r="L15" s="89">
        <v>60493</v>
      </c>
      <c r="M15" s="89">
        <v>60493</v>
      </c>
      <c r="N15" s="89">
        <v>81533</v>
      </c>
      <c r="O15" s="89">
        <v>81533</v>
      </c>
      <c r="P15" s="89">
        <v>81534</v>
      </c>
      <c r="Q15" s="89">
        <f t="shared" si="1"/>
        <v>718105</v>
      </c>
      <c r="R15" s="89"/>
      <c r="S15" s="89"/>
      <c r="T15" s="89"/>
      <c r="U15" s="89"/>
      <c r="V15" s="89"/>
      <c r="W15" s="89"/>
      <c r="X15" s="89"/>
    </row>
    <row r="16" spans="1:24" x14ac:dyDescent="0.35">
      <c r="A16" s="66">
        <f t="shared" si="0"/>
        <v>16</v>
      </c>
      <c r="B16" s="86" t="s">
        <v>78</v>
      </c>
      <c r="C16" s="87"/>
      <c r="D16" s="84"/>
      <c r="E16" s="96">
        <f t="shared" ref="E16:O16" si="2">SUM(E8:E15)</f>
        <v>75204401</v>
      </c>
      <c r="F16" s="96">
        <f t="shared" si="2"/>
        <v>72163349.539999992</v>
      </c>
      <c r="G16" s="96">
        <f t="shared" si="2"/>
        <v>70652937.480000019</v>
      </c>
      <c r="H16" s="96">
        <f t="shared" si="2"/>
        <v>53758422</v>
      </c>
      <c r="I16" s="96">
        <f t="shared" si="2"/>
        <v>54849779</v>
      </c>
      <c r="J16" s="96">
        <f t="shared" si="2"/>
        <v>68416497</v>
      </c>
      <c r="K16" s="96">
        <f t="shared" si="2"/>
        <v>81305997</v>
      </c>
      <c r="L16" s="96">
        <f t="shared" si="2"/>
        <v>61695127.700000003</v>
      </c>
      <c r="M16" s="96">
        <f t="shared" si="2"/>
        <v>47276741</v>
      </c>
      <c r="N16" s="96">
        <f t="shared" si="2"/>
        <v>67471797</v>
      </c>
      <c r="O16" s="96">
        <f t="shared" si="2"/>
        <v>69956169.050000012</v>
      </c>
      <c r="P16" s="96">
        <f>SUM(P8:P15)</f>
        <v>96648009</v>
      </c>
      <c r="Q16" s="96">
        <f>SUM(Q8:Q15)</f>
        <v>819399226.7700001</v>
      </c>
      <c r="R16" s="88"/>
      <c r="S16" s="88"/>
      <c r="T16" s="88"/>
      <c r="U16" s="88"/>
      <c r="V16" s="88"/>
      <c r="W16" s="88"/>
      <c r="X16" s="88"/>
    </row>
    <row r="17" spans="1:24" x14ac:dyDescent="0.35">
      <c r="A17" s="66">
        <f t="shared" si="0"/>
        <v>17</v>
      </c>
      <c r="B17" s="86"/>
      <c r="C17" s="87"/>
      <c r="D17" s="84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89"/>
      <c r="R17" s="89"/>
      <c r="S17" s="89"/>
      <c r="T17" s="89"/>
      <c r="U17" s="89"/>
      <c r="V17" s="89"/>
      <c r="W17" s="89"/>
      <c r="X17" s="89"/>
    </row>
    <row r="18" spans="1:24" x14ac:dyDescent="0.35">
      <c r="A18" s="66">
        <f t="shared" si="0"/>
        <v>18</v>
      </c>
      <c r="B18" s="98" t="s">
        <v>79</v>
      </c>
      <c r="C18" s="84"/>
      <c r="D18" s="84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</row>
    <row r="19" spans="1:24" x14ac:dyDescent="0.35">
      <c r="A19" s="66">
        <f t="shared" si="0"/>
        <v>19</v>
      </c>
      <c r="B19" s="65" t="s">
        <v>80</v>
      </c>
      <c r="C19" s="101"/>
      <c r="D19" s="101"/>
      <c r="E19" s="89">
        <v>347746</v>
      </c>
      <c r="F19" s="89">
        <v>314092.79999999999</v>
      </c>
      <c r="G19" s="89">
        <v>347278.2</v>
      </c>
      <c r="H19" s="89">
        <v>336528</v>
      </c>
      <c r="I19" s="89">
        <v>347745.6</v>
      </c>
      <c r="J19" s="89">
        <v>336528</v>
      </c>
      <c r="K19" s="89">
        <v>347745.6</v>
      </c>
      <c r="L19" s="89">
        <v>347745.6</v>
      </c>
      <c r="M19" s="89">
        <v>336528</v>
      </c>
      <c r="N19" s="89">
        <v>347745.6</v>
      </c>
      <c r="O19" s="89">
        <v>336995.4</v>
      </c>
      <c r="P19" s="89">
        <v>347745.6</v>
      </c>
      <c r="Q19" s="88">
        <f>SUM(E19:P19)</f>
        <v>4094424.4000000004</v>
      </c>
      <c r="R19" s="88"/>
      <c r="S19" s="88"/>
      <c r="T19" s="88"/>
      <c r="U19" s="88"/>
      <c r="V19" s="88"/>
      <c r="W19" s="88"/>
      <c r="X19" s="88"/>
    </row>
    <row r="20" spans="1:24" ht="14.25" customHeight="1" x14ac:dyDescent="0.35">
      <c r="A20" s="66">
        <f t="shared" si="0"/>
        <v>20</v>
      </c>
      <c r="B20" s="65" t="s">
        <v>82</v>
      </c>
      <c r="C20" s="101"/>
      <c r="D20" s="101"/>
      <c r="E20" s="89">
        <v>283872</v>
      </c>
      <c r="F20" s="89">
        <v>283872</v>
      </c>
      <c r="G20" s="89">
        <v>283872</v>
      </c>
      <c r="H20" s="89">
        <v>283872</v>
      </c>
      <c r="I20" s="89">
        <v>283872</v>
      </c>
      <c r="J20" s="89">
        <v>283872</v>
      </c>
      <c r="K20" s="89"/>
      <c r="L20" s="89"/>
      <c r="M20" s="89"/>
      <c r="N20" s="89"/>
      <c r="O20" s="89"/>
      <c r="P20" s="89"/>
      <c r="Q20" s="89">
        <f>SUM(E20:P20)</f>
        <v>1703232</v>
      </c>
      <c r="R20" s="89"/>
      <c r="S20" s="89"/>
      <c r="T20" s="89"/>
      <c r="U20" s="89"/>
      <c r="V20" s="89"/>
      <c r="W20" s="89"/>
      <c r="X20" s="89"/>
    </row>
    <row r="21" spans="1:24" ht="18" customHeight="1" thickBot="1" x14ac:dyDescent="0.4">
      <c r="A21" s="66">
        <f t="shared" si="0"/>
        <v>21</v>
      </c>
      <c r="B21" s="98" t="s">
        <v>83</v>
      </c>
      <c r="C21" s="102"/>
      <c r="D21" s="101"/>
      <c r="E21" s="103">
        <f>E16+E19+E20</f>
        <v>75836019</v>
      </c>
      <c r="F21" s="103">
        <f t="shared" ref="F21:P21" si="3">F16+F19+F20</f>
        <v>72761314.339999989</v>
      </c>
      <c r="G21" s="103">
        <f>G16+G19+G20</f>
        <v>71284087.680000022</v>
      </c>
      <c r="H21" s="104">
        <f t="shared" si="3"/>
        <v>54378822</v>
      </c>
      <c r="I21" s="103">
        <f t="shared" si="3"/>
        <v>55481396.600000001</v>
      </c>
      <c r="J21" s="103">
        <f t="shared" si="3"/>
        <v>69036897</v>
      </c>
      <c r="K21" s="103">
        <f t="shared" si="3"/>
        <v>81653742.599999994</v>
      </c>
      <c r="L21" s="103">
        <f t="shared" si="3"/>
        <v>62042873.300000004</v>
      </c>
      <c r="M21" s="103">
        <f t="shared" si="3"/>
        <v>47613269</v>
      </c>
      <c r="N21" s="103">
        <f t="shared" si="3"/>
        <v>67819542.599999994</v>
      </c>
      <c r="O21" s="103">
        <f t="shared" si="3"/>
        <v>70293164.450000018</v>
      </c>
      <c r="P21" s="104">
        <f t="shared" si="3"/>
        <v>96995754.599999994</v>
      </c>
      <c r="Q21" s="103">
        <f>Q16+Q19+Q20</f>
        <v>825196883.17000008</v>
      </c>
      <c r="R21" s="116"/>
      <c r="S21" s="116"/>
      <c r="T21" s="116"/>
      <c r="U21" s="116"/>
      <c r="V21" s="116"/>
      <c r="W21" s="116"/>
      <c r="X21" s="116"/>
    </row>
    <row r="22" spans="1:24" ht="16.5" customHeight="1" x14ac:dyDescent="0.35">
      <c r="A22" s="66">
        <f t="shared" si="0"/>
        <v>22</v>
      </c>
      <c r="B22" s="65"/>
      <c r="C22" s="65"/>
      <c r="D22" s="65"/>
      <c r="E22" s="65"/>
      <c r="F22" s="65"/>
      <c r="G22" s="370"/>
      <c r="H22" s="371"/>
      <c r="I22" s="372"/>
      <c r="J22" s="373"/>
      <c r="K22" s="65"/>
      <c r="L22" s="374"/>
      <c r="M22" s="374"/>
      <c r="N22" s="374"/>
      <c r="O22" s="374"/>
      <c r="P22" s="374"/>
      <c r="Q22" s="65"/>
    </row>
    <row r="23" spans="1:24" x14ac:dyDescent="0.35">
      <c r="A23" s="66">
        <f t="shared" si="0"/>
        <v>23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109"/>
      <c r="R23" s="109"/>
      <c r="S23" s="109"/>
      <c r="T23" s="109"/>
      <c r="U23" s="109"/>
      <c r="V23" s="109"/>
      <c r="W23" s="109"/>
      <c r="X23" s="109"/>
    </row>
    <row r="24" spans="1:24" x14ac:dyDescent="0.35">
      <c r="A24" s="66">
        <f t="shared" si="0"/>
        <v>24</v>
      </c>
      <c r="B24" s="110" t="s">
        <v>84</v>
      </c>
      <c r="C24" s="101"/>
      <c r="D24" s="101"/>
      <c r="E24" s="375">
        <v>2022779925</v>
      </c>
      <c r="F24" s="375">
        <v>2033112328</v>
      </c>
      <c r="G24" s="375">
        <v>1943792809</v>
      </c>
      <c r="H24" s="375">
        <v>1595775190</v>
      </c>
      <c r="I24" s="375">
        <v>1502441404</v>
      </c>
      <c r="J24" s="375">
        <v>1625496070</v>
      </c>
      <c r="K24" s="375">
        <v>1548220617</v>
      </c>
      <c r="L24" s="375">
        <v>1600786116</v>
      </c>
      <c r="M24" s="375">
        <v>1434645614</v>
      </c>
      <c r="N24" s="375">
        <v>1698824190</v>
      </c>
      <c r="O24" s="375">
        <v>1820314255</v>
      </c>
      <c r="P24" s="375">
        <v>2217629710</v>
      </c>
      <c r="Q24" s="111">
        <f>SUM(E24:P24)</f>
        <v>21043818228</v>
      </c>
      <c r="R24" s="111"/>
      <c r="S24" s="111"/>
      <c r="T24" s="111"/>
      <c r="U24" s="111"/>
      <c r="V24" s="111"/>
      <c r="W24" s="111"/>
      <c r="X24" s="111"/>
    </row>
    <row r="25" spans="1:24" ht="14.25" customHeight="1" x14ac:dyDescent="0.35">
      <c r="A25" s="66">
        <f t="shared" si="0"/>
        <v>25</v>
      </c>
      <c r="B25" s="113" t="s">
        <v>85</v>
      </c>
      <c r="C25" s="112"/>
      <c r="D25" s="112"/>
      <c r="E25" s="375">
        <v>-190082.54100000023</v>
      </c>
      <c r="F25" s="375">
        <v>-55692816.193999991</v>
      </c>
      <c r="G25" s="375">
        <v>-49427793.006000005</v>
      </c>
      <c r="H25" s="375">
        <v>-67173290.138999999</v>
      </c>
      <c r="I25" s="375">
        <v>-39886487</v>
      </c>
      <c r="J25" s="375">
        <v>-61005813</v>
      </c>
      <c r="K25" s="375">
        <v>-60729773</v>
      </c>
      <c r="L25" s="375">
        <v>-64953865</v>
      </c>
      <c r="M25" s="375">
        <v>-44187659</v>
      </c>
      <c r="N25" s="375">
        <v>-55493768</v>
      </c>
      <c r="O25" s="375">
        <v>-61092428.681000002</v>
      </c>
      <c r="P25" s="375">
        <v>-57773650.963</v>
      </c>
      <c r="Q25" s="111">
        <f>SUM(E25:P25)</f>
        <v>-617607426.52399993</v>
      </c>
      <c r="R25" s="111"/>
      <c r="S25" s="111"/>
      <c r="T25" s="111"/>
      <c r="U25" s="111"/>
      <c r="V25" s="111"/>
      <c r="W25" s="111"/>
      <c r="X25" s="111"/>
    </row>
    <row r="26" spans="1:24" ht="14.25" customHeight="1" x14ac:dyDescent="0.35">
      <c r="A26" s="66">
        <f t="shared" si="0"/>
        <v>26</v>
      </c>
      <c r="B26" s="113" t="s">
        <v>86</v>
      </c>
      <c r="C26" s="65"/>
      <c r="D26" s="65"/>
      <c r="E26" s="114">
        <f t="shared" ref="E26:J26" si="4">E24+E25</f>
        <v>2022589842.4590001</v>
      </c>
      <c r="F26" s="114">
        <f t="shared" si="4"/>
        <v>1977419511.806</v>
      </c>
      <c r="G26" s="114">
        <f t="shared" si="4"/>
        <v>1894365015.994</v>
      </c>
      <c r="H26" s="114">
        <f t="shared" si="4"/>
        <v>1528601899.8610001</v>
      </c>
      <c r="I26" s="114">
        <f t="shared" si="4"/>
        <v>1462554917</v>
      </c>
      <c r="J26" s="114">
        <f t="shared" si="4"/>
        <v>1564490257</v>
      </c>
      <c r="K26" s="114">
        <f>K24+K25</f>
        <v>1487490844</v>
      </c>
      <c r="L26" s="114">
        <f t="shared" ref="L26:Q26" si="5">L24+L25</f>
        <v>1535832251</v>
      </c>
      <c r="M26" s="114">
        <f t="shared" si="5"/>
        <v>1390457955</v>
      </c>
      <c r="N26" s="114">
        <f t="shared" si="5"/>
        <v>1643330422</v>
      </c>
      <c r="O26" s="114">
        <f t="shared" si="5"/>
        <v>1759221826.319</v>
      </c>
      <c r="P26" s="114">
        <f t="shared" si="5"/>
        <v>2159856059.0370002</v>
      </c>
      <c r="Q26" s="114">
        <f t="shared" si="5"/>
        <v>20426210801.476002</v>
      </c>
      <c r="R26" s="111"/>
      <c r="S26" s="111"/>
      <c r="T26" s="111"/>
      <c r="U26" s="111"/>
      <c r="V26" s="111"/>
      <c r="W26" s="111"/>
      <c r="X26" s="111"/>
    </row>
    <row r="27" spans="1:24" ht="19.5" customHeight="1" x14ac:dyDescent="0.35">
      <c r="A27" s="66">
        <f t="shared" si="0"/>
        <v>27</v>
      </c>
      <c r="B27" s="98" t="s">
        <v>87</v>
      </c>
      <c r="C27" s="115"/>
      <c r="D27" s="101"/>
      <c r="E27" s="65"/>
      <c r="F27" s="65"/>
      <c r="G27" s="65"/>
      <c r="H27" s="117"/>
      <c r="I27" s="65"/>
      <c r="J27" s="65"/>
      <c r="K27" s="65"/>
      <c r="L27" s="65"/>
      <c r="M27" s="116"/>
      <c r="N27" s="65"/>
      <c r="O27" s="65"/>
      <c r="P27" s="117"/>
      <c r="Q27" s="116"/>
      <c r="R27" s="116"/>
      <c r="S27" s="116"/>
      <c r="T27" s="116"/>
      <c r="U27" s="116"/>
      <c r="V27" s="116"/>
      <c r="W27" s="116"/>
      <c r="X27" s="116"/>
    </row>
    <row r="28" spans="1:24" x14ac:dyDescent="0.35">
      <c r="A28" s="66">
        <f t="shared" si="0"/>
        <v>28</v>
      </c>
      <c r="B28" s="118" t="s">
        <v>88</v>
      </c>
      <c r="C28" s="115">
        <v>3.4752999999999999E-2</v>
      </c>
      <c r="D28" s="84"/>
      <c r="E28" s="116">
        <f t="shared" ref="E28:J28" si="6">E24*$C$28</f>
        <v>70297670.733524993</v>
      </c>
      <c r="F28" s="116">
        <f t="shared" si="6"/>
        <v>70656752.734983996</v>
      </c>
      <c r="G28" s="116">
        <f t="shared" si="6"/>
        <v>67552631.491176993</v>
      </c>
      <c r="H28" s="116">
        <f t="shared" si="6"/>
        <v>55457975.178070001</v>
      </c>
      <c r="I28" s="116">
        <f t="shared" si="6"/>
        <v>52214346.113211997</v>
      </c>
      <c r="J28" s="116">
        <f t="shared" si="6"/>
        <v>56490864.920709997</v>
      </c>
      <c r="K28" s="65"/>
      <c r="L28" s="116"/>
      <c r="M28" s="116"/>
      <c r="N28" s="116"/>
      <c r="O28" s="116"/>
      <c r="P28" s="116"/>
      <c r="Q28" s="116">
        <f>SUM(E28:P28)</f>
        <v>372670241.17167795</v>
      </c>
      <c r="R28" s="116"/>
      <c r="S28" s="116"/>
      <c r="T28" s="116"/>
      <c r="U28" s="116"/>
      <c r="V28" s="116"/>
      <c r="W28" s="116"/>
      <c r="X28" s="116"/>
    </row>
    <row r="29" spans="1:24" x14ac:dyDescent="0.35">
      <c r="A29" s="66">
        <f t="shared" si="0"/>
        <v>29</v>
      </c>
      <c r="B29" s="118" t="s">
        <v>89</v>
      </c>
      <c r="C29" s="115">
        <v>3.8982999999999997E-2</v>
      </c>
      <c r="D29" s="84"/>
      <c r="E29" s="116"/>
      <c r="F29" s="116"/>
      <c r="G29" s="116"/>
      <c r="H29" s="116"/>
      <c r="I29" s="116"/>
      <c r="J29" s="116"/>
      <c r="K29" s="116">
        <f>K26*$C$29</f>
        <v>57986855.571651995</v>
      </c>
      <c r="L29" s="116">
        <f t="shared" ref="L29:P29" si="7">L26*$C$29</f>
        <v>59871348.640732996</v>
      </c>
      <c r="M29" s="116">
        <f t="shared" si="7"/>
        <v>54204222.459764995</v>
      </c>
      <c r="N29" s="116">
        <f t="shared" si="7"/>
        <v>64061949.840825997</v>
      </c>
      <c r="O29" s="116">
        <f t="shared" si="7"/>
        <v>68579744.455393568</v>
      </c>
      <c r="P29" s="116">
        <f t="shared" si="7"/>
        <v>84197668.749439374</v>
      </c>
      <c r="Q29" s="116">
        <f>SUM(E29:P29)</f>
        <v>388901789.7178089</v>
      </c>
      <c r="R29" s="116"/>
      <c r="S29" s="116"/>
      <c r="T29" s="116"/>
      <c r="U29" s="116"/>
      <c r="V29" s="116"/>
      <c r="W29" s="116"/>
      <c r="X29" s="116"/>
    </row>
    <row r="30" spans="1:24" ht="16.5" customHeight="1" x14ac:dyDescent="0.35">
      <c r="A30" s="66">
        <f t="shared" si="0"/>
        <v>30</v>
      </c>
      <c r="B30" s="113" t="s">
        <v>90</v>
      </c>
      <c r="C30" s="65"/>
      <c r="D30" s="65"/>
      <c r="E30" s="379">
        <v>2.6558147892791716E-2</v>
      </c>
      <c r="F30" s="379">
        <v>2.4690728730128703E-2</v>
      </c>
      <c r="G30" s="379">
        <v>1.835486817035091E-2</v>
      </c>
      <c r="H30" s="379">
        <v>1.4678002269552836E-2</v>
      </c>
      <c r="I30" s="379">
        <v>8.1699075012145773E-3</v>
      </c>
      <c r="J30" s="379">
        <v>1.3142982776423777E-2</v>
      </c>
      <c r="K30" s="89"/>
      <c r="L30" s="376"/>
      <c r="M30" s="376"/>
      <c r="N30" s="376"/>
      <c r="O30" s="376"/>
      <c r="P30" s="376"/>
      <c r="Q30" s="111"/>
      <c r="R30" s="111"/>
      <c r="S30" s="111"/>
      <c r="T30" s="111"/>
      <c r="U30" s="111"/>
      <c r="V30" s="111"/>
      <c r="W30" s="111"/>
      <c r="X30" s="111"/>
    </row>
    <row r="31" spans="1:24" ht="15.75" customHeight="1" x14ac:dyDescent="0.35">
      <c r="A31" s="66">
        <f t="shared" si="0"/>
        <v>31</v>
      </c>
      <c r="B31" s="113" t="s">
        <v>306</v>
      </c>
      <c r="C31" s="115"/>
      <c r="D31" s="84"/>
      <c r="E31" s="116"/>
      <c r="F31" s="116"/>
      <c r="G31" s="116"/>
      <c r="H31" s="116"/>
      <c r="I31" s="116">
        <f>+E25*E30+F25*F30+G25*G30+H25*H30</f>
        <v>-3273354.786788784</v>
      </c>
      <c r="J31" s="116"/>
      <c r="K31" s="116"/>
      <c r="L31" s="116"/>
      <c r="M31" s="116"/>
      <c r="N31" s="116"/>
      <c r="O31" s="116"/>
      <c r="P31" s="116"/>
      <c r="Q31" s="116">
        <f>SUM(E31:P31)</f>
        <v>-3273354.786788784</v>
      </c>
      <c r="R31"/>
      <c r="S31"/>
      <c r="T31"/>
      <c r="U31"/>
      <c r="V31"/>
      <c r="W31" s="116"/>
      <c r="X31" s="116"/>
    </row>
    <row r="32" spans="1:24" ht="15.75" customHeight="1" x14ac:dyDescent="0.35">
      <c r="A32" s="66">
        <f t="shared" si="0"/>
        <v>32</v>
      </c>
      <c r="B32" s="113" t="s">
        <v>307</v>
      </c>
      <c r="C32" s="115"/>
      <c r="D32" s="84"/>
      <c r="E32" s="116"/>
      <c r="F32" s="116"/>
      <c r="G32" s="116"/>
      <c r="H32" s="116"/>
      <c r="I32" s="88">
        <f>I25*I30</f>
        <v>-325868.90933839773</v>
      </c>
      <c r="J32" s="88">
        <f>J25*J30</f>
        <v>-801798.34952072974</v>
      </c>
      <c r="K32" s="116"/>
      <c r="L32" s="116"/>
      <c r="M32" s="116"/>
      <c r="N32" s="116"/>
      <c r="O32" s="116"/>
      <c r="P32" s="116"/>
      <c r="Q32" s="116">
        <f>SUM(E32:P32)</f>
        <v>-1127667.2588591275</v>
      </c>
      <c r="R32"/>
      <c r="S32"/>
      <c r="T32"/>
      <c r="U32"/>
      <c r="V32"/>
      <c r="W32" s="116"/>
      <c r="X32" s="116"/>
    </row>
    <row r="33" spans="1:24" ht="18.75" customHeight="1" x14ac:dyDescent="0.35">
      <c r="A33" s="66">
        <f t="shared" si="0"/>
        <v>33</v>
      </c>
      <c r="B33" s="119" t="s">
        <v>91</v>
      </c>
      <c r="C33" s="377"/>
      <c r="D33" s="84"/>
      <c r="E33" s="121">
        <f t="shared" ref="E33:P33" si="8">E28+E29+E31+E32</f>
        <v>70297670.733524993</v>
      </c>
      <c r="F33" s="121">
        <f t="shared" si="8"/>
        <v>70656752.734983996</v>
      </c>
      <c r="G33" s="121">
        <f t="shared" si="8"/>
        <v>67552631.491176993</v>
      </c>
      <c r="H33" s="121">
        <f t="shared" si="8"/>
        <v>55457975.178070001</v>
      </c>
      <c r="I33" s="121">
        <f t="shared" si="8"/>
        <v>48615122.417084813</v>
      </c>
      <c r="J33" s="121">
        <f t="shared" si="8"/>
        <v>55689066.571189269</v>
      </c>
      <c r="K33" s="121">
        <f t="shared" si="8"/>
        <v>57986855.571651995</v>
      </c>
      <c r="L33" s="121">
        <f t="shared" si="8"/>
        <v>59871348.640732996</v>
      </c>
      <c r="M33" s="121">
        <f t="shared" si="8"/>
        <v>54204222.459764995</v>
      </c>
      <c r="N33" s="121">
        <f t="shared" si="8"/>
        <v>64061949.840825997</v>
      </c>
      <c r="O33" s="121">
        <f t="shared" si="8"/>
        <v>68579744.455393568</v>
      </c>
      <c r="P33" s="121">
        <f t="shared" si="8"/>
        <v>84197668.749439374</v>
      </c>
      <c r="Q33" s="121">
        <f t="shared" ref="Q33" si="9">SUM(Q28:Q32)</f>
        <v>757171008.84383881</v>
      </c>
      <c r="R33"/>
      <c r="S33"/>
      <c r="T33"/>
      <c r="U33"/>
      <c r="V33"/>
      <c r="W33" s="116"/>
      <c r="X33" s="116"/>
    </row>
    <row r="34" spans="1:24" ht="20.25" customHeight="1" x14ac:dyDescent="0.35">
      <c r="A34" s="66">
        <f t="shared" si="0"/>
        <v>34</v>
      </c>
      <c r="B34" s="118"/>
      <c r="C34" s="115"/>
      <c r="D34" s="84"/>
      <c r="E34" s="116"/>
      <c r="F34" s="116"/>
      <c r="G34" s="370"/>
      <c r="H34" s="372"/>
      <c r="I34" s="372"/>
      <c r="J34" s="373"/>
      <c r="K34" s="116"/>
      <c r="L34" s="378"/>
      <c r="M34" s="378"/>
      <c r="N34" s="378"/>
      <c r="O34" s="378"/>
      <c r="P34" s="378"/>
      <c r="Q34" s="111"/>
      <c r="R34"/>
      <c r="S34"/>
      <c r="T34"/>
      <c r="U34"/>
      <c r="V34"/>
      <c r="W34" s="123"/>
      <c r="X34" s="123"/>
    </row>
    <row r="35" spans="1:24" ht="17.5" customHeight="1" thickBot="1" x14ac:dyDescent="0.4">
      <c r="A35" s="66">
        <f t="shared" si="0"/>
        <v>35</v>
      </c>
      <c r="B35" s="124" t="s">
        <v>92</v>
      </c>
      <c r="C35" s="65"/>
      <c r="D35" s="84"/>
      <c r="E35" s="103">
        <f t="shared" ref="E35:Q35" si="10">E21-E33</f>
        <v>5538348.2664750069</v>
      </c>
      <c r="F35" s="103">
        <f t="shared" si="10"/>
        <v>2104561.6050159931</v>
      </c>
      <c r="G35" s="103">
        <f t="shared" si="10"/>
        <v>3731456.1888230294</v>
      </c>
      <c r="H35" s="103">
        <f t="shared" si="10"/>
        <v>-1079153.1780700013</v>
      </c>
      <c r="I35" s="103">
        <f t="shared" si="10"/>
        <v>6866274.1829151884</v>
      </c>
      <c r="J35" s="103">
        <f t="shared" si="10"/>
        <v>13347830.428810731</v>
      </c>
      <c r="K35" s="103">
        <f t="shared" si="10"/>
        <v>23666887.028347999</v>
      </c>
      <c r="L35" s="103">
        <f>L21-L33</f>
        <v>2171524.6592670083</v>
      </c>
      <c r="M35" s="103">
        <f t="shared" si="10"/>
        <v>-6590953.4597649947</v>
      </c>
      <c r="N35" s="103">
        <f t="shared" si="10"/>
        <v>3757592.7591739967</v>
      </c>
      <c r="O35" s="103">
        <f t="shared" si="10"/>
        <v>1713419.9946064502</v>
      </c>
      <c r="P35" s="103">
        <f t="shared" si="10"/>
        <v>12798085.85056062</v>
      </c>
      <c r="Q35" s="103">
        <f t="shared" si="10"/>
        <v>68025874.326161265</v>
      </c>
      <c r="R35" s="116"/>
      <c r="S35" s="116"/>
      <c r="T35" s="116"/>
      <c r="U35" s="116"/>
      <c r="V35" s="116"/>
      <c r="W35" s="116"/>
      <c r="X35" s="116"/>
    </row>
    <row r="36" spans="1:24" ht="15.75" customHeight="1" x14ac:dyDescent="0.35">
      <c r="A36" s="66">
        <f t="shared" si="0"/>
        <v>36</v>
      </c>
      <c r="B36" s="125" t="s">
        <v>93</v>
      </c>
      <c r="E36" s="126">
        <f t="shared" ref="E36:Q36" si="11">+E35</f>
        <v>5538348.2664750069</v>
      </c>
      <c r="F36" s="126">
        <f t="shared" si="11"/>
        <v>2104561.6050159931</v>
      </c>
      <c r="G36" s="126">
        <f t="shared" si="11"/>
        <v>3731456.1888230294</v>
      </c>
      <c r="H36" s="126">
        <f t="shared" si="11"/>
        <v>-1079153.1780700013</v>
      </c>
      <c r="I36" s="126">
        <f t="shared" si="11"/>
        <v>6866274.1829151884</v>
      </c>
      <c r="J36" s="126">
        <f t="shared" si="11"/>
        <v>13347830.428810731</v>
      </c>
      <c r="K36" s="126">
        <f t="shared" si="11"/>
        <v>23666887.028347999</v>
      </c>
      <c r="L36" s="126">
        <f t="shared" si="11"/>
        <v>2171524.6592670083</v>
      </c>
      <c r="M36" s="126">
        <f t="shared" si="11"/>
        <v>-6590953.4597649947</v>
      </c>
      <c r="N36" s="126">
        <f t="shared" si="11"/>
        <v>3757592.7591739967</v>
      </c>
      <c r="O36" s="126">
        <f t="shared" si="11"/>
        <v>1713419.9946064502</v>
      </c>
      <c r="P36" s="126">
        <f t="shared" si="11"/>
        <v>12798085.85056062</v>
      </c>
      <c r="Q36" s="126">
        <f t="shared" si="11"/>
        <v>68025874.326161265</v>
      </c>
      <c r="R36" s="126"/>
      <c r="S36" s="126"/>
      <c r="T36" s="126"/>
      <c r="U36" s="126"/>
      <c r="V36" s="126"/>
      <c r="W36" s="126"/>
      <c r="X36" s="126"/>
    </row>
    <row r="37" spans="1:24" x14ac:dyDescent="0.35">
      <c r="A37" s="66">
        <f t="shared" si="0"/>
        <v>37</v>
      </c>
      <c r="G37" s="105"/>
      <c r="H37" s="106"/>
      <c r="I37" s="106"/>
      <c r="J37" s="107"/>
      <c r="L37" s="108"/>
      <c r="M37" s="108"/>
      <c r="N37" s="108"/>
      <c r="O37" s="108"/>
      <c r="P37" s="108"/>
    </row>
    <row r="38" spans="1:24" x14ac:dyDescent="0.35">
      <c r="A38" s="66">
        <f t="shared" si="0"/>
        <v>38</v>
      </c>
      <c r="B38" s="93" t="s">
        <v>94</v>
      </c>
      <c r="C38" s="127"/>
      <c r="E38" s="88"/>
      <c r="F38" s="116"/>
      <c r="G38" s="88"/>
      <c r="H38" s="116"/>
      <c r="I38" s="116"/>
      <c r="J38" s="116"/>
      <c r="K38" s="116"/>
      <c r="L38" s="116"/>
      <c r="M38" s="116"/>
      <c r="N38" s="116"/>
      <c r="O38" s="116"/>
      <c r="P38" s="116"/>
      <c r="Q38" s="128"/>
      <c r="R38" s="128"/>
      <c r="S38" s="128"/>
      <c r="T38" s="128"/>
      <c r="U38" s="128"/>
      <c r="V38" s="128"/>
      <c r="W38" s="128"/>
      <c r="X38" s="128"/>
    </row>
    <row r="39" spans="1:24" x14ac:dyDescent="0.35">
      <c r="A39" s="66">
        <f t="shared" si="0"/>
        <v>39</v>
      </c>
      <c r="B39" s="129" t="s">
        <v>95</v>
      </c>
      <c r="C39" s="130">
        <v>3.143E-4</v>
      </c>
      <c r="D39" s="130"/>
      <c r="E39" s="88">
        <f>E36*(1-$C$39)</f>
        <v>5536607.5636148537</v>
      </c>
      <c r="F39" s="88">
        <f t="shared" ref="F39:J39" si="12">F36*(1-$C$39)</f>
        <v>2103900.1413035365</v>
      </c>
      <c r="G39" s="88">
        <f t="shared" si="12"/>
        <v>3730283.3921428826</v>
      </c>
      <c r="H39" s="88">
        <f t="shared" si="12"/>
        <v>-1078814.000226134</v>
      </c>
      <c r="I39" s="88">
        <f t="shared" si="12"/>
        <v>6864116.1129394984</v>
      </c>
      <c r="J39" s="88">
        <f t="shared" si="12"/>
        <v>13343635.205706956</v>
      </c>
      <c r="K39" s="88"/>
      <c r="L39" s="88"/>
      <c r="M39" s="88"/>
      <c r="N39" s="88"/>
      <c r="O39" s="88"/>
      <c r="P39" s="88"/>
      <c r="Q39" s="88">
        <f>SUM(E39:P39)</f>
        <v>30499728.41548159</v>
      </c>
      <c r="R39" s="88"/>
      <c r="S39" s="88"/>
      <c r="T39" s="88"/>
      <c r="U39" s="88"/>
      <c r="V39" s="88"/>
      <c r="W39" s="88"/>
      <c r="X39" s="88"/>
    </row>
    <row r="40" spans="1:24" x14ac:dyDescent="0.35">
      <c r="A40" s="66">
        <f t="shared" si="0"/>
        <v>40</v>
      </c>
      <c r="B40" s="129" t="s">
        <v>96</v>
      </c>
      <c r="C40" s="130">
        <v>3.7438E-4</v>
      </c>
      <c r="D40" s="130"/>
      <c r="E40" s="88"/>
      <c r="F40" s="88"/>
      <c r="G40" s="88"/>
      <c r="H40" s="88"/>
      <c r="I40" s="88"/>
      <c r="J40" s="88"/>
      <c r="K40" s="88">
        <f>K36*(1-$C$40)</f>
        <v>23658026.619182326</v>
      </c>
      <c r="L40" s="88">
        <f t="shared" ref="L40:P40" si="13">L36*(1-$C$40)</f>
        <v>2170711.6838650717</v>
      </c>
      <c r="M40" s="88">
        <f t="shared" si="13"/>
        <v>-6588485.9386087274</v>
      </c>
      <c r="N40" s="88">
        <f t="shared" si="13"/>
        <v>3756185.991596817</v>
      </c>
      <c r="O40" s="88">
        <f t="shared" si="13"/>
        <v>1712778.5244288694</v>
      </c>
      <c r="P40" s="88">
        <f t="shared" si="13"/>
        <v>12793294.503179887</v>
      </c>
      <c r="Q40" s="88">
        <f>SUM(E40:P40)</f>
        <v>37502511.383644246</v>
      </c>
      <c r="R40" s="88"/>
      <c r="S40" s="88"/>
      <c r="T40" s="88"/>
      <c r="U40" s="88"/>
      <c r="V40" s="88"/>
      <c r="W40" s="88"/>
      <c r="X40" s="88"/>
    </row>
    <row r="41" spans="1:24" ht="17.25" customHeight="1" x14ac:dyDescent="0.35">
      <c r="A41" s="66">
        <f t="shared" si="0"/>
        <v>41</v>
      </c>
      <c r="B41" s="117"/>
      <c r="C41" s="120"/>
      <c r="D41" s="130"/>
      <c r="E41" s="88"/>
      <c r="F41" s="88"/>
      <c r="G41" s="105"/>
      <c r="H41" s="106"/>
      <c r="I41" s="106"/>
      <c r="J41" s="107"/>
      <c r="K41" s="88"/>
      <c r="L41" s="108"/>
      <c r="M41" s="108"/>
      <c r="N41" s="88"/>
      <c r="O41" s="108"/>
      <c r="P41" s="108"/>
      <c r="Q41" s="88"/>
      <c r="R41" s="88"/>
      <c r="S41" s="88"/>
      <c r="T41" s="88"/>
      <c r="U41" s="88"/>
      <c r="V41" s="88"/>
      <c r="W41" s="88"/>
      <c r="X41" s="88"/>
    </row>
    <row r="42" spans="1:24" x14ac:dyDescent="0.35">
      <c r="A42" s="66">
        <f t="shared" si="0"/>
        <v>42</v>
      </c>
      <c r="B42" s="75" t="s">
        <v>97</v>
      </c>
      <c r="C42" s="94"/>
      <c r="D42" s="84"/>
      <c r="E42" s="88">
        <f>+E39+E40</f>
        <v>5536607.5636148537</v>
      </c>
      <c r="F42" s="88">
        <f t="shared" ref="F42:P42" si="14">+F39+F40</f>
        <v>2103900.1413035365</v>
      </c>
      <c r="G42" s="88">
        <f t="shared" si="14"/>
        <v>3730283.3921428826</v>
      </c>
      <c r="H42" s="88">
        <f t="shared" si="14"/>
        <v>-1078814.000226134</v>
      </c>
      <c r="I42" s="88">
        <f t="shared" si="14"/>
        <v>6864116.1129394984</v>
      </c>
      <c r="J42" s="88">
        <f t="shared" si="14"/>
        <v>13343635.205706956</v>
      </c>
      <c r="K42" s="88">
        <f t="shared" si="14"/>
        <v>23658026.619182326</v>
      </c>
      <c r="L42" s="88">
        <f t="shared" si="14"/>
        <v>2170711.6838650717</v>
      </c>
      <c r="M42" s="88">
        <f t="shared" si="14"/>
        <v>-6588485.9386087274</v>
      </c>
      <c r="N42" s="88">
        <f t="shared" si="14"/>
        <v>3756185.991596817</v>
      </c>
      <c r="O42" s="88">
        <f t="shared" si="14"/>
        <v>1712778.5244288694</v>
      </c>
      <c r="P42" s="88">
        <f t="shared" si="14"/>
        <v>12793294.503179887</v>
      </c>
      <c r="Q42" s="116">
        <f>+Q39+Q40</f>
        <v>68002239.799125835</v>
      </c>
      <c r="R42" s="116"/>
      <c r="S42" s="116"/>
      <c r="T42" s="116"/>
      <c r="U42" s="116"/>
      <c r="V42" s="116"/>
      <c r="W42" s="116"/>
      <c r="X42" s="116"/>
    </row>
    <row r="43" spans="1:24" x14ac:dyDescent="0.35">
      <c r="A43" s="66">
        <f t="shared" si="0"/>
        <v>43</v>
      </c>
      <c r="B43" s="75" t="s">
        <v>98</v>
      </c>
      <c r="D43" s="84"/>
      <c r="E43" s="88">
        <f t="shared" ref="E43:Q43" si="15">-E42</f>
        <v>-5536607.5636148537</v>
      </c>
      <c r="F43" s="88">
        <f t="shared" si="15"/>
        <v>-2103900.1413035365</v>
      </c>
      <c r="G43" s="88">
        <f t="shared" si="15"/>
        <v>-3730283.3921428826</v>
      </c>
      <c r="H43" s="116">
        <f t="shared" si="15"/>
        <v>1078814.000226134</v>
      </c>
      <c r="I43" s="116">
        <f t="shared" si="15"/>
        <v>-6864116.1129394984</v>
      </c>
      <c r="J43" s="116">
        <f t="shared" si="15"/>
        <v>-13343635.205706956</v>
      </c>
      <c r="K43" s="116">
        <f t="shared" si="15"/>
        <v>-23658026.619182326</v>
      </c>
      <c r="L43" s="116">
        <f t="shared" si="15"/>
        <v>-2170711.6838650717</v>
      </c>
      <c r="M43" s="116">
        <f t="shared" si="15"/>
        <v>6588485.9386087274</v>
      </c>
      <c r="N43" s="116">
        <f t="shared" si="15"/>
        <v>-3756185.991596817</v>
      </c>
      <c r="O43" s="88">
        <f t="shared" si="15"/>
        <v>-1712778.5244288694</v>
      </c>
      <c r="P43" s="116">
        <f t="shared" si="15"/>
        <v>-12793294.503179887</v>
      </c>
      <c r="Q43" s="116">
        <f t="shared" si="15"/>
        <v>-68002239.799125835</v>
      </c>
      <c r="R43" s="116"/>
      <c r="S43" s="116"/>
      <c r="T43" s="116"/>
      <c r="U43" s="116"/>
      <c r="V43" s="116"/>
      <c r="W43" s="116"/>
      <c r="X43" s="116"/>
    </row>
    <row r="44" spans="1:24" x14ac:dyDescent="0.35">
      <c r="A44" s="66">
        <f t="shared" si="0"/>
        <v>44</v>
      </c>
      <c r="B44" s="75"/>
      <c r="D44" s="84"/>
      <c r="E44" s="88"/>
      <c r="F44" s="88"/>
      <c r="G44" s="88"/>
      <c r="H44" s="116"/>
      <c r="I44" s="116"/>
      <c r="J44" s="116"/>
      <c r="K44" s="116"/>
      <c r="L44" s="116"/>
      <c r="M44" s="116"/>
      <c r="N44" s="108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  <row r="45" spans="1:24" x14ac:dyDescent="0.35">
      <c r="A45" s="66">
        <f t="shared" si="0"/>
        <v>45</v>
      </c>
      <c r="B45" s="75" t="s">
        <v>99</v>
      </c>
      <c r="D45" s="84"/>
      <c r="E45" s="88">
        <f>+E42</f>
        <v>5536607.5636148537</v>
      </c>
      <c r="F45" s="88">
        <f>+E45+F42</f>
        <v>7640507.7049183901</v>
      </c>
      <c r="G45" s="88">
        <f t="shared" ref="G45:O46" si="16">+F45+G42</f>
        <v>11370791.097061273</v>
      </c>
      <c r="H45" s="116">
        <f t="shared" si="16"/>
        <v>10291977.096835138</v>
      </c>
      <c r="I45" s="116">
        <f t="shared" si="16"/>
        <v>17156093.209774636</v>
      </c>
      <c r="J45" s="116">
        <f t="shared" si="16"/>
        <v>30499728.41548159</v>
      </c>
      <c r="K45" s="116">
        <f>+J45+K42</f>
        <v>54157755.034663916</v>
      </c>
      <c r="L45" s="116">
        <f t="shared" si="16"/>
        <v>56328466.718528986</v>
      </c>
      <c r="M45" s="116">
        <f t="shared" si="16"/>
        <v>49739980.779920258</v>
      </c>
      <c r="N45" s="116">
        <f t="shared" si="16"/>
        <v>53496166.771517076</v>
      </c>
      <c r="O45" s="116">
        <f t="shared" si="16"/>
        <v>55208945.295945942</v>
      </c>
      <c r="P45" s="116">
        <f>+O45+P42</f>
        <v>68002239.799125835</v>
      </c>
      <c r="Q45" s="116">
        <f>+Q42</f>
        <v>68002239.799125835</v>
      </c>
      <c r="R45" s="116"/>
      <c r="S45" s="116"/>
      <c r="T45" s="116"/>
      <c r="U45" s="116"/>
      <c r="V45" s="116"/>
      <c r="W45" s="116"/>
      <c r="X45" s="116"/>
    </row>
    <row r="46" spans="1:24" x14ac:dyDescent="0.35">
      <c r="A46" s="66">
        <f t="shared" si="0"/>
        <v>46</v>
      </c>
      <c r="B46" s="75" t="s">
        <v>100</v>
      </c>
      <c r="D46" s="84"/>
      <c r="E46" s="88">
        <f>+E43</f>
        <v>-5536607.5636148537</v>
      </c>
      <c r="F46" s="88">
        <f>+E46+F43</f>
        <v>-7640507.7049183901</v>
      </c>
      <c r="G46" s="116">
        <f t="shared" si="16"/>
        <v>-11370791.097061273</v>
      </c>
      <c r="H46" s="116">
        <f t="shared" si="16"/>
        <v>-10291977.096835138</v>
      </c>
      <c r="I46" s="116">
        <f t="shared" si="16"/>
        <v>-17156093.209774636</v>
      </c>
      <c r="J46" s="116">
        <f t="shared" si="16"/>
        <v>-30499728.41548159</v>
      </c>
      <c r="K46" s="116">
        <f t="shared" si="16"/>
        <v>-54157755.034663916</v>
      </c>
      <c r="L46" s="116">
        <f t="shared" si="16"/>
        <v>-56328466.718528986</v>
      </c>
      <c r="M46" s="116">
        <f t="shared" si="16"/>
        <v>-49739980.779920258</v>
      </c>
      <c r="N46" s="116">
        <f t="shared" si="16"/>
        <v>-53496166.771517076</v>
      </c>
      <c r="O46" s="116">
        <f t="shared" si="16"/>
        <v>-55208945.295945942</v>
      </c>
      <c r="P46" s="116">
        <f>+O46+P43</f>
        <v>-68002239.799125835</v>
      </c>
      <c r="Q46" s="116">
        <f>+Q43</f>
        <v>-68002239.799125835</v>
      </c>
      <c r="R46" s="116"/>
      <c r="S46" s="116"/>
      <c r="T46" s="116"/>
      <c r="U46" s="116"/>
      <c r="V46" s="116"/>
      <c r="W46" s="116"/>
      <c r="X46" s="116"/>
    </row>
    <row r="47" spans="1:24" x14ac:dyDescent="0.35">
      <c r="A47" s="66">
        <f t="shared" si="0"/>
        <v>47</v>
      </c>
      <c r="B47" s="75"/>
      <c r="D47" s="84"/>
      <c r="E47" s="116"/>
      <c r="F47" s="116"/>
      <c r="G47" s="105"/>
      <c r="H47" s="106"/>
      <c r="I47" s="106"/>
      <c r="J47" s="107"/>
      <c r="K47" s="116"/>
      <c r="L47" s="108"/>
      <c r="M47" s="108"/>
      <c r="N47" s="108"/>
      <c r="O47" s="108"/>
      <c r="P47" s="108"/>
      <c r="Q47" s="116"/>
      <c r="R47" s="116"/>
      <c r="S47" s="116"/>
      <c r="T47" s="116"/>
      <c r="U47" s="116"/>
      <c r="V47" s="116"/>
      <c r="W47" s="116"/>
      <c r="X47" s="116"/>
    </row>
    <row r="48" spans="1:24" ht="12.4" customHeight="1" x14ac:dyDescent="0.35">
      <c r="A48" s="66">
        <f t="shared" si="0"/>
        <v>48</v>
      </c>
      <c r="B48" s="131"/>
      <c r="C48" s="131"/>
      <c r="D48" s="131"/>
      <c r="E48" s="131"/>
      <c r="F48" s="131"/>
      <c r="G48" s="131"/>
      <c r="H48" s="131"/>
      <c r="I48" s="116"/>
      <c r="J48" s="132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</row>
    <row r="49" spans="1:16" x14ac:dyDescent="0.35">
      <c r="A49" s="68"/>
      <c r="G49" s="133"/>
      <c r="H49" s="126"/>
      <c r="P49" s="126"/>
    </row>
    <row r="50" spans="1:16" x14ac:dyDescent="0.35">
      <c r="A50" s="68"/>
      <c r="F50" s="135"/>
      <c r="G50" s="136"/>
      <c r="P50" s="135"/>
    </row>
    <row r="51" spans="1:16" x14ac:dyDescent="0.35">
      <c r="A51" s="68"/>
      <c r="F51" s="135"/>
      <c r="G51" s="133"/>
    </row>
    <row r="52" spans="1:16" x14ac:dyDescent="0.35">
      <c r="A52" s="68"/>
      <c r="E52" s="126"/>
      <c r="G52" s="133"/>
    </row>
    <row r="53" spans="1:16" x14ac:dyDescent="0.35">
      <c r="A53" s="68"/>
      <c r="G53" s="133"/>
      <c r="J53" s="133"/>
    </row>
    <row r="54" spans="1:16" x14ac:dyDescent="0.35">
      <c r="A54" s="68"/>
      <c r="G54" s="133"/>
      <c r="J54" s="133"/>
    </row>
    <row r="55" spans="1:16" x14ac:dyDescent="0.35">
      <c r="A55" s="68"/>
      <c r="J55" s="133"/>
    </row>
    <row r="56" spans="1:16" x14ac:dyDescent="0.35">
      <c r="A56" s="68"/>
      <c r="J56" s="133"/>
    </row>
    <row r="57" spans="1:16" x14ac:dyDescent="0.35">
      <c r="A57" s="68"/>
    </row>
    <row r="58" spans="1:16" x14ac:dyDescent="0.35">
      <c r="A58" s="68"/>
      <c r="J58" s="137"/>
    </row>
    <row r="59" spans="1:16" x14ac:dyDescent="0.35">
      <c r="A59" s="68"/>
    </row>
    <row r="60" spans="1:16" x14ac:dyDescent="0.35">
      <c r="A60" s="68"/>
    </row>
    <row r="61" spans="1:16" x14ac:dyDescent="0.35">
      <c r="A61" s="68"/>
    </row>
    <row r="62" spans="1:16" x14ac:dyDescent="0.35">
      <c r="A62" s="68"/>
    </row>
    <row r="63" spans="1:16" x14ac:dyDescent="0.35">
      <c r="A63" s="68"/>
    </row>
    <row r="64" spans="1:16" x14ac:dyDescent="0.35">
      <c r="A64" s="68"/>
    </row>
    <row r="65" spans="1:1" x14ac:dyDescent="0.35">
      <c r="A65" s="68"/>
    </row>
    <row r="66" spans="1:1" x14ac:dyDescent="0.35">
      <c r="A66" s="68"/>
    </row>
    <row r="67" spans="1:1" x14ac:dyDescent="0.35">
      <c r="A67" s="68"/>
    </row>
    <row r="68" spans="1:1" x14ac:dyDescent="0.35">
      <c r="A68" s="68"/>
    </row>
    <row r="69" spans="1:1" x14ac:dyDescent="0.35">
      <c r="A69" s="138"/>
    </row>
    <row r="70" spans="1:1" x14ac:dyDescent="0.35">
      <c r="A70" s="138"/>
    </row>
    <row r="71" spans="1:1" x14ac:dyDescent="0.35">
      <c r="A71" s="138"/>
    </row>
    <row r="72" spans="1:1" x14ac:dyDescent="0.35">
      <c r="A72" s="138"/>
    </row>
    <row r="73" spans="1:1" x14ac:dyDescent="0.35">
      <c r="A73" s="138"/>
    </row>
    <row r="74" spans="1:1" x14ac:dyDescent="0.35">
      <c r="A74" s="138"/>
    </row>
    <row r="75" spans="1:1" x14ac:dyDescent="0.35">
      <c r="A75" s="138"/>
    </row>
    <row r="76" spans="1:1" x14ac:dyDescent="0.35">
      <c r="A76" s="138"/>
    </row>
    <row r="77" spans="1:1" x14ac:dyDescent="0.35">
      <c r="A77" s="138"/>
    </row>
    <row r="78" spans="1:1" x14ac:dyDescent="0.35">
      <c r="A78" s="138"/>
    </row>
    <row r="79" spans="1:1" x14ac:dyDescent="0.35">
      <c r="A79" s="138"/>
    </row>
    <row r="80" spans="1:1" x14ac:dyDescent="0.35">
      <c r="A80" s="138"/>
    </row>
    <row r="81" spans="1:1" x14ac:dyDescent="0.35">
      <c r="A81" s="138"/>
    </row>
    <row r="82" spans="1:1" x14ac:dyDescent="0.35">
      <c r="A82" s="138"/>
    </row>
    <row r="83" spans="1:1" x14ac:dyDescent="0.35">
      <c r="A83" s="138"/>
    </row>
    <row r="84" spans="1:1" x14ac:dyDescent="0.35">
      <c r="A84" s="138"/>
    </row>
    <row r="85" spans="1:1" x14ac:dyDescent="0.35">
      <c r="A85" s="138"/>
    </row>
    <row r="86" spans="1:1" x14ac:dyDescent="0.35">
      <c r="A86" s="138"/>
    </row>
    <row r="87" spans="1:1" x14ac:dyDescent="0.35">
      <c r="A87" s="138"/>
    </row>
    <row r="88" spans="1:1" x14ac:dyDescent="0.35">
      <c r="A88" s="138"/>
    </row>
    <row r="89" spans="1:1" x14ac:dyDescent="0.35">
      <c r="A89" s="138"/>
    </row>
    <row r="90" spans="1:1" x14ac:dyDescent="0.35">
      <c r="A90" s="138"/>
    </row>
    <row r="91" spans="1:1" x14ac:dyDescent="0.35">
      <c r="A91" s="138"/>
    </row>
    <row r="92" spans="1:1" x14ac:dyDescent="0.35">
      <c r="A92" s="138"/>
    </row>
    <row r="93" spans="1:1" x14ac:dyDescent="0.35">
      <c r="A93" s="138"/>
    </row>
    <row r="94" spans="1:1" x14ac:dyDescent="0.35">
      <c r="A94" s="138"/>
    </row>
    <row r="95" spans="1:1" x14ac:dyDescent="0.35">
      <c r="A95" s="138"/>
    </row>
    <row r="96" spans="1:1" x14ac:dyDescent="0.35">
      <c r="A96" s="138"/>
    </row>
    <row r="97" spans="1:1" x14ac:dyDescent="0.35">
      <c r="A97" s="138"/>
    </row>
    <row r="98" spans="1:1" x14ac:dyDescent="0.35">
      <c r="A98" s="138"/>
    </row>
    <row r="99" spans="1:1" x14ac:dyDescent="0.35">
      <c r="A99" s="138"/>
    </row>
    <row r="100" spans="1:1" x14ac:dyDescent="0.35">
      <c r="A100" s="138"/>
    </row>
    <row r="101" spans="1:1" x14ac:dyDescent="0.35">
      <c r="A101" s="138"/>
    </row>
    <row r="102" spans="1:1" x14ac:dyDescent="0.35">
      <c r="A102" s="138"/>
    </row>
    <row r="103" spans="1:1" x14ac:dyDescent="0.35">
      <c r="A103" s="138"/>
    </row>
    <row r="104" spans="1:1" x14ac:dyDescent="0.35">
      <c r="A104" s="138"/>
    </row>
    <row r="105" spans="1:1" x14ac:dyDescent="0.35">
      <c r="A105" s="138"/>
    </row>
    <row r="106" spans="1:1" x14ac:dyDescent="0.35">
      <c r="A106" s="138"/>
    </row>
    <row r="107" spans="1:1" x14ac:dyDescent="0.35">
      <c r="A107" s="138"/>
    </row>
    <row r="108" spans="1:1" x14ac:dyDescent="0.35">
      <c r="A108" s="138"/>
    </row>
    <row r="109" spans="1:1" x14ac:dyDescent="0.35">
      <c r="A109" s="138"/>
    </row>
    <row r="110" spans="1:1" x14ac:dyDescent="0.35">
      <c r="A110" s="138"/>
    </row>
    <row r="111" spans="1:1" x14ac:dyDescent="0.35">
      <c r="A111" s="138"/>
    </row>
    <row r="112" spans="1:1" x14ac:dyDescent="0.35">
      <c r="A112" s="138"/>
    </row>
    <row r="113" spans="1:1" x14ac:dyDescent="0.35">
      <c r="A113" s="138"/>
    </row>
    <row r="114" spans="1:1" x14ac:dyDescent="0.35">
      <c r="A114" s="138"/>
    </row>
    <row r="115" spans="1:1" x14ac:dyDescent="0.35">
      <c r="A115" s="138"/>
    </row>
    <row r="116" spans="1:1" x14ac:dyDescent="0.35">
      <c r="A116" s="138"/>
    </row>
    <row r="117" spans="1:1" x14ac:dyDescent="0.35">
      <c r="A117" s="138"/>
    </row>
    <row r="118" spans="1:1" x14ac:dyDescent="0.35">
      <c r="A118" s="138"/>
    </row>
    <row r="119" spans="1:1" x14ac:dyDescent="0.35">
      <c r="A119" s="138"/>
    </row>
    <row r="120" spans="1:1" x14ac:dyDescent="0.35">
      <c r="A120" s="138"/>
    </row>
    <row r="121" spans="1:1" x14ac:dyDescent="0.35">
      <c r="A121" s="138"/>
    </row>
    <row r="122" spans="1:1" x14ac:dyDescent="0.35">
      <c r="A122" s="138"/>
    </row>
    <row r="123" spans="1:1" x14ac:dyDescent="0.35">
      <c r="A123" s="138"/>
    </row>
    <row r="124" spans="1:1" x14ac:dyDescent="0.35">
      <c r="A124" s="138"/>
    </row>
    <row r="125" spans="1:1" x14ac:dyDescent="0.35">
      <c r="A125" s="138"/>
    </row>
    <row r="126" spans="1:1" x14ac:dyDescent="0.35">
      <c r="A126" s="138"/>
    </row>
    <row r="127" spans="1:1" x14ac:dyDescent="0.35">
      <c r="A127" s="138"/>
    </row>
    <row r="128" spans="1:1" x14ac:dyDescent="0.35">
      <c r="A128" s="138"/>
    </row>
    <row r="129" spans="1:1" x14ac:dyDescent="0.35">
      <c r="A129" s="138"/>
    </row>
    <row r="130" spans="1:1" x14ac:dyDescent="0.35">
      <c r="A130" s="138"/>
    </row>
    <row r="131" spans="1:1" x14ac:dyDescent="0.35">
      <c r="A131" s="138"/>
    </row>
    <row r="132" spans="1:1" x14ac:dyDescent="0.35">
      <c r="A132" s="138"/>
    </row>
    <row r="133" spans="1:1" x14ac:dyDescent="0.35">
      <c r="A133" s="138"/>
    </row>
    <row r="134" spans="1:1" x14ac:dyDescent="0.35">
      <c r="A134" s="138"/>
    </row>
    <row r="135" spans="1:1" x14ac:dyDescent="0.35">
      <c r="A135" s="138"/>
    </row>
    <row r="136" spans="1:1" x14ac:dyDescent="0.35">
      <c r="A136" s="138"/>
    </row>
    <row r="137" spans="1:1" x14ac:dyDescent="0.35">
      <c r="A137" s="138"/>
    </row>
    <row r="138" spans="1:1" x14ac:dyDescent="0.35">
      <c r="A138" s="138"/>
    </row>
    <row r="139" spans="1:1" x14ac:dyDescent="0.35">
      <c r="A139" s="138"/>
    </row>
    <row r="140" spans="1:1" x14ac:dyDescent="0.35">
      <c r="A140" s="138"/>
    </row>
    <row r="141" spans="1:1" x14ac:dyDescent="0.35">
      <c r="A141" s="138"/>
    </row>
    <row r="142" spans="1:1" x14ac:dyDescent="0.35">
      <c r="A142" s="138"/>
    </row>
    <row r="143" spans="1:1" x14ac:dyDescent="0.35">
      <c r="A143" s="138"/>
    </row>
    <row r="144" spans="1:1" x14ac:dyDescent="0.35">
      <c r="A144" s="138"/>
    </row>
    <row r="145" spans="1:1" x14ac:dyDescent="0.35">
      <c r="A145" s="138"/>
    </row>
    <row r="146" spans="1:1" x14ac:dyDescent="0.35">
      <c r="A146" s="138"/>
    </row>
    <row r="147" spans="1:1" x14ac:dyDescent="0.35">
      <c r="A147" s="138"/>
    </row>
    <row r="148" spans="1:1" x14ac:dyDescent="0.35">
      <c r="A148" s="138"/>
    </row>
    <row r="149" spans="1:1" x14ac:dyDescent="0.35">
      <c r="A149" s="138"/>
    </row>
    <row r="150" spans="1:1" x14ac:dyDescent="0.35">
      <c r="A150" s="138"/>
    </row>
    <row r="151" spans="1:1" x14ac:dyDescent="0.35">
      <c r="A151" s="138"/>
    </row>
    <row r="152" spans="1:1" x14ac:dyDescent="0.35">
      <c r="A152" s="138"/>
    </row>
    <row r="153" spans="1:1" x14ac:dyDescent="0.35">
      <c r="A153" s="138"/>
    </row>
    <row r="154" spans="1:1" x14ac:dyDescent="0.35">
      <c r="A154" s="138"/>
    </row>
    <row r="155" spans="1:1" x14ac:dyDescent="0.35">
      <c r="A155" s="138"/>
    </row>
    <row r="156" spans="1:1" x14ac:dyDescent="0.35">
      <c r="A156" s="138"/>
    </row>
    <row r="157" spans="1:1" x14ac:dyDescent="0.35">
      <c r="A157" s="138"/>
    </row>
    <row r="158" spans="1:1" x14ac:dyDescent="0.35">
      <c r="A158" s="138"/>
    </row>
    <row r="159" spans="1:1" x14ac:dyDescent="0.35">
      <c r="A159" s="138"/>
    </row>
    <row r="160" spans="1:1" x14ac:dyDescent="0.35">
      <c r="A160" s="138"/>
    </row>
    <row r="161" spans="1:1" x14ac:dyDescent="0.35">
      <c r="A161" s="138"/>
    </row>
    <row r="162" spans="1:1" x14ac:dyDescent="0.35">
      <c r="A162" s="138"/>
    </row>
    <row r="163" spans="1:1" x14ac:dyDescent="0.35">
      <c r="A163" s="138"/>
    </row>
    <row r="164" spans="1:1" x14ac:dyDescent="0.35">
      <c r="A164" s="138"/>
    </row>
    <row r="165" spans="1:1" x14ac:dyDescent="0.35">
      <c r="A165" s="138"/>
    </row>
    <row r="166" spans="1:1" x14ac:dyDescent="0.35">
      <c r="A166" s="138"/>
    </row>
    <row r="167" spans="1:1" x14ac:dyDescent="0.35">
      <c r="A167" s="138"/>
    </row>
    <row r="168" spans="1:1" x14ac:dyDescent="0.35">
      <c r="A168" s="138"/>
    </row>
    <row r="169" spans="1:1" x14ac:dyDescent="0.35">
      <c r="A169" s="138"/>
    </row>
    <row r="170" spans="1:1" x14ac:dyDescent="0.35">
      <c r="A170" s="138"/>
    </row>
    <row r="171" spans="1:1" x14ac:dyDescent="0.35">
      <c r="A171" s="138"/>
    </row>
    <row r="172" spans="1:1" x14ac:dyDescent="0.35">
      <c r="A172" s="138"/>
    </row>
    <row r="173" spans="1:1" x14ac:dyDescent="0.35">
      <c r="A173" s="138"/>
    </row>
    <row r="174" spans="1:1" x14ac:dyDescent="0.35">
      <c r="A174" s="138"/>
    </row>
    <row r="175" spans="1:1" x14ac:dyDescent="0.35">
      <c r="A175" s="138"/>
    </row>
    <row r="176" spans="1:1" x14ac:dyDescent="0.35">
      <c r="A176" s="138"/>
    </row>
    <row r="177" spans="1:1" x14ac:dyDescent="0.35">
      <c r="A177" s="138"/>
    </row>
    <row r="178" spans="1:1" x14ac:dyDescent="0.35">
      <c r="A178" s="138"/>
    </row>
    <row r="179" spans="1:1" x14ac:dyDescent="0.35">
      <c r="A179" s="138"/>
    </row>
    <row r="180" spans="1:1" x14ac:dyDescent="0.35">
      <c r="A180" s="138"/>
    </row>
    <row r="181" spans="1:1" x14ac:dyDescent="0.35">
      <c r="A181" s="138"/>
    </row>
    <row r="182" spans="1:1" x14ac:dyDescent="0.35">
      <c r="A182" s="138"/>
    </row>
    <row r="183" spans="1:1" x14ac:dyDescent="0.35">
      <c r="A183" s="138"/>
    </row>
    <row r="184" spans="1:1" x14ac:dyDescent="0.35">
      <c r="A184" s="138"/>
    </row>
    <row r="185" spans="1:1" x14ac:dyDescent="0.35">
      <c r="A185" s="138"/>
    </row>
    <row r="186" spans="1:1" x14ac:dyDescent="0.35">
      <c r="A186" s="138"/>
    </row>
    <row r="187" spans="1:1" x14ac:dyDescent="0.35">
      <c r="A187" s="138"/>
    </row>
    <row r="188" spans="1:1" x14ac:dyDescent="0.35">
      <c r="A188" s="138"/>
    </row>
    <row r="189" spans="1:1" x14ac:dyDescent="0.35">
      <c r="A189" s="138"/>
    </row>
    <row r="190" spans="1:1" x14ac:dyDescent="0.35">
      <c r="A190" s="138"/>
    </row>
    <row r="191" spans="1:1" x14ac:dyDescent="0.35">
      <c r="A191" s="138"/>
    </row>
    <row r="192" spans="1:1" x14ac:dyDescent="0.35">
      <c r="A192" s="138"/>
    </row>
    <row r="193" spans="1:1" x14ac:dyDescent="0.35">
      <c r="A193" s="138"/>
    </row>
    <row r="194" spans="1:1" x14ac:dyDescent="0.35">
      <c r="A194" s="138"/>
    </row>
    <row r="195" spans="1:1" x14ac:dyDescent="0.35">
      <c r="A195" s="138"/>
    </row>
    <row r="196" spans="1:1" x14ac:dyDescent="0.35">
      <c r="A196" s="138"/>
    </row>
    <row r="197" spans="1:1" x14ac:dyDescent="0.35">
      <c r="A197" s="138"/>
    </row>
    <row r="198" spans="1:1" x14ac:dyDescent="0.35">
      <c r="A198" s="138"/>
    </row>
    <row r="199" spans="1:1" x14ac:dyDescent="0.35">
      <c r="A199" s="138"/>
    </row>
    <row r="200" spans="1:1" x14ac:dyDescent="0.35">
      <c r="A200" s="138"/>
    </row>
    <row r="201" spans="1:1" x14ac:dyDescent="0.35">
      <c r="A201" s="138"/>
    </row>
    <row r="202" spans="1:1" x14ac:dyDescent="0.35">
      <c r="A202" s="138"/>
    </row>
    <row r="203" spans="1:1" x14ac:dyDescent="0.35">
      <c r="A203" s="138"/>
    </row>
    <row r="204" spans="1:1" x14ac:dyDescent="0.35">
      <c r="A204" s="138"/>
    </row>
    <row r="205" spans="1:1" x14ac:dyDescent="0.35">
      <c r="A205" s="138"/>
    </row>
    <row r="206" spans="1:1" x14ac:dyDescent="0.35">
      <c r="A206" s="138"/>
    </row>
    <row r="207" spans="1:1" x14ac:dyDescent="0.35">
      <c r="A207" s="138"/>
    </row>
    <row r="208" spans="1:1" x14ac:dyDescent="0.35">
      <c r="A208" s="138"/>
    </row>
    <row r="209" spans="1:1" x14ac:dyDescent="0.35">
      <c r="A209" s="138"/>
    </row>
    <row r="210" spans="1:1" x14ac:dyDescent="0.35">
      <c r="A210" s="138"/>
    </row>
    <row r="211" spans="1:1" x14ac:dyDescent="0.35">
      <c r="A211" s="138"/>
    </row>
    <row r="212" spans="1:1" x14ac:dyDescent="0.35">
      <c r="A212" s="138"/>
    </row>
    <row r="213" spans="1:1" x14ac:dyDescent="0.35">
      <c r="A213" s="138"/>
    </row>
    <row r="214" spans="1:1" x14ac:dyDescent="0.35">
      <c r="A214" s="138"/>
    </row>
    <row r="215" spans="1:1" x14ac:dyDescent="0.35">
      <c r="A215" s="138"/>
    </row>
    <row r="216" spans="1:1" x14ac:dyDescent="0.35">
      <c r="A216" s="138"/>
    </row>
    <row r="217" spans="1:1" x14ac:dyDescent="0.35">
      <c r="A217" s="138"/>
    </row>
    <row r="218" spans="1:1" x14ac:dyDescent="0.35">
      <c r="A218" s="138"/>
    </row>
    <row r="219" spans="1:1" x14ac:dyDescent="0.35">
      <c r="A219" s="138"/>
    </row>
    <row r="220" spans="1:1" x14ac:dyDescent="0.35">
      <c r="A220" s="138"/>
    </row>
    <row r="221" spans="1:1" x14ac:dyDescent="0.35">
      <c r="A221" s="138"/>
    </row>
    <row r="222" spans="1:1" x14ac:dyDescent="0.35">
      <c r="A222" s="138"/>
    </row>
    <row r="223" spans="1:1" x14ac:dyDescent="0.35">
      <c r="A223" s="138"/>
    </row>
    <row r="224" spans="1:1" x14ac:dyDescent="0.35">
      <c r="A224" s="138"/>
    </row>
    <row r="225" spans="1:1" x14ac:dyDescent="0.35">
      <c r="A225" s="138"/>
    </row>
    <row r="226" spans="1:1" x14ac:dyDescent="0.35">
      <c r="A226" s="138"/>
    </row>
    <row r="227" spans="1:1" x14ac:dyDescent="0.35">
      <c r="A227" s="138"/>
    </row>
    <row r="228" spans="1:1" x14ac:dyDescent="0.35">
      <c r="A228" s="138"/>
    </row>
    <row r="229" spans="1:1" x14ac:dyDescent="0.35">
      <c r="A229" s="138"/>
    </row>
    <row r="230" spans="1:1" x14ac:dyDescent="0.35">
      <c r="A230" s="138"/>
    </row>
    <row r="231" spans="1:1" x14ac:dyDescent="0.35">
      <c r="A231" s="138"/>
    </row>
    <row r="232" spans="1:1" x14ac:dyDescent="0.35">
      <c r="A232" s="138"/>
    </row>
    <row r="233" spans="1:1" x14ac:dyDescent="0.35">
      <c r="A233" s="138"/>
    </row>
    <row r="234" spans="1:1" x14ac:dyDescent="0.35">
      <c r="A234" s="138"/>
    </row>
    <row r="235" spans="1:1" x14ac:dyDescent="0.35">
      <c r="A235" s="138"/>
    </row>
    <row r="236" spans="1:1" x14ac:dyDescent="0.35">
      <c r="A236" s="138"/>
    </row>
    <row r="237" spans="1:1" x14ac:dyDescent="0.35">
      <c r="A237" s="138"/>
    </row>
    <row r="238" spans="1:1" x14ac:dyDescent="0.35">
      <c r="A238" s="138"/>
    </row>
    <row r="239" spans="1:1" x14ac:dyDescent="0.35">
      <c r="A239" s="138"/>
    </row>
    <row r="240" spans="1:1" x14ac:dyDescent="0.35">
      <c r="A240" s="138"/>
    </row>
    <row r="241" spans="1:1" x14ac:dyDescent="0.35">
      <c r="A241" s="138"/>
    </row>
    <row r="242" spans="1:1" x14ac:dyDescent="0.35">
      <c r="A242" s="138"/>
    </row>
    <row r="243" spans="1:1" x14ac:dyDescent="0.35">
      <c r="A243" s="138"/>
    </row>
    <row r="244" spans="1:1" x14ac:dyDescent="0.35">
      <c r="A244" s="138"/>
    </row>
    <row r="245" spans="1:1" x14ac:dyDescent="0.35">
      <c r="A245" s="138"/>
    </row>
    <row r="246" spans="1:1" x14ac:dyDescent="0.35">
      <c r="A246" s="138"/>
    </row>
    <row r="247" spans="1:1" x14ac:dyDescent="0.35">
      <c r="A247" s="138"/>
    </row>
    <row r="248" spans="1:1" x14ac:dyDescent="0.35">
      <c r="A248" s="138"/>
    </row>
    <row r="249" spans="1:1" x14ac:dyDescent="0.35">
      <c r="A249" s="138"/>
    </row>
    <row r="250" spans="1:1" x14ac:dyDescent="0.35">
      <c r="A250" s="138"/>
    </row>
    <row r="251" spans="1:1" x14ac:dyDescent="0.35">
      <c r="A251" s="138"/>
    </row>
    <row r="252" spans="1:1" x14ac:dyDescent="0.35">
      <c r="A252" s="138"/>
    </row>
    <row r="253" spans="1:1" x14ac:dyDescent="0.35">
      <c r="A253" s="138"/>
    </row>
    <row r="254" spans="1:1" x14ac:dyDescent="0.35">
      <c r="A254" s="138"/>
    </row>
    <row r="255" spans="1:1" x14ac:dyDescent="0.35">
      <c r="A255" s="138"/>
    </row>
    <row r="256" spans="1:1" x14ac:dyDescent="0.35">
      <c r="A256" s="138"/>
    </row>
    <row r="257" spans="1:1" x14ac:dyDescent="0.35">
      <c r="A257" s="138"/>
    </row>
    <row r="258" spans="1:1" x14ac:dyDescent="0.35">
      <c r="A258" s="138"/>
    </row>
    <row r="259" spans="1:1" x14ac:dyDescent="0.35">
      <c r="A259" s="138"/>
    </row>
    <row r="260" spans="1:1" x14ac:dyDescent="0.35">
      <c r="A260" s="138"/>
    </row>
    <row r="261" spans="1:1" x14ac:dyDescent="0.35">
      <c r="A261" s="138"/>
    </row>
    <row r="262" spans="1:1" x14ac:dyDescent="0.35">
      <c r="A262" s="138"/>
    </row>
    <row r="263" spans="1:1" x14ac:dyDescent="0.35">
      <c r="A263" s="138"/>
    </row>
    <row r="264" spans="1:1" x14ac:dyDescent="0.35">
      <c r="A264" s="138"/>
    </row>
    <row r="265" spans="1:1" x14ac:dyDescent="0.35">
      <c r="A265" s="138"/>
    </row>
    <row r="266" spans="1:1" x14ac:dyDescent="0.35">
      <c r="A266" s="138"/>
    </row>
    <row r="267" spans="1:1" x14ac:dyDescent="0.35">
      <c r="A267" s="138"/>
    </row>
    <row r="268" spans="1:1" x14ac:dyDescent="0.35">
      <c r="A268" s="138"/>
    </row>
    <row r="269" spans="1:1" x14ac:dyDescent="0.35">
      <c r="A269" s="138"/>
    </row>
    <row r="270" spans="1:1" x14ac:dyDescent="0.35">
      <c r="A270" s="138"/>
    </row>
    <row r="271" spans="1:1" x14ac:dyDescent="0.35">
      <c r="A271" s="138"/>
    </row>
    <row r="272" spans="1:1" x14ac:dyDescent="0.35">
      <c r="A272" s="138"/>
    </row>
    <row r="273" spans="1:1" x14ac:dyDescent="0.35">
      <c r="A273" s="138"/>
    </row>
    <row r="274" spans="1:1" x14ac:dyDescent="0.35">
      <c r="A274" s="138"/>
    </row>
    <row r="275" spans="1:1" x14ac:dyDescent="0.35">
      <c r="A275" s="138"/>
    </row>
    <row r="276" spans="1:1" x14ac:dyDescent="0.35">
      <c r="A276" s="138"/>
    </row>
    <row r="277" spans="1:1" x14ac:dyDescent="0.35">
      <c r="A277" s="138"/>
    </row>
    <row r="278" spans="1:1" x14ac:dyDescent="0.35">
      <c r="A278" s="138"/>
    </row>
    <row r="279" spans="1:1" x14ac:dyDescent="0.35">
      <c r="A279" s="138"/>
    </row>
    <row r="280" spans="1:1" x14ac:dyDescent="0.35">
      <c r="A280" s="138"/>
    </row>
    <row r="281" spans="1:1" x14ac:dyDescent="0.35">
      <c r="A281" s="138"/>
    </row>
    <row r="282" spans="1:1" x14ac:dyDescent="0.35">
      <c r="A282" s="138"/>
    </row>
    <row r="283" spans="1:1" x14ac:dyDescent="0.35">
      <c r="A283" s="138"/>
    </row>
    <row r="284" spans="1:1" x14ac:dyDescent="0.35">
      <c r="A284" s="138"/>
    </row>
    <row r="285" spans="1:1" x14ac:dyDescent="0.35">
      <c r="A285" s="138"/>
    </row>
    <row r="286" spans="1:1" x14ac:dyDescent="0.35">
      <c r="A286" s="138"/>
    </row>
    <row r="287" spans="1:1" x14ac:dyDescent="0.35">
      <c r="A287" s="138"/>
    </row>
    <row r="288" spans="1:1" x14ac:dyDescent="0.35">
      <c r="A288" s="138"/>
    </row>
    <row r="289" spans="1:1" x14ac:dyDescent="0.35">
      <c r="A289" s="138"/>
    </row>
    <row r="290" spans="1:1" x14ac:dyDescent="0.35">
      <c r="A290" s="138"/>
    </row>
    <row r="291" spans="1:1" x14ac:dyDescent="0.35">
      <c r="A291" s="138"/>
    </row>
    <row r="292" spans="1:1" x14ac:dyDescent="0.35">
      <c r="A292" s="138"/>
    </row>
    <row r="293" spans="1:1" x14ac:dyDescent="0.35">
      <c r="A293" s="138"/>
    </row>
    <row r="294" spans="1:1" x14ac:dyDescent="0.35">
      <c r="A294" s="138"/>
    </row>
    <row r="295" spans="1:1" x14ac:dyDescent="0.35">
      <c r="A295" s="138"/>
    </row>
    <row r="296" spans="1:1" x14ac:dyDescent="0.35">
      <c r="A296" s="138"/>
    </row>
    <row r="297" spans="1:1" x14ac:dyDescent="0.35">
      <c r="A297" s="138"/>
    </row>
    <row r="298" spans="1:1" x14ac:dyDescent="0.35">
      <c r="A298" s="138"/>
    </row>
    <row r="299" spans="1:1" x14ac:dyDescent="0.35">
      <c r="A299" s="138"/>
    </row>
    <row r="300" spans="1:1" x14ac:dyDescent="0.35">
      <c r="A300" s="138"/>
    </row>
    <row r="301" spans="1:1" x14ac:dyDescent="0.35">
      <c r="A301" s="138"/>
    </row>
    <row r="302" spans="1:1" x14ac:dyDescent="0.35">
      <c r="A302" s="138"/>
    </row>
    <row r="303" spans="1:1" x14ac:dyDescent="0.35">
      <c r="A303" s="138"/>
    </row>
    <row r="304" spans="1:1" x14ac:dyDescent="0.35">
      <c r="A304" s="138"/>
    </row>
    <row r="305" spans="1:1" x14ac:dyDescent="0.35">
      <c r="A305" s="138"/>
    </row>
    <row r="306" spans="1:1" x14ac:dyDescent="0.35">
      <c r="A306" s="138"/>
    </row>
    <row r="307" spans="1:1" x14ac:dyDescent="0.35">
      <c r="A307" s="138"/>
    </row>
    <row r="308" spans="1:1" x14ac:dyDescent="0.35">
      <c r="A308" s="138"/>
    </row>
    <row r="309" spans="1:1" x14ac:dyDescent="0.35">
      <c r="A309" s="138"/>
    </row>
    <row r="310" spans="1:1" x14ac:dyDescent="0.35">
      <c r="A310" s="138"/>
    </row>
    <row r="311" spans="1:1" x14ac:dyDescent="0.35">
      <c r="A311" s="138"/>
    </row>
    <row r="312" spans="1:1" x14ac:dyDescent="0.35">
      <c r="A312" s="138"/>
    </row>
    <row r="313" spans="1:1" x14ac:dyDescent="0.35">
      <c r="A313" s="138"/>
    </row>
    <row r="314" spans="1:1" x14ac:dyDescent="0.35">
      <c r="A314" s="138"/>
    </row>
    <row r="315" spans="1:1" x14ac:dyDescent="0.35">
      <c r="A315" s="138"/>
    </row>
    <row r="316" spans="1:1" x14ac:dyDescent="0.35">
      <c r="A316" s="138"/>
    </row>
    <row r="317" spans="1:1" x14ac:dyDescent="0.35">
      <c r="A317" s="138"/>
    </row>
    <row r="318" spans="1:1" x14ac:dyDescent="0.35">
      <c r="A318" s="138"/>
    </row>
    <row r="319" spans="1:1" x14ac:dyDescent="0.35">
      <c r="A319" s="138"/>
    </row>
    <row r="320" spans="1:1" x14ac:dyDescent="0.35">
      <c r="A320" s="138"/>
    </row>
    <row r="321" spans="1:1" x14ac:dyDescent="0.35">
      <c r="A321" s="138"/>
    </row>
    <row r="322" spans="1:1" x14ac:dyDescent="0.35">
      <c r="A322" s="138"/>
    </row>
    <row r="323" spans="1:1" x14ac:dyDescent="0.35">
      <c r="A323" s="138"/>
    </row>
    <row r="324" spans="1:1" x14ac:dyDescent="0.35">
      <c r="A324" s="138"/>
    </row>
    <row r="325" spans="1:1" x14ac:dyDescent="0.35">
      <c r="A325" s="138"/>
    </row>
    <row r="326" spans="1:1" x14ac:dyDescent="0.35">
      <c r="A326" s="138"/>
    </row>
    <row r="327" spans="1:1" x14ac:dyDescent="0.35">
      <c r="A327" s="138"/>
    </row>
    <row r="328" spans="1:1" x14ac:dyDescent="0.35">
      <c r="A328" s="138"/>
    </row>
    <row r="329" spans="1:1" x14ac:dyDescent="0.35">
      <c r="A329" s="138"/>
    </row>
    <row r="330" spans="1:1" x14ac:dyDescent="0.35">
      <c r="A330" s="138"/>
    </row>
    <row r="331" spans="1:1" x14ac:dyDescent="0.35">
      <c r="A331" s="138"/>
    </row>
    <row r="332" spans="1:1" x14ac:dyDescent="0.35">
      <c r="A332" s="138"/>
    </row>
    <row r="333" spans="1:1" x14ac:dyDescent="0.35">
      <c r="A333" s="138"/>
    </row>
    <row r="334" spans="1:1" x14ac:dyDescent="0.35">
      <c r="A334" s="138"/>
    </row>
    <row r="335" spans="1:1" x14ac:dyDescent="0.35">
      <c r="A335" s="138"/>
    </row>
    <row r="336" spans="1:1" x14ac:dyDescent="0.35">
      <c r="A336" s="138"/>
    </row>
    <row r="337" spans="1:1" x14ac:dyDescent="0.35">
      <c r="A337" s="138"/>
    </row>
    <row r="338" spans="1:1" x14ac:dyDescent="0.35">
      <c r="A338" s="138"/>
    </row>
    <row r="339" spans="1:1" x14ac:dyDescent="0.35">
      <c r="A339" s="138"/>
    </row>
    <row r="340" spans="1:1" x14ac:dyDescent="0.35">
      <c r="A340" s="138"/>
    </row>
    <row r="341" spans="1:1" x14ac:dyDescent="0.35">
      <c r="A341" s="138"/>
    </row>
    <row r="342" spans="1:1" x14ac:dyDescent="0.35">
      <c r="A342" s="138"/>
    </row>
    <row r="343" spans="1:1" x14ac:dyDescent="0.35">
      <c r="A343" s="138"/>
    </row>
    <row r="344" spans="1:1" x14ac:dyDescent="0.35">
      <c r="A344" s="138"/>
    </row>
    <row r="345" spans="1:1" x14ac:dyDescent="0.35">
      <c r="A345" s="138"/>
    </row>
    <row r="346" spans="1:1" x14ac:dyDescent="0.35">
      <c r="A346" s="138"/>
    </row>
    <row r="347" spans="1:1" x14ac:dyDescent="0.35">
      <c r="A347" s="138"/>
    </row>
    <row r="348" spans="1:1" x14ac:dyDescent="0.35">
      <c r="A348" s="138"/>
    </row>
    <row r="349" spans="1:1" x14ac:dyDescent="0.35">
      <c r="A349" s="138"/>
    </row>
    <row r="350" spans="1:1" x14ac:dyDescent="0.35">
      <c r="A350" s="138"/>
    </row>
    <row r="351" spans="1:1" x14ac:dyDescent="0.35">
      <c r="A351" s="138"/>
    </row>
    <row r="352" spans="1:1" x14ac:dyDescent="0.35">
      <c r="A352" s="138"/>
    </row>
    <row r="353" spans="1:1" x14ac:dyDescent="0.35">
      <c r="A353" s="138"/>
    </row>
    <row r="354" spans="1:1" x14ac:dyDescent="0.35">
      <c r="A354" s="138"/>
    </row>
    <row r="355" spans="1:1" x14ac:dyDescent="0.35">
      <c r="A355" s="138"/>
    </row>
    <row r="356" spans="1:1" x14ac:dyDescent="0.35">
      <c r="A356" s="138"/>
    </row>
    <row r="357" spans="1:1" x14ac:dyDescent="0.35">
      <c r="A357" s="138"/>
    </row>
    <row r="358" spans="1:1" x14ac:dyDescent="0.35">
      <c r="A358" s="138"/>
    </row>
    <row r="359" spans="1:1" x14ac:dyDescent="0.35">
      <c r="A359" s="138"/>
    </row>
    <row r="360" spans="1:1" x14ac:dyDescent="0.35">
      <c r="A360" s="138"/>
    </row>
    <row r="361" spans="1:1" x14ac:dyDescent="0.35">
      <c r="A361" s="138"/>
    </row>
    <row r="362" spans="1:1" x14ac:dyDescent="0.35">
      <c r="A362" s="138"/>
    </row>
    <row r="363" spans="1:1" x14ac:dyDescent="0.35">
      <c r="A363" s="138"/>
    </row>
    <row r="364" spans="1:1" x14ac:dyDescent="0.35">
      <c r="A364" s="138"/>
    </row>
    <row r="365" spans="1:1" x14ac:dyDescent="0.35">
      <c r="A365" s="138"/>
    </row>
    <row r="366" spans="1:1" x14ac:dyDescent="0.35">
      <c r="A366" s="138"/>
    </row>
    <row r="367" spans="1:1" x14ac:dyDescent="0.35">
      <c r="A367" s="138"/>
    </row>
    <row r="368" spans="1:1" x14ac:dyDescent="0.35">
      <c r="A368" s="138"/>
    </row>
    <row r="369" spans="1:1" x14ac:dyDescent="0.35">
      <c r="A369" s="138"/>
    </row>
    <row r="370" spans="1:1" x14ac:dyDescent="0.35">
      <c r="A370" s="138"/>
    </row>
    <row r="371" spans="1:1" x14ac:dyDescent="0.35">
      <c r="A371" s="138"/>
    </row>
    <row r="372" spans="1:1" x14ac:dyDescent="0.35">
      <c r="A372" s="138"/>
    </row>
    <row r="373" spans="1:1" x14ac:dyDescent="0.35">
      <c r="A373" s="138"/>
    </row>
    <row r="374" spans="1:1" x14ac:dyDescent="0.35">
      <c r="A374" s="138"/>
    </row>
    <row r="375" spans="1:1" x14ac:dyDescent="0.35">
      <c r="A375" s="138"/>
    </row>
    <row r="376" spans="1:1" x14ac:dyDescent="0.35">
      <c r="A376" s="138"/>
    </row>
    <row r="377" spans="1:1" x14ac:dyDescent="0.35">
      <c r="A377" s="138"/>
    </row>
    <row r="378" spans="1:1" x14ac:dyDescent="0.35">
      <c r="A378" s="138"/>
    </row>
    <row r="379" spans="1:1" x14ac:dyDescent="0.35">
      <c r="A379" s="138"/>
    </row>
    <row r="380" spans="1:1" x14ac:dyDescent="0.35">
      <c r="A380" s="138"/>
    </row>
    <row r="381" spans="1:1" x14ac:dyDescent="0.35">
      <c r="A381" s="138"/>
    </row>
    <row r="382" spans="1:1" x14ac:dyDescent="0.35">
      <c r="A382" s="138"/>
    </row>
    <row r="383" spans="1:1" x14ac:dyDescent="0.35">
      <c r="A383" s="138"/>
    </row>
    <row r="384" spans="1:1" x14ac:dyDescent="0.35">
      <c r="A384" s="138"/>
    </row>
    <row r="385" spans="1:1" x14ac:dyDescent="0.35">
      <c r="A385" s="138"/>
    </row>
    <row r="386" spans="1:1" x14ac:dyDescent="0.35">
      <c r="A386" s="138"/>
    </row>
    <row r="387" spans="1:1" x14ac:dyDescent="0.35">
      <c r="A387" s="138"/>
    </row>
    <row r="388" spans="1:1" x14ac:dyDescent="0.35">
      <c r="A388" s="138"/>
    </row>
    <row r="389" spans="1:1" x14ac:dyDescent="0.35">
      <c r="A389" s="138"/>
    </row>
    <row r="390" spans="1:1" x14ac:dyDescent="0.35">
      <c r="A390" s="138"/>
    </row>
    <row r="391" spans="1:1" x14ac:dyDescent="0.35">
      <c r="A391" s="138"/>
    </row>
    <row r="392" spans="1:1" x14ac:dyDescent="0.35">
      <c r="A392" s="138"/>
    </row>
    <row r="393" spans="1:1" x14ac:dyDescent="0.35">
      <c r="A393" s="138"/>
    </row>
    <row r="394" spans="1:1" x14ac:dyDescent="0.35">
      <c r="A394" s="138"/>
    </row>
    <row r="395" spans="1:1" x14ac:dyDescent="0.35">
      <c r="A395" s="138"/>
    </row>
    <row r="396" spans="1:1" x14ac:dyDescent="0.35">
      <c r="A396" s="138"/>
    </row>
    <row r="397" spans="1:1" x14ac:dyDescent="0.35">
      <c r="A397" s="138"/>
    </row>
    <row r="398" spans="1:1" x14ac:dyDescent="0.35">
      <c r="A398" s="138"/>
    </row>
    <row r="399" spans="1:1" x14ac:dyDescent="0.35">
      <c r="A399" s="138"/>
    </row>
    <row r="400" spans="1:1" x14ac:dyDescent="0.35">
      <c r="A400" s="138"/>
    </row>
    <row r="401" spans="1:1" x14ac:dyDescent="0.35">
      <c r="A401" s="138"/>
    </row>
    <row r="402" spans="1:1" x14ac:dyDescent="0.35">
      <c r="A402" s="138"/>
    </row>
    <row r="403" spans="1:1" x14ac:dyDescent="0.35">
      <c r="A403" s="138"/>
    </row>
    <row r="404" spans="1:1" x14ac:dyDescent="0.35">
      <c r="A404" s="138"/>
    </row>
    <row r="405" spans="1:1" x14ac:dyDescent="0.35">
      <c r="A405" s="138"/>
    </row>
    <row r="406" spans="1:1" x14ac:dyDescent="0.35">
      <c r="A406" s="138"/>
    </row>
    <row r="407" spans="1:1" x14ac:dyDescent="0.35">
      <c r="A407" s="138"/>
    </row>
    <row r="408" spans="1:1" x14ac:dyDescent="0.35">
      <c r="A408" s="138"/>
    </row>
    <row r="409" spans="1:1" x14ac:dyDescent="0.35">
      <c r="A409" s="138"/>
    </row>
    <row r="410" spans="1:1" x14ac:dyDescent="0.35">
      <c r="A410" s="138"/>
    </row>
    <row r="411" spans="1:1" x14ac:dyDescent="0.35">
      <c r="A411" s="138"/>
    </row>
    <row r="412" spans="1:1" x14ac:dyDescent="0.35">
      <c r="A412" s="138"/>
    </row>
    <row r="413" spans="1:1" x14ac:dyDescent="0.35">
      <c r="A413" s="138"/>
    </row>
    <row r="414" spans="1:1" x14ac:dyDescent="0.35">
      <c r="A414" s="138"/>
    </row>
    <row r="415" spans="1:1" x14ac:dyDescent="0.35">
      <c r="A415" s="138"/>
    </row>
    <row r="416" spans="1:1" x14ac:dyDescent="0.35">
      <c r="A416" s="138"/>
    </row>
    <row r="417" spans="1:1" x14ac:dyDescent="0.35">
      <c r="A417" s="138"/>
    </row>
    <row r="418" spans="1:1" x14ac:dyDescent="0.35">
      <c r="A418" s="138"/>
    </row>
    <row r="419" spans="1:1" x14ac:dyDescent="0.35">
      <c r="A419" s="138"/>
    </row>
    <row r="420" spans="1:1" x14ac:dyDescent="0.35">
      <c r="A420" s="138"/>
    </row>
    <row r="421" spans="1:1" x14ac:dyDescent="0.35">
      <c r="A421" s="138"/>
    </row>
    <row r="422" spans="1:1" x14ac:dyDescent="0.35">
      <c r="A422" s="138"/>
    </row>
    <row r="423" spans="1:1" x14ac:dyDescent="0.35">
      <c r="A423" s="138"/>
    </row>
    <row r="424" spans="1:1" x14ac:dyDescent="0.35">
      <c r="A424" s="138"/>
    </row>
    <row r="425" spans="1:1" x14ac:dyDescent="0.35">
      <c r="A425" s="138"/>
    </row>
    <row r="426" spans="1:1" x14ac:dyDescent="0.35">
      <c r="A426" s="138"/>
    </row>
    <row r="427" spans="1:1" x14ac:dyDescent="0.35">
      <c r="A427" s="138"/>
    </row>
    <row r="428" spans="1:1" x14ac:dyDescent="0.35">
      <c r="A428" s="138"/>
    </row>
    <row r="429" spans="1:1" x14ac:dyDescent="0.35">
      <c r="A429" s="138"/>
    </row>
    <row r="430" spans="1:1" x14ac:dyDescent="0.35">
      <c r="A430" s="138"/>
    </row>
    <row r="431" spans="1:1" x14ac:dyDescent="0.35">
      <c r="A431" s="138"/>
    </row>
    <row r="432" spans="1:1" x14ac:dyDescent="0.35">
      <c r="A432" s="138"/>
    </row>
    <row r="433" spans="1:1" x14ac:dyDescent="0.35">
      <c r="A433" s="138"/>
    </row>
    <row r="434" spans="1:1" x14ac:dyDescent="0.35">
      <c r="A434" s="138"/>
    </row>
    <row r="435" spans="1:1" x14ac:dyDescent="0.35">
      <c r="A435" s="138"/>
    </row>
    <row r="436" spans="1:1" x14ac:dyDescent="0.35">
      <c r="A436" s="138"/>
    </row>
    <row r="437" spans="1:1" x14ac:dyDescent="0.35">
      <c r="A437" s="138"/>
    </row>
    <row r="438" spans="1:1" x14ac:dyDescent="0.35">
      <c r="A438" s="138"/>
    </row>
    <row r="439" spans="1:1" x14ac:dyDescent="0.35">
      <c r="A439" s="138"/>
    </row>
    <row r="440" spans="1:1" x14ac:dyDescent="0.35">
      <c r="A440" s="138"/>
    </row>
    <row r="441" spans="1:1" x14ac:dyDescent="0.35">
      <c r="A441" s="138"/>
    </row>
    <row r="442" spans="1:1" x14ac:dyDescent="0.35">
      <c r="A442" s="138"/>
    </row>
    <row r="443" spans="1:1" x14ac:dyDescent="0.35">
      <c r="A443" s="138"/>
    </row>
    <row r="444" spans="1:1" x14ac:dyDescent="0.35">
      <c r="A444" s="138"/>
    </row>
    <row r="445" spans="1:1" x14ac:dyDescent="0.35">
      <c r="A445" s="138"/>
    </row>
    <row r="446" spans="1:1" x14ac:dyDescent="0.35">
      <c r="A446" s="138"/>
    </row>
    <row r="447" spans="1:1" x14ac:dyDescent="0.35">
      <c r="A447" s="138"/>
    </row>
    <row r="448" spans="1:1" x14ac:dyDescent="0.35">
      <c r="A448" s="138"/>
    </row>
    <row r="449" spans="1:1" x14ac:dyDescent="0.35">
      <c r="A449" s="138"/>
    </row>
    <row r="450" spans="1:1" x14ac:dyDescent="0.35">
      <c r="A450" s="138"/>
    </row>
    <row r="451" spans="1:1" x14ac:dyDescent="0.35">
      <c r="A451" s="138"/>
    </row>
    <row r="452" spans="1:1" x14ac:dyDescent="0.35">
      <c r="A452" s="138"/>
    </row>
    <row r="453" spans="1:1" x14ac:dyDescent="0.35">
      <c r="A453" s="138"/>
    </row>
    <row r="454" spans="1:1" x14ac:dyDescent="0.35">
      <c r="A454" s="138"/>
    </row>
    <row r="455" spans="1:1" x14ac:dyDescent="0.35">
      <c r="A455" s="138"/>
    </row>
    <row r="456" spans="1:1" x14ac:dyDescent="0.35">
      <c r="A456" s="138"/>
    </row>
    <row r="457" spans="1:1" x14ac:dyDescent="0.35">
      <c r="A457" s="138"/>
    </row>
    <row r="458" spans="1:1" x14ac:dyDescent="0.35">
      <c r="A458" s="138"/>
    </row>
    <row r="459" spans="1:1" x14ac:dyDescent="0.35">
      <c r="A459" s="138"/>
    </row>
    <row r="460" spans="1:1" x14ac:dyDescent="0.35">
      <c r="A460" s="138"/>
    </row>
    <row r="461" spans="1:1" x14ac:dyDescent="0.35">
      <c r="A461" s="138"/>
    </row>
    <row r="462" spans="1:1" x14ac:dyDescent="0.35">
      <c r="A462" s="138"/>
    </row>
    <row r="463" spans="1:1" x14ac:dyDescent="0.35">
      <c r="A463" s="138"/>
    </row>
    <row r="464" spans="1:1" x14ac:dyDescent="0.35">
      <c r="A464" s="138"/>
    </row>
    <row r="465" spans="1:1" x14ac:dyDescent="0.35">
      <c r="A465" s="138"/>
    </row>
    <row r="466" spans="1:1" x14ac:dyDescent="0.35">
      <c r="A466" s="138"/>
    </row>
    <row r="467" spans="1:1" x14ac:dyDescent="0.35">
      <c r="A467" s="138"/>
    </row>
    <row r="468" spans="1:1" x14ac:dyDescent="0.35">
      <c r="A468" s="138"/>
    </row>
    <row r="469" spans="1:1" x14ac:dyDescent="0.35">
      <c r="A469" s="138"/>
    </row>
    <row r="470" spans="1:1" x14ac:dyDescent="0.35">
      <c r="A470" s="138"/>
    </row>
    <row r="471" spans="1:1" x14ac:dyDescent="0.35">
      <c r="A471" s="138"/>
    </row>
    <row r="472" spans="1:1" x14ac:dyDescent="0.35">
      <c r="A472" s="138"/>
    </row>
    <row r="473" spans="1:1" x14ac:dyDescent="0.35">
      <c r="A473" s="138"/>
    </row>
    <row r="474" spans="1:1" x14ac:dyDescent="0.35">
      <c r="A474" s="138"/>
    </row>
    <row r="475" spans="1:1" x14ac:dyDescent="0.35">
      <c r="A475" s="138"/>
    </row>
    <row r="476" spans="1:1" x14ac:dyDescent="0.35">
      <c r="A476" s="138"/>
    </row>
    <row r="477" spans="1:1" x14ac:dyDescent="0.35">
      <c r="A477" s="138"/>
    </row>
    <row r="478" spans="1:1" x14ac:dyDescent="0.35">
      <c r="A478" s="138"/>
    </row>
    <row r="479" spans="1:1" x14ac:dyDescent="0.35">
      <c r="A479" s="138"/>
    </row>
    <row r="480" spans="1:1" x14ac:dyDescent="0.35">
      <c r="A480" s="138"/>
    </row>
    <row r="481" spans="1:1" x14ac:dyDescent="0.35">
      <c r="A481" s="138"/>
    </row>
    <row r="482" spans="1:1" x14ac:dyDescent="0.35">
      <c r="A482" s="138"/>
    </row>
    <row r="483" spans="1:1" x14ac:dyDescent="0.35">
      <c r="A483" s="138"/>
    </row>
    <row r="484" spans="1:1" x14ac:dyDescent="0.35">
      <c r="A484" s="138"/>
    </row>
    <row r="485" spans="1:1" x14ac:dyDescent="0.35">
      <c r="A485" s="138"/>
    </row>
    <row r="486" spans="1:1" x14ac:dyDescent="0.35">
      <c r="A486" s="138"/>
    </row>
    <row r="487" spans="1:1" x14ac:dyDescent="0.35">
      <c r="A487" s="138"/>
    </row>
    <row r="488" spans="1:1" x14ac:dyDescent="0.35">
      <c r="A488" s="138"/>
    </row>
    <row r="489" spans="1:1" x14ac:dyDescent="0.35">
      <c r="A489" s="138"/>
    </row>
    <row r="490" spans="1:1" x14ac:dyDescent="0.35">
      <c r="A490" s="138"/>
    </row>
    <row r="491" spans="1:1" x14ac:dyDescent="0.35">
      <c r="A491" s="138"/>
    </row>
    <row r="492" spans="1:1" x14ac:dyDescent="0.35">
      <c r="A492" s="138"/>
    </row>
    <row r="493" spans="1:1" x14ac:dyDescent="0.35">
      <c r="A493" s="138"/>
    </row>
    <row r="494" spans="1:1" x14ac:dyDescent="0.35">
      <c r="A494" s="138"/>
    </row>
    <row r="495" spans="1:1" x14ac:dyDescent="0.35">
      <c r="A495" s="138"/>
    </row>
    <row r="496" spans="1:1" x14ac:dyDescent="0.35">
      <c r="A496" s="138"/>
    </row>
    <row r="497" spans="1:1" x14ac:dyDescent="0.35">
      <c r="A497" s="138"/>
    </row>
    <row r="498" spans="1:1" x14ac:dyDescent="0.35">
      <c r="A498" s="138"/>
    </row>
    <row r="499" spans="1:1" x14ac:dyDescent="0.35">
      <c r="A499" s="138"/>
    </row>
    <row r="500" spans="1:1" x14ac:dyDescent="0.35">
      <c r="A500" s="138"/>
    </row>
    <row r="501" spans="1:1" x14ac:dyDescent="0.35">
      <c r="A501" s="138"/>
    </row>
    <row r="502" spans="1:1" x14ac:dyDescent="0.35">
      <c r="A502" s="138"/>
    </row>
    <row r="503" spans="1:1" x14ac:dyDescent="0.35">
      <c r="A503" s="138"/>
    </row>
    <row r="504" spans="1:1" x14ac:dyDescent="0.35">
      <c r="A504" s="138"/>
    </row>
    <row r="505" spans="1:1" x14ac:dyDescent="0.35">
      <c r="A505" s="138"/>
    </row>
    <row r="506" spans="1:1" x14ac:dyDescent="0.35">
      <c r="A506" s="138"/>
    </row>
    <row r="507" spans="1:1" x14ac:dyDescent="0.35">
      <c r="A507" s="138"/>
    </row>
    <row r="508" spans="1:1" x14ac:dyDescent="0.35">
      <c r="A508" s="138"/>
    </row>
    <row r="509" spans="1:1" x14ac:dyDescent="0.35">
      <c r="A509" s="138"/>
    </row>
    <row r="510" spans="1:1" x14ac:dyDescent="0.35">
      <c r="A510" s="138"/>
    </row>
    <row r="511" spans="1:1" x14ac:dyDescent="0.35">
      <c r="A511" s="138"/>
    </row>
    <row r="512" spans="1:1" x14ac:dyDescent="0.35">
      <c r="A512" s="138"/>
    </row>
    <row r="513" spans="1:1" x14ac:dyDescent="0.35">
      <c r="A513" s="138"/>
    </row>
    <row r="514" spans="1:1" x14ac:dyDescent="0.35">
      <c r="A514" s="138"/>
    </row>
    <row r="515" spans="1:1" x14ac:dyDescent="0.35">
      <c r="A515" s="138"/>
    </row>
    <row r="516" spans="1:1" x14ac:dyDescent="0.35">
      <c r="A516" s="138"/>
    </row>
    <row r="517" spans="1:1" x14ac:dyDescent="0.35">
      <c r="A517" s="138"/>
    </row>
    <row r="518" spans="1:1" x14ac:dyDescent="0.35">
      <c r="A518" s="138"/>
    </row>
    <row r="519" spans="1:1" x14ac:dyDescent="0.35">
      <c r="A519" s="138"/>
    </row>
    <row r="520" spans="1:1" x14ac:dyDescent="0.35">
      <c r="A520" s="138"/>
    </row>
    <row r="521" spans="1:1" x14ac:dyDescent="0.35">
      <c r="A521" s="138"/>
    </row>
    <row r="522" spans="1:1" x14ac:dyDescent="0.35">
      <c r="A522" s="138"/>
    </row>
    <row r="523" spans="1:1" x14ac:dyDescent="0.35">
      <c r="A523" s="138"/>
    </row>
    <row r="524" spans="1:1" x14ac:dyDescent="0.35">
      <c r="A524" s="138"/>
    </row>
    <row r="525" spans="1:1" x14ac:dyDescent="0.35">
      <c r="A525" s="138"/>
    </row>
    <row r="526" spans="1:1" x14ac:dyDescent="0.35">
      <c r="A526" s="138"/>
    </row>
    <row r="527" spans="1:1" x14ac:dyDescent="0.35">
      <c r="A527" s="138"/>
    </row>
    <row r="528" spans="1:1" x14ac:dyDescent="0.35">
      <c r="A528" s="138"/>
    </row>
    <row r="529" spans="1:1" x14ac:dyDescent="0.35">
      <c r="A529" s="138"/>
    </row>
    <row r="530" spans="1:1" x14ac:dyDescent="0.35">
      <c r="A530" s="138"/>
    </row>
    <row r="531" spans="1:1" x14ac:dyDescent="0.35">
      <c r="A531" s="138"/>
    </row>
    <row r="532" spans="1:1" x14ac:dyDescent="0.35">
      <c r="A532" s="138"/>
    </row>
    <row r="533" spans="1:1" x14ac:dyDescent="0.35">
      <c r="A533" s="138"/>
    </row>
    <row r="534" spans="1:1" x14ac:dyDescent="0.35">
      <c r="A534" s="138"/>
    </row>
    <row r="535" spans="1:1" x14ac:dyDescent="0.35">
      <c r="A535" s="138"/>
    </row>
    <row r="536" spans="1:1" x14ac:dyDescent="0.35">
      <c r="A536" s="138"/>
    </row>
    <row r="537" spans="1:1" x14ac:dyDescent="0.35">
      <c r="A537" s="138"/>
    </row>
    <row r="538" spans="1:1" x14ac:dyDescent="0.35">
      <c r="A538" s="138"/>
    </row>
    <row r="539" spans="1:1" x14ac:dyDescent="0.35">
      <c r="A539" s="138"/>
    </row>
    <row r="540" spans="1:1" x14ac:dyDescent="0.35">
      <c r="A540" s="138"/>
    </row>
    <row r="541" spans="1:1" x14ac:dyDescent="0.35">
      <c r="A541" s="138"/>
    </row>
    <row r="542" spans="1:1" x14ac:dyDescent="0.35">
      <c r="A542" s="138"/>
    </row>
    <row r="543" spans="1:1" x14ac:dyDescent="0.35">
      <c r="A543" s="138"/>
    </row>
    <row r="544" spans="1:1" x14ac:dyDescent="0.35">
      <c r="A544" s="138"/>
    </row>
    <row r="545" spans="1:1" x14ac:dyDescent="0.35">
      <c r="A545" s="138"/>
    </row>
    <row r="546" spans="1:1" x14ac:dyDescent="0.35">
      <c r="A546" s="138"/>
    </row>
    <row r="547" spans="1:1" x14ac:dyDescent="0.35">
      <c r="A547" s="138"/>
    </row>
    <row r="548" spans="1:1" x14ac:dyDescent="0.35">
      <c r="A548" s="138"/>
    </row>
    <row r="549" spans="1:1" x14ac:dyDescent="0.35">
      <c r="A549" s="138"/>
    </row>
    <row r="550" spans="1:1" x14ac:dyDescent="0.35">
      <c r="A550" s="138"/>
    </row>
    <row r="551" spans="1:1" x14ac:dyDescent="0.35">
      <c r="A551" s="138"/>
    </row>
    <row r="552" spans="1:1" x14ac:dyDescent="0.35">
      <c r="A552" s="138"/>
    </row>
    <row r="553" spans="1:1" x14ac:dyDescent="0.35">
      <c r="A553" s="138"/>
    </row>
    <row r="554" spans="1:1" x14ac:dyDescent="0.35">
      <c r="A554" s="138"/>
    </row>
    <row r="555" spans="1:1" x14ac:dyDescent="0.35">
      <c r="A555" s="138"/>
    </row>
    <row r="556" spans="1:1" x14ac:dyDescent="0.35">
      <c r="A556" s="138"/>
    </row>
    <row r="557" spans="1:1" x14ac:dyDescent="0.35">
      <c r="A557" s="138"/>
    </row>
    <row r="558" spans="1:1" x14ac:dyDescent="0.35">
      <c r="A558" s="138"/>
    </row>
    <row r="559" spans="1:1" x14ac:dyDescent="0.35">
      <c r="A559" s="138"/>
    </row>
    <row r="560" spans="1:1" x14ac:dyDescent="0.35">
      <c r="A560" s="138"/>
    </row>
    <row r="561" spans="1:1" x14ac:dyDescent="0.35">
      <c r="A561" s="138"/>
    </row>
    <row r="562" spans="1:1" x14ac:dyDescent="0.35">
      <c r="A562" s="138"/>
    </row>
    <row r="563" spans="1:1" x14ac:dyDescent="0.35">
      <c r="A563" s="138"/>
    </row>
    <row r="564" spans="1:1" x14ac:dyDescent="0.35">
      <c r="A564" s="138"/>
    </row>
    <row r="565" spans="1:1" x14ac:dyDescent="0.35">
      <c r="A565" s="138"/>
    </row>
    <row r="566" spans="1:1" x14ac:dyDescent="0.35">
      <c r="A566" s="138"/>
    </row>
    <row r="567" spans="1:1" x14ac:dyDescent="0.35">
      <c r="A567" s="138"/>
    </row>
    <row r="568" spans="1:1" x14ac:dyDescent="0.35">
      <c r="A568" s="138"/>
    </row>
    <row r="569" spans="1:1" x14ac:dyDescent="0.35">
      <c r="A569" s="138"/>
    </row>
    <row r="570" spans="1:1" x14ac:dyDescent="0.35">
      <c r="A570" s="138"/>
    </row>
    <row r="571" spans="1:1" x14ac:dyDescent="0.35">
      <c r="A571" s="138"/>
    </row>
    <row r="572" spans="1:1" x14ac:dyDescent="0.35">
      <c r="A572" s="138"/>
    </row>
    <row r="573" spans="1:1" x14ac:dyDescent="0.35">
      <c r="A573" s="138"/>
    </row>
    <row r="574" spans="1:1" x14ac:dyDescent="0.35">
      <c r="A574" s="138"/>
    </row>
    <row r="575" spans="1:1" x14ac:dyDescent="0.35">
      <c r="A575" s="138"/>
    </row>
    <row r="576" spans="1:1" x14ac:dyDescent="0.35">
      <c r="A576" s="138"/>
    </row>
    <row r="577" spans="1:1" x14ac:dyDescent="0.35">
      <c r="A577" s="138"/>
    </row>
    <row r="578" spans="1:1" x14ac:dyDescent="0.35">
      <c r="A578" s="138"/>
    </row>
    <row r="579" spans="1:1" x14ac:dyDescent="0.35">
      <c r="A579" s="138"/>
    </row>
    <row r="580" spans="1:1" x14ac:dyDescent="0.35">
      <c r="A580" s="138"/>
    </row>
    <row r="581" spans="1:1" x14ac:dyDescent="0.35">
      <c r="A581" s="138"/>
    </row>
    <row r="582" spans="1:1" x14ac:dyDescent="0.35">
      <c r="A582" s="138"/>
    </row>
    <row r="583" spans="1:1" x14ac:dyDescent="0.35">
      <c r="A583" s="138"/>
    </row>
    <row r="584" spans="1:1" x14ac:dyDescent="0.35">
      <c r="A584" s="138"/>
    </row>
    <row r="585" spans="1:1" x14ac:dyDescent="0.35">
      <c r="A585" s="138"/>
    </row>
    <row r="586" spans="1:1" x14ac:dyDescent="0.35">
      <c r="A586" s="138"/>
    </row>
    <row r="587" spans="1:1" x14ac:dyDescent="0.35">
      <c r="A587" s="138"/>
    </row>
    <row r="588" spans="1:1" x14ac:dyDescent="0.35">
      <c r="A588" s="138"/>
    </row>
    <row r="589" spans="1:1" x14ac:dyDescent="0.35">
      <c r="A589" s="138"/>
    </row>
    <row r="590" spans="1:1" x14ac:dyDescent="0.35">
      <c r="A590" s="138"/>
    </row>
    <row r="591" spans="1:1" x14ac:dyDescent="0.35">
      <c r="A591" s="138"/>
    </row>
    <row r="592" spans="1:1" x14ac:dyDescent="0.35">
      <c r="A592" s="138"/>
    </row>
    <row r="593" spans="1:1" x14ac:dyDescent="0.35">
      <c r="A593" s="138"/>
    </row>
    <row r="594" spans="1:1" x14ac:dyDescent="0.35">
      <c r="A594" s="138"/>
    </row>
    <row r="595" spans="1:1" x14ac:dyDescent="0.35">
      <c r="A595" s="138"/>
    </row>
    <row r="596" spans="1:1" x14ac:dyDescent="0.35">
      <c r="A596" s="138"/>
    </row>
    <row r="597" spans="1:1" x14ac:dyDescent="0.35">
      <c r="A597" s="138"/>
    </row>
    <row r="598" spans="1:1" x14ac:dyDescent="0.35">
      <c r="A598" s="138"/>
    </row>
    <row r="599" spans="1:1" x14ac:dyDescent="0.35">
      <c r="A599" s="138"/>
    </row>
    <row r="600" spans="1:1" x14ac:dyDescent="0.35">
      <c r="A600" s="138"/>
    </row>
    <row r="601" spans="1:1" x14ac:dyDescent="0.35">
      <c r="A601" s="138"/>
    </row>
    <row r="602" spans="1:1" x14ac:dyDescent="0.35">
      <c r="A602" s="138"/>
    </row>
    <row r="603" spans="1:1" x14ac:dyDescent="0.35">
      <c r="A603" s="138"/>
    </row>
    <row r="604" spans="1:1" x14ac:dyDescent="0.35">
      <c r="A604" s="138"/>
    </row>
    <row r="605" spans="1:1" x14ac:dyDescent="0.35">
      <c r="A605" s="138"/>
    </row>
    <row r="606" spans="1:1" x14ac:dyDescent="0.35">
      <c r="A606" s="138"/>
    </row>
    <row r="607" spans="1:1" x14ac:dyDescent="0.35">
      <c r="A607" s="138"/>
    </row>
    <row r="608" spans="1:1" x14ac:dyDescent="0.35">
      <c r="A608" s="138"/>
    </row>
    <row r="609" spans="1:1" x14ac:dyDescent="0.35">
      <c r="A609" s="138"/>
    </row>
    <row r="610" spans="1:1" x14ac:dyDescent="0.35">
      <c r="A610" s="138"/>
    </row>
    <row r="611" spans="1:1" x14ac:dyDescent="0.35">
      <c r="A611" s="138"/>
    </row>
    <row r="612" spans="1:1" x14ac:dyDescent="0.35">
      <c r="A612" s="138"/>
    </row>
    <row r="613" spans="1:1" x14ac:dyDescent="0.35">
      <c r="A613" s="138"/>
    </row>
    <row r="614" spans="1:1" x14ac:dyDescent="0.35">
      <c r="A614" s="138"/>
    </row>
    <row r="615" spans="1:1" x14ac:dyDescent="0.35">
      <c r="A615" s="138"/>
    </row>
    <row r="616" spans="1:1" x14ac:dyDescent="0.35">
      <c r="A616" s="138"/>
    </row>
    <row r="617" spans="1:1" x14ac:dyDescent="0.35">
      <c r="A617" s="138"/>
    </row>
    <row r="618" spans="1:1" x14ac:dyDescent="0.35">
      <c r="A618" s="138"/>
    </row>
    <row r="619" spans="1:1" x14ac:dyDescent="0.35">
      <c r="A619" s="138"/>
    </row>
    <row r="620" spans="1:1" x14ac:dyDescent="0.35">
      <c r="A620" s="138"/>
    </row>
    <row r="621" spans="1:1" x14ac:dyDescent="0.35">
      <c r="A621" s="138"/>
    </row>
    <row r="622" spans="1:1" x14ac:dyDescent="0.35">
      <c r="A622" s="138"/>
    </row>
    <row r="623" spans="1:1" x14ac:dyDescent="0.35">
      <c r="A623" s="138"/>
    </row>
    <row r="624" spans="1:1" x14ac:dyDescent="0.35">
      <c r="A624" s="138"/>
    </row>
    <row r="625" spans="1:1" x14ac:dyDescent="0.35">
      <c r="A625" s="138"/>
    </row>
    <row r="626" spans="1:1" x14ac:dyDescent="0.35">
      <c r="A626" s="138"/>
    </row>
    <row r="627" spans="1:1" x14ac:dyDescent="0.35">
      <c r="A627" s="138"/>
    </row>
    <row r="628" spans="1:1" x14ac:dyDescent="0.35">
      <c r="A628" s="138"/>
    </row>
    <row r="629" spans="1:1" x14ac:dyDescent="0.35">
      <c r="A629" s="138"/>
    </row>
    <row r="630" spans="1:1" x14ac:dyDescent="0.35">
      <c r="A630" s="138"/>
    </row>
    <row r="631" spans="1:1" x14ac:dyDescent="0.35">
      <c r="A631" s="138"/>
    </row>
    <row r="632" spans="1:1" x14ac:dyDescent="0.35">
      <c r="A632" s="138"/>
    </row>
    <row r="633" spans="1:1" x14ac:dyDescent="0.35">
      <c r="A633" s="138"/>
    </row>
    <row r="634" spans="1:1" x14ac:dyDescent="0.35">
      <c r="A634" s="138"/>
    </row>
    <row r="635" spans="1:1" x14ac:dyDescent="0.35">
      <c r="A635" s="138"/>
    </row>
    <row r="636" spans="1:1" x14ac:dyDescent="0.35">
      <c r="A636" s="138"/>
    </row>
    <row r="637" spans="1:1" x14ac:dyDescent="0.35">
      <c r="A637" s="138"/>
    </row>
    <row r="638" spans="1:1" x14ac:dyDescent="0.35">
      <c r="A638" s="138"/>
    </row>
    <row r="639" spans="1:1" x14ac:dyDescent="0.35">
      <c r="A639" s="138"/>
    </row>
    <row r="640" spans="1:1" x14ac:dyDescent="0.35">
      <c r="A640" s="138"/>
    </row>
    <row r="641" spans="1:1" x14ac:dyDescent="0.35">
      <c r="A641" s="138"/>
    </row>
    <row r="642" spans="1:1" x14ac:dyDescent="0.35">
      <c r="A642" s="138"/>
    </row>
    <row r="643" spans="1:1" x14ac:dyDescent="0.35">
      <c r="A643" s="138"/>
    </row>
    <row r="644" spans="1:1" x14ac:dyDescent="0.35">
      <c r="A644" s="138"/>
    </row>
    <row r="645" spans="1:1" x14ac:dyDescent="0.35">
      <c r="A645" s="138"/>
    </row>
    <row r="646" spans="1:1" x14ac:dyDescent="0.35">
      <c r="A646" s="138"/>
    </row>
    <row r="647" spans="1:1" x14ac:dyDescent="0.35">
      <c r="A647" s="138"/>
    </row>
    <row r="648" spans="1:1" x14ac:dyDescent="0.35">
      <c r="A648" s="138"/>
    </row>
    <row r="649" spans="1:1" x14ac:dyDescent="0.35">
      <c r="A649" s="138"/>
    </row>
    <row r="650" spans="1:1" x14ac:dyDescent="0.35">
      <c r="A650" s="138"/>
    </row>
    <row r="651" spans="1:1" x14ac:dyDescent="0.35">
      <c r="A651" s="138"/>
    </row>
    <row r="652" spans="1:1" x14ac:dyDescent="0.35">
      <c r="A652" s="138"/>
    </row>
    <row r="653" spans="1:1" x14ac:dyDescent="0.35">
      <c r="A653" s="138"/>
    </row>
    <row r="654" spans="1:1" x14ac:dyDescent="0.35">
      <c r="A654" s="138"/>
    </row>
    <row r="655" spans="1:1" x14ac:dyDescent="0.35">
      <c r="A655" s="138"/>
    </row>
    <row r="656" spans="1:1" x14ac:dyDescent="0.35">
      <c r="A656" s="138"/>
    </row>
    <row r="657" spans="1:1" x14ac:dyDescent="0.35">
      <c r="A657" s="138"/>
    </row>
    <row r="658" spans="1:1" x14ac:dyDescent="0.35">
      <c r="A658" s="138"/>
    </row>
    <row r="659" spans="1:1" x14ac:dyDescent="0.35">
      <c r="A659" s="138"/>
    </row>
    <row r="660" spans="1:1" x14ac:dyDescent="0.35">
      <c r="A660" s="138"/>
    </row>
    <row r="661" spans="1:1" x14ac:dyDescent="0.35">
      <c r="A661" s="138"/>
    </row>
    <row r="662" spans="1:1" x14ac:dyDescent="0.35">
      <c r="A662" s="138"/>
    </row>
    <row r="663" spans="1:1" x14ac:dyDescent="0.35">
      <c r="A663" s="138"/>
    </row>
    <row r="664" spans="1:1" x14ac:dyDescent="0.35">
      <c r="A664" s="138"/>
    </row>
    <row r="665" spans="1:1" x14ac:dyDescent="0.35">
      <c r="A665" s="138"/>
    </row>
    <row r="666" spans="1:1" x14ac:dyDescent="0.35">
      <c r="A666" s="138"/>
    </row>
    <row r="667" spans="1:1" x14ac:dyDescent="0.35">
      <c r="A667" s="138"/>
    </row>
    <row r="668" spans="1:1" x14ac:dyDescent="0.35">
      <c r="A668" s="138"/>
    </row>
    <row r="669" spans="1:1" x14ac:dyDescent="0.35">
      <c r="A669" s="138"/>
    </row>
    <row r="670" spans="1:1" x14ac:dyDescent="0.35">
      <c r="A670" s="138"/>
    </row>
    <row r="671" spans="1:1" x14ac:dyDescent="0.35">
      <c r="A671" s="138"/>
    </row>
    <row r="672" spans="1:1" x14ac:dyDescent="0.35">
      <c r="A672" s="138"/>
    </row>
    <row r="673" spans="1:1" x14ac:dyDescent="0.35">
      <c r="A673" s="138"/>
    </row>
    <row r="674" spans="1:1" x14ac:dyDescent="0.35">
      <c r="A674" s="138"/>
    </row>
    <row r="675" spans="1:1" x14ac:dyDescent="0.35">
      <c r="A675" s="138"/>
    </row>
    <row r="676" spans="1:1" x14ac:dyDescent="0.35">
      <c r="A676" s="138"/>
    </row>
    <row r="677" spans="1:1" x14ac:dyDescent="0.35">
      <c r="A677" s="138"/>
    </row>
    <row r="678" spans="1:1" x14ac:dyDescent="0.35">
      <c r="A678" s="138"/>
    </row>
    <row r="679" spans="1:1" x14ac:dyDescent="0.35">
      <c r="A679" s="138"/>
    </row>
    <row r="680" spans="1:1" x14ac:dyDescent="0.35">
      <c r="A680" s="138"/>
    </row>
    <row r="681" spans="1:1" x14ac:dyDescent="0.35">
      <c r="A681" s="138"/>
    </row>
    <row r="682" spans="1:1" x14ac:dyDescent="0.35">
      <c r="A682" s="138"/>
    </row>
    <row r="683" spans="1:1" x14ac:dyDescent="0.35">
      <c r="A683" s="138"/>
    </row>
    <row r="684" spans="1:1" x14ac:dyDescent="0.35">
      <c r="A684" s="138"/>
    </row>
    <row r="685" spans="1:1" x14ac:dyDescent="0.35">
      <c r="A685" s="138"/>
    </row>
    <row r="686" spans="1:1" x14ac:dyDescent="0.35">
      <c r="A686" s="138"/>
    </row>
    <row r="687" spans="1:1" x14ac:dyDescent="0.35">
      <c r="A687" s="138"/>
    </row>
    <row r="688" spans="1:1" x14ac:dyDescent="0.35">
      <c r="A688" s="138"/>
    </row>
    <row r="689" spans="1:1" x14ac:dyDescent="0.35">
      <c r="A689" s="138"/>
    </row>
    <row r="690" spans="1:1" x14ac:dyDescent="0.35">
      <c r="A690" s="138"/>
    </row>
    <row r="691" spans="1:1" x14ac:dyDescent="0.35">
      <c r="A691" s="138"/>
    </row>
    <row r="692" spans="1:1" x14ac:dyDescent="0.35">
      <c r="A692" s="138"/>
    </row>
    <row r="693" spans="1:1" x14ac:dyDescent="0.35">
      <c r="A693" s="138"/>
    </row>
    <row r="694" spans="1:1" x14ac:dyDescent="0.35">
      <c r="A694" s="138"/>
    </row>
    <row r="695" spans="1:1" x14ac:dyDescent="0.35">
      <c r="A695" s="138"/>
    </row>
    <row r="696" spans="1:1" x14ac:dyDescent="0.35">
      <c r="A696" s="138"/>
    </row>
    <row r="697" spans="1:1" x14ac:dyDescent="0.35">
      <c r="A697" s="138"/>
    </row>
    <row r="698" spans="1:1" x14ac:dyDescent="0.35">
      <c r="A698" s="138"/>
    </row>
    <row r="699" spans="1:1" x14ac:dyDescent="0.35">
      <c r="A699" s="138"/>
    </row>
    <row r="700" spans="1:1" x14ac:dyDescent="0.35">
      <c r="A700" s="138"/>
    </row>
    <row r="701" spans="1:1" x14ac:dyDescent="0.35">
      <c r="A701" s="138"/>
    </row>
    <row r="702" spans="1:1" x14ac:dyDescent="0.35">
      <c r="A702" s="138"/>
    </row>
    <row r="703" spans="1:1" x14ac:dyDescent="0.35">
      <c r="A703" s="138"/>
    </row>
    <row r="704" spans="1:1" x14ac:dyDescent="0.35">
      <c r="A704" s="138"/>
    </row>
    <row r="705" spans="1:1" x14ac:dyDescent="0.35">
      <c r="A705" s="138"/>
    </row>
    <row r="706" spans="1:1" x14ac:dyDescent="0.35">
      <c r="A706" s="138"/>
    </row>
    <row r="707" spans="1:1" x14ac:dyDescent="0.35">
      <c r="A707" s="138"/>
    </row>
    <row r="708" spans="1:1" x14ac:dyDescent="0.35">
      <c r="A708" s="138"/>
    </row>
    <row r="709" spans="1:1" x14ac:dyDescent="0.35">
      <c r="A709" s="138"/>
    </row>
    <row r="710" spans="1:1" x14ac:dyDescent="0.35">
      <c r="A710" s="138"/>
    </row>
    <row r="711" spans="1:1" x14ac:dyDescent="0.35">
      <c r="A711" s="138"/>
    </row>
    <row r="712" spans="1:1" x14ac:dyDescent="0.35">
      <c r="A712" s="138"/>
    </row>
    <row r="713" spans="1:1" x14ac:dyDescent="0.35">
      <c r="A713" s="138"/>
    </row>
    <row r="714" spans="1:1" x14ac:dyDescent="0.35">
      <c r="A714" s="138"/>
    </row>
    <row r="715" spans="1:1" x14ac:dyDescent="0.35">
      <c r="A715" s="138"/>
    </row>
    <row r="716" spans="1:1" x14ac:dyDescent="0.35">
      <c r="A716" s="138"/>
    </row>
    <row r="717" spans="1:1" x14ac:dyDescent="0.35">
      <c r="A717" s="138"/>
    </row>
    <row r="718" spans="1:1" x14ac:dyDescent="0.35">
      <c r="A718" s="138"/>
    </row>
    <row r="719" spans="1:1" x14ac:dyDescent="0.35">
      <c r="A719" s="138"/>
    </row>
    <row r="720" spans="1:1" x14ac:dyDescent="0.35">
      <c r="A720" s="138"/>
    </row>
    <row r="721" spans="1:1" x14ac:dyDescent="0.35">
      <c r="A721" s="138"/>
    </row>
    <row r="722" spans="1:1" x14ac:dyDescent="0.35">
      <c r="A722" s="138"/>
    </row>
    <row r="723" spans="1:1" x14ac:dyDescent="0.35">
      <c r="A723" s="138"/>
    </row>
    <row r="724" spans="1:1" x14ac:dyDescent="0.35">
      <c r="A724" s="138"/>
    </row>
    <row r="725" spans="1:1" x14ac:dyDescent="0.35">
      <c r="A725" s="138"/>
    </row>
    <row r="726" spans="1:1" x14ac:dyDescent="0.35">
      <c r="A726" s="138"/>
    </row>
    <row r="727" spans="1:1" x14ac:dyDescent="0.35">
      <c r="A727" s="138"/>
    </row>
    <row r="728" spans="1:1" x14ac:dyDescent="0.35">
      <c r="A728" s="138"/>
    </row>
    <row r="729" spans="1:1" x14ac:dyDescent="0.35">
      <c r="A729" s="138"/>
    </row>
    <row r="730" spans="1:1" x14ac:dyDescent="0.35">
      <c r="A730" s="138"/>
    </row>
    <row r="731" spans="1:1" x14ac:dyDescent="0.35">
      <c r="A731" s="138"/>
    </row>
    <row r="732" spans="1:1" x14ac:dyDescent="0.35">
      <c r="A732" s="138"/>
    </row>
    <row r="733" spans="1:1" x14ac:dyDescent="0.35">
      <c r="A733" s="138"/>
    </row>
    <row r="734" spans="1:1" x14ac:dyDescent="0.35">
      <c r="A734" s="138"/>
    </row>
    <row r="735" spans="1:1" x14ac:dyDescent="0.35">
      <c r="A735" s="138"/>
    </row>
    <row r="736" spans="1:1" x14ac:dyDescent="0.35">
      <c r="A736" s="138"/>
    </row>
    <row r="737" spans="1:1" x14ac:dyDescent="0.35">
      <c r="A737" s="138"/>
    </row>
    <row r="738" spans="1:1" x14ac:dyDescent="0.35">
      <c r="A738" s="138"/>
    </row>
    <row r="739" spans="1:1" x14ac:dyDescent="0.35">
      <c r="A739" s="138"/>
    </row>
    <row r="740" spans="1:1" x14ac:dyDescent="0.35">
      <c r="A740" s="138"/>
    </row>
    <row r="741" spans="1:1" x14ac:dyDescent="0.35">
      <c r="A741" s="138"/>
    </row>
    <row r="742" spans="1:1" x14ac:dyDescent="0.35">
      <c r="A742" s="138"/>
    </row>
    <row r="743" spans="1:1" x14ac:dyDescent="0.35">
      <c r="A743" s="138"/>
    </row>
    <row r="744" spans="1:1" x14ac:dyDescent="0.35">
      <c r="A744" s="138"/>
    </row>
    <row r="745" spans="1:1" x14ac:dyDescent="0.35">
      <c r="A745" s="138"/>
    </row>
    <row r="746" spans="1:1" x14ac:dyDescent="0.35">
      <c r="A746" s="138"/>
    </row>
    <row r="747" spans="1:1" x14ac:dyDescent="0.35">
      <c r="A747" s="138"/>
    </row>
    <row r="748" spans="1:1" x14ac:dyDescent="0.35">
      <c r="A748" s="138"/>
    </row>
    <row r="749" spans="1:1" x14ac:dyDescent="0.35">
      <c r="A749" s="138"/>
    </row>
    <row r="750" spans="1:1" x14ac:dyDescent="0.35">
      <c r="A750" s="138"/>
    </row>
    <row r="751" spans="1:1" x14ac:dyDescent="0.35">
      <c r="A751" s="138"/>
    </row>
    <row r="752" spans="1:1" x14ac:dyDescent="0.35">
      <c r="A752" s="138"/>
    </row>
    <row r="753" spans="1:1" x14ac:dyDescent="0.35">
      <c r="A753" s="138"/>
    </row>
    <row r="754" spans="1:1" x14ac:dyDescent="0.35">
      <c r="A754" s="138"/>
    </row>
    <row r="755" spans="1:1" x14ac:dyDescent="0.35">
      <c r="A755" s="138"/>
    </row>
    <row r="756" spans="1:1" x14ac:dyDescent="0.35">
      <c r="A756" s="138"/>
    </row>
    <row r="757" spans="1:1" x14ac:dyDescent="0.35">
      <c r="A757" s="138"/>
    </row>
    <row r="758" spans="1:1" x14ac:dyDescent="0.35">
      <c r="A758" s="138"/>
    </row>
    <row r="759" spans="1:1" x14ac:dyDescent="0.35">
      <c r="A759" s="138"/>
    </row>
    <row r="760" spans="1:1" x14ac:dyDescent="0.35">
      <c r="A760" s="138"/>
    </row>
    <row r="761" spans="1:1" x14ac:dyDescent="0.35">
      <c r="A761" s="138"/>
    </row>
    <row r="762" spans="1:1" x14ac:dyDescent="0.35">
      <c r="A762" s="138"/>
    </row>
    <row r="763" spans="1:1" x14ac:dyDescent="0.35">
      <c r="A763" s="138"/>
    </row>
    <row r="764" spans="1:1" x14ac:dyDescent="0.35">
      <c r="A764" s="138"/>
    </row>
    <row r="765" spans="1:1" x14ac:dyDescent="0.35">
      <c r="A765" s="138"/>
    </row>
    <row r="766" spans="1:1" x14ac:dyDescent="0.35">
      <c r="A766" s="138"/>
    </row>
    <row r="767" spans="1:1" x14ac:dyDescent="0.35">
      <c r="A767" s="138"/>
    </row>
    <row r="768" spans="1:1" x14ac:dyDescent="0.35">
      <c r="A768" s="138"/>
    </row>
    <row r="769" spans="1:1" x14ac:dyDescent="0.35">
      <c r="A769" s="138"/>
    </row>
    <row r="770" spans="1:1" x14ac:dyDescent="0.35">
      <c r="A770" s="138"/>
    </row>
    <row r="771" spans="1:1" x14ac:dyDescent="0.35">
      <c r="A771" s="138"/>
    </row>
    <row r="772" spans="1:1" x14ac:dyDescent="0.35">
      <c r="A772" s="138"/>
    </row>
    <row r="773" spans="1:1" x14ac:dyDescent="0.35">
      <c r="A773" s="138"/>
    </row>
    <row r="774" spans="1:1" x14ac:dyDescent="0.35">
      <c r="A774" s="138"/>
    </row>
    <row r="775" spans="1:1" x14ac:dyDescent="0.35">
      <c r="A775" s="138"/>
    </row>
    <row r="776" spans="1:1" x14ac:dyDescent="0.35">
      <c r="A776" s="138"/>
    </row>
    <row r="777" spans="1:1" x14ac:dyDescent="0.35">
      <c r="A777" s="138"/>
    </row>
    <row r="778" spans="1:1" x14ac:dyDescent="0.35">
      <c r="A778" s="138"/>
    </row>
    <row r="779" spans="1:1" x14ac:dyDescent="0.35">
      <c r="A779" s="138"/>
    </row>
    <row r="780" spans="1:1" x14ac:dyDescent="0.35">
      <c r="A780" s="138"/>
    </row>
    <row r="781" spans="1:1" x14ac:dyDescent="0.35">
      <c r="A781" s="138"/>
    </row>
    <row r="782" spans="1:1" x14ac:dyDescent="0.35">
      <c r="A782" s="138"/>
    </row>
    <row r="783" spans="1:1" x14ac:dyDescent="0.35">
      <c r="A783" s="138"/>
    </row>
    <row r="784" spans="1:1" x14ac:dyDescent="0.35">
      <c r="A784" s="138"/>
    </row>
    <row r="785" spans="1:1" x14ac:dyDescent="0.35">
      <c r="A785" s="138"/>
    </row>
    <row r="786" spans="1:1" x14ac:dyDescent="0.35">
      <c r="A786" s="138"/>
    </row>
    <row r="787" spans="1:1" x14ac:dyDescent="0.35">
      <c r="A787" s="138"/>
    </row>
    <row r="788" spans="1:1" x14ac:dyDescent="0.35">
      <c r="A788" s="138"/>
    </row>
    <row r="789" spans="1:1" x14ac:dyDescent="0.35">
      <c r="A789" s="138"/>
    </row>
    <row r="790" spans="1:1" x14ac:dyDescent="0.35">
      <c r="A790" s="138"/>
    </row>
    <row r="791" spans="1:1" x14ac:dyDescent="0.35">
      <c r="A791" s="138"/>
    </row>
    <row r="792" spans="1:1" x14ac:dyDescent="0.35">
      <c r="A792" s="138"/>
    </row>
    <row r="793" spans="1:1" x14ac:dyDescent="0.35">
      <c r="A793" s="138"/>
    </row>
    <row r="794" spans="1:1" x14ac:dyDescent="0.35">
      <c r="A794" s="138"/>
    </row>
    <row r="795" spans="1:1" x14ac:dyDescent="0.35">
      <c r="A795" s="138"/>
    </row>
    <row r="796" spans="1:1" x14ac:dyDescent="0.35">
      <c r="A796" s="138"/>
    </row>
    <row r="797" spans="1:1" x14ac:dyDescent="0.35">
      <c r="A797" s="138"/>
    </row>
    <row r="798" spans="1:1" x14ac:dyDescent="0.35">
      <c r="A798" s="138"/>
    </row>
    <row r="799" spans="1:1" x14ac:dyDescent="0.35">
      <c r="A799" s="138"/>
    </row>
    <row r="800" spans="1:1" x14ac:dyDescent="0.35">
      <c r="A800" s="138"/>
    </row>
    <row r="801" spans="1:1" x14ac:dyDescent="0.35">
      <c r="A801" s="138"/>
    </row>
    <row r="802" spans="1:1" x14ac:dyDescent="0.35">
      <c r="A802" s="138"/>
    </row>
    <row r="803" spans="1:1" x14ac:dyDescent="0.35">
      <c r="A803" s="138"/>
    </row>
    <row r="804" spans="1:1" x14ac:dyDescent="0.35">
      <c r="A804" s="138"/>
    </row>
    <row r="805" spans="1:1" x14ac:dyDescent="0.35">
      <c r="A805" s="138"/>
    </row>
    <row r="806" spans="1:1" x14ac:dyDescent="0.35">
      <c r="A806" s="138"/>
    </row>
    <row r="807" spans="1:1" x14ac:dyDescent="0.35">
      <c r="A807" s="138"/>
    </row>
    <row r="808" spans="1:1" x14ac:dyDescent="0.35">
      <c r="A808" s="138"/>
    </row>
    <row r="809" spans="1:1" x14ac:dyDescent="0.35">
      <c r="A809" s="138"/>
    </row>
    <row r="810" spans="1:1" x14ac:dyDescent="0.35">
      <c r="A810" s="138"/>
    </row>
    <row r="811" spans="1:1" x14ac:dyDescent="0.35">
      <c r="A811" s="138"/>
    </row>
    <row r="812" spans="1:1" x14ac:dyDescent="0.35">
      <c r="A812" s="138"/>
    </row>
    <row r="813" spans="1:1" x14ac:dyDescent="0.35">
      <c r="A813" s="138"/>
    </row>
    <row r="814" spans="1:1" x14ac:dyDescent="0.35">
      <c r="A814" s="138"/>
    </row>
    <row r="815" spans="1:1" x14ac:dyDescent="0.35">
      <c r="A815" s="138"/>
    </row>
    <row r="816" spans="1:1" x14ac:dyDescent="0.35">
      <c r="A816" s="138"/>
    </row>
    <row r="817" spans="1:1" x14ac:dyDescent="0.35">
      <c r="A817" s="138"/>
    </row>
    <row r="818" spans="1:1" x14ac:dyDescent="0.35">
      <c r="A818" s="138"/>
    </row>
    <row r="819" spans="1:1" x14ac:dyDescent="0.35">
      <c r="A819" s="138"/>
    </row>
    <row r="820" spans="1:1" x14ac:dyDescent="0.35">
      <c r="A820" s="138"/>
    </row>
    <row r="821" spans="1:1" x14ac:dyDescent="0.35">
      <c r="A821" s="138"/>
    </row>
    <row r="822" spans="1:1" x14ac:dyDescent="0.35">
      <c r="A822" s="138"/>
    </row>
    <row r="823" spans="1:1" x14ac:dyDescent="0.35">
      <c r="A823" s="138"/>
    </row>
    <row r="824" spans="1:1" x14ac:dyDescent="0.35">
      <c r="A824" s="138"/>
    </row>
    <row r="825" spans="1:1" x14ac:dyDescent="0.35">
      <c r="A825" s="138"/>
    </row>
    <row r="826" spans="1:1" x14ac:dyDescent="0.35">
      <c r="A826" s="138"/>
    </row>
    <row r="827" spans="1:1" x14ac:dyDescent="0.35">
      <c r="A827" s="138"/>
    </row>
    <row r="828" spans="1:1" x14ac:dyDescent="0.35">
      <c r="A828" s="138"/>
    </row>
    <row r="829" spans="1:1" x14ac:dyDescent="0.35">
      <c r="A829" s="138"/>
    </row>
    <row r="830" spans="1:1" x14ac:dyDescent="0.35">
      <c r="A830" s="138"/>
    </row>
    <row r="831" spans="1:1" x14ac:dyDescent="0.35">
      <c r="A831" s="138"/>
    </row>
    <row r="832" spans="1:1" x14ac:dyDescent="0.35">
      <c r="A832" s="138"/>
    </row>
    <row r="833" spans="1:1" x14ac:dyDescent="0.35">
      <c r="A833" s="138"/>
    </row>
    <row r="834" spans="1:1" x14ac:dyDescent="0.35">
      <c r="A834" s="138"/>
    </row>
    <row r="835" spans="1:1" x14ac:dyDescent="0.35">
      <c r="A835" s="138"/>
    </row>
    <row r="836" spans="1:1" x14ac:dyDescent="0.35">
      <c r="A836" s="138"/>
    </row>
    <row r="837" spans="1:1" x14ac:dyDescent="0.35">
      <c r="A837" s="138"/>
    </row>
    <row r="838" spans="1:1" x14ac:dyDescent="0.35">
      <c r="A838" s="138"/>
    </row>
    <row r="839" spans="1:1" x14ac:dyDescent="0.35">
      <c r="A839" s="138"/>
    </row>
    <row r="840" spans="1:1" x14ac:dyDescent="0.35">
      <c r="A840" s="138"/>
    </row>
    <row r="841" spans="1:1" x14ac:dyDescent="0.35">
      <c r="A841" s="138"/>
    </row>
    <row r="842" spans="1:1" x14ac:dyDescent="0.35">
      <c r="A842" s="138"/>
    </row>
    <row r="843" spans="1:1" x14ac:dyDescent="0.35">
      <c r="A843" s="138"/>
    </row>
    <row r="844" spans="1:1" x14ac:dyDescent="0.35">
      <c r="A844" s="138"/>
    </row>
    <row r="845" spans="1:1" x14ac:dyDescent="0.35">
      <c r="A845" s="138"/>
    </row>
    <row r="846" spans="1:1" x14ac:dyDescent="0.35">
      <c r="A846" s="138"/>
    </row>
    <row r="847" spans="1:1" x14ac:dyDescent="0.35">
      <c r="A847" s="138"/>
    </row>
    <row r="848" spans="1:1" x14ac:dyDescent="0.35">
      <c r="A848" s="138"/>
    </row>
    <row r="849" spans="1:1" x14ac:dyDescent="0.35">
      <c r="A849" s="138"/>
    </row>
    <row r="850" spans="1:1" x14ac:dyDescent="0.35">
      <c r="A850" s="138"/>
    </row>
    <row r="851" spans="1:1" x14ac:dyDescent="0.35">
      <c r="A851" s="138"/>
    </row>
    <row r="852" spans="1:1" x14ac:dyDescent="0.35">
      <c r="A852" s="138"/>
    </row>
    <row r="853" spans="1:1" x14ac:dyDescent="0.35">
      <c r="A853" s="138"/>
    </row>
    <row r="854" spans="1:1" x14ac:dyDescent="0.35">
      <c r="A854" s="138"/>
    </row>
    <row r="855" spans="1:1" x14ac:dyDescent="0.35">
      <c r="A855" s="138"/>
    </row>
    <row r="856" spans="1:1" x14ac:dyDescent="0.35">
      <c r="A856" s="138"/>
    </row>
    <row r="857" spans="1:1" x14ac:dyDescent="0.35">
      <c r="A857" s="138"/>
    </row>
    <row r="858" spans="1:1" x14ac:dyDescent="0.35">
      <c r="A858" s="138"/>
    </row>
    <row r="859" spans="1:1" x14ac:dyDescent="0.35">
      <c r="A859" s="138"/>
    </row>
    <row r="860" spans="1:1" x14ac:dyDescent="0.35">
      <c r="A860" s="138"/>
    </row>
    <row r="861" spans="1:1" x14ac:dyDescent="0.35">
      <c r="A861" s="138"/>
    </row>
    <row r="862" spans="1:1" x14ac:dyDescent="0.35">
      <c r="A862" s="138"/>
    </row>
    <row r="863" spans="1:1" x14ac:dyDescent="0.35">
      <c r="A863" s="138"/>
    </row>
    <row r="864" spans="1:1" x14ac:dyDescent="0.35">
      <c r="A864" s="138"/>
    </row>
    <row r="865" spans="1:1" x14ac:dyDescent="0.35">
      <c r="A865" s="138"/>
    </row>
    <row r="866" spans="1:1" x14ac:dyDescent="0.35">
      <c r="A866" s="138"/>
    </row>
    <row r="867" spans="1:1" x14ac:dyDescent="0.35">
      <c r="A867" s="138"/>
    </row>
    <row r="868" spans="1:1" x14ac:dyDescent="0.35">
      <c r="A868" s="138"/>
    </row>
    <row r="869" spans="1:1" x14ac:dyDescent="0.35">
      <c r="A869" s="138"/>
    </row>
    <row r="870" spans="1:1" x14ac:dyDescent="0.35">
      <c r="A870" s="138"/>
    </row>
    <row r="871" spans="1:1" x14ac:dyDescent="0.35">
      <c r="A871" s="138"/>
    </row>
    <row r="872" spans="1:1" x14ac:dyDescent="0.35">
      <c r="A872" s="138"/>
    </row>
    <row r="873" spans="1:1" x14ac:dyDescent="0.35">
      <c r="A873" s="138"/>
    </row>
    <row r="874" spans="1:1" x14ac:dyDescent="0.35">
      <c r="A874" s="138"/>
    </row>
    <row r="875" spans="1:1" x14ac:dyDescent="0.35">
      <c r="A875" s="138"/>
    </row>
    <row r="876" spans="1:1" x14ac:dyDescent="0.35">
      <c r="A876" s="138"/>
    </row>
    <row r="877" spans="1:1" x14ac:dyDescent="0.35">
      <c r="A877" s="138"/>
    </row>
    <row r="878" spans="1:1" x14ac:dyDescent="0.35">
      <c r="A878" s="138"/>
    </row>
    <row r="879" spans="1:1" x14ac:dyDescent="0.35">
      <c r="A879" s="138"/>
    </row>
    <row r="880" spans="1:1" x14ac:dyDescent="0.35">
      <c r="A880" s="138"/>
    </row>
    <row r="881" spans="1:1" x14ac:dyDescent="0.35">
      <c r="A881" s="138"/>
    </row>
    <row r="882" spans="1:1" x14ac:dyDescent="0.35">
      <c r="A882" s="138"/>
    </row>
    <row r="883" spans="1:1" x14ac:dyDescent="0.35">
      <c r="A883" s="138"/>
    </row>
    <row r="884" spans="1:1" x14ac:dyDescent="0.35">
      <c r="A884" s="138"/>
    </row>
    <row r="885" spans="1:1" x14ac:dyDescent="0.35">
      <c r="A885" s="138"/>
    </row>
    <row r="886" spans="1:1" x14ac:dyDescent="0.35">
      <c r="A886" s="138"/>
    </row>
    <row r="887" spans="1:1" x14ac:dyDescent="0.35">
      <c r="A887" s="138"/>
    </row>
    <row r="888" spans="1:1" x14ac:dyDescent="0.35">
      <c r="A888" s="138"/>
    </row>
    <row r="889" spans="1:1" x14ac:dyDescent="0.35">
      <c r="A889" s="138"/>
    </row>
    <row r="890" spans="1:1" x14ac:dyDescent="0.35">
      <c r="A890" s="138"/>
    </row>
    <row r="891" spans="1:1" x14ac:dyDescent="0.35">
      <c r="A891" s="138"/>
    </row>
    <row r="892" spans="1:1" x14ac:dyDescent="0.35">
      <c r="A892" s="138"/>
    </row>
    <row r="893" spans="1:1" x14ac:dyDescent="0.35">
      <c r="A893" s="138"/>
    </row>
    <row r="894" spans="1:1" x14ac:dyDescent="0.35">
      <c r="A894" s="138"/>
    </row>
    <row r="895" spans="1:1" x14ac:dyDescent="0.35">
      <c r="A895" s="138"/>
    </row>
    <row r="896" spans="1:1" x14ac:dyDescent="0.35">
      <c r="A896" s="138"/>
    </row>
    <row r="897" spans="1:1" x14ac:dyDescent="0.35">
      <c r="A897" s="138"/>
    </row>
    <row r="898" spans="1:1" x14ac:dyDescent="0.35">
      <c r="A898" s="138"/>
    </row>
    <row r="899" spans="1:1" x14ac:dyDescent="0.35">
      <c r="A899" s="138"/>
    </row>
    <row r="900" spans="1:1" x14ac:dyDescent="0.35">
      <c r="A900" s="138"/>
    </row>
    <row r="901" spans="1:1" x14ac:dyDescent="0.35">
      <c r="A901" s="138"/>
    </row>
    <row r="902" spans="1:1" x14ac:dyDescent="0.35">
      <c r="A902" s="138"/>
    </row>
    <row r="903" spans="1:1" x14ac:dyDescent="0.35">
      <c r="A903" s="138"/>
    </row>
    <row r="904" spans="1:1" x14ac:dyDescent="0.35">
      <c r="A904" s="138"/>
    </row>
    <row r="905" spans="1:1" x14ac:dyDescent="0.35">
      <c r="A905" s="138"/>
    </row>
    <row r="906" spans="1:1" x14ac:dyDescent="0.35">
      <c r="A906" s="138"/>
    </row>
    <row r="907" spans="1:1" x14ac:dyDescent="0.35">
      <c r="A907" s="138"/>
    </row>
    <row r="908" spans="1:1" x14ac:dyDescent="0.35">
      <c r="A908" s="138"/>
    </row>
    <row r="909" spans="1:1" x14ac:dyDescent="0.35">
      <c r="A909" s="138"/>
    </row>
    <row r="910" spans="1:1" x14ac:dyDescent="0.35">
      <c r="A910" s="138"/>
    </row>
    <row r="911" spans="1:1" x14ac:dyDescent="0.35">
      <c r="A911" s="138"/>
    </row>
    <row r="912" spans="1:1" x14ac:dyDescent="0.35">
      <c r="A912" s="138"/>
    </row>
    <row r="913" spans="1:1" x14ac:dyDescent="0.35">
      <c r="A913" s="138"/>
    </row>
    <row r="914" spans="1:1" x14ac:dyDescent="0.35">
      <c r="A914" s="138"/>
    </row>
    <row r="915" spans="1:1" x14ac:dyDescent="0.35">
      <c r="A915" s="138"/>
    </row>
    <row r="916" spans="1:1" x14ac:dyDescent="0.35">
      <c r="A916" s="138"/>
    </row>
    <row r="917" spans="1:1" x14ac:dyDescent="0.35">
      <c r="A917" s="138"/>
    </row>
    <row r="918" spans="1:1" x14ac:dyDescent="0.35">
      <c r="A918" s="138"/>
    </row>
    <row r="919" spans="1:1" x14ac:dyDescent="0.35">
      <c r="A919" s="138"/>
    </row>
    <row r="920" spans="1:1" x14ac:dyDescent="0.35">
      <c r="A920" s="138"/>
    </row>
    <row r="921" spans="1:1" x14ac:dyDescent="0.35">
      <c r="A921" s="138"/>
    </row>
    <row r="922" spans="1:1" x14ac:dyDescent="0.35">
      <c r="A922" s="138"/>
    </row>
    <row r="923" spans="1:1" x14ac:dyDescent="0.35">
      <c r="A923" s="138"/>
    </row>
    <row r="924" spans="1:1" x14ac:dyDescent="0.35">
      <c r="A924" s="138"/>
    </row>
    <row r="925" spans="1:1" x14ac:dyDescent="0.35">
      <c r="A925" s="138"/>
    </row>
    <row r="926" spans="1:1" x14ac:dyDescent="0.35">
      <c r="A926" s="138"/>
    </row>
    <row r="927" spans="1:1" x14ac:dyDescent="0.35">
      <c r="A927" s="138"/>
    </row>
    <row r="928" spans="1:1" x14ac:dyDescent="0.35">
      <c r="A928" s="138"/>
    </row>
    <row r="929" spans="1:1" x14ac:dyDescent="0.35">
      <c r="A929" s="138"/>
    </row>
    <row r="930" spans="1:1" x14ac:dyDescent="0.35">
      <c r="A930" s="138"/>
    </row>
    <row r="931" spans="1:1" x14ac:dyDescent="0.35">
      <c r="A931" s="138"/>
    </row>
    <row r="932" spans="1:1" x14ac:dyDescent="0.35">
      <c r="A932" s="138"/>
    </row>
    <row r="933" spans="1:1" x14ac:dyDescent="0.35">
      <c r="A933" s="138"/>
    </row>
    <row r="934" spans="1:1" x14ac:dyDescent="0.35">
      <c r="A934" s="138"/>
    </row>
    <row r="935" spans="1:1" x14ac:dyDescent="0.35">
      <c r="A935" s="138"/>
    </row>
    <row r="936" spans="1:1" x14ac:dyDescent="0.35">
      <c r="A936" s="138"/>
    </row>
    <row r="937" spans="1:1" x14ac:dyDescent="0.35">
      <c r="A937" s="138"/>
    </row>
    <row r="938" spans="1:1" x14ac:dyDescent="0.35">
      <c r="A938" s="138"/>
    </row>
    <row r="939" spans="1:1" x14ac:dyDescent="0.35">
      <c r="A939" s="138"/>
    </row>
    <row r="940" spans="1:1" x14ac:dyDescent="0.35">
      <c r="A940" s="138"/>
    </row>
    <row r="941" spans="1:1" x14ac:dyDescent="0.35">
      <c r="A941" s="138"/>
    </row>
    <row r="942" spans="1:1" x14ac:dyDescent="0.35">
      <c r="A942" s="138"/>
    </row>
    <row r="943" spans="1:1" x14ac:dyDescent="0.35">
      <c r="A943" s="138"/>
    </row>
    <row r="944" spans="1:1" x14ac:dyDescent="0.35">
      <c r="A944" s="138"/>
    </row>
    <row r="945" spans="1:1" x14ac:dyDescent="0.35">
      <c r="A945" s="138"/>
    </row>
    <row r="946" spans="1:1" x14ac:dyDescent="0.35">
      <c r="A946" s="138"/>
    </row>
    <row r="947" spans="1:1" x14ac:dyDescent="0.35">
      <c r="A947" s="138"/>
    </row>
    <row r="948" spans="1:1" x14ac:dyDescent="0.35">
      <c r="A948" s="138"/>
    </row>
    <row r="949" spans="1:1" x14ac:dyDescent="0.35">
      <c r="A949" s="138"/>
    </row>
    <row r="950" spans="1:1" x14ac:dyDescent="0.35">
      <c r="A950" s="138"/>
    </row>
    <row r="951" spans="1:1" x14ac:dyDescent="0.35">
      <c r="A951" s="138"/>
    </row>
    <row r="952" spans="1:1" x14ac:dyDescent="0.35">
      <c r="A952" s="138"/>
    </row>
    <row r="953" spans="1:1" x14ac:dyDescent="0.35">
      <c r="A953" s="138"/>
    </row>
    <row r="954" spans="1:1" x14ac:dyDescent="0.35">
      <c r="A954" s="138"/>
    </row>
    <row r="955" spans="1:1" x14ac:dyDescent="0.35">
      <c r="A955" s="138"/>
    </row>
    <row r="956" spans="1:1" x14ac:dyDescent="0.35">
      <c r="A956" s="138"/>
    </row>
    <row r="957" spans="1:1" x14ac:dyDescent="0.35">
      <c r="A957" s="138"/>
    </row>
    <row r="958" spans="1:1" x14ac:dyDescent="0.35">
      <c r="A958" s="138"/>
    </row>
    <row r="959" spans="1:1" x14ac:dyDescent="0.35">
      <c r="A959" s="138"/>
    </row>
    <row r="960" spans="1:1" x14ac:dyDescent="0.35">
      <c r="A960" s="138"/>
    </row>
    <row r="961" spans="1:1" x14ac:dyDescent="0.35">
      <c r="A961" s="138"/>
    </row>
    <row r="962" spans="1:1" x14ac:dyDescent="0.35">
      <c r="A962" s="138"/>
    </row>
    <row r="963" spans="1:1" x14ac:dyDescent="0.35">
      <c r="A963" s="138"/>
    </row>
    <row r="964" spans="1:1" x14ac:dyDescent="0.35">
      <c r="A964" s="138"/>
    </row>
    <row r="965" spans="1:1" x14ac:dyDescent="0.35">
      <c r="A965" s="138"/>
    </row>
    <row r="966" spans="1:1" x14ac:dyDescent="0.35">
      <c r="A966" s="138"/>
    </row>
    <row r="967" spans="1:1" x14ac:dyDescent="0.35">
      <c r="A967" s="138"/>
    </row>
    <row r="968" spans="1:1" x14ac:dyDescent="0.35">
      <c r="A968" s="138"/>
    </row>
    <row r="969" spans="1:1" x14ac:dyDescent="0.35">
      <c r="A969" s="138"/>
    </row>
    <row r="970" spans="1:1" x14ac:dyDescent="0.35">
      <c r="A970" s="138"/>
    </row>
    <row r="971" spans="1:1" x14ac:dyDescent="0.35">
      <c r="A971" s="138"/>
    </row>
    <row r="972" spans="1:1" x14ac:dyDescent="0.35">
      <c r="A972" s="138"/>
    </row>
    <row r="973" spans="1:1" x14ac:dyDescent="0.35">
      <c r="A973" s="138"/>
    </row>
    <row r="974" spans="1:1" x14ac:dyDescent="0.35">
      <c r="A974" s="138"/>
    </row>
    <row r="975" spans="1:1" x14ac:dyDescent="0.35">
      <c r="A975" s="138"/>
    </row>
    <row r="976" spans="1:1" x14ac:dyDescent="0.35">
      <c r="A976" s="138"/>
    </row>
    <row r="977" spans="1:1" x14ac:dyDescent="0.35">
      <c r="A977" s="138"/>
    </row>
    <row r="978" spans="1:1" x14ac:dyDescent="0.35">
      <c r="A978" s="138"/>
    </row>
    <row r="979" spans="1:1" x14ac:dyDescent="0.35">
      <c r="A979" s="138"/>
    </row>
    <row r="980" spans="1:1" x14ac:dyDescent="0.35">
      <c r="A980" s="138"/>
    </row>
    <row r="981" spans="1:1" x14ac:dyDescent="0.35">
      <c r="A981" s="138"/>
    </row>
    <row r="982" spans="1:1" x14ac:dyDescent="0.35">
      <c r="A982" s="138"/>
    </row>
    <row r="983" spans="1:1" x14ac:dyDescent="0.35">
      <c r="A983" s="138"/>
    </row>
    <row r="984" spans="1:1" x14ac:dyDescent="0.35">
      <c r="A984" s="138"/>
    </row>
    <row r="985" spans="1:1" x14ac:dyDescent="0.35">
      <c r="A985" s="138"/>
    </row>
    <row r="986" spans="1:1" x14ac:dyDescent="0.35">
      <c r="A986" s="138"/>
    </row>
    <row r="987" spans="1:1" x14ac:dyDescent="0.35">
      <c r="A987" s="138"/>
    </row>
    <row r="988" spans="1:1" x14ac:dyDescent="0.35">
      <c r="A988" s="138"/>
    </row>
    <row r="989" spans="1:1" x14ac:dyDescent="0.35">
      <c r="A989" s="138"/>
    </row>
    <row r="990" spans="1:1" x14ac:dyDescent="0.35">
      <c r="A990" s="138"/>
    </row>
    <row r="991" spans="1:1" x14ac:dyDescent="0.35">
      <c r="A991" s="138"/>
    </row>
    <row r="992" spans="1:1" x14ac:dyDescent="0.35">
      <c r="A992" s="138"/>
    </row>
    <row r="993" spans="1:1" x14ac:dyDescent="0.35">
      <c r="A993" s="138"/>
    </row>
    <row r="994" spans="1:1" x14ac:dyDescent="0.35">
      <c r="A994" s="138"/>
    </row>
    <row r="995" spans="1:1" x14ac:dyDescent="0.35">
      <c r="A995" s="138"/>
    </row>
    <row r="996" spans="1:1" x14ac:dyDescent="0.35">
      <c r="A996" s="138"/>
    </row>
    <row r="997" spans="1:1" x14ac:dyDescent="0.35">
      <c r="A997" s="138"/>
    </row>
    <row r="998" spans="1:1" x14ac:dyDescent="0.35">
      <c r="A998" s="138"/>
    </row>
    <row r="999" spans="1:1" x14ac:dyDescent="0.35">
      <c r="A999" s="138"/>
    </row>
    <row r="1000" spans="1:1" x14ac:dyDescent="0.35">
      <c r="A1000" s="138"/>
    </row>
    <row r="1001" spans="1:1" x14ac:dyDescent="0.35">
      <c r="A1001" s="138"/>
    </row>
    <row r="1002" spans="1:1" x14ac:dyDescent="0.35">
      <c r="A1002" s="138"/>
    </row>
    <row r="1003" spans="1:1" x14ac:dyDescent="0.35">
      <c r="A1003" s="138"/>
    </row>
    <row r="1004" spans="1:1" x14ac:dyDescent="0.35">
      <c r="A1004" s="138"/>
    </row>
    <row r="1005" spans="1:1" x14ac:dyDescent="0.35">
      <c r="A1005" s="138"/>
    </row>
    <row r="1006" spans="1:1" x14ac:dyDescent="0.35">
      <c r="A1006" s="138"/>
    </row>
    <row r="1007" spans="1:1" x14ac:dyDescent="0.35">
      <c r="A1007" s="138"/>
    </row>
    <row r="1008" spans="1:1" x14ac:dyDescent="0.35">
      <c r="A1008" s="138"/>
    </row>
    <row r="1009" spans="1:1" x14ac:dyDescent="0.35">
      <c r="A1009" s="138"/>
    </row>
    <row r="1010" spans="1:1" x14ac:dyDescent="0.35">
      <c r="A1010" s="138"/>
    </row>
    <row r="1011" spans="1:1" x14ac:dyDescent="0.35">
      <c r="A1011" s="138"/>
    </row>
    <row r="1012" spans="1:1" x14ac:dyDescent="0.35">
      <c r="A1012" s="138"/>
    </row>
    <row r="1013" spans="1:1" x14ac:dyDescent="0.35">
      <c r="A1013" s="138"/>
    </row>
    <row r="1014" spans="1:1" x14ac:dyDescent="0.35">
      <c r="A1014" s="138"/>
    </row>
    <row r="1015" spans="1:1" x14ac:dyDescent="0.35">
      <c r="A1015" s="138"/>
    </row>
    <row r="1016" spans="1:1" x14ac:dyDescent="0.35">
      <c r="A1016" s="138"/>
    </row>
    <row r="1017" spans="1:1" x14ac:dyDescent="0.35">
      <c r="A1017" s="138"/>
    </row>
    <row r="1018" spans="1:1" x14ac:dyDescent="0.35">
      <c r="A1018" s="138"/>
    </row>
    <row r="1019" spans="1:1" x14ac:dyDescent="0.35">
      <c r="A1019" s="138"/>
    </row>
    <row r="1020" spans="1:1" x14ac:dyDescent="0.35">
      <c r="A1020" s="138"/>
    </row>
    <row r="1021" spans="1:1" x14ac:dyDescent="0.35">
      <c r="A1021" s="138"/>
    </row>
    <row r="1022" spans="1:1" x14ac:dyDescent="0.35">
      <c r="A1022" s="138"/>
    </row>
    <row r="1023" spans="1:1" x14ac:dyDescent="0.35">
      <c r="A1023" s="138"/>
    </row>
    <row r="1024" spans="1:1" x14ac:dyDescent="0.35">
      <c r="A1024" s="138"/>
    </row>
    <row r="1025" spans="1:1" x14ac:dyDescent="0.35">
      <c r="A1025" s="138"/>
    </row>
    <row r="1026" spans="1:1" x14ac:dyDescent="0.35">
      <c r="A1026" s="138"/>
    </row>
    <row r="1027" spans="1:1" x14ac:dyDescent="0.35">
      <c r="A1027" s="138"/>
    </row>
    <row r="1028" spans="1:1" x14ac:dyDescent="0.35">
      <c r="A1028" s="138"/>
    </row>
    <row r="1029" spans="1:1" x14ac:dyDescent="0.35">
      <c r="A1029" s="138"/>
    </row>
    <row r="1030" spans="1:1" x14ac:dyDescent="0.35">
      <c r="A1030" s="138"/>
    </row>
    <row r="1031" spans="1:1" x14ac:dyDescent="0.35">
      <c r="A1031" s="138"/>
    </row>
    <row r="1032" spans="1:1" x14ac:dyDescent="0.35">
      <c r="A1032" s="138"/>
    </row>
    <row r="1033" spans="1:1" x14ac:dyDescent="0.35">
      <c r="A1033" s="138"/>
    </row>
    <row r="1034" spans="1:1" x14ac:dyDescent="0.35">
      <c r="A1034" s="138"/>
    </row>
    <row r="1035" spans="1:1" x14ac:dyDescent="0.35">
      <c r="A1035" s="138"/>
    </row>
    <row r="1036" spans="1:1" x14ac:dyDescent="0.35">
      <c r="A1036" s="138"/>
    </row>
    <row r="1037" spans="1:1" x14ac:dyDescent="0.35">
      <c r="A1037" s="138"/>
    </row>
    <row r="1038" spans="1:1" x14ac:dyDescent="0.35">
      <c r="A1038" s="138"/>
    </row>
    <row r="1039" spans="1:1" x14ac:dyDescent="0.35">
      <c r="A1039" s="138"/>
    </row>
    <row r="1040" spans="1:1" x14ac:dyDescent="0.35">
      <c r="A1040" s="138"/>
    </row>
    <row r="1041" spans="1:1" x14ac:dyDescent="0.35">
      <c r="A1041" s="138"/>
    </row>
    <row r="1042" spans="1:1" x14ac:dyDescent="0.35">
      <c r="A1042" s="138"/>
    </row>
    <row r="1043" spans="1:1" x14ac:dyDescent="0.35">
      <c r="A1043" s="138"/>
    </row>
    <row r="1044" spans="1:1" x14ac:dyDescent="0.35">
      <c r="A1044" s="138"/>
    </row>
    <row r="1045" spans="1:1" x14ac:dyDescent="0.35">
      <c r="A1045" s="138"/>
    </row>
    <row r="1046" spans="1:1" x14ac:dyDescent="0.35">
      <c r="A1046" s="138"/>
    </row>
    <row r="1047" spans="1:1" x14ac:dyDescent="0.35">
      <c r="A1047" s="138"/>
    </row>
    <row r="1048" spans="1:1" x14ac:dyDescent="0.35">
      <c r="A1048" s="138"/>
    </row>
    <row r="1049" spans="1:1" x14ac:dyDescent="0.35">
      <c r="A1049" s="138"/>
    </row>
    <row r="1050" spans="1:1" x14ac:dyDescent="0.35">
      <c r="A1050" s="138"/>
    </row>
    <row r="1051" spans="1:1" x14ac:dyDescent="0.35">
      <c r="A1051" s="138"/>
    </row>
    <row r="1052" spans="1:1" x14ac:dyDescent="0.35">
      <c r="A1052" s="138"/>
    </row>
    <row r="1053" spans="1:1" x14ac:dyDescent="0.35">
      <c r="A1053" s="138"/>
    </row>
    <row r="1054" spans="1:1" x14ac:dyDescent="0.35">
      <c r="A1054" s="138"/>
    </row>
    <row r="1055" spans="1:1" x14ac:dyDescent="0.35">
      <c r="A1055" s="138"/>
    </row>
    <row r="1056" spans="1:1" x14ac:dyDescent="0.35">
      <c r="A1056" s="138"/>
    </row>
    <row r="1057" spans="1:1" x14ac:dyDescent="0.35">
      <c r="A1057" s="138"/>
    </row>
    <row r="1058" spans="1:1" x14ac:dyDescent="0.35">
      <c r="A1058" s="138"/>
    </row>
    <row r="1059" spans="1:1" x14ac:dyDescent="0.35">
      <c r="A1059" s="138"/>
    </row>
    <row r="1060" spans="1:1" x14ac:dyDescent="0.35">
      <c r="A1060" s="138"/>
    </row>
    <row r="1061" spans="1:1" x14ac:dyDescent="0.35">
      <c r="A1061" s="138"/>
    </row>
    <row r="1062" spans="1:1" x14ac:dyDescent="0.35">
      <c r="A1062" s="138"/>
    </row>
    <row r="1063" spans="1:1" x14ac:dyDescent="0.35">
      <c r="A1063" s="138"/>
    </row>
    <row r="1064" spans="1:1" x14ac:dyDescent="0.35">
      <c r="A1064" s="138"/>
    </row>
    <row r="1065" spans="1:1" x14ac:dyDescent="0.35">
      <c r="A1065" s="138"/>
    </row>
    <row r="1066" spans="1:1" x14ac:dyDescent="0.35">
      <c r="A1066" s="138"/>
    </row>
    <row r="1067" spans="1:1" x14ac:dyDescent="0.35">
      <c r="A1067" s="138"/>
    </row>
    <row r="1068" spans="1:1" x14ac:dyDescent="0.35">
      <c r="A1068" s="138"/>
    </row>
    <row r="1069" spans="1:1" x14ac:dyDescent="0.35">
      <c r="A1069" s="138"/>
    </row>
    <row r="1070" spans="1:1" x14ac:dyDescent="0.35">
      <c r="A1070" s="138"/>
    </row>
    <row r="1071" spans="1:1" x14ac:dyDescent="0.35">
      <c r="A1071" s="138"/>
    </row>
    <row r="1072" spans="1:1" x14ac:dyDescent="0.35">
      <c r="A1072" s="138"/>
    </row>
    <row r="1073" spans="1:1" x14ac:dyDescent="0.35">
      <c r="A1073" s="138"/>
    </row>
    <row r="1074" spans="1:1" x14ac:dyDescent="0.35">
      <c r="A1074" s="138"/>
    </row>
    <row r="1075" spans="1:1" x14ac:dyDescent="0.35">
      <c r="A1075" s="138"/>
    </row>
    <row r="1076" spans="1:1" x14ac:dyDescent="0.35">
      <c r="A1076" s="138"/>
    </row>
    <row r="1077" spans="1:1" x14ac:dyDescent="0.35">
      <c r="A1077" s="138"/>
    </row>
    <row r="1078" spans="1:1" x14ac:dyDescent="0.35">
      <c r="A1078" s="138"/>
    </row>
    <row r="1079" spans="1:1" x14ac:dyDescent="0.35">
      <c r="A1079" s="138"/>
    </row>
    <row r="1080" spans="1:1" x14ac:dyDescent="0.35">
      <c r="A1080" s="138"/>
    </row>
    <row r="1081" spans="1:1" x14ac:dyDescent="0.35">
      <c r="A1081" s="138"/>
    </row>
    <row r="1082" spans="1:1" x14ac:dyDescent="0.35">
      <c r="A1082" s="138"/>
    </row>
    <row r="1083" spans="1:1" x14ac:dyDescent="0.35">
      <c r="A1083" s="138"/>
    </row>
    <row r="1084" spans="1:1" x14ac:dyDescent="0.35">
      <c r="A1084" s="138"/>
    </row>
    <row r="1085" spans="1:1" x14ac:dyDescent="0.35">
      <c r="A1085" s="138"/>
    </row>
    <row r="1086" spans="1:1" x14ac:dyDescent="0.35">
      <c r="A1086" s="138"/>
    </row>
    <row r="1087" spans="1:1" x14ac:dyDescent="0.35">
      <c r="A1087" s="138"/>
    </row>
    <row r="1088" spans="1:1" x14ac:dyDescent="0.35">
      <c r="A1088" s="138"/>
    </row>
    <row r="1089" spans="1:1" x14ac:dyDescent="0.35">
      <c r="A1089" s="138"/>
    </row>
    <row r="1090" spans="1:1" x14ac:dyDescent="0.35">
      <c r="A1090" s="138"/>
    </row>
    <row r="1091" spans="1:1" x14ac:dyDescent="0.35">
      <c r="A1091" s="138"/>
    </row>
    <row r="1092" spans="1:1" x14ac:dyDescent="0.35">
      <c r="A1092" s="138"/>
    </row>
    <row r="1093" spans="1:1" x14ac:dyDescent="0.35">
      <c r="A1093" s="138"/>
    </row>
    <row r="1094" spans="1:1" x14ac:dyDescent="0.35">
      <c r="A1094" s="138"/>
    </row>
    <row r="1095" spans="1:1" x14ac:dyDescent="0.35">
      <c r="A1095" s="138"/>
    </row>
    <row r="1096" spans="1:1" x14ac:dyDescent="0.35">
      <c r="A1096" s="138"/>
    </row>
    <row r="1097" spans="1:1" x14ac:dyDescent="0.35">
      <c r="A1097" s="138"/>
    </row>
    <row r="1098" spans="1:1" x14ac:dyDescent="0.35">
      <c r="A1098" s="138"/>
    </row>
    <row r="1099" spans="1:1" x14ac:dyDescent="0.35">
      <c r="A1099" s="138"/>
    </row>
    <row r="1100" spans="1:1" x14ac:dyDescent="0.35">
      <c r="A1100" s="138"/>
    </row>
    <row r="1101" spans="1:1" x14ac:dyDescent="0.35">
      <c r="A1101" s="138"/>
    </row>
    <row r="1102" spans="1:1" x14ac:dyDescent="0.35">
      <c r="A1102" s="138"/>
    </row>
    <row r="1103" spans="1:1" x14ac:dyDescent="0.35">
      <c r="A1103" s="138"/>
    </row>
    <row r="1104" spans="1:1" x14ac:dyDescent="0.35">
      <c r="A1104" s="138"/>
    </row>
    <row r="1105" spans="1:1" x14ac:dyDescent="0.35">
      <c r="A1105" s="138"/>
    </row>
    <row r="1106" spans="1:1" x14ac:dyDescent="0.35">
      <c r="A1106" s="138"/>
    </row>
    <row r="1107" spans="1:1" x14ac:dyDescent="0.35">
      <c r="A1107" s="138"/>
    </row>
    <row r="1108" spans="1:1" x14ac:dyDescent="0.35">
      <c r="A1108" s="138"/>
    </row>
    <row r="1109" spans="1:1" x14ac:dyDescent="0.35">
      <c r="A1109" s="138"/>
    </row>
    <row r="1110" spans="1:1" x14ac:dyDescent="0.35">
      <c r="A1110" s="138"/>
    </row>
    <row r="1111" spans="1:1" x14ac:dyDescent="0.35">
      <c r="A1111" s="138"/>
    </row>
    <row r="1112" spans="1:1" x14ac:dyDescent="0.35">
      <c r="A1112" s="138"/>
    </row>
    <row r="1113" spans="1:1" x14ac:dyDescent="0.35">
      <c r="A1113" s="138"/>
    </row>
    <row r="1114" spans="1:1" x14ac:dyDescent="0.35">
      <c r="A1114" s="138"/>
    </row>
    <row r="1115" spans="1:1" x14ac:dyDescent="0.35">
      <c r="A1115" s="138"/>
    </row>
    <row r="1116" spans="1:1" x14ac:dyDescent="0.35">
      <c r="A1116" s="138"/>
    </row>
    <row r="1117" spans="1:1" x14ac:dyDescent="0.35">
      <c r="A1117" s="138"/>
    </row>
    <row r="1118" spans="1:1" x14ac:dyDescent="0.35">
      <c r="A1118" s="138"/>
    </row>
    <row r="1119" spans="1:1" x14ac:dyDescent="0.35">
      <c r="A1119" s="138"/>
    </row>
    <row r="1120" spans="1:1" x14ac:dyDescent="0.35">
      <c r="A1120" s="138"/>
    </row>
    <row r="1121" spans="1:1" x14ac:dyDescent="0.35">
      <c r="A1121" s="138"/>
    </row>
    <row r="1122" spans="1:1" x14ac:dyDescent="0.35">
      <c r="A1122" s="138"/>
    </row>
    <row r="1123" spans="1:1" x14ac:dyDescent="0.35">
      <c r="A1123" s="138"/>
    </row>
    <row r="1124" spans="1:1" x14ac:dyDescent="0.35">
      <c r="A1124" s="138"/>
    </row>
    <row r="1125" spans="1:1" x14ac:dyDescent="0.35">
      <c r="A1125" s="138"/>
    </row>
    <row r="1126" spans="1:1" x14ac:dyDescent="0.35">
      <c r="A1126" s="138"/>
    </row>
    <row r="1127" spans="1:1" x14ac:dyDescent="0.35">
      <c r="A1127" s="138"/>
    </row>
    <row r="1128" spans="1:1" x14ac:dyDescent="0.35">
      <c r="A1128" s="138"/>
    </row>
    <row r="1129" spans="1:1" x14ac:dyDescent="0.35">
      <c r="A1129" s="138"/>
    </row>
    <row r="1130" spans="1:1" x14ac:dyDescent="0.35">
      <c r="A1130" s="138"/>
    </row>
    <row r="1131" spans="1:1" x14ac:dyDescent="0.35">
      <c r="A1131" s="138"/>
    </row>
    <row r="1132" spans="1:1" x14ac:dyDescent="0.35">
      <c r="A1132" s="138"/>
    </row>
    <row r="1133" spans="1:1" x14ac:dyDescent="0.35">
      <c r="A1133" s="138"/>
    </row>
    <row r="1134" spans="1:1" x14ac:dyDescent="0.35">
      <c r="A1134" s="138"/>
    </row>
    <row r="1135" spans="1:1" x14ac:dyDescent="0.35">
      <c r="A1135" s="138"/>
    </row>
    <row r="1136" spans="1:1" x14ac:dyDescent="0.35">
      <c r="A1136" s="138"/>
    </row>
    <row r="1137" spans="1:1" x14ac:dyDescent="0.35">
      <c r="A1137" s="138"/>
    </row>
    <row r="1138" spans="1:1" x14ac:dyDescent="0.35">
      <c r="A1138" s="138"/>
    </row>
    <row r="1139" spans="1:1" x14ac:dyDescent="0.35">
      <c r="A1139" s="138"/>
    </row>
    <row r="1140" spans="1:1" x14ac:dyDescent="0.35">
      <c r="A1140" s="138"/>
    </row>
    <row r="1141" spans="1:1" x14ac:dyDescent="0.35">
      <c r="A1141" s="138"/>
    </row>
    <row r="1142" spans="1:1" x14ac:dyDescent="0.35">
      <c r="A1142" s="138"/>
    </row>
    <row r="1143" spans="1:1" x14ac:dyDescent="0.35">
      <c r="A1143" s="138"/>
    </row>
    <row r="1144" spans="1:1" x14ac:dyDescent="0.35">
      <c r="A1144" s="138"/>
    </row>
    <row r="1145" spans="1:1" x14ac:dyDescent="0.35">
      <c r="A1145" s="138"/>
    </row>
    <row r="1146" spans="1:1" x14ac:dyDescent="0.35">
      <c r="A1146" s="138"/>
    </row>
    <row r="1147" spans="1:1" x14ac:dyDescent="0.35">
      <c r="A1147" s="138"/>
    </row>
    <row r="1148" spans="1:1" x14ac:dyDescent="0.35">
      <c r="A1148" s="138"/>
    </row>
    <row r="1149" spans="1:1" x14ac:dyDescent="0.35">
      <c r="A1149" s="138"/>
    </row>
    <row r="1150" spans="1:1" x14ac:dyDescent="0.35">
      <c r="A1150" s="138"/>
    </row>
    <row r="1151" spans="1:1" x14ac:dyDescent="0.35">
      <c r="A1151" s="138"/>
    </row>
    <row r="1152" spans="1:1" x14ac:dyDescent="0.35">
      <c r="A1152" s="138"/>
    </row>
    <row r="1153" spans="1:1" x14ac:dyDescent="0.35">
      <c r="A1153" s="138"/>
    </row>
    <row r="1154" spans="1:1" x14ac:dyDescent="0.35">
      <c r="A1154" s="138"/>
    </row>
    <row r="1155" spans="1:1" x14ac:dyDescent="0.35">
      <c r="A1155" s="138"/>
    </row>
    <row r="1156" spans="1:1" x14ac:dyDescent="0.35">
      <c r="A1156" s="138"/>
    </row>
    <row r="1157" spans="1:1" x14ac:dyDescent="0.35">
      <c r="A1157" s="138"/>
    </row>
    <row r="1158" spans="1:1" x14ac:dyDescent="0.35">
      <c r="A1158" s="138"/>
    </row>
    <row r="1159" spans="1:1" x14ac:dyDescent="0.35">
      <c r="A1159" s="138"/>
    </row>
    <row r="1160" spans="1:1" x14ac:dyDescent="0.35">
      <c r="A1160" s="138"/>
    </row>
    <row r="1161" spans="1:1" x14ac:dyDescent="0.35">
      <c r="A1161" s="138"/>
    </row>
    <row r="1162" spans="1:1" x14ac:dyDescent="0.35">
      <c r="A1162" s="138"/>
    </row>
    <row r="1163" spans="1:1" x14ac:dyDescent="0.35">
      <c r="A1163" s="138"/>
    </row>
    <row r="1164" spans="1:1" x14ac:dyDescent="0.35">
      <c r="A1164" s="138"/>
    </row>
    <row r="1165" spans="1:1" x14ac:dyDescent="0.35">
      <c r="A1165" s="138"/>
    </row>
    <row r="1166" spans="1:1" x14ac:dyDescent="0.35">
      <c r="A1166" s="138"/>
    </row>
    <row r="1167" spans="1:1" x14ac:dyDescent="0.35">
      <c r="A1167" s="138"/>
    </row>
    <row r="1168" spans="1:1" x14ac:dyDescent="0.35">
      <c r="A1168" s="138"/>
    </row>
    <row r="1169" spans="1:1" x14ac:dyDescent="0.35">
      <c r="A1169" s="138"/>
    </row>
    <row r="1170" spans="1:1" x14ac:dyDescent="0.35">
      <c r="A1170" s="138"/>
    </row>
    <row r="1171" spans="1:1" x14ac:dyDescent="0.35">
      <c r="A1171" s="138"/>
    </row>
    <row r="1172" spans="1:1" x14ac:dyDescent="0.35">
      <c r="A1172" s="138"/>
    </row>
    <row r="1173" spans="1:1" x14ac:dyDescent="0.35">
      <c r="A1173" s="138"/>
    </row>
    <row r="1174" spans="1:1" x14ac:dyDescent="0.35">
      <c r="A1174" s="138"/>
    </row>
    <row r="1175" spans="1:1" x14ac:dyDescent="0.35">
      <c r="A1175" s="138"/>
    </row>
    <row r="1176" spans="1:1" x14ac:dyDescent="0.35">
      <c r="A1176" s="138"/>
    </row>
    <row r="1177" spans="1:1" x14ac:dyDescent="0.35">
      <c r="A1177" s="138"/>
    </row>
    <row r="1178" spans="1:1" x14ac:dyDescent="0.35">
      <c r="A1178" s="138"/>
    </row>
    <row r="1179" spans="1:1" x14ac:dyDescent="0.35">
      <c r="A1179" s="138"/>
    </row>
    <row r="1180" spans="1:1" x14ac:dyDescent="0.35">
      <c r="A1180" s="138"/>
    </row>
    <row r="1181" spans="1:1" x14ac:dyDescent="0.35">
      <c r="A1181" s="138"/>
    </row>
    <row r="1182" spans="1:1" x14ac:dyDescent="0.35">
      <c r="A1182" s="138"/>
    </row>
    <row r="1183" spans="1:1" x14ac:dyDescent="0.35">
      <c r="A1183" s="138"/>
    </row>
    <row r="1184" spans="1:1" x14ac:dyDescent="0.35">
      <c r="A1184" s="138"/>
    </row>
    <row r="1185" spans="1:1" x14ac:dyDescent="0.35">
      <c r="A1185" s="138"/>
    </row>
    <row r="1186" spans="1:1" x14ac:dyDescent="0.35">
      <c r="A1186" s="138"/>
    </row>
    <row r="1187" spans="1:1" x14ac:dyDescent="0.35">
      <c r="A1187" s="138"/>
    </row>
    <row r="1188" spans="1:1" x14ac:dyDescent="0.35">
      <c r="A1188" s="138"/>
    </row>
    <row r="1189" spans="1:1" x14ac:dyDescent="0.35">
      <c r="A1189" s="138"/>
    </row>
    <row r="1190" spans="1:1" x14ac:dyDescent="0.35">
      <c r="A1190" s="138"/>
    </row>
    <row r="1191" spans="1:1" x14ac:dyDescent="0.35">
      <c r="A1191" s="138"/>
    </row>
    <row r="1192" spans="1:1" x14ac:dyDescent="0.35">
      <c r="A1192" s="138"/>
    </row>
    <row r="1193" spans="1:1" x14ac:dyDescent="0.35">
      <c r="A1193" s="138"/>
    </row>
    <row r="1194" spans="1:1" x14ac:dyDescent="0.35">
      <c r="A1194" s="138"/>
    </row>
    <row r="1195" spans="1:1" x14ac:dyDescent="0.35">
      <c r="A1195" s="138"/>
    </row>
    <row r="1196" spans="1:1" x14ac:dyDescent="0.35">
      <c r="A1196" s="138"/>
    </row>
    <row r="1197" spans="1:1" x14ac:dyDescent="0.35">
      <c r="A1197" s="138"/>
    </row>
    <row r="1198" spans="1:1" x14ac:dyDescent="0.35">
      <c r="A1198" s="138"/>
    </row>
    <row r="1199" spans="1:1" x14ac:dyDescent="0.35">
      <c r="A1199" s="138"/>
    </row>
    <row r="1200" spans="1:1" x14ac:dyDescent="0.35">
      <c r="A1200" s="138"/>
    </row>
    <row r="1201" spans="1:1" x14ac:dyDescent="0.35">
      <c r="A1201" s="138"/>
    </row>
    <row r="1202" spans="1:1" x14ac:dyDescent="0.35">
      <c r="A1202" s="138"/>
    </row>
    <row r="1203" spans="1:1" x14ac:dyDescent="0.35">
      <c r="A1203" s="138"/>
    </row>
    <row r="1204" spans="1:1" x14ac:dyDescent="0.35">
      <c r="A1204" s="138"/>
    </row>
    <row r="1205" spans="1:1" x14ac:dyDescent="0.35">
      <c r="A1205" s="138"/>
    </row>
    <row r="1206" spans="1:1" x14ac:dyDescent="0.35">
      <c r="A1206" s="138"/>
    </row>
    <row r="1207" spans="1:1" x14ac:dyDescent="0.35">
      <c r="A1207" s="138"/>
    </row>
    <row r="1208" spans="1:1" x14ac:dyDescent="0.35">
      <c r="A1208" s="138"/>
    </row>
    <row r="1209" spans="1:1" x14ac:dyDescent="0.35">
      <c r="A1209" s="138"/>
    </row>
    <row r="1210" spans="1:1" x14ac:dyDescent="0.35">
      <c r="A1210" s="138"/>
    </row>
    <row r="1211" spans="1:1" x14ac:dyDescent="0.35">
      <c r="A1211" s="138"/>
    </row>
    <row r="1212" spans="1:1" x14ac:dyDescent="0.35">
      <c r="A1212" s="138"/>
    </row>
    <row r="1213" spans="1:1" x14ac:dyDescent="0.35">
      <c r="A1213" s="138"/>
    </row>
    <row r="1214" spans="1:1" x14ac:dyDescent="0.35">
      <c r="A1214" s="138"/>
    </row>
    <row r="1215" spans="1:1" x14ac:dyDescent="0.35">
      <c r="A1215" s="138"/>
    </row>
    <row r="1216" spans="1:1" x14ac:dyDescent="0.35">
      <c r="A1216" s="138"/>
    </row>
    <row r="1217" spans="1:1" x14ac:dyDescent="0.35">
      <c r="A1217" s="138"/>
    </row>
    <row r="1218" spans="1:1" x14ac:dyDescent="0.35">
      <c r="A1218" s="138"/>
    </row>
    <row r="1219" spans="1:1" x14ac:dyDescent="0.35">
      <c r="A1219" s="138"/>
    </row>
    <row r="1220" spans="1:1" x14ac:dyDescent="0.35">
      <c r="A1220" s="138"/>
    </row>
    <row r="1221" spans="1:1" x14ac:dyDescent="0.35">
      <c r="A1221" s="138"/>
    </row>
    <row r="1222" spans="1:1" x14ac:dyDescent="0.35">
      <c r="A1222" s="138"/>
    </row>
    <row r="1223" spans="1:1" x14ac:dyDescent="0.35">
      <c r="A1223" s="138"/>
    </row>
    <row r="1224" spans="1:1" x14ac:dyDescent="0.35">
      <c r="A1224" s="138"/>
    </row>
    <row r="1225" spans="1:1" x14ac:dyDescent="0.35">
      <c r="A1225" s="138"/>
    </row>
    <row r="1226" spans="1:1" x14ac:dyDescent="0.35">
      <c r="A1226" s="138"/>
    </row>
    <row r="1227" spans="1:1" x14ac:dyDescent="0.35">
      <c r="A1227" s="138"/>
    </row>
    <row r="1228" spans="1:1" x14ac:dyDescent="0.35">
      <c r="A1228" s="138"/>
    </row>
    <row r="1229" spans="1:1" x14ac:dyDescent="0.35">
      <c r="A1229" s="138"/>
    </row>
    <row r="1230" spans="1:1" x14ac:dyDescent="0.35">
      <c r="A1230" s="138"/>
    </row>
    <row r="1231" spans="1:1" x14ac:dyDescent="0.35">
      <c r="A1231" s="138"/>
    </row>
    <row r="1232" spans="1:1" x14ac:dyDescent="0.35">
      <c r="A1232" s="138"/>
    </row>
    <row r="1233" spans="1:1" x14ac:dyDescent="0.35">
      <c r="A1233" s="138"/>
    </row>
    <row r="1234" spans="1:1" x14ac:dyDescent="0.35">
      <c r="A1234" s="138"/>
    </row>
    <row r="1235" spans="1:1" x14ac:dyDescent="0.35">
      <c r="A1235" s="138"/>
    </row>
    <row r="1236" spans="1:1" x14ac:dyDescent="0.35">
      <c r="A1236" s="138"/>
    </row>
    <row r="1237" spans="1:1" x14ac:dyDescent="0.35">
      <c r="A1237" s="138"/>
    </row>
    <row r="1238" spans="1:1" x14ac:dyDescent="0.35">
      <c r="A1238" s="138"/>
    </row>
    <row r="1239" spans="1:1" x14ac:dyDescent="0.35">
      <c r="A1239" s="138"/>
    </row>
    <row r="1240" spans="1:1" x14ac:dyDescent="0.35">
      <c r="A1240" s="138"/>
    </row>
    <row r="1241" spans="1:1" x14ac:dyDescent="0.35">
      <c r="A1241" s="138"/>
    </row>
    <row r="1242" spans="1:1" x14ac:dyDescent="0.35">
      <c r="A1242" s="138"/>
    </row>
    <row r="1243" spans="1:1" x14ac:dyDescent="0.35">
      <c r="A1243" s="138"/>
    </row>
    <row r="1244" spans="1:1" x14ac:dyDescent="0.35">
      <c r="A1244" s="138"/>
    </row>
    <row r="1245" spans="1:1" x14ac:dyDescent="0.35">
      <c r="A1245" s="138"/>
    </row>
    <row r="1246" spans="1:1" x14ac:dyDescent="0.35">
      <c r="A1246" s="138"/>
    </row>
    <row r="1247" spans="1:1" x14ac:dyDescent="0.35">
      <c r="A1247" s="138"/>
    </row>
    <row r="1248" spans="1:1" x14ac:dyDescent="0.35">
      <c r="A1248" s="138"/>
    </row>
    <row r="1249" spans="1:1" x14ac:dyDescent="0.35">
      <c r="A1249" s="138"/>
    </row>
    <row r="1250" spans="1:1" x14ac:dyDescent="0.35">
      <c r="A1250" s="138"/>
    </row>
    <row r="1251" spans="1:1" x14ac:dyDescent="0.35">
      <c r="A1251" s="138"/>
    </row>
    <row r="1252" spans="1:1" x14ac:dyDescent="0.35">
      <c r="A1252" s="138"/>
    </row>
    <row r="1253" spans="1:1" x14ac:dyDescent="0.35">
      <c r="A1253" s="138"/>
    </row>
    <row r="1254" spans="1:1" x14ac:dyDescent="0.35">
      <c r="A1254" s="138"/>
    </row>
    <row r="1255" spans="1:1" x14ac:dyDescent="0.35">
      <c r="A1255" s="138"/>
    </row>
    <row r="1256" spans="1:1" x14ac:dyDescent="0.35">
      <c r="A1256" s="138"/>
    </row>
    <row r="1257" spans="1:1" x14ac:dyDescent="0.35">
      <c r="A1257" s="138"/>
    </row>
    <row r="1258" spans="1:1" x14ac:dyDescent="0.35">
      <c r="A1258" s="138"/>
    </row>
    <row r="1259" spans="1:1" x14ac:dyDescent="0.35">
      <c r="A1259" s="138"/>
    </row>
    <row r="1260" spans="1:1" x14ac:dyDescent="0.35">
      <c r="A1260" s="138"/>
    </row>
    <row r="1261" spans="1:1" x14ac:dyDescent="0.35">
      <c r="A1261" s="138"/>
    </row>
    <row r="1262" spans="1:1" x14ac:dyDescent="0.35">
      <c r="A1262" s="138"/>
    </row>
    <row r="1263" spans="1:1" x14ac:dyDescent="0.35">
      <c r="A1263" s="138"/>
    </row>
    <row r="1264" spans="1:1" x14ac:dyDescent="0.35">
      <c r="A1264" s="138"/>
    </row>
    <row r="1265" spans="1:1" x14ac:dyDescent="0.35">
      <c r="A1265" s="138"/>
    </row>
    <row r="1266" spans="1:1" x14ac:dyDescent="0.35">
      <c r="A1266" s="138"/>
    </row>
    <row r="1267" spans="1:1" x14ac:dyDescent="0.35">
      <c r="A1267" s="138"/>
    </row>
    <row r="1268" spans="1:1" x14ac:dyDescent="0.35">
      <c r="A1268" s="138"/>
    </row>
    <row r="1269" spans="1:1" x14ac:dyDescent="0.35">
      <c r="A1269" s="138"/>
    </row>
    <row r="1270" spans="1:1" x14ac:dyDescent="0.35">
      <c r="A1270" s="138"/>
    </row>
    <row r="1271" spans="1:1" x14ac:dyDescent="0.35">
      <c r="A1271" s="138"/>
    </row>
    <row r="1272" spans="1:1" x14ac:dyDescent="0.35">
      <c r="A1272" s="138"/>
    </row>
    <row r="1273" spans="1:1" x14ac:dyDescent="0.35">
      <c r="A1273" s="138"/>
    </row>
    <row r="1274" spans="1:1" x14ac:dyDescent="0.35">
      <c r="A1274" s="138"/>
    </row>
    <row r="1275" spans="1:1" x14ac:dyDescent="0.35">
      <c r="A1275" s="138"/>
    </row>
    <row r="1276" spans="1:1" x14ac:dyDescent="0.35">
      <c r="A1276" s="138"/>
    </row>
    <row r="1277" spans="1:1" x14ac:dyDescent="0.35">
      <c r="A1277" s="138"/>
    </row>
    <row r="1278" spans="1:1" x14ac:dyDescent="0.35">
      <c r="A1278" s="138"/>
    </row>
    <row r="1279" spans="1:1" x14ac:dyDescent="0.35">
      <c r="A1279" s="138"/>
    </row>
    <row r="1280" spans="1:1" x14ac:dyDescent="0.35">
      <c r="A1280" s="138"/>
    </row>
    <row r="1281" spans="1:1" x14ac:dyDescent="0.35">
      <c r="A1281" s="138"/>
    </row>
    <row r="1282" spans="1:1" x14ac:dyDescent="0.35">
      <c r="A1282" s="138"/>
    </row>
    <row r="1283" spans="1:1" x14ac:dyDescent="0.35">
      <c r="A1283" s="138"/>
    </row>
    <row r="1284" spans="1:1" x14ac:dyDescent="0.35">
      <c r="A1284" s="138"/>
    </row>
    <row r="1285" spans="1:1" x14ac:dyDescent="0.35">
      <c r="A1285" s="138"/>
    </row>
    <row r="1286" spans="1:1" x14ac:dyDescent="0.35">
      <c r="A1286" s="138"/>
    </row>
    <row r="1287" spans="1:1" x14ac:dyDescent="0.35">
      <c r="A1287" s="138"/>
    </row>
    <row r="1288" spans="1:1" x14ac:dyDescent="0.35">
      <c r="A1288" s="138"/>
    </row>
    <row r="1289" spans="1:1" x14ac:dyDescent="0.35">
      <c r="A1289" s="138"/>
    </row>
    <row r="1290" spans="1:1" x14ac:dyDescent="0.35">
      <c r="A1290" s="138"/>
    </row>
    <row r="1291" spans="1:1" x14ac:dyDescent="0.35">
      <c r="A1291" s="138"/>
    </row>
    <row r="1292" spans="1:1" x14ac:dyDescent="0.35">
      <c r="A1292" s="138"/>
    </row>
    <row r="1293" spans="1:1" x14ac:dyDescent="0.35">
      <c r="A1293" s="138"/>
    </row>
    <row r="1294" spans="1:1" x14ac:dyDescent="0.35">
      <c r="A1294" s="138"/>
    </row>
    <row r="1295" spans="1:1" x14ac:dyDescent="0.35">
      <c r="A1295" s="138"/>
    </row>
    <row r="1296" spans="1:1" x14ac:dyDescent="0.35">
      <c r="A1296" s="138"/>
    </row>
    <row r="1297" spans="1:1" x14ac:dyDescent="0.35">
      <c r="A1297" s="138"/>
    </row>
    <row r="1298" spans="1:1" x14ac:dyDescent="0.35">
      <c r="A1298" s="138"/>
    </row>
    <row r="1299" spans="1:1" x14ac:dyDescent="0.35">
      <c r="A1299" s="138"/>
    </row>
    <row r="1300" spans="1:1" x14ac:dyDescent="0.35">
      <c r="A1300" s="138"/>
    </row>
    <row r="1301" spans="1:1" x14ac:dyDescent="0.35">
      <c r="A1301" s="138"/>
    </row>
    <row r="1302" spans="1:1" x14ac:dyDescent="0.35">
      <c r="A1302" s="138"/>
    </row>
    <row r="1303" spans="1:1" x14ac:dyDescent="0.35">
      <c r="A1303" s="138"/>
    </row>
    <row r="1304" spans="1:1" x14ac:dyDescent="0.35">
      <c r="A1304" s="138"/>
    </row>
    <row r="1305" spans="1:1" x14ac:dyDescent="0.35">
      <c r="A1305" s="138"/>
    </row>
    <row r="1306" spans="1:1" x14ac:dyDescent="0.35">
      <c r="A1306" s="138"/>
    </row>
    <row r="1307" spans="1:1" x14ac:dyDescent="0.35">
      <c r="A1307" s="138"/>
    </row>
    <row r="1308" spans="1:1" x14ac:dyDescent="0.35">
      <c r="A1308" s="138"/>
    </row>
    <row r="1309" spans="1:1" x14ac:dyDescent="0.35">
      <c r="A1309" s="138"/>
    </row>
    <row r="1310" spans="1:1" x14ac:dyDescent="0.35">
      <c r="A1310" s="138"/>
    </row>
    <row r="1311" spans="1:1" x14ac:dyDescent="0.35">
      <c r="A1311" s="138"/>
    </row>
    <row r="1312" spans="1:1" x14ac:dyDescent="0.35">
      <c r="A1312" s="138"/>
    </row>
    <row r="1313" spans="1:1" x14ac:dyDescent="0.35">
      <c r="A1313" s="138"/>
    </row>
    <row r="1314" spans="1:1" x14ac:dyDescent="0.35">
      <c r="A1314" s="138"/>
    </row>
    <row r="1315" spans="1:1" x14ac:dyDescent="0.35">
      <c r="A1315" s="138"/>
    </row>
    <row r="1316" spans="1:1" x14ac:dyDescent="0.35">
      <c r="A1316" s="138"/>
    </row>
    <row r="1317" spans="1:1" x14ac:dyDescent="0.35">
      <c r="A1317" s="138"/>
    </row>
    <row r="1318" spans="1:1" x14ac:dyDescent="0.35">
      <c r="A1318" s="138"/>
    </row>
    <row r="1319" spans="1:1" x14ac:dyDescent="0.35">
      <c r="A1319" s="138"/>
    </row>
    <row r="1320" spans="1:1" x14ac:dyDescent="0.35">
      <c r="A1320" s="138"/>
    </row>
    <row r="1321" spans="1:1" x14ac:dyDescent="0.35">
      <c r="A1321" s="138"/>
    </row>
    <row r="1322" spans="1:1" x14ac:dyDescent="0.35">
      <c r="A1322" s="138"/>
    </row>
    <row r="1323" spans="1:1" x14ac:dyDescent="0.35">
      <c r="A1323" s="138"/>
    </row>
    <row r="1324" spans="1:1" x14ac:dyDescent="0.35">
      <c r="A1324" s="138"/>
    </row>
    <row r="1325" spans="1:1" x14ac:dyDescent="0.35">
      <c r="A1325" s="138"/>
    </row>
    <row r="1326" spans="1:1" x14ac:dyDescent="0.35">
      <c r="A1326" s="138"/>
    </row>
    <row r="1327" spans="1:1" x14ac:dyDescent="0.35">
      <c r="A1327" s="138"/>
    </row>
    <row r="1328" spans="1:1" x14ac:dyDescent="0.35">
      <c r="A1328" s="138"/>
    </row>
    <row r="1329" spans="1:1" x14ac:dyDescent="0.35">
      <c r="A1329" s="138"/>
    </row>
    <row r="1330" spans="1:1" x14ac:dyDescent="0.35">
      <c r="A1330" s="138"/>
    </row>
    <row r="1331" spans="1:1" x14ac:dyDescent="0.35">
      <c r="A1331" s="138"/>
    </row>
    <row r="1332" spans="1:1" x14ac:dyDescent="0.35">
      <c r="A1332" s="138"/>
    </row>
    <row r="1333" spans="1:1" x14ac:dyDescent="0.35">
      <c r="A1333" s="138"/>
    </row>
    <row r="1334" spans="1:1" x14ac:dyDescent="0.35">
      <c r="A1334" s="138"/>
    </row>
    <row r="1335" spans="1:1" x14ac:dyDescent="0.35">
      <c r="A1335" s="138"/>
    </row>
    <row r="1336" spans="1:1" x14ac:dyDescent="0.35">
      <c r="A1336" s="138"/>
    </row>
    <row r="1337" spans="1:1" x14ac:dyDescent="0.35">
      <c r="A1337" s="138"/>
    </row>
    <row r="1338" spans="1:1" x14ac:dyDescent="0.35">
      <c r="A1338" s="138"/>
    </row>
    <row r="1339" spans="1:1" x14ac:dyDescent="0.35">
      <c r="A1339" s="138"/>
    </row>
    <row r="1340" spans="1:1" x14ac:dyDescent="0.35">
      <c r="A1340" s="138"/>
    </row>
    <row r="1341" spans="1:1" x14ac:dyDescent="0.35">
      <c r="A1341" s="138"/>
    </row>
    <row r="1342" spans="1:1" x14ac:dyDescent="0.35">
      <c r="A1342" s="138"/>
    </row>
    <row r="1343" spans="1:1" x14ac:dyDescent="0.35">
      <c r="A1343" s="138"/>
    </row>
    <row r="1344" spans="1:1" x14ac:dyDescent="0.35">
      <c r="A1344" s="138"/>
    </row>
    <row r="1345" spans="1:1" x14ac:dyDescent="0.35">
      <c r="A1345" s="138"/>
    </row>
    <row r="1346" spans="1:1" x14ac:dyDescent="0.35">
      <c r="A1346" s="138"/>
    </row>
    <row r="1347" spans="1:1" x14ac:dyDescent="0.35">
      <c r="A1347" s="138"/>
    </row>
    <row r="1348" spans="1:1" x14ac:dyDescent="0.35">
      <c r="A1348" s="138"/>
    </row>
    <row r="1349" spans="1:1" x14ac:dyDescent="0.35">
      <c r="A1349" s="138"/>
    </row>
    <row r="1350" spans="1:1" x14ac:dyDescent="0.35">
      <c r="A1350" s="138"/>
    </row>
    <row r="1351" spans="1:1" x14ac:dyDescent="0.35">
      <c r="A1351" s="138"/>
    </row>
    <row r="1352" spans="1:1" x14ac:dyDescent="0.35">
      <c r="A1352" s="138"/>
    </row>
    <row r="1353" spans="1:1" x14ac:dyDescent="0.35">
      <c r="A1353" s="138"/>
    </row>
    <row r="1354" spans="1:1" x14ac:dyDescent="0.35">
      <c r="A1354" s="138"/>
    </row>
    <row r="1355" spans="1:1" x14ac:dyDescent="0.35">
      <c r="A1355" s="138"/>
    </row>
    <row r="1356" spans="1:1" x14ac:dyDescent="0.35">
      <c r="A1356" s="138"/>
    </row>
    <row r="1357" spans="1:1" x14ac:dyDescent="0.35">
      <c r="A1357" s="138"/>
    </row>
    <row r="1358" spans="1:1" x14ac:dyDescent="0.35">
      <c r="A1358" s="138"/>
    </row>
    <row r="1359" spans="1:1" x14ac:dyDescent="0.35">
      <c r="A1359" s="138"/>
    </row>
    <row r="1360" spans="1:1" x14ac:dyDescent="0.35">
      <c r="A1360" s="138"/>
    </row>
    <row r="1361" spans="1:1" x14ac:dyDescent="0.35">
      <c r="A1361" s="138"/>
    </row>
    <row r="1362" spans="1:1" x14ac:dyDescent="0.35">
      <c r="A1362" s="138"/>
    </row>
    <row r="1363" spans="1:1" x14ac:dyDescent="0.35">
      <c r="A1363" s="138"/>
    </row>
    <row r="1364" spans="1:1" x14ac:dyDescent="0.35">
      <c r="A1364" s="138"/>
    </row>
    <row r="1365" spans="1:1" x14ac:dyDescent="0.35">
      <c r="A1365" s="138"/>
    </row>
    <row r="1366" spans="1:1" x14ac:dyDescent="0.35">
      <c r="A1366" s="138"/>
    </row>
    <row r="1367" spans="1:1" x14ac:dyDescent="0.35">
      <c r="A1367" s="138"/>
    </row>
    <row r="1368" spans="1:1" x14ac:dyDescent="0.35">
      <c r="A1368" s="138"/>
    </row>
    <row r="1369" spans="1:1" x14ac:dyDescent="0.35">
      <c r="A1369" s="138"/>
    </row>
    <row r="1370" spans="1:1" x14ac:dyDescent="0.35">
      <c r="A1370" s="138"/>
    </row>
    <row r="1371" spans="1:1" x14ac:dyDescent="0.35">
      <c r="A1371" s="138"/>
    </row>
    <row r="1372" spans="1:1" x14ac:dyDescent="0.35">
      <c r="A1372" s="138"/>
    </row>
    <row r="1373" spans="1:1" x14ac:dyDescent="0.35">
      <c r="A1373" s="138"/>
    </row>
    <row r="1374" spans="1:1" x14ac:dyDescent="0.35">
      <c r="A1374" s="138"/>
    </row>
    <row r="1375" spans="1:1" x14ac:dyDescent="0.35">
      <c r="A1375" s="138"/>
    </row>
    <row r="1376" spans="1:1" x14ac:dyDescent="0.35">
      <c r="A1376" s="138"/>
    </row>
    <row r="1377" spans="1:1" x14ac:dyDescent="0.35">
      <c r="A1377" s="138"/>
    </row>
    <row r="1378" spans="1:1" x14ac:dyDescent="0.35">
      <c r="A1378" s="138"/>
    </row>
    <row r="1379" spans="1:1" x14ac:dyDescent="0.35">
      <c r="A1379" s="138"/>
    </row>
    <row r="1380" spans="1:1" x14ac:dyDescent="0.35">
      <c r="A1380" s="138"/>
    </row>
    <row r="1381" spans="1:1" x14ac:dyDescent="0.35">
      <c r="A1381" s="138"/>
    </row>
    <row r="1382" spans="1:1" x14ac:dyDescent="0.35">
      <c r="A1382" s="138"/>
    </row>
    <row r="1383" spans="1:1" x14ac:dyDescent="0.35">
      <c r="A1383" s="138"/>
    </row>
    <row r="1384" spans="1:1" x14ac:dyDescent="0.35">
      <c r="A1384" s="138"/>
    </row>
    <row r="1385" spans="1:1" x14ac:dyDescent="0.35">
      <c r="A1385" s="138"/>
    </row>
    <row r="1386" spans="1:1" x14ac:dyDescent="0.35">
      <c r="A1386" s="138"/>
    </row>
    <row r="1387" spans="1:1" x14ac:dyDescent="0.35">
      <c r="A1387" s="138"/>
    </row>
    <row r="1388" spans="1:1" x14ac:dyDescent="0.35">
      <c r="A1388" s="138"/>
    </row>
    <row r="1389" spans="1:1" x14ac:dyDescent="0.35">
      <c r="A1389" s="138"/>
    </row>
    <row r="1390" spans="1:1" x14ac:dyDescent="0.35">
      <c r="A1390" s="138"/>
    </row>
    <row r="1391" spans="1:1" x14ac:dyDescent="0.35">
      <c r="A1391" s="138"/>
    </row>
    <row r="1392" spans="1:1" x14ac:dyDescent="0.35">
      <c r="A1392" s="138"/>
    </row>
    <row r="1393" spans="1:1" x14ac:dyDescent="0.35">
      <c r="A1393" s="138"/>
    </row>
    <row r="1394" spans="1:1" x14ac:dyDescent="0.35">
      <c r="A1394" s="138"/>
    </row>
    <row r="1395" spans="1:1" x14ac:dyDescent="0.35">
      <c r="A1395" s="138"/>
    </row>
    <row r="1396" spans="1:1" x14ac:dyDescent="0.35">
      <c r="A1396" s="138"/>
    </row>
    <row r="1397" spans="1:1" x14ac:dyDescent="0.35">
      <c r="A1397" s="138"/>
    </row>
    <row r="1398" spans="1:1" x14ac:dyDescent="0.35">
      <c r="A1398" s="138"/>
    </row>
    <row r="1399" spans="1:1" x14ac:dyDescent="0.35">
      <c r="A1399" s="138"/>
    </row>
    <row r="1400" spans="1:1" x14ac:dyDescent="0.35">
      <c r="A1400" s="138"/>
    </row>
    <row r="1401" spans="1:1" x14ac:dyDescent="0.35">
      <c r="A1401" s="138"/>
    </row>
    <row r="1402" spans="1:1" x14ac:dyDescent="0.35">
      <c r="A1402" s="138"/>
    </row>
    <row r="1403" spans="1:1" x14ac:dyDescent="0.35">
      <c r="A1403" s="138"/>
    </row>
    <row r="1404" spans="1:1" x14ac:dyDescent="0.35">
      <c r="A1404" s="138"/>
    </row>
    <row r="1405" spans="1:1" x14ac:dyDescent="0.35">
      <c r="A1405" s="138"/>
    </row>
    <row r="1406" spans="1:1" x14ac:dyDescent="0.35">
      <c r="A1406" s="138"/>
    </row>
    <row r="1407" spans="1:1" x14ac:dyDescent="0.35">
      <c r="A1407" s="138"/>
    </row>
    <row r="1408" spans="1:1" x14ac:dyDescent="0.35">
      <c r="A1408" s="138"/>
    </row>
    <row r="1409" spans="1:1" x14ac:dyDescent="0.35">
      <c r="A1409" s="138"/>
    </row>
    <row r="1410" spans="1:1" x14ac:dyDescent="0.35">
      <c r="A1410" s="138"/>
    </row>
    <row r="1411" spans="1:1" x14ac:dyDescent="0.35">
      <c r="A1411" s="138"/>
    </row>
    <row r="1412" spans="1:1" x14ac:dyDescent="0.35">
      <c r="A1412" s="138"/>
    </row>
    <row r="1413" spans="1:1" x14ac:dyDescent="0.35">
      <c r="A1413" s="138"/>
    </row>
    <row r="1414" spans="1:1" x14ac:dyDescent="0.35">
      <c r="A1414" s="138"/>
    </row>
    <row r="1415" spans="1:1" x14ac:dyDescent="0.35">
      <c r="A1415" s="138"/>
    </row>
    <row r="1416" spans="1:1" x14ac:dyDescent="0.35">
      <c r="A1416" s="138"/>
    </row>
    <row r="1417" spans="1:1" x14ac:dyDescent="0.35">
      <c r="A1417" s="138"/>
    </row>
    <row r="1418" spans="1:1" x14ac:dyDescent="0.35">
      <c r="A1418" s="138"/>
    </row>
    <row r="1419" spans="1:1" x14ac:dyDescent="0.35">
      <c r="A1419" s="138"/>
    </row>
    <row r="1420" spans="1:1" x14ac:dyDescent="0.35">
      <c r="A1420" s="138"/>
    </row>
    <row r="1421" spans="1:1" x14ac:dyDescent="0.35">
      <c r="A1421" s="138"/>
    </row>
    <row r="1422" spans="1:1" x14ac:dyDescent="0.35">
      <c r="A1422" s="138"/>
    </row>
    <row r="1423" spans="1:1" x14ac:dyDescent="0.35">
      <c r="A1423" s="138"/>
    </row>
    <row r="1424" spans="1:1" x14ac:dyDescent="0.35">
      <c r="A1424" s="138"/>
    </row>
    <row r="1425" spans="1:1" x14ac:dyDescent="0.35">
      <c r="A1425" s="138"/>
    </row>
    <row r="1426" spans="1:1" x14ac:dyDescent="0.35">
      <c r="A1426" s="138"/>
    </row>
    <row r="1427" spans="1:1" x14ac:dyDescent="0.35">
      <c r="A1427" s="138"/>
    </row>
    <row r="1428" spans="1:1" x14ac:dyDescent="0.35">
      <c r="A1428" s="138"/>
    </row>
    <row r="1429" spans="1:1" x14ac:dyDescent="0.35">
      <c r="A1429" s="138"/>
    </row>
    <row r="1430" spans="1:1" x14ac:dyDescent="0.35">
      <c r="A1430" s="138"/>
    </row>
    <row r="1431" spans="1:1" x14ac:dyDescent="0.35">
      <c r="A1431" s="138"/>
    </row>
    <row r="1432" spans="1:1" x14ac:dyDescent="0.35">
      <c r="A1432" s="138"/>
    </row>
    <row r="1433" spans="1:1" x14ac:dyDescent="0.35">
      <c r="A1433" s="138"/>
    </row>
    <row r="1434" spans="1:1" x14ac:dyDescent="0.35">
      <c r="A1434" s="138"/>
    </row>
    <row r="1435" spans="1:1" x14ac:dyDescent="0.35">
      <c r="A1435" s="138"/>
    </row>
    <row r="1436" spans="1:1" x14ac:dyDescent="0.35">
      <c r="A1436" s="138"/>
    </row>
    <row r="1437" spans="1:1" x14ac:dyDescent="0.35">
      <c r="A1437" s="138"/>
    </row>
    <row r="1438" spans="1:1" x14ac:dyDescent="0.35">
      <c r="A1438" s="138"/>
    </row>
    <row r="1439" spans="1:1" x14ac:dyDescent="0.35">
      <c r="A1439" s="138"/>
    </row>
    <row r="1440" spans="1:1" x14ac:dyDescent="0.35">
      <c r="A1440" s="138"/>
    </row>
    <row r="1441" spans="1:1" x14ac:dyDescent="0.35">
      <c r="A1441" s="138"/>
    </row>
    <row r="1442" spans="1:1" x14ac:dyDescent="0.35">
      <c r="A1442" s="138"/>
    </row>
    <row r="1443" spans="1:1" x14ac:dyDescent="0.35">
      <c r="A1443" s="138"/>
    </row>
    <row r="1444" spans="1:1" x14ac:dyDescent="0.35">
      <c r="A1444" s="138"/>
    </row>
    <row r="1445" spans="1:1" x14ac:dyDescent="0.35">
      <c r="A1445" s="138"/>
    </row>
    <row r="1446" spans="1:1" x14ac:dyDescent="0.35">
      <c r="A1446" s="138"/>
    </row>
    <row r="1447" spans="1:1" x14ac:dyDescent="0.35">
      <c r="A1447" s="138"/>
    </row>
    <row r="1448" spans="1:1" x14ac:dyDescent="0.35">
      <c r="A1448" s="138"/>
    </row>
    <row r="1449" spans="1:1" x14ac:dyDescent="0.35">
      <c r="A1449" s="138"/>
    </row>
    <row r="1450" spans="1:1" x14ac:dyDescent="0.35">
      <c r="A1450" s="138"/>
    </row>
    <row r="1451" spans="1:1" x14ac:dyDescent="0.35">
      <c r="A1451" s="138"/>
    </row>
    <row r="1452" spans="1:1" x14ac:dyDescent="0.35">
      <c r="A1452" s="138"/>
    </row>
    <row r="1453" spans="1:1" x14ac:dyDescent="0.35">
      <c r="A1453" s="138"/>
    </row>
    <row r="1454" spans="1:1" x14ac:dyDescent="0.35">
      <c r="A1454" s="138"/>
    </row>
    <row r="1455" spans="1:1" x14ac:dyDescent="0.35">
      <c r="A1455" s="138"/>
    </row>
    <row r="1456" spans="1:1" x14ac:dyDescent="0.35">
      <c r="A1456" s="138"/>
    </row>
    <row r="1457" spans="1:1" x14ac:dyDescent="0.35">
      <c r="A1457" s="138"/>
    </row>
    <row r="1458" spans="1:1" x14ac:dyDescent="0.35">
      <c r="A1458" s="138"/>
    </row>
    <row r="1459" spans="1:1" x14ac:dyDescent="0.35">
      <c r="A1459" s="138"/>
    </row>
    <row r="1460" spans="1:1" x14ac:dyDescent="0.35">
      <c r="A1460" s="138"/>
    </row>
    <row r="1461" spans="1:1" x14ac:dyDescent="0.35">
      <c r="A1461" s="138"/>
    </row>
    <row r="1462" spans="1:1" x14ac:dyDescent="0.35">
      <c r="A1462" s="138"/>
    </row>
    <row r="1463" spans="1:1" x14ac:dyDescent="0.35">
      <c r="A1463" s="138"/>
    </row>
    <row r="1464" spans="1:1" x14ac:dyDescent="0.35">
      <c r="A1464" s="138"/>
    </row>
    <row r="1465" spans="1:1" x14ac:dyDescent="0.35">
      <c r="A1465" s="138"/>
    </row>
    <row r="1466" spans="1:1" x14ac:dyDescent="0.35">
      <c r="A1466" s="138"/>
    </row>
    <row r="1467" spans="1:1" x14ac:dyDescent="0.35">
      <c r="A1467" s="138"/>
    </row>
    <row r="1468" spans="1:1" x14ac:dyDescent="0.35">
      <c r="A1468" s="138"/>
    </row>
    <row r="1469" spans="1:1" x14ac:dyDescent="0.35">
      <c r="A1469" s="138"/>
    </row>
    <row r="1470" spans="1:1" x14ac:dyDescent="0.35">
      <c r="A1470" s="138"/>
    </row>
    <row r="1471" spans="1:1" x14ac:dyDescent="0.35">
      <c r="A1471" s="138"/>
    </row>
    <row r="1472" spans="1:1" x14ac:dyDescent="0.35">
      <c r="A1472" s="138"/>
    </row>
    <row r="1473" spans="1:1" x14ac:dyDescent="0.35">
      <c r="A1473" s="138"/>
    </row>
    <row r="1474" spans="1:1" x14ac:dyDescent="0.35">
      <c r="A1474" s="138"/>
    </row>
    <row r="1475" spans="1:1" x14ac:dyDescent="0.35">
      <c r="A1475" s="138"/>
    </row>
    <row r="1476" spans="1:1" x14ac:dyDescent="0.35">
      <c r="A1476" s="138"/>
    </row>
    <row r="1477" spans="1:1" x14ac:dyDescent="0.35">
      <c r="A1477" s="138"/>
    </row>
    <row r="1478" spans="1:1" x14ac:dyDescent="0.35">
      <c r="A1478" s="138"/>
    </row>
    <row r="1479" spans="1:1" x14ac:dyDescent="0.35">
      <c r="A1479" s="138"/>
    </row>
    <row r="1480" spans="1:1" x14ac:dyDescent="0.35">
      <c r="A1480" s="138"/>
    </row>
    <row r="1481" spans="1:1" x14ac:dyDescent="0.35">
      <c r="A1481" s="138"/>
    </row>
    <row r="1482" spans="1:1" x14ac:dyDescent="0.35">
      <c r="A1482" s="138"/>
    </row>
    <row r="1483" spans="1:1" x14ac:dyDescent="0.35">
      <c r="A1483" s="138"/>
    </row>
    <row r="1484" spans="1:1" x14ac:dyDescent="0.35">
      <c r="A1484" s="138"/>
    </row>
    <row r="1485" spans="1:1" x14ac:dyDescent="0.35">
      <c r="A1485" s="138"/>
    </row>
    <row r="1486" spans="1:1" x14ac:dyDescent="0.35">
      <c r="A1486" s="138"/>
    </row>
    <row r="1487" spans="1:1" x14ac:dyDescent="0.35">
      <c r="A1487" s="138"/>
    </row>
    <row r="1488" spans="1:1" x14ac:dyDescent="0.35">
      <c r="A1488" s="138"/>
    </row>
    <row r="1489" spans="1:1" x14ac:dyDescent="0.35">
      <c r="A1489" s="138"/>
    </row>
    <row r="1490" spans="1:1" x14ac:dyDescent="0.35">
      <c r="A1490" s="138"/>
    </row>
    <row r="1491" spans="1:1" x14ac:dyDescent="0.35">
      <c r="A1491" s="138"/>
    </row>
    <row r="1492" spans="1:1" x14ac:dyDescent="0.35">
      <c r="A1492" s="138"/>
    </row>
    <row r="1493" spans="1:1" x14ac:dyDescent="0.35">
      <c r="A1493" s="138"/>
    </row>
    <row r="1494" spans="1:1" x14ac:dyDescent="0.35">
      <c r="A1494" s="138"/>
    </row>
    <row r="1495" spans="1:1" x14ac:dyDescent="0.35">
      <c r="A1495" s="138"/>
    </row>
    <row r="1496" spans="1:1" x14ac:dyDescent="0.35">
      <c r="A1496" s="138"/>
    </row>
    <row r="1497" spans="1:1" x14ac:dyDescent="0.35">
      <c r="A1497" s="138"/>
    </row>
    <row r="1498" spans="1:1" x14ac:dyDescent="0.35">
      <c r="A1498" s="138"/>
    </row>
    <row r="1499" spans="1:1" x14ac:dyDescent="0.35">
      <c r="A1499" s="138"/>
    </row>
    <row r="1500" spans="1:1" x14ac:dyDescent="0.35">
      <c r="A1500" s="138"/>
    </row>
    <row r="1501" spans="1:1" x14ac:dyDescent="0.35">
      <c r="A1501" s="138"/>
    </row>
    <row r="1502" spans="1:1" x14ac:dyDescent="0.35">
      <c r="A1502" s="138"/>
    </row>
    <row r="1503" spans="1:1" x14ac:dyDescent="0.35">
      <c r="A1503" s="138"/>
    </row>
    <row r="1504" spans="1:1" x14ac:dyDescent="0.35">
      <c r="A1504" s="138"/>
    </row>
    <row r="1505" spans="1:1" x14ac:dyDescent="0.35">
      <c r="A1505" s="138"/>
    </row>
    <row r="1506" spans="1:1" x14ac:dyDescent="0.35">
      <c r="A1506" s="138"/>
    </row>
    <row r="1507" spans="1:1" x14ac:dyDescent="0.35">
      <c r="A1507" s="138"/>
    </row>
    <row r="1508" spans="1:1" x14ac:dyDescent="0.35">
      <c r="A1508" s="138"/>
    </row>
    <row r="1509" spans="1:1" x14ac:dyDescent="0.35">
      <c r="A1509" s="138"/>
    </row>
    <row r="1510" spans="1:1" x14ac:dyDescent="0.35">
      <c r="A1510" s="138"/>
    </row>
    <row r="1511" spans="1:1" x14ac:dyDescent="0.35">
      <c r="A1511" s="138"/>
    </row>
    <row r="1512" spans="1:1" x14ac:dyDescent="0.35">
      <c r="A1512" s="138"/>
    </row>
    <row r="1513" spans="1:1" x14ac:dyDescent="0.35">
      <c r="A1513" s="138"/>
    </row>
    <row r="1514" spans="1:1" x14ac:dyDescent="0.35">
      <c r="A1514" s="138"/>
    </row>
    <row r="1515" spans="1:1" x14ac:dyDescent="0.35">
      <c r="A1515" s="138"/>
    </row>
    <row r="1516" spans="1:1" x14ac:dyDescent="0.35">
      <c r="A1516" s="138"/>
    </row>
    <row r="1517" spans="1:1" x14ac:dyDescent="0.35">
      <c r="A1517" s="138"/>
    </row>
    <row r="1518" spans="1:1" x14ac:dyDescent="0.35">
      <c r="A1518" s="138"/>
    </row>
    <row r="1519" spans="1:1" x14ac:dyDescent="0.35">
      <c r="A1519" s="138"/>
    </row>
    <row r="1520" spans="1:1" x14ac:dyDescent="0.35">
      <c r="A1520" s="138"/>
    </row>
    <row r="1521" spans="1:1" x14ac:dyDescent="0.35">
      <c r="A1521" s="138"/>
    </row>
    <row r="1522" spans="1:1" x14ac:dyDescent="0.35">
      <c r="A1522" s="138"/>
    </row>
    <row r="1523" spans="1:1" x14ac:dyDescent="0.35">
      <c r="A1523" s="138"/>
    </row>
    <row r="1524" spans="1:1" x14ac:dyDescent="0.35">
      <c r="A1524" s="138"/>
    </row>
    <row r="1525" spans="1:1" x14ac:dyDescent="0.35">
      <c r="A1525" s="138"/>
    </row>
    <row r="1526" spans="1:1" x14ac:dyDescent="0.35">
      <c r="A1526" s="138"/>
    </row>
    <row r="1527" spans="1:1" x14ac:dyDescent="0.35">
      <c r="A1527" s="138"/>
    </row>
    <row r="1528" spans="1:1" x14ac:dyDescent="0.35">
      <c r="A1528" s="138"/>
    </row>
    <row r="1529" spans="1:1" x14ac:dyDescent="0.35">
      <c r="A1529" s="138"/>
    </row>
    <row r="1530" spans="1:1" x14ac:dyDescent="0.35">
      <c r="A1530" s="138"/>
    </row>
    <row r="1531" spans="1:1" x14ac:dyDescent="0.35">
      <c r="A1531" s="138"/>
    </row>
    <row r="1532" spans="1:1" x14ac:dyDescent="0.35">
      <c r="A1532" s="138"/>
    </row>
    <row r="1533" spans="1:1" x14ac:dyDescent="0.35">
      <c r="A1533" s="138"/>
    </row>
    <row r="1534" spans="1:1" x14ac:dyDescent="0.35">
      <c r="A1534" s="138"/>
    </row>
    <row r="1535" spans="1:1" x14ac:dyDescent="0.35">
      <c r="A1535" s="138"/>
    </row>
    <row r="1536" spans="1:1" x14ac:dyDescent="0.35">
      <c r="A1536" s="138"/>
    </row>
    <row r="1537" spans="1:1" x14ac:dyDescent="0.35">
      <c r="A1537" s="138"/>
    </row>
    <row r="1538" spans="1:1" x14ac:dyDescent="0.35">
      <c r="A1538" s="138"/>
    </row>
    <row r="1539" spans="1:1" x14ac:dyDescent="0.35">
      <c r="A1539" s="138"/>
    </row>
    <row r="1540" spans="1:1" x14ac:dyDescent="0.35">
      <c r="A1540" s="138"/>
    </row>
    <row r="1541" spans="1:1" x14ac:dyDescent="0.35">
      <c r="A1541" s="138"/>
    </row>
    <row r="1542" spans="1:1" x14ac:dyDescent="0.35">
      <c r="A1542" s="138"/>
    </row>
    <row r="1543" spans="1:1" x14ac:dyDescent="0.35">
      <c r="A1543" s="138"/>
    </row>
    <row r="1544" spans="1:1" x14ac:dyDescent="0.35">
      <c r="A1544" s="138"/>
    </row>
    <row r="1545" spans="1:1" x14ac:dyDescent="0.35">
      <c r="A1545" s="138"/>
    </row>
    <row r="1546" spans="1:1" x14ac:dyDescent="0.35">
      <c r="A1546" s="138"/>
    </row>
    <row r="1547" spans="1:1" x14ac:dyDescent="0.35">
      <c r="A1547" s="138"/>
    </row>
    <row r="1548" spans="1:1" x14ac:dyDescent="0.35">
      <c r="A1548" s="138"/>
    </row>
    <row r="1549" spans="1:1" x14ac:dyDescent="0.35">
      <c r="A1549" s="138"/>
    </row>
    <row r="1550" spans="1:1" x14ac:dyDescent="0.35">
      <c r="A1550" s="138"/>
    </row>
    <row r="1551" spans="1:1" x14ac:dyDescent="0.35">
      <c r="A1551" s="138"/>
    </row>
    <row r="1552" spans="1:1" x14ac:dyDescent="0.35">
      <c r="A1552" s="138"/>
    </row>
    <row r="1553" spans="1:1" x14ac:dyDescent="0.35">
      <c r="A1553" s="138"/>
    </row>
    <row r="1554" spans="1:1" x14ac:dyDescent="0.35">
      <c r="A1554" s="138"/>
    </row>
    <row r="1555" spans="1:1" x14ac:dyDescent="0.35">
      <c r="A1555" s="138"/>
    </row>
    <row r="1556" spans="1:1" x14ac:dyDescent="0.35">
      <c r="A1556" s="138"/>
    </row>
    <row r="1557" spans="1:1" x14ac:dyDescent="0.35">
      <c r="A1557" s="138"/>
    </row>
    <row r="1558" spans="1:1" x14ac:dyDescent="0.35">
      <c r="A1558" s="138"/>
    </row>
    <row r="1559" spans="1:1" x14ac:dyDescent="0.35">
      <c r="A1559" s="138"/>
    </row>
    <row r="1560" spans="1:1" x14ac:dyDescent="0.35">
      <c r="A1560" s="138"/>
    </row>
    <row r="1561" spans="1:1" x14ac:dyDescent="0.35">
      <c r="A1561" s="138"/>
    </row>
    <row r="1562" spans="1:1" x14ac:dyDescent="0.35">
      <c r="A1562" s="138"/>
    </row>
    <row r="1563" spans="1:1" x14ac:dyDescent="0.35">
      <c r="A1563" s="138"/>
    </row>
    <row r="1564" spans="1:1" x14ac:dyDescent="0.35">
      <c r="A1564" s="138"/>
    </row>
    <row r="1565" spans="1:1" x14ac:dyDescent="0.35">
      <c r="A1565" s="138"/>
    </row>
    <row r="1566" spans="1:1" x14ac:dyDescent="0.35">
      <c r="A1566" s="138"/>
    </row>
    <row r="1567" spans="1:1" x14ac:dyDescent="0.35">
      <c r="A1567" s="138"/>
    </row>
    <row r="1568" spans="1:1" x14ac:dyDescent="0.35">
      <c r="A1568" s="138"/>
    </row>
    <row r="1569" spans="1:1" x14ac:dyDescent="0.35">
      <c r="A1569" s="138"/>
    </row>
    <row r="1570" spans="1:1" x14ac:dyDescent="0.35">
      <c r="A1570" s="138"/>
    </row>
    <row r="1571" spans="1:1" x14ac:dyDescent="0.35">
      <c r="A1571" s="138"/>
    </row>
    <row r="1572" spans="1:1" x14ac:dyDescent="0.35">
      <c r="A1572" s="138"/>
    </row>
    <row r="1573" spans="1:1" x14ac:dyDescent="0.35">
      <c r="A1573" s="138"/>
    </row>
    <row r="1574" spans="1:1" x14ac:dyDescent="0.35">
      <c r="A1574" s="138"/>
    </row>
    <row r="1575" spans="1:1" x14ac:dyDescent="0.35">
      <c r="A1575" s="138"/>
    </row>
    <row r="1576" spans="1:1" x14ac:dyDescent="0.35">
      <c r="A1576" s="138"/>
    </row>
    <row r="1577" spans="1:1" x14ac:dyDescent="0.35">
      <c r="A1577" s="138"/>
    </row>
    <row r="1578" spans="1:1" x14ac:dyDescent="0.35">
      <c r="A1578" s="138"/>
    </row>
    <row r="1579" spans="1:1" x14ac:dyDescent="0.35">
      <c r="A1579" s="138"/>
    </row>
    <row r="1580" spans="1:1" x14ac:dyDescent="0.35">
      <c r="A1580" s="138"/>
    </row>
    <row r="1581" spans="1:1" x14ac:dyDescent="0.35">
      <c r="A1581" s="138"/>
    </row>
    <row r="1582" spans="1:1" x14ac:dyDescent="0.35">
      <c r="A1582" s="138"/>
    </row>
    <row r="1583" spans="1:1" x14ac:dyDescent="0.35">
      <c r="A1583" s="138"/>
    </row>
    <row r="1584" spans="1:1" x14ac:dyDescent="0.35">
      <c r="A1584" s="138"/>
    </row>
    <row r="1585" spans="1:1" x14ac:dyDescent="0.35">
      <c r="A1585" s="138"/>
    </row>
    <row r="1586" spans="1:1" x14ac:dyDescent="0.35">
      <c r="A1586" s="138"/>
    </row>
    <row r="1587" spans="1:1" x14ac:dyDescent="0.35">
      <c r="A1587" s="138"/>
    </row>
    <row r="1588" spans="1:1" x14ac:dyDescent="0.35">
      <c r="A1588" s="138"/>
    </row>
    <row r="1589" spans="1:1" x14ac:dyDescent="0.35">
      <c r="A1589" s="138"/>
    </row>
    <row r="1590" spans="1:1" x14ac:dyDescent="0.35">
      <c r="A1590" s="138"/>
    </row>
    <row r="1591" spans="1:1" x14ac:dyDescent="0.35">
      <c r="A1591" s="138"/>
    </row>
    <row r="1592" spans="1:1" x14ac:dyDescent="0.35">
      <c r="A1592" s="138"/>
    </row>
    <row r="1593" spans="1:1" x14ac:dyDescent="0.35">
      <c r="A1593" s="138"/>
    </row>
    <row r="1594" spans="1:1" x14ac:dyDescent="0.35">
      <c r="A1594" s="138"/>
    </row>
    <row r="1595" spans="1:1" x14ac:dyDescent="0.35">
      <c r="A1595" s="138"/>
    </row>
    <row r="1596" spans="1:1" x14ac:dyDescent="0.35">
      <c r="A1596" s="138"/>
    </row>
    <row r="1597" spans="1:1" x14ac:dyDescent="0.35">
      <c r="A1597" s="138"/>
    </row>
    <row r="1598" spans="1:1" x14ac:dyDescent="0.35">
      <c r="A1598" s="138"/>
    </row>
    <row r="1599" spans="1:1" x14ac:dyDescent="0.35">
      <c r="A1599" s="138"/>
    </row>
    <row r="1600" spans="1:1" x14ac:dyDescent="0.35">
      <c r="A1600" s="138"/>
    </row>
    <row r="1601" spans="1:1" x14ac:dyDescent="0.35">
      <c r="A1601" s="138"/>
    </row>
    <row r="1602" spans="1:1" x14ac:dyDescent="0.35">
      <c r="A1602" s="138"/>
    </row>
    <row r="1603" spans="1:1" x14ac:dyDescent="0.35">
      <c r="A1603" s="138"/>
    </row>
    <row r="1604" spans="1:1" x14ac:dyDescent="0.35">
      <c r="A1604" s="138"/>
    </row>
    <row r="1605" spans="1:1" x14ac:dyDescent="0.35">
      <c r="A1605" s="138"/>
    </row>
    <row r="1606" spans="1:1" x14ac:dyDescent="0.35">
      <c r="A1606" s="138"/>
    </row>
    <row r="1607" spans="1:1" x14ac:dyDescent="0.35">
      <c r="A1607" s="138"/>
    </row>
    <row r="1608" spans="1:1" x14ac:dyDescent="0.35">
      <c r="A1608" s="138"/>
    </row>
    <row r="1609" spans="1:1" x14ac:dyDescent="0.35">
      <c r="A1609" s="138"/>
    </row>
    <row r="1610" spans="1:1" x14ac:dyDescent="0.35">
      <c r="A1610" s="138"/>
    </row>
    <row r="1611" spans="1:1" x14ac:dyDescent="0.35">
      <c r="A1611" s="138"/>
    </row>
    <row r="1612" spans="1:1" x14ac:dyDescent="0.35">
      <c r="A1612" s="138"/>
    </row>
    <row r="1613" spans="1:1" x14ac:dyDescent="0.35">
      <c r="A1613" s="138"/>
    </row>
    <row r="1614" spans="1:1" x14ac:dyDescent="0.35">
      <c r="A1614" s="138"/>
    </row>
    <row r="1615" spans="1:1" x14ac:dyDescent="0.35">
      <c r="A1615" s="138"/>
    </row>
    <row r="1616" spans="1:1" x14ac:dyDescent="0.35">
      <c r="A1616" s="138"/>
    </row>
    <row r="1617" spans="1:1" x14ac:dyDescent="0.35">
      <c r="A1617" s="138"/>
    </row>
    <row r="1618" spans="1:1" x14ac:dyDescent="0.35">
      <c r="A1618" s="138"/>
    </row>
    <row r="1619" spans="1:1" x14ac:dyDescent="0.35">
      <c r="A1619" s="138"/>
    </row>
    <row r="1620" spans="1:1" x14ac:dyDescent="0.35">
      <c r="A1620" s="138"/>
    </row>
    <row r="1621" spans="1:1" x14ac:dyDescent="0.35">
      <c r="A1621" s="138"/>
    </row>
    <row r="1622" spans="1:1" x14ac:dyDescent="0.35">
      <c r="A1622" s="138"/>
    </row>
    <row r="1623" spans="1:1" x14ac:dyDescent="0.35">
      <c r="A1623" s="138"/>
    </row>
    <row r="1624" spans="1:1" x14ac:dyDescent="0.35">
      <c r="A1624" s="138"/>
    </row>
    <row r="1625" spans="1:1" x14ac:dyDescent="0.35">
      <c r="A1625" s="138"/>
    </row>
    <row r="1626" spans="1:1" x14ac:dyDescent="0.35">
      <c r="A1626" s="138"/>
    </row>
    <row r="1627" spans="1:1" x14ac:dyDescent="0.35">
      <c r="A1627" s="138"/>
    </row>
    <row r="1628" spans="1:1" x14ac:dyDescent="0.35">
      <c r="A1628" s="138"/>
    </row>
    <row r="1629" spans="1:1" x14ac:dyDescent="0.35">
      <c r="A1629" s="138"/>
    </row>
    <row r="1630" spans="1:1" x14ac:dyDescent="0.35">
      <c r="A1630" s="138"/>
    </row>
    <row r="1631" spans="1:1" x14ac:dyDescent="0.35">
      <c r="A1631" s="138"/>
    </row>
    <row r="1632" spans="1:1" x14ac:dyDescent="0.35">
      <c r="A1632" s="138"/>
    </row>
    <row r="1633" spans="1:1" x14ac:dyDescent="0.35">
      <c r="A1633" s="138"/>
    </row>
    <row r="1634" spans="1:1" x14ac:dyDescent="0.35">
      <c r="A1634" s="138"/>
    </row>
    <row r="1635" spans="1:1" x14ac:dyDescent="0.35">
      <c r="A1635" s="138"/>
    </row>
    <row r="1636" spans="1:1" x14ac:dyDescent="0.35">
      <c r="A1636" s="138"/>
    </row>
    <row r="1637" spans="1:1" x14ac:dyDescent="0.35">
      <c r="A1637" s="138"/>
    </row>
    <row r="1638" spans="1:1" x14ac:dyDescent="0.35">
      <c r="A1638" s="138"/>
    </row>
    <row r="1639" spans="1:1" x14ac:dyDescent="0.35">
      <c r="A1639" s="138"/>
    </row>
    <row r="1640" spans="1:1" x14ac:dyDescent="0.35">
      <c r="A1640" s="138"/>
    </row>
    <row r="1641" spans="1:1" x14ac:dyDescent="0.35">
      <c r="A1641" s="138"/>
    </row>
    <row r="1642" spans="1:1" x14ac:dyDescent="0.35">
      <c r="A1642" s="138"/>
    </row>
    <row r="1643" spans="1:1" x14ac:dyDescent="0.35">
      <c r="A1643" s="138"/>
    </row>
    <row r="1644" spans="1:1" x14ac:dyDescent="0.35">
      <c r="A1644" s="138"/>
    </row>
    <row r="1645" spans="1:1" x14ac:dyDescent="0.35">
      <c r="A1645" s="138"/>
    </row>
    <row r="1646" spans="1:1" x14ac:dyDescent="0.35">
      <c r="A1646" s="138"/>
    </row>
    <row r="1647" spans="1:1" x14ac:dyDescent="0.35">
      <c r="A1647" s="138"/>
    </row>
    <row r="1648" spans="1:1" x14ac:dyDescent="0.35">
      <c r="A1648" s="138"/>
    </row>
    <row r="1649" spans="1:1" x14ac:dyDescent="0.35">
      <c r="A1649" s="138"/>
    </row>
    <row r="1650" spans="1:1" x14ac:dyDescent="0.35">
      <c r="A1650" s="138"/>
    </row>
    <row r="1651" spans="1:1" x14ac:dyDescent="0.35">
      <c r="A1651" s="138"/>
    </row>
    <row r="1652" spans="1:1" x14ac:dyDescent="0.35">
      <c r="A1652" s="138"/>
    </row>
    <row r="1653" spans="1:1" x14ac:dyDescent="0.35">
      <c r="A1653" s="138"/>
    </row>
    <row r="1654" spans="1:1" x14ac:dyDescent="0.35">
      <c r="A1654" s="138"/>
    </row>
    <row r="1655" spans="1:1" x14ac:dyDescent="0.35">
      <c r="A1655" s="138"/>
    </row>
    <row r="1656" spans="1:1" x14ac:dyDescent="0.35">
      <c r="A1656" s="138"/>
    </row>
    <row r="1657" spans="1:1" x14ac:dyDescent="0.35">
      <c r="A1657" s="138"/>
    </row>
    <row r="1658" spans="1:1" x14ac:dyDescent="0.35">
      <c r="A1658" s="138"/>
    </row>
    <row r="1659" spans="1:1" x14ac:dyDescent="0.35">
      <c r="A1659" s="138"/>
    </row>
    <row r="1660" spans="1:1" x14ac:dyDescent="0.35">
      <c r="A1660" s="138"/>
    </row>
    <row r="1661" spans="1:1" x14ac:dyDescent="0.35">
      <c r="A1661" s="138"/>
    </row>
    <row r="1662" spans="1:1" x14ac:dyDescent="0.35">
      <c r="A1662" s="138"/>
    </row>
    <row r="1663" spans="1:1" x14ac:dyDescent="0.35">
      <c r="A1663" s="138"/>
    </row>
    <row r="1664" spans="1:1" x14ac:dyDescent="0.35">
      <c r="A1664" s="138"/>
    </row>
    <row r="1665" spans="1:1" x14ac:dyDescent="0.35">
      <c r="A1665" s="138"/>
    </row>
    <row r="1666" spans="1:1" x14ac:dyDescent="0.35">
      <c r="A1666" s="138"/>
    </row>
    <row r="1667" spans="1:1" x14ac:dyDescent="0.35">
      <c r="A1667" s="138"/>
    </row>
    <row r="1668" spans="1:1" x14ac:dyDescent="0.35">
      <c r="A1668" s="138"/>
    </row>
    <row r="1669" spans="1:1" x14ac:dyDescent="0.35">
      <c r="A1669" s="138"/>
    </row>
    <row r="1670" spans="1:1" x14ac:dyDescent="0.35">
      <c r="A1670" s="138"/>
    </row>
    <row r="1671" spans="1:1" x14ac:dyDescent="0.35">
      <c r="A1671" s="138"/>
    </row>
    <row r="1672" spans="1:1" x14ac:dyDescent="0.35">
      <c r="A1672" s="138"/>
    </row>
    <row r="1673" spans="1:1" x14ac:dyDescent="0.35">
      <c r="A1673" s="138"/>
    </row>
    <row r="1674" spans="1:1" x14ac:dyDescent="0.35">
      <c r="A1674" s="138"/>
    </row>
    <row r="1675" spans="1:1" x14ac:dyDescent="0.35">
      <c r="A1675" s="138"/>
    </row>
    <row r="1676" spans="1:1" x14ac:dyDescent="0.35">
      <c r="A1676" s="138"/>
    </row>
    <row r="1677" spans="1:1" x14ac:dyDescent="0.35">
      <c r="A1677" s="138"/>
    </row>
    <row r="1678" spans="1:1" x14ac:dyDescent="0.35">
      <c r="A1678" s="138"/>
    </row>
    <row r="1679" spans="1:1" x14ac:dyDescent="0.35">
      <c r="A1679" s="138"/>
    </row>
    <row r="1680" spans="1:1" x14ac:dyDescent="0.35">
      <c r="A1680" s="138"/>
    </row>
    <row r="1681" spans="1:1" x14ac:dyDescent="0.35">
      <c r="A1681" s="138"/>
    </row>
    <row r="1682" spans="1:1" x14ac:dyDescent="0.35">
      <c r="A1682" s="138"/>
    </row>
    <row r="1683" spans="1:1" x14ac:dyDescent="0.35">
      <c r="A1683" s="138"/>
    </row>
    <row r="1684" spans="1:1" x14ac:dyDescent="0.35">
      <c r="A1684" s="138"/>
    </row>
    <row r="1685" spans="1:1" x14ac:dyDescent="0.35">
      <c r="A1685" s="138"/>
    </row>
    <row r="1686" spans="1:1" x14ac:dyDescent="0.35">
      <c r="A1686" s="138"/>
    </row>
    <row r="1687" spans="1:1" x14ac:dyDescent="0.35">
      <c r="A1687" s="138"/>
    </row>
    <row r="1688" spans="1:1" x14ac:dyDescent="0.35">
      <c r="A1688" s="138"/>
    </row>
    <row r="1689" spans="1:1" x14ac:dyDescent="0.35">
      <c r="A1689" s="138"/>
    </row>
    <row r="1690" spans="1:1" x14ac:dyDescent="0.35">
      <c r="A1690" s="138"/>
    </row>
    <row r="1691" spans="1:1" x14ac:dyDescent="0.35">
      <c r="A1691" s="138"/>
    </row>
    <row r="1692" spans="1:1" x14ac:dyDescent="0.35">
      <c r="A1692" s="138"/>
    </row>
    <row r="1693" spans="1:1" x14ac:dyDescent="0.35">
      <c r="A1693" s="138"/>
    </row>
    <row r="1694" spans="1:1" x14ac:dyDescent="0.35">
      <c r="A1694" s="138"/>
    </row>
    <row r="1695" spans="1:1" x14ac:dyDescent="0.35">
      <c r="A1695" s="138"/>
    </row>
    <row r="1696" spans="1:1" x14ac:dyDescent="0.35">
      <c r="A1696" s="138"/>
    </row>
    <row r="1697" spans="1:1" x14ac:dyDescent="0.35">
      <c r="A1697" s="138"/>
    </row>
    <row r="1698" spans="1:1" x14ac:dyDescent="0.35">
      <c r="A1698" s="138"/>
    </row>
    <row r="1699" spans="1:1" x14ac:dyDescent="0.35">
      <c r="A1699" s="138"/>
    </row>
    <row r="1700" spans="1:1" x14ac:dyDescent="0.35">
      <c r="A1700" s="138"/>
    </row>
    <row r="1701" spans="1:1" x14ac:dyDescent="0.35">
      <c r="A1701" s="138"/>
    </row>
    <row r="1702" spans="1:1" x14ac:dyDescent="0.35">
      <c r="A1702" s="138"/>
    </row>
    <row r="1703" spans="1:1" x14ac:dyDescent="0.35">
      <c r="A1703" s="138"/>
    </row>
    <row r="1704" spans="1:1" x14ac:dyDescent="0.35">
      <c r="A1704" s="138"/>
    </row>
    <row r="1705" spans="1:1" x14ac:dyDescent="0.35">
      <c r="A1705" s="138"/>
    </row>
    <row r="1706" spans="1:1" x14ac:dyDescent="0.35">
      <c r="A1706" s="138"/>
    </row>
    <row r="1707" spans="1:1" x14ac:dyDescent="0.35">
      <c r="A1707" s="138"/>
    </row>
    <row r="1708" spans="1:1" x14ac:dyDescent="0.35">
      <c r="A1708" s="138"/>
    </row>
    <row r="1709" spans="1:1" x14ac:dyDescent="0.35">
      <c r="A1709" s="138"/>
    </row>
    <row r="1710" spans="1:1" x14ac:dyDescent="0.35">
      <c r="A1710" s="138"/>
    </row>
    <row r="1711" spans="1:1" x14ac:dyDescent="0.35">
      <c r="A1711" s="138"/>
    </row>
    <row r="1712" spans="1:1" x14ac:dyDescent="0.35">
      <c r="A1712" s="138"/>
    </row>
    <row r="1713" spans="1:1" x14ac:dyDescent="0.35">
      <c r="A1713" s="138"/>
    </row>
    <row r="1714" spans="1:1" x14ac:dyDescent="0.35">
      <c r="A1714" s="138"/>
    </row>
    <row r="1715" spans="1:1" x14ac:dyDescent="0.35">
      <c r="A1715" s="138"/>
    </row>
    <row r="1716" spans="1:1" x14ac:dyDescent="0.35">
      <c r="A1716" s="138"/>
    </row>
    <row r="1717" spans="1:1" x14ac:dyDescent="0.35">
      <c r="A1717" s="138"/>
    </row>
    <row r="1718" spans="1:1" x14ac:dyDescent="0.35">
      <c r="A1718" s="138"/>
    </row>
    <row r="1719" spans="1:1" x14ac:dyDescent="0.35">
      <c r="A1719" s="138"/>
    </row>
    <row r="1720" spans="1:1" x14ac:dyDescent="0.35">
      <c r="A1720" s="138"/>
    </row>
    <row r="1721" spans="1:1" x14ac:dyDescent="0.35">
      <c r="A1721" s="138"/>
    </row>
    <row r="1722" spans="1:1" x14ac:dyDescent="0.35">
      <c r="A1722" s="138"/>
    </row>
    <row r="1723" spans="1:1" x14ac:dyDescent="0.35">
      <c r="A1723" s="138"/>
    </row>
    <row r="1724" spans="1:1" x14ac:dyDescent="0.35">
      <c r="A1724" s="138"/>
    </row>
    <row r="1725" spans="1:1" x14ac:dyDescent="0.35">
      <c r="A1725" s="138"/>
    </row>
    <row r="1726" spans="1:1" x14ac:dyDescent="0.35">
      <c r="A1726" s="138"/>
    </row>
    <row r="1727" spans="1:1" x14ac:dyDescent="0.35">
      <c r="A1727" s="138"/>
    </row>
    <row r="1728" spans="1:1" x14ac:dyDescent="0.35">
      <c r="A1728" s="138"/>
    </row>
    <row r="1729" spans="1:1" x14ac:dyDescent="0.35">
      <c r="A1729" s="138"/>
    </row>
    <row r="1730" spans="1:1" x14ac:dyDescent="0.35">
      <c r="A1730" s="138"/>
    </row>
    <row r="1731" spans="1:1" x14ac:dyDescent="0.35">
      <c r="A1731" s="138"/>
    </row>
    <row r="1732" spans="1:1" x14ac:dyDescent="0.35">
      <c r="A1732" s="138"/>
    </row>
    <row r="1733" spans="1:1" x14ac:dyDescent="0.35">
      <c r="A1733" s="138"/>
    </row>
    <row r="1734" spans="1:1" x14ac:dyDescent="0.35">
      <c r="A1734" s="138"/>
    </row>
    <row r="1735" spans="1:1" x14ac:dyDescent="0.35">
      <c r="A1735" s="138"/>
    </row>
    <row r="1736" spans="1:1" x14ac:dyDescent="0.35">
      <c r="A1736" s="138"/>
    </row>
    <row r="1737" spans="1:1" x14ac:dyDescent="0.35">
      <c r="A1737" s="138"/>
    </row>
    <row r="1738" spans="1:1" x14ac:dyDescent="0.35">
      <c r="A1738" s="138"/>
    </row>
    <row r="1739" spans="1:1" x14ac:dyDescent="0.35">
      <c r="A1739" s="138"/>
    </row>
    <row r="1740" spans="1:1" x14ac:dyDescent="0.35">
      <c r="A1740" s="138"/>
    </row>
    <row r="1741" spans="1:1" x14ac:dyDescent="0.35">
      <c r="A1741" s="138"/>
    </row>
    <row r="1742" spans="1:1" x14ac:dyDescent="0.35">
      <c r="A1742" s="138"/>
    </row>
    <row r="1743" spans="1:1" x14ac:dyDescent="0.35">
      <c r="A1743" s="138"/>
    </row>
    <row r="1744" spans="1:1" x14ac:dyDescent="0.35">
      <c r="A1744" s="138"/>
    </row>
    <row r="1745" spans="1:1" x14ac:dyDescent="0.35">
      <c r="A1745" s="138"/>
    </row>
    <row r="1746" spans="1:1" x14ac:dyDescent="0.35">
      <c r="A1746" s="138"/>
    </row>
    <row r="1747" spans="1:1" x14ac:dyDescent="0.35">
      <c r="A1747" s="138"/>
    </row>
    <row r="1748" spans="1:1" x14ac:dyDescent="0.35">
      <c r="A1748" s="138"/>
    </row>
    <row r="1749" spans="1:1" x14ac:dyDescent="0.35">
      <c r="A1749" s="138"/>
    </row>
    <row r="1750" spans="1:1" x14ac:dyDescent="0.35">
      <c r="A1750" s="138"/>
    </row>
    <row r="1751" spans="1:1" x14ac:dyDescent="0.35">
      <c r="A1751" s="138"/>
    </row>
    <row r="1752" spans="1:1" x14ac:dyDescent="0.35">
      <c r="A1752" s="138"/>
    </row>
    <row r="1753" spans="1:1" x14ac:dyDescent="0.35">
      <c r="A1753" s="138"/>
    </row>
    <row r="1754" spans="1:1" x14ac:dyDescent="0.35">
      <c r="A1754" s="138"/>
    </row>
    <row r="1755" spans="1:1" x14ac:dyDescent="0.35">
      <c r="A1755" s="138"/>
    </row>
    <row r="1756" spans="1:1" x14ac:dyDescent="0.35">
      <c r="A1756" s="138"/>
    </row>
    <row r="1757" spans="1:1" x14ac:dyDescent="0.35">
      <c r="A1757" s="138"/>
    </row>
    <row r="1758" spans="1:1" x14ac:dyDescent="0.35">
      <c r="A1758" s="138"/>
    </row>
    <row r="1759" spans="1:1" x14ac:dyDescent="0.35">
      <c r="A1759" s="138"/>
    </row>
    <row r="1760" spans="1:1" x14ac:dyDescent="0.35">
      <c r="A1760" s="138"/>
    </row>
    <row r="1761" spans="1:1" x14ac:dyDescent="0.35">
      <c r="A1761" s="138"/>
    </row>
    <row r="1762" spans="1:1" x14ac:dyDescent="0.35">
      <c r="A1762" s="138"/>
    </row>
    <row r="1763" spans="1:1" x14ac:dyDescent="0.35">
      <c r="A1763" s="138"/>
    </row>
    <row r="1764" spans="1:1" x14ac:dyDescent="0.35">
      <c r="A1764" s="138"/>
    </row>
    <row r="1765" spans="1:1" x14ac:dyDescent="0.35">
      <c r="A1765" s="138"/>
    </row>
    <row r="1766" spans="1:1" x14ac:dyDescent="0.35">
      <c r="A1766" s="138"/>
    </row>
    <row r="1767" spans="1:1" x14ac:dyDescent="0.35">
      <c r="A1767" s="138"/>
    </row>
    <row r="1768" spans="1:1" x14ac:dyDescent="0.35">
      <c r="A1768" s="138"/>
    </row>
    <row r="1769" spans="1:1" x14ac:dyDescent="0.35">
      <c r="A1769" s="138"/>
    </row>
    <row r="1770" spans="1:1" x14ac:dyDescent="0.35">
      <c r="A1770" s="138"/>
    </row>
    <row r="1771" spans="1:1" x14ac:dyDescent="0.35">
      <c r="A1771" s="138"/>
    </row>
    <row r="1772" spans="1:1" x14ac:dyDescent="0.35">
      <c r="A1772" s="138"/>
    </row>
    <row r="1773" spans="1:1" x14ac:dyDescent="0.35">
      <c r="A1773" s="138"/>
    </row>
    <row r="1774" spans="1:1" x14ac:dyDescent="0.35">
      <c r="A1774" s="138"/>
    </row>
    <row r="1775" spans="1:1" x14ac:dyDescent="0.35">
      <c r="A1775" s="138"/>
    </row>
    <row r="1776" spans="1:1" x14ac:dyDescent="0.35">
      <c r="A1776" s="138"/>
    </row>
    <row r="1777" spans="1:1" x14ac:dyDescent="0.35">
      <c r="A1777" s="138"/>
    </row>
    <row r="1778" spans="1:1" x14ac:dyDescent="0.35">
      <c r="A1778" s="138"/>
    </row>
    <row r="1779" spans="1:1" x14ac:dyDescent="0.35">
      <c r="A1779" s="138"/>
    </row>
    <row r="1780" spans="1:1" x14ac:dyDescent="0.35">
      <c r="A1780" s="138"/>
    </row>
    <row r="1781" spans="1:1" x14ac:dyDescent="0.35">
      <c r="A1781" s="138"/>
    </row>
    <row r="1782" spans="1:1" x14ac:dyDescent="0.35">
      <c r="A1782" s="138"/>
    </row>
    <row r="1783" spans="1:1" x14ac:dyDescent="0.35">
      <c r="A1783" s="138"/>
    </row>
    <row r="1784" spans="1:1" x14ac:dyDescent="0.35">
      <c r="A1784" s="138"/>
    </row>
    <row r="1785" spans="1:1" x14ac:dyDescent="0.35">
      <c r="A1785" s="138"/>
    </row>
    <row r="1786" spans="1:1" x14ac:dyDescent="0.35">
      <c r="A1786" s="138"/>
    </row>
    <row r="1787" spans="1:1" x14ac:dyDescent="0.35">
      <c r="A1787" s="138"/>
    </row>
    <row r="1788" spans="1:1" x14ac:dyDescent="0.35">
      <c r="A1788" s="138"/>
    </row>
    <row r="1789" spans="1:1" x14ac:dyDescent="0.35">
      <c r="A1789" s="138"/>
    </row>
    <row r="1790" spans="1:1" x14ac:dyDescent="0.35">
      <c r="A1790" s="138"/>
    </row>
    <row r="1791" spans="1:1" x14ac:dyDescent="0.35">
      <c r="A1791" s="138"/>
    </row>
    <row r="1792" spans="1:1" x14ac:dyDescent="0.35">
      <c r="A1792" s="138"/>
    </row>
    <row r="1793" spans="1:1" x14ac:dyDescent="0.35">
      <c r="A1793" s="138"/>
    </row>
    <row r="1794" spans="1:1" x14ac:dyDescent="0.35">
      <c r="A1794" s="138"/>
    </row>
    <row r="1795" spans="1:1" x14ac:dyDescent="0.35">
      <c r="A1795" s="138"/>
    </row>
    <row r="1796" spans="1:1" x14ac:dyDescent="0.35">
      <c r="A1796" s="138"/>
    </row>
    <row r="1797" spans="1:1" x14ac:dyDescent="0.35">
      <c r="A1797" s="138"/>
    </row>
    <row r="1798" spans="1:1" x14ac:dyDescent="0.35">
      <c r="A1798" s="138"/>
    </row>
    <row r="1799" spans="1:1" x14ac:dyDescent="0.35">
      <c r="A1799" s="138"/>
    </row>
    <row r="1800" spans="1:1" x14ac:dyDescent="0.35">
      <c r="A1800" s="138"/>
    </row>
    <row r="1801" spans="1:1" x14ac:dyDescent="0.35">
      <c r="A1801" s="138"/>
    </row>
    <row r="1802" spans="1:1" x14ac:dyDescent="0.35">
      <c r="A1802" s="138"/>
    </row>
    <row r="1803" spans="1:1" x14ac:dyDescent="0.35">
      <c r="A1803" s="138"/>
    </row>
    <row r="1804" spans="1:1" x14ac:dyDescent="0.35">
      <c r="A1804" s="138"/>
    </row>
    <row r="1805" spans="1:1" x14ac:dyDescent="0.35">
      <c r="A1805" s="138"/>
    </row>
    <row r="1806" spans="1:1" x14ac:dyDescent="0.35">
      <c r="A1806" s="138"/>
    </row>
    <row r="1807" spans="1:1" x14ac:dyDescent="0.35">
      <c r="A1807" s="138"/>
    </row>
    <row r="1808" spans="1:1" x14ac:dyDescent="0.35">
      <c r="A1808" s="138"/>
    </row>
    <row r="1809" spans="1:1" x14ac:dyDescent="0.35">
      <c r="A1809" s="138"/>
    </row>
    <row r="1810" spans="1:1" x14ac:dyDescent="0.35">
      <c r="A1810" s="138"/>
    </row>
    <row r="1811" spans="1:1" x14ac:dyDescent="0.35">
      <c r="A1811" s="138"/>
    </row>
    <row r="1812" spans="1:1" x14ac:dyDescent="0.35">
      <c r="A1812" s="138"/>
    </row>
    <row r="1813" spans="1:1" x14ac:dyDescent="0.35">
      <c r="A1813" s="138"/>
    </row>
    <row r="1814" spans="1:1" x14ac:dyDescent="0.35">
      <c r="A1814" s="138"/>
    </row>
    <row r="1815" spans="1:1" x14ac:dyDescent="0.35">
      <c r="A1815" s="138"/>
    </row>
    <row r="1816" spans="1:1" x14ac:dyDescent="0.35">
      <c r="A1816" s="138"/>
    </row>
    <row r="1817" spans="1:1" x14ac:dyDescent="0.35">
      <c r="A1817" s="138"/>
    </row>
    <row r="1818" spans="1:1" x14ac:dyDescent="0.35">
      <c r="A1818" s="138"/>
    </row>
    <row r="1819" spans="1:1" x14ac:dyDescent="0.35">
      <c r="A1819" s="138"/>
    </row>
    <row r="1820" spans="1:1" x14ac:dyDescent="0.35">
      <c r="A1820" s="138"/>
    </row>
    <row r="1821" spans="1:1" x14ac:dyDescent="0.35">
      <c r="A1821" s="138"/>
    </row>
    <row r="1822" spans="1:1" x14ac:dyDescent="0.35">
      <c r="A1822" s="138"/>
    </row>
    <row r="1823" spans="1:1" x14ac:dyDescent="0.35">
      <c r="A1823" s="138"/>
    </row>
    <row r="1824" spans="1:1" x14ac:dyDescent="0.35">
      <c r="A1824" s="138"/>
    </row>
    <row r="1825" spans="1:1" x14ac:dyDescent="0.35">
      <c r="A1825" s="138"/>
    </row>
    <row r="1826" spans="1:1" x14ac:dyDescent="0.35">
      <c r="A1826" s="138"/>
    </row>
    <row r="1827" spans="1:1" x14ac:dyDescent="0.35">
      <c r="A1827" s="138"/>
    </row>
    <row r="1828" spans="1:1" x14ac:dyDescent="0.35">
      <c r="A1828" s="138"/>
    </row>
    <row r="1829" spans="1:1" x14ac:dyDescent="0.35">
      <c r="A1829" s="138"/>
    </row>
    <row r="1830" spans="1:1" x14ac:dyDescent="0.35">
      <c r="A1830" s="138"/>
    </row>
    <row r="1831" spans="1:1" x14ac:dyDescent="0.35">
      <c r="A1831" s="138"/>
    </row>
    <row r="1832" spans="1:1" x14ac:dyDescent="0.35">
      <c r="A1832" s="138"/>
    </row>
    <row r="1833" spans="1:1" x14ac:dyDescent="0.35">
      <c r="A1833" s="138"/>
    </row>
    <row r="1834" spans="1:1" x14ac:dyDescent="0.35">
      <c r="A1834" s="138"/>
    </row>
    <row r="1835" spans="1:1" x14ac:dyDescent="0.35">
      <c r="A1835" s="138"/>
    </row>
    <row r="1836" spans="1:1" x14ac:dyDescent="0.35">
      <c r="A1836" s="138"/>
    </row>
    <row r="1837" spans="1:1" x14ac:dyDescent="0.35">
      <c r="A1837" s="138"/>
    </row>
    <row r="1838" spans="1:1" x14ac:dyDescent="0.35">
      <c r="A1838" s="138"/>
    </row>
    <row r="1839" spans="1:1" x14ac:dyDescent="0.35">
      <c r="A1839" s="138"/>
    </row>
    <row r="1840" spans="1:1" x14ac:dyDescent="0.35">
      <c r="A1840" s="138"/>
    </row>
    <row r="1841" spans="1:1" x14ac:dyDescent="0.35">
      <c r="A1841" s="138"/>
    </row>
    <row r="1842" spans="1:1" x14ac:dyDescent="0.35">
      <c r="A1842" s="138"/>
    </row>
    <row r="1843" spans="1:1" x14ac:dyDescent="0.35">
      <c r="A1843" s="138"/>
    </row>
    <row r="1844" spans="1:1" x14ac:dyDescent="0.35">
      <c r="A1844" s="138"/>
    </row>
    <row r="1845" spans="1:1" x14ac:dyDescent="0.35">
      <c r="A1845" s="138"/>
    </row>
    <row r="1846" spans="1:1" x14ac:dyDescent="0.35">
      <c r="A1846" s="138"/>
    </row>
    <row r="1847" spans="1:1" x14ac:dyDescent="0.35">
      <c r="A1847" s="138"/>
    </row>
    <row r="1848" spans="1:1" x14ac:dyDescent="0.35">
      <c r="A1848" s="138"/>
    </row>
    <row r="1849" spans="1:1" x14ac:dyDescent="0.35">
      <c r="A1849" s="138"/>
    </row>
    <row r="1850" spans="1:1" x14ac:dyDescent="0.35">
      <c r="A1850" s="138"/>
    </row>
    <row r="1851" spans="1:1" x14ac:dyDescent="0.35">
      <c r="A1851" s="138"/>
    </row>
    <row r="1852" spans="1:1" x14ac:dyDescent="0.35">
      <c r="A1852" s="138"/>
    </row>
    <row r="1853" spans="1:1" x14ac:dyDescent="0.35">
      <c r="A1853" s="138"/>
    </row>
    <row r="1854" spans="1:1" x14ac:dyDescent="0.35">
      <c r="A1854" s="138"/>
    </row>
    <row r="1855" spans="1:1" x14ac:dyDescent="0.35">
      <c r="A1855" s="138"/>
    </row>
    <row r="1856" spans="1:1" x14ac:dyDescent="0.35">
      <c r="A1856" s="138"/>
    </row>
    <row r="1857" spans="1:1" x14ac:dyDescent="0.35">
      <c r="A1857" s="138"/>
    </row>
    <row r="1858" spans="1:1" x14ac:dyDescent="0.35">
      <c r="A1858" s="138"/>
    </row>
    <row r="1859" spans="1:1" x14ac:dyDescent="0.35">
      <c r="A1859" s="138"/>
    </row>
    <row r="1860" spans="1:1" x14ac:dyDescent="0.35">
      <c r="A1860" s="138"/>
    </row>
    <row r="1861" spans="1:1" x14ac:dyDescent="0.35">
      <c r="A1861" s="138"/>
    </row>
    <row r="1862" spans="1:1" x14ac:dyDescent="0.35">
      <c r="A1862" s="138"/>
    </row>
    <row r="1863" spans="1:1" x14ac:dyDescent="0.35">
      <c r="A1863" s="138"/>
    </row>
    <row r="1864" spans="1:1" x14ac:dyDescent="0.35">
      <c r="A1864" s="138"/>
    </row>
    <row r="1865" spans="1:1" x14ac:dyDescent="0.35">
      <c r="A1865" s="138"/>
    </row>
    <row r="1866" spans="1:1" x14ac:dyDescent="0.35">
      <c r="A1866" s="138"/>
    </row>
    <row r="1867" spans="1:1" x14ac:dyDescent="0.35">
      <c r="A1867" s="138"/>
    </row>
    <row r="1868" spans="1:1" x14ac:dyDescent="0.35">
      <c r="A1868" s="138"/>
    </row>
    <row r="1869" spans="1:1" x14ac:dyDescent="0.35">
      <c r="A1869" s="138"/>
    </row>
    <row r="1870" spans="1:1" x14ac:dyDescent="0.35">
      <c r="A1870" s="138"/>
    </row>
    <row r="1871" spans="1:1" x14ac:dyDescent="0.35">
      <c r="A1871" s="138"/>
    </row>
    <row r="1872" spans="1:1" x14ac:dyDescent="0.35">
      <c r="A1872" s="138"/>
    </row>
    <row r="1873" spans="1:1" x14ac:dyDescent="0.35">
      <c r="A1873" s="138"/>
    </row>
    <row r="1874" spans="1:1" x14ac:dyDescent="0.35">
      <c r="A1874" s="138"/>
    </row>
    <row r="1875" spans="1:1" x14ac:dyDescent="0.35">
      <c r="A1875" s="138"/>
    </row>
    <row r="1876" spans="1:1" x14ac:dyDescent="0.35">
      <c r="A1876" s="138"/>
    </row>
    <row r="1877" spans="1:1" x14ac:dyDescent="0.35">
      <c r="A1877" s="138"/>
    </row>
    <row r="1878" spans="1:1" x14ac:dyDescent="0.35">
      <c r="A1878" s="138"/>
    </row>
    <row r="1879" spans="1:1" x14ac:dyDescent="0.35">
      <c r="A1879" s="138"/>
    </row>
    <row r="1880" spans="1:1" x14ac:dyDescent="0.35">
      <c r="A1880" s="138"/>
    </row>
    <row r="1881" spans="1:1" x14ac:dyDescent="0.35">
      <c r="A1881" s="138"/>
    </row>
    <row r="1882" spans="1:1" x14ac:dyDescent="0.35">
      <c r="A1882" s="138"/>
    </row>
    <row r="1883" spans="1:1" x14ac:dyDescent="0.35">
      <c r="A1883" s="138"/>
    </row>
    <row r="1884" spans="1:1" x14ac:dyDescent="0.35">
      <c r="A1884" s="138"/>
    </row>
    <row r="1885" spans="1:1" x14ac:dyDescent="0.35">
      <c r="A1885" s="138"/>
    </row>
    <row r="1886" spans="1:1" x14ac:dyDescent="0.35">
      <c r="A1886" s="138"/>
    </row>
    <row r="1887" spans="1:1" x14ac:dyDescent="0.35">
      <c r="A1887" s="138"/>
    </row>
    <row r="1888" spans="1:1" x14ac:dyDescent="0.35">
      <c r="A1888" s="138"/>
    </row>
    <row r="1889" spans="1:1" x14ac:dyDescent="0.35">
      <c r="A1889" s="138"/>
    </row>
    <row r="1890" spans="1:1" x14ac:dyDescent="0.35">
      <c r="A1890" s="138"/>
    </row>
    <row r="1891" spans="1:1" x14ac:dyDescent="0.35">
      <c r="A1891" s="138"/>
    </row>
    <row r="1892" spans="1:1" x14ac:dyDescent="0.35">
      <c r="A1892" s="138"/>
    </row>
    <row r="1893" spans="1:1" x14ac:dyDescent="0.35">
      <c r="A1893" s="138"/>
    </row>
    <row r="1894" spans="1:1" x14ac:dyDescent="0.35">
      <c r="A1894" s="138"/>
    </row>
    <row r="1895" spans="1:1" x14ac:dyDescent="0.35">
      <c r="A1895" s="138"/>
    </row>
    <row r="1896" spans="1:1" x14ac:dyDescent="0.35">
      <c r="A1896" s="138"/>
    </row>
    <row r="1897" spans="1:1" x14ac:dyDescent="0.35">
      <c r="A1897" s="138"/>
    </row>
    <row r="1898" spans="1:1" x14ac:dyDescent="0.35">
      <c r="A1898" s="138"/>
    </row>
    <row r="1899" spans="1:1" x14ac:dyDescent="0.35">
      <c r="A1899" s="138"/>
    </row>
    <row r="1900" spans="1:1" x14ac:dyDescent="0.35">
      <c r="A1900" s="138"/>
    </row>
    <row r="1901" spans="1:1" x14ac:dyDescent="0.35">
      <c r="A1901" s="138"/>
    </row>
    <row r="1902" spans="1:1" x14ac:dyDescent="0.35">
      <c r="A1902" s="138"/>
    </row>
    <row r="1903" spans="1:1" x14ac:dyDescent="0.35">
      <c r="A1903" s="138"/>
    </row>
    <row r="1904" spans="1:1" x14ac:dyDescent="0.35">
      <c r="A1904" s="138"/>
    </row>
    <row r="1905" spans="1:1" x14ac:dyDescent="0.35">
      <c r="A1905" s="138"/>
    </row>
    <row r="1906" spans="1:1" x14ac:dyDescent="0.35">
      <c r="A1906" s="138"/>
    </row>
    <row r="1907" spans="1:1" x14ac:dyDescent="0.35">
      <c r="A1907" s="138"/>
    </row>
    <row r="1908" spans="1:1" x14ac:dyDescent="0.35">
      <c r="A1908" s="138"/>
    </row>
    <row r="1909" spans="1:1" x14ac:dyDescent="0.35">
      <c r="A1909" s="138"/>
    </row>
    <row r="1910" spans="1:1" x14ac:dyDescent="0.35">
      <c r="A1910" s="138"/>
    </row>
    <row r="1911" spans="1:1" x14ac:dyDescent="0.35">
      <c r="A1911" s="138"/>
    </row>
    <row r="1912" spans="1:1" x14ac:dyDescent="0.35">
      <c r="A1912" s="138"/>
    </row>
    <row r="1913" spans="1:1" x14ac:dyDescent="0.35">
      <c r="A1913" s="138"/>
    </row>
    <row r="1914" spans="1:1" x14ac:dyDescent="0.35">
      <c r="A1914" s="138"/>
    </row>
    <row r="1915" spans="1:1" x14ac:dyDescent="0.35">
      <c r="A1915" s="138"/>
    </row>
    <row r="1916" spans="1:1" x14ac:dyDescent="0.35">
      <c r="A1916" s="138"/>
    </row>
    <row r="1917" spans="1:1" x14ac:dyDescent="0.35">
      <c r="A1917" s="138"/>
    </row>
    <row r="1918" spans="1:1" x14ac:dyDescent="0.35">
      <c r="A1918" s="138"/>
    </row>
    <row r="1919" spans="1:1" x14ac:dyDescent="0.35">
      <c r="A1919" s="138"/>
    </row>
    <row r="1920" spans="1:1" x14ac:dyDescent="0.35">
      <c r="A1920" s="138"/>
    </row>
    <row r="1921" spans="1:1" x14ac:dyDescent="0.35">
      <c r="A1921" s="138"/>
    </row>
    <row r="1922" spans="1:1" x14ac:dyDescent="0.35">
      <c r="A1922" s="138"/>
    </row>
    <row r="1923" spans="1:1" x14ac:dyDescent="0.35">
      <c r="A1923" s="138"/>
    </row>
    <row r="1924" spans="1:1" x14ac:dyDescent="0.35">
      <c r="A1924" s="138"/>
    </row>
    <row r="1925" spans="1:1" x14ac:dyDescent="0.35">
      <c r="A1925" s="138"/>
    </row>
    <row r="1926" spans="1:1" x14ac:dyDescent="0.35">
      <c r="A1926" s="138"/>
    </row>
    <row r="1927" spans="1:1" x14ac:dyDescent="0.35">
      <c r="A1927" s="138"/>
    </row>
    <row r="1928" spans="1:1" x14ac:dyDescent="0.35">
      <c r="A1928" s="138"/>
    </row>
    <row r="1929" spans="1:1" x14ac:dyDescent="0.35">
      <c r="A1929" s="138"/>
    </row>
    <row r="1930" spans="1:1" x14ac:dyDescent="0.35">
      <c r="A1930" s="138"/>
    </row>
    <row r="1931" spans="1:1" x14ac:dyDescent="0.35">
      <c r="A1931" s="138"/>
    </row>
    <row r="1932" spans="1:1" x14ac:dyDescent="0.35">
      <c r="A1932" s="138"/>
    </row>
    <row r="1933" spans="1:1" x14ac:dyDescent="0.35">
      <c r="A1933" s="138"/>
    </row>
    <row r="1934" spans="1:1" x14ac:dyDescent="0.35">
      <c r="A1934" s="138"/>
    </row>
    <row r="1935" spans="1:1" x14ac:dyDescent="0.35">
      <c r="A1935" s="138"/>
    </row>
    <row r="1936" spans="1:1" x14ac:dyDescent="0.35">
      <c r="A1936" s="138"/>
    </row>
    <row r="1937" spans="1:1" x14ac:dyDescent="0.35">
      <c r="A1937" s="138"/>
    </row>
    <row r="1938" spans="1:1" x14ac:dyDescent="0.35">
      <c r="A1938" s="138"/>
    </row>
    <row r="1939" spans="1:1" x14ac:dyDescent="0.35">
      <c r="A1939" s="138"/>
    </row>
    <row r="1940" spans="1:1" x14ac:dyDescent="0.35">
      <c r="A1940" s="138"/>
    </row>
    <row r="1941" spans="1:1" x14ac:dyDescent="0.35">
      <c r="A1941" s="138"/>
    </row>
    <row r="1942" spans="1:1" x14ac:dyDescent="0.35">
      <c r="A1942" s="138"/>
    </row>
    <row r="1943" spans="1:1" x14ac:dyDescent="0.35">
      <c r="A1943" s="138"/>
    </row>
    <row r="1944" spans="1:1" x14ac:dyDescent="0.35">
      <c r="A1944" s="138"/>
    </row>
    <row r="1945" spans="1:1" x14ac:dyDescent="0.35">
      <c r="A1945" s="138"/>
    </row>
    <row r="1946" spans="1:1" x14ac:dyDescent="0.35">
      <c r="A1946" s="138"/>
    </row>
    <row r="1947" spans="1:1" x14ac:dyDescent="0.35">
      <c r="A1947" s="138"/>
    </row>
    <row r="1948" spans="1:1" x14ac:dyDescent="0.35">
      <c r="A1948" s="138"/>
    </row>
    <row r="1949" spans="1:1" x14ac:dyDescent="0.35">
      <c r="A1949" s="138"/>
    </row>
    <row r="1950" spans="1:1" x14ac:dyDescent="0.35">
      <c r="A1950" s="138"/>
    </row>
    <row r="1951" spans="1:1" x14ac:dyDescent="0.35">
      <c r="A1951" s="138"/>
    </row>
    <row r="1952" spans="1:1" x14ac:dyDescent="0.35">
      <c r="A1952" s="138"/>
    </row>
    <row r="1953" spans="1:1" x14ac:dyDescent="0.35">
      <c r="A1953" s="138"/>
    </row>
    <row r="1954" spans="1:1" x14ac:dyDescent="0.35">
      <c r="A1954" s="138"/>
    </row>
    <row r="1955" spans="1:1" x14ac:dyDescent="0.35">
      <c r="A1955" s="138"/>
    </row>
    <row r="1956" spans="1:1" x14ac:dyDescent="0.35">
      <c r="A1956" s="138"/>
    </row>
    <row r="1957" spans="1:1" x14ac:dyDescent="0.35">
      <c r="A1957" s="138"/>
    </row>
    <row r="1958" spans="1:1" x14ac:dyDescent="0.35">
      <c r="A1958" s="138"/>
    </row>
    <row r="1959" spans="1:1" x14ac:dyDescent="0.35">
      <c r="A1959" s="138"/>
    </row>
    <row r="1960" spans="1:1" x14ac:dyDescent="0.35">
      <c r="A1960" s="138"/>
    </row>
    <row r="1961" spans="1:1" x14ac:dyDescent="0.35">
      <c r="A1961" s="138"/>
    </row>
    <row r="1962" spans="1:1" x14ac:dyDescent="0.35">
      <c r="A1962" s="138"/>
    </row>
    <row r="1963" spans="1:1" x14ac:dyDescent="0.35">
      <c r="A1963" s="138"/>
    </row>
    <row r="1964" spans="1:1" x14ac:dyDescent="0.35">
      <c r="A1964" s="138"/>
    </row>
    <row r="1965" spans="1:1" x14ac:dyDescent="0.35">
      <c r="A1965" s="138"/>
    </row>
    <row r="1966" spans="1:1" x14ac:dyDescent="0.35">
      <c r="A1966" s="138"/>
    </row>
    <row r="1967" spans="1:1" x14ac:dyDescent="0.35">
      <c r="A1967" s="138"/>
    </row>
    <row r="1968" spans="1:1" x14ac:dyDescent="0.35">
      <c r="A1968" s="138"/>
    </row>
    <row r="1969" spans="1:1" x14ac:dyDescent="0.35">
      <c r="A1969" s="138"/>
    </row>
    <row r="1970" spans="1:1" x14ac:dyDescent="0.35">
      <c r="A1970" s="138"/>
    </row>
    <row r="1971" spans="1:1" x14ac:dyDescent="0.35">
      <c r="A1971" s="138"/>
    </row>
    <row r="1972" spans="1:1" x14ac:dyDescent="0.35">
      <c r="A1972" s="138"/>
    </row>
    <row r="1973" spans="1:1" x14ac:dyDescent="0.35">
      <c r="A1973" s="138"/>
    </row>
    <row r="1974" spans="1:1" x14ac:dyDescent="0.35">
      <c r="A1974" s="138"/>
    </row>
    <row r="1975" spans="1:1" x14ac:dyDescent="0.35">
      <c r="A1975" s="138"/>
    </row>
    <row r="1976" spans="1:1" x14ac:dyDescent="0.35">
      <c r="A1976" s="138"/>
    </row>
    <row r="1977" spans="1:1" x14ac:dyDescent="0.35">
      <c r="A1977" s="138"/>
    </row>
    <row r="1978" spans="1:1" x14ac:dyDescent="0.35">
      <c r="A1978" s="138"/>
    </row>
    <row r="1979" spans="1:1" x14ac:dyDescent="0.35">
      <c r="A1979" s="138"/>
    </row>
    <row r="1980" spans="1:1" x14ac:dyDescent="0.35">
      <c r="A1980" s="138"/>
    </row>
    <row r="1981" spans="1:1" x14ac:dyDescent="0.35">
      <c r="A1981" s="138"/>
    </row>
    <row r="1982" spans="1:1" x14ac:dyDescent="0.35">
      <c r="A1982" s="138"/>
    </row>
    <row r="1983" spans="1:1" x14ac:dyDescent="0.35">
      <c r="A1983" s="138"/>
    </row>
    <row r="1984" spans="1:1" x14ac:dyDescent="0.35">
      <c r="A1984" s="138"/>
    </row>
    <row r="1985" spans="1:1" x14ac:dyDescent="0.35">
      <c r="A1985" s="138"/>
    </row>
    <row r="1986" spans="1:1" x14ac:dyDescent="0.35">
      <c r="A1986" s="138"/>
    </row>
    <row r="1987" spans="1:1" x14ac:dyDescent="0.35">
      <c r="A1987" s="138"/>
    </row>
    <row r="1988" spans="1:1" x14ac:dyDescent="0.35">
      <c r="A1988" s="138"/>
    </row>
    <row r="1989" spans="1:1" x14ac:dyDescent="0.35">
      <c r="A1989" s="138"/>
    </row>
    <row r="1990" spans="1:1" x14ac:dyDescent="0.35">
      <c r="A1990" s="138"/>
    </row>
    <row r="1991" spans="1:1" x14ac:dyDescent="0.35">
      <c r="A1991" s="138"/>
    </row>
    <row r="1992" spans="1:1" x14ac:dyDescent="0.35">
      <c r="A1992" s="138"/>
    </row>
    <row r="1993" spans="1:1" x14ac:dyDescent="0.35">
      <c r="A1993" s="138"/>
    </row>
    <row r="1994" spans="1:1" x14ac:dyDescent="0.35">
      <c r="A1994" s="138"/>
    </row>
    <row r="1995" spans="1:1" x14ac:dyDescent="0.35">
      <c r="A1995" s="138"/>
    </row>
    <row r="1996" spans="1:1" x14ac:dyDescent="0.35">
      <c r="A1996" s="138"/>
    </row>
    <row r="1997" spans="1:1" x14ac:dyDescent="0.35">
      <c r="A1997" s="138"/>
    </row>
    <row r="1998" spans="1:1" x14ac:dyDescent="0.35">
      <c r="A1998" s="138"/>
    </row>
    <row r="1999" spans="1:1" x14ac:dyDescent="0.35">
      <c r="A1999" s="138"/>
    </row>
    <row r="2000" spans="1:1" x14ac:dyDescent="0.35">
      <c r="A2000" s="138"/>
    </row>
    <row r="2001" spans="1:1" x14ac:dyDescent="0.35">
      <c r="A2001" s="138"/>
    </row>
    <row r="2002" spans="1:1" x14ac:dyDescent="0.35">
      <c r="A2002" s="138"/>
    </row>
    <row r="2003" spans="1:1" x14ac:dyDescent="0.35">
      <c r="A2003" s="138"/>
    </row>
    <row r="2004" spans="1:1" x14ac:dyDescent="0.35">
      <c r="A2004" s="138"/>
    </row>
    <row r="2005" spans="1:1" x14ac:dyDescent="0.35">
      <c r="A2005" s="138"/>
    </row>
    <row r="2006" spans="1:1" x14ac:dyDescent="0.35">
      <c r="A2006" s="138"/>
    </row>
    <row r="2007" spans="1:1" x14ac:dyDescent="0.35">
      <c r="A2007" s="138"/>
    </row>
    <row r="2008" spans="1:1" x14ac:dyDescent="0.35">
      <c r="A2008" s="138"/>
    </row>
    <row r="2009" spans="1:1" x14ac:dyDescent="0.35">
      <c r="A2009" s="138"/>
    </row>
    <row r="2010" spans="1:1" x14ac:dyDescent="0.35">
      <c r="A2010" s="138"/>
    </row>
    <row r="2011" spans="1:1" x14ac:dyDescent="0.35">
      <c r="A2011" s="138"/>
    </row>
    <row r="2012" spans="1:1" x14ac:dyDescent="0.35">
      <c r="A2012" s="138"/>
    </row>
    <row r="2013" spans="1:1" x14ac:dyDescent="0.35">
      <c r="A2013" s="138"/>
    </row>
    <row r="2014" spans="1:1" x14ac:dyDescent="0.35">
      <c r="A2014" s="138"/>
    </row>
    <row r="2015" spans="1:1" x14ac:dyDescent="0.35">
      <c r="A2015" s="138"/>
    </row>
    <row r="2016" spans="1:1" x14ac:dyDescent="0.35">
      <c r="A2016" s="138"/>
    </row>
    <row r="2017" spans="1:1" x14ac:dyDescent="0.35">
      <c r="A2017" s="138"/>
    </row>
    <row r="2018" spans="1:1" x14ac:dyDescent="0.35">
      <c r="A2018" s="138"/>
    </row>
    <row r="2019" spans="1:1" x14ac:dyDescent="0.35">
      <c r="A2019" s="138"/>
    </row>
    <row r="2020" spans="1:1" x14ac:dyDescent="0.35">
      <c r="A2020" s="138"/>
    </row>
    <row r="2021" spans="1:1" x14ac:dyDescent="0.35">
      <c r="A2021" s="138"/>
    </row>
    <row r="2022" spans="1:1" x14ac:dyDescent="0.35">
      <c r="A2022" s="138"/>
    </row>
    <row r="2023" spans="1:1" x14ac:dyDescent="0.35">
      <c r="A2023" s="138"/>
    </row>
    <row r="2024" spans="1:1" x14ac:dyDescent="0.35">
      <c r="A2024" s="138"/>
    </row>
    <row r="2025" spans="1:1" x14ac:dyDescent="0.35">
      <c r="A2025" s="138"/>
    </row>
    <row r="2026" spans="1:1" x14ac:dyDescent="0.35">
      <c r="A2026" s="138"/>
    </row>
    <row r="2027" spans="1:1" x14ac:dyDescent="0.35">
      <c r="A2027" s="138"/>
    </row>
    <row r="2028" spans="1:1" x14ac:dyDescent="0.35">
      <c r="A2028" s="138"/>
    </row>
    <row r="2029" spans="1:1" x14ac:dyDescent="0.35">
      <c r="A2029" s="138"/>
    </row>
    <row r="2030" spans="1:1" x14ac:dyDescent="0.35">
      <c r="A2030" s="138"/>
    </row>
    <row r="2031" spans="1:1" x14ac:dyDescent="0.35">
      <c r="A2031" s="138"/>
    </row>
    <row r="2032" spans="1:1" x14ac:dyDescent="0.35">
      <c r="A2032" s="138"/>
    </row>
    <row r="2033" spans="1:1" x14ac:dyDescent="0.35">
      <c r="A2033" s="138"/>
    </row>
    <row r="2034" spans="1:1" x14ac:dyDescent="0.35">
      <c r="A2034" s="138"/>
    </row>
    <row r="2035" spans="1:1" x14ac:dyDescent="0.35">
      <c r="A2035" s="138"/>
    </row>
    <row r="2036" spans="1:1" x14ac:dyDescent="0.35">
      <c r="A2036" s="138"/>
    </row>
    <row r="2037" spans="1:1" x14ac:dyDescent="0.35">
      <c r="A2037" s="138"/>
    </row>
    <row r="2038" spans="1:1" x14ac:dyDescent="0.35">
      <c r="A2038" s="138"/>
    </row>
    <row r="2039" spans="1:1" x14ac:dyDescent="0.35">
      <c r="A2039" s="138"/>
    </row>
    <row r="2040" spans="1:1" x14ac:dyDescent="0.35">
      <c r="A2040" s="138"/>
    </row>
    <row r="2041" spans="1:1" x14ac:dyDescent="0.35">
      <c r="A2041" s="138"/>
    </row>
    <row r="2042" spans="1:1" x14ac:dyDescent="0.35">
      <c r="A2042" s="138"/>
    </row>
    <row r="2043" spans="1:1" x14ac:dyDescent="0.35">
      <c r="A2043" s="138"/>
    </row>
    <row r="2044" spans="1:1" x14ac:dyDescent="0.35">
      <c r="A2044" s="138"/>
    </row>
    <row r="2045" spans="1:1" x14ac:dyDescent="0.35">
      <c r="A2045" s="138"/>
    </row>
    <row r="2046" spans="1:1" x14ac:dyDescent="0.35">
      <c r="A2046" s="138"/>
    </row>
    <row r="2047" spans="1:1" x14ac:dyDescent="0.35">
      <c r="A2047" s="138"/>
    </row>
    <row r="2048" spans="1:1" x14ac:dyDescent="0.35">
      <c r="A2048" s="138"/>
    </row>
    <row r="2049" spans="1:1" x14ac:dyDescent="0.35">
      <c r="A2049" s="138"/>
    </row>
    <row r="2050" spans="1:1" x14ac:dyDescent="0.35">
      <c r="A2050" s="138"/>
    </row>
    <row r="2051" spans="1:1" x14ac:dyDescent="0.35">
      <c r="A2051" s="138"/>
    </row>
    <row r="2052" spans="1:1" x14ac:dyDescent="0.35">
      <c r="A2052" s="138"/>
    </row>
    <row r="2053" spans="1:1" x14ac:dyDescent="0.35">
      <c r="A2053" s="138"/>
    </row>
    <row r="2054" spans="1:1" x14ac:dyDescent="0.35">
      <c r="A2054" s="138"/>
    </row>
    <row r="2055" spans="1:1" x14ac:dyDescent="0.35">
      <c r="A2055" s="138"/>
    </row>
    <row r="2056" spans="1:1" x14ac:dyDescent="0.35">
      <c r="A2056" s="138"/>
    </row>
    <row r="2057" spans="1:1" x14ac:dyDescent="0.35">
      <c r="A2057" s="138"/>
    </row>
    <row r="2058" spans="1:1" x14ac:dyDescent="0.35">
      <c r="A2058" s="138"/>
    </row>
    <row r="2059" spans="1:1" x14ac:dyDescent="0.35">
      <c r="A2059" s="138"/>
    </row>
    <row r="2060" spans="1:1" x14ac:dyDescent="0.35">
      <c r="A2060" s="138"/>
    </row>
    <row r="2061" spans="1:1" x14ac:dyDescent="0.35">
      <c r="A2061" s="138"/>
    </row>
    <row r="2062" spans="1:1" x14ac:dyDescent="0.35">
      <c r="A2062" s="138"/>
    </row>
    <row r="2063" spans="1:1" x14ac:dyDescent="0.35">
      <c r="A2063" s="138"/>
    </row>
    <row r="2064" spans="1:1" x14ac:dyDescent="0.35">
      <c r="A2064" s="138"/>
    </row>
    <row r="2065" spans="1:1" x14ac:dyDescent="0.35">
      <c r="A2065" s="138"/>
    </row>
    <row r="2066" spans="1:1" x14ac:dyDescent="0.35">
      <c r="A2066" s="138"/>
    </row>
    <row r="2067" spans="1:1" x14ac:dyDescent="0.35">
      <c r="A2067" s="138"/>
    </row>
    <row r="2068" spans="1:1" x14ac:dyDescent="0.35">
      <c r="A2068" s="138"/>
    </row>
    <row r="2069" spans="1:1" x14ac:dyDescent="0.35">
      <c r="A2069" s="138"/>
    </row>
    <row r="2070" spans="1:1" x14ac:dyDescent="0.35">
      <c r="A2070" s="138"/>
    </row>
    <row r="2071" spans="1:1" x14ac:dyDescent="0.35">
      <c r="A2071" s="138"/>
    </row>
    <row r="2072" spans="1:1" x14ac:dyDescent="0.35">
      <c r="A2072" s="138"/>
    </row>
    <row r="2073" spans="1:1" x14ac:dyDescent="0.35">
      <c r="A2073" s="138"/>
    </row>
    <row r="2074" spans="1:1" x14ac:dyDescent="0.35">
      <c r="A2074" s="138"/>
    </row>
    <row r="2075" spans="1:1" x14ac:dyDescent="0.35">
      <c r="A2075" s="138"/>
    </row>
    <row r="2076" spans="1:1" x14ac:dyDescent="0.35">
      <c r="A2076" s="138"/>
    </row>
    <row r="2077" spans="1:1" x14ac:dyDescent="0.35">
      <c r="A2077" s="138"/>
    </row>
    <row r="2078" spans="1:1" x14ac:dyDescent="0.35">
      <c r="A2078" s="138"/>
    </row>
    <row r="2079" spans="1:1" x14ac:dyDescent="0.35">
      <c r="A2079" s="138"/>
    </row>
    <row r="2080" spans="1:1" x14ac:dyDescent="0.35">
      <c r="A2080" s="138"/>
    </row>
    <row r="2081" spans="1:1" x14ac:dyDescent="0.35">
      <c r="A2081" s="138"/>
    </row>
    <row r="2082" spans="1:1" x14ac:dyDescent="0.35">
      <c r="A2082" s="138"/>
    </row>
    <row r="2083" spans="1:1" x14ac:dyDescent="0.35">
      <c r="A2083" s="138"/>
    </row>
    <row r="2084" spans="1:1" x14ac:dyDescent="0.35">
      <c r="A2084" s="138"/>
    </row>
    <row r="2085" spans="1:1" x14ac:dyDescent="0.35">
      <c r="A2085" s="138"/>
    </row>
    <row r="2086" spans="1:1" x14ac:dyDescent="0.35">
      <c r="A2086" s="138"/>
    </row>
    <row r="2087" spans="1:1" x14ac:dyDescent="0.35">
      <c r="A2087" s="138"/>
    </row>
    <row r="2088" spans="1:1" x14ac:dyDescent="0.35">
      <c r="A2088" s="138"/>
    </row>
    <row r="2089" spans="1:1" x14ac:dyDescent="0.35">
      <c r="A2089" s="138"/>
    </row>
    <row r="2090" spans="1:1" x14ac:dyDescent="0.35">
      <c r="A2090" s="138"/>
    </row>
    <row r="2091" spans="1:1" x14ac:dyDescent="0.35">
      <c r="A2091" s="138"/>
    </row>
    <row r="2092" spans="1:1" x14ac:dyDescent="0.35">
      <c r="A2092" s="138"/>
    </row>
    <row r="2093" spans="1:1" x14ac:dyDescent="0.35">
      <c r="A2093" s="138"/>
    </row>
    <row r="2094" spans="1:1" x14ac:dyDescent="0.35">
      <c r="A2094" s="138"/>
    </row>
    <row r="2095" spans="1:1" x14ac:dyDescent="0.35">
      <c r="A2095" s="138"/>
    </row>
    <row r="2096" spans="1:1" x14ac:dyDescent="0.35">
      <c r="A2096" s="138"/>
    </row>
    <row r="2097" spans="1:1" x14ac:dyDescent="0.35">
      <c r="A2097" s="138"/>
    </row>
    <row r="2098" spans="1:1" x14ac:dyDescent="0.35">
      <c r="A2098" s="138"/>
    </row>
    <row r="2099" spans="1:1" x14ac:dyDescent="0.35">
      <c r="A2099" s="138"/>
    </row>
    <row r="2100" spans="1:1" x14ac:dyDescent="0.35">
      <c r="A2100" s="138"/>
    </row>
    <row r="2101" spans="1:1" x14ac:dyDescent="0.35">
      <c r="A2101" s="138"/>
    </row>
    <row r="2102" spans="1:1" x14ac:dyDescent="0.35">
      <c r="A2102" s="138"/>
    </row>
    <row r="2103" spans="1:1" x14ac:dyDescent="0.35">
      <c r="A2103" s="138"/>
    </row>
    <row r="2104" spans="1:1" x14ac:dyDescent="0.35">
      <c r="A2104" s="138"/>
    </row>
    <row r="2105" spans="1:1" x14ac:dyDescent="0.35">
      <c r="A2105" s="138"/>
    </row>
    <row r="2106" spans="1:1" x14ac:dyDescent="0.35">
      <c r="A2106" s="138"/>
    </row>
    <row r="2107" spans="1:1" x14ac:dyDescent="0.35">
      <c r="A2107" s="138"/>
    </row>
    <row r="2108" spans="1:1" x14ac:dyDescent="0.35">
      <c r="A2108" s="138"/>
    </row>
    <row r="2109" spans="1:1" x14ac:dyDescent="0.35">
      <c r="A2109" s="138"/>
    </row>
    <row r="2110" spans="1:1" x14ac:dyDescent="0.35">
      <c r="A2110" s="138"/>
    </row>
    <row r="2111" spans="1:1" x14ac:dyDescent="0.35">
      <c r="A2111" s="138"/>
    </row>
    <row r="2112" spans="1:1" x14ac:dyDescent="0.35">
      <c r="A2112" s="138"/>
    </row>
    <row r="2113" spans="1:1" x14ac:dyDescent="0.35">
      <c r="A2113" s="138"/>
    </row>
    <row r="2114" spans="1:1" x14ac:dyDescent="0.35">
      <c r="A2114" s="138"/>
    </row>
    <row r="2115" spans="1:1" x14ac:dyDescent="0.35">
      <c r="A2115" s="138"/>
    </row>
    <row r="2116" spans="1:1" x14ac:dyDescent="0.35">
      <c r="A2116" s="138"/>
    </row>
    <row r="2117" spans="1:1" x14ac:dyDescent="0.35">
      <c r="A2117" s="138"/>
    </row>
    <row r="2118" spans="1:1" x14ac:dyDescent="0.35">
      <c r="A2118" s="138"/>
    </row>
    <row r="2119" spans="1:1" x14ac:dyDescent="0.35">
      <c r="A2119" s="138"/>
    </row>
    <row r="2120" spans="1:1" x14ac:dyDescent="0.35">
      <c r="A2120" s="138"/>
    </row>
    <row r="2121" spans="1:1" x14ac:dyDescent="0.35">
      <c r="A2121" s="138"/>
    </row>
    <row r="2122" spans="1:1" x14ac:dyDescent="0.35">
      <c r="A2122" s="138"/>
    </row>
    <row r="2123" spans="1:1" x14ac:dyDescent="0.35">
      <c r="A2123" s="138"/>
    </row>
    <row r="2124" spans="1:1" x14ac:dyDescent="0.35">
      <c r="A2124" s="138"/>
    </row>
    <row r="2125" spans="1:1" x14ac:dyDescent="0.35">
      <c r="A2125" s="138"/>
    </row>
    <row r="2126" spans="1:1" x14ac:dyDescent="0.35">
      <c r="A2126" s="138"/>
    </row>
    <row r="2127" spans="1:1" x14ac:dyDescent="0.35">
      <c r="A2127" s="138"/>
    </row>
    <row r="2128" spans="1:1" x14ac:dyDescent="0.35">
      <c r="A2128" s="138"/>
    </row>
    <row r="2129" spans="1:1" x14ac:dyDescent="0.35">
      <c r="A2129" s="138"/>
    </row>
    <row r="2130" spans="1:1" x14ac:dyDescent="0.35">
      <c r="A2130" s="138"/>
    </row>
    <row r="2131" spans="1:1" x14ac:dyDescent="0.35">
      <c r="A2131" s="138"/>
    </row>
    <row r="2132" spans="1:1" x14ac:dyDescent="0.35">
      <c r="A2132" s="138"/>
    </row>
    <row r="2133" spans="1:1" x14ac:dyDescent="0.35">
      <c r="A2133" s="138"/>
    </row>
    <row r="2134" spans="1:1" x14ac:dyDescent="0.35">
      <c r="A2134" s="138"/>
    </row>
    <row r="2135" spans="1:1" x14ac:dyDescent="0.35">
      <c r="A2135" s="138"/>
    </row>
    <row r="2136" spans="1:1" x14ac:dyDescent="0.35">
      <c r="A2136" s="138"/>
    </row>
    <row r="2137" spans="1:1" x14ac:dyDescent="0.35">
      <c r="A2137" s="138"/>
    </row>
    <row r="2138" spans="1:1" x14ac:dyDescent="0.35">
      <c r="A2138" s="138"/>
    </row>
    <row r="2139" spans="1:1" x14ac:dyDescent="0.35">
      <c r="A2139" s="138"/>
    </row>
    <row r="2140" spans="1:1" x14ac:dyDescent="0.35">
      <c r="A2140" s="138"/>
    </row>
    <row r="2141" spans="1:1" x14ac:dyDescent="0.35">
      <c r="A2141" s="138"/>
    </row>
    <row r="2142" spans="1:1" x14ac:dyDescent="0.35">
      <c r="A2142" s="138"/>
    </row>
    <row r="2143" spans="1:1" x14ac:dyDescent="0.35">
      <c r="A2143" s="138"/>
    </row>
    <row r="2144" spans="1:1" x14ac:dyDescent="0.35">
      <c r="A2144" s="138"/>
    </row>
    <row r="2145" spans="1:1" x14ac:dyDescent="0.35">
      <c r="A2145" s="138"/>
    </row>
    <row r="2146" spans="1:1" x14ac:dyDescent="0.35">
      <c r="A2146" s="138"/>
    </row>
    <row r="2147" spans="1:1" x14ac:dyDescent="0.35">
      <c r="A2147" s="138"/>
    </row>
    <row r="2148" spans="1:1" x14ac:dyDescent="0.35">
      <c r="A2148" s="138"/>
    </row>
    <row r="2149" spans="1:1" x14ac:dyDescent="0.35">
      <c r="A2149" s="138"/>
    </row>
    <row r="2150" spans="1:1" x14ac:dyDescent="0.35">
      <c r="A2150" s="138"/>
    </row>
    <row r="2151" spans="1:1" x14ac:dyDescent="0.35">
      <c r="A2151" s="138"/>
    </row>
    <row r="2152" spans="1:1" x14ac:dyDescent="0.35">
      <c r="A2152" s="138"/>
    </row>
    <row r="2153" spans="1:1" x14ac:dyDescent="0.35">
      <c r="A2153" s="138"/>
    </row>
    <row r="2154" spans="1:1" x14ac:dyDescent="0.35">
      <c r="A2154" s="138"/>
    </row>
    <row r="2155" spans="1:1" x14ac:dyDescent="0.35">
      <c r="A2155" s="138"/>
    </row>
    <row r="2156" spans="1:1" x14ac:dyDescent="0.35">
      <c r="A2156" s="138"/>
    </row>
    <row r="2157" spans="1:1" x14ac:dyDescent="0.35">
      <c r="A2157" s="138"/>
    </row>
    <row r="2158" spans="1:1" x14ac:dyDescent="0.35">
      <c r="A2158" s="138"/>
    </row>
    <row r="2159" spans="1:1" x14ac:dyDescent="0.35">
      <c r="A2159" s="138"/>
    </row>
    <row r="2160" spans="1:1" x14ac:dyDescent="0.35">
      <c r="A2160" s="138"/>
    </row>
    <row r="2161" spans="1:1" x14ac:dyDescent="0.35">
      <c r="A2161" s="138"/>
    </row>
    <row r="2162" spans="1:1" x14ac:dyDescent="0.35">
      <c r="A2162" s="138"/>
    </row>
    <row r="2163" spans="1:1" x14ac:dyDescent="0.35">
      <c r="A2163" s="138"/>
    </row>
    <row r="2164" spans="1:1" x14ac:dyDescent="0.35">
      <c r="A2164" s="138"/>
    </row>
    <row r="2165" spans="1:1" x14ac:dyDescent="0.35">
      <c r="A2165" s="138"/>
    </row>
    <row r="2166" spans="1:1" x14ac:dyDescent="0.35">
      <c r="A2166" s="138"/>
    </row>
    <row r="2167" spans="1:1" x14ac:dyDescent="0.35">
      <c r="A2167" s="138"/>
    </row>
    <row r="2168" spans="1:1" x14ac:dyDescent="0.35">
      <c r="A2168" s="138"/>
    </row>
    <row r="2169" spans="1:1" x14ac:dyDescent="0.35">
      <c r="A2169" s="138"/>
    </row>
    <row r="2170" spans="1:1" x14ac:dyDescent="0.35">
      <c r="A2170" s="138"/>
    </row>
    <row r="2171" spans="1:1" x14ac:dyDescent="0.35">
      <c r="A2171" s="138"/>
    </row>
    <row r="2172" spans="1:1" x14ac:dyDescent="0.35">
      <c r="A2172" s="138"/>
    </row>
    <row r="2173" spans="1:1" x14ac:dyDescent="0.35">
      <c r="A2173" s="138"/>
    </row>
    <row r="2174" spans="1:1" x14ac:dyDescent="0.35">
      <c r="A2174" s="138"/>
    </row>
    <row r="2175" spans="1:1" x14ac:dyDescent="0.35">
      <c r="A2175" s="138"/>
    </row>
    <row r="2176" spans="1:1" x14ac:dyDescent="0.35">
      <c r="A2176" s="138"/>
    </row>
    <row r="2177" spans="1:1" x14ac:dyDescent="0.35">
      <c r="A2177" s="138"/>
    </row>
    <row r="2178" spans="1:1" x14ac:dyDescent="0.35">
      <c r="A2178" s="138"/>
    </row>
    <row r="2179" spans="1:1" x14ac:dyDescent="0.35">
      <c r="A2179" s="138"/>
    </row>
    <row r="2180" spans="1:1" x14ac:dyDescent="0.35">
      <c r="A2180" s="138"/>
    </row>
    <row r="2181" spans="1:1" x14ac:dyDescent="0.35">
      <c r="A2181" s="138"/>
    </row>
    <row r="2182" spans="1:1" x14ac:dyDescent="0.35">
      <c r="A2182" s="138"/>
    </row>
    <row r="2183" spans="1:1" x14ac:dyDescent="0.35">
      <c r="A2183" s="138"/>
    </row>
    <row r="2184" spans="1:1" x14ac:dyDescent="0.35">
      <c r="A2184" s="138"/>
    </row>
    <row r="2185" spans="1:1" x14ac:dyDescent="0.35">
      <c r="A2185" s="138"/>
    </row>
    <row r="2186" spans="1:1" x14ac:dyDescent="0.35">
      <c r="A2186" s="138"/>
    </row>
    <row r="2187" spans="1:1" x14ac:dyDescent="0.35">
      <c r="A2187" s="138"/>
    </row>
    <row r="2188" spans="1:1" x14ac:dyDescent="0.35">
      <c r="A2188" s="138"/>
    </row>
    <row r="2189" spans="1:1" x14ac:dyDescent="0.35">
      <c r="A2189" s="138"/>
    </row>
    <row r="2190" spans="1:1" x14ac:dyDescent="0.35">
      <c r="A2190" s="138"/>
    </row>
    <row r="2191" spans="1:1" x14ac:dyDescent="0.35">
      <c r="A2191" s="138"/>
    </row>
    <row r="2192" spans="1:1" x14ac:dyDescent="0.35">
      <c r="A2192" s="138"/>
    </row>
    <row r="2193" spans="1:1" x14ac:dyDescent="0.35">
      <c r="A2193" s="138"/>
    </row>
    <row r="2194" spans="1:1" x14ac:dyDescent="0.35">
      <c r="A2194" s="138"/>
    </row>
    <row r="2195" spans="1:1" x14ac:dyDescent="0.35">
      <c r="A2195" s="138"/>
    </row>
    <row r="2196" spans="1:1" x14ac:dyDescent="0.35">
      <c r="A2196" s="138"/>
    </row>
    <row r="2197" spans="1:1" x14ac:dyDescent="0.35">
      <c r="A2197" s="138"/>
    </row>
    <row r="2198" spans="1:1" x14ac:dyDescent="0.35">
      <c r="A2198" s="138"/>
    </row>
    <row r="2199" spans="1:1" x14ac:dyDescent="0.35">
      <c r="A2199" s="138"/>
    </row>
    <row r="2200" spans="1:1" x14ac:dyDescent="0.35">
      <c r="A2200" s="138"/>
    </row>
    <row r="2201" spans="1:1" x14ac:dyDescent="0.35">
      <c r="A2201" s="138"/>
    </row>
    <row r="2202" spans="1:1" x14ac:dyDescent="0.35">
      <c r="A2202" s="138"/>
    </row>
    <row r="2203" spans="1:1" x14ac:dyDescent="0.35">
      <c r="A2203" s="138"/>
    </row>
    <row r="2204" spans="1:1" x14ac:dyDescent="0.35">
      <c r="A2204" s="138"/>
    </row>
    <row r="2205" spans="1:1" x14ac:dyDescent="0.35">
      <c r="A2205" s="138"/>
    </row>
    <row r="2206" spans="1:1" x14ac:dyDescent="0.35">
      <c r="A2206" s="138"/>
    </row>
    <row r="2207" spans="1:1" x14ac:dyDescent="0.35">
      <c r="A2207" s="138"/>
    </row>
    <row r="2208" spans="1:1" x14ac:dyDescent="0.35">
      <c r="A2208" s="138"/>
    </row>
    <row r="2209" spans="1:1" x14ac:dyDescent="0.35">
      <c r="A2209" s="138"/>
    </row>
    <row r="2210" spans="1:1" x14ac:dyDescent="0.35">
      <c r="A2210" s="138"/>
    </row>
    <row r="2211" spans="1:1" x14ac:dyDescent="0.35">
      <c r="A2211" s="138"/>
    </row>
    <row r="2212" spans="1:1" x14ac:dyDescent="0.35">
      <c r="A2212" s="138"/>
    </row>
    <row r="2213" spans="1:1" x14ac:dyDescent="0.35">
      <c r="A2213" s="138"/>
    </row>
    <row r="2214" spans="1:1" x14ac:dyDescent="0.35">
      <c r="A2214" s="138"/>
    </row>
    <row r="2215" spans="1:1" x14ac:dyDescent="0.35">
      <c r="A2215" s="138"/>
    </row>
    <row r="2216" spans="1:1" x14ac:dyDescent="0.35">
      <c r="A2216" s="138"/>
    </row>
    <row r="2217" spans="1:1" x14ac:dyDescent="0.35">
      <c r="A2217" s="138"/>
    </row>
    <row r="2218" spans="1:1" x14ac:dyDescent="0.35">
      <c r="A2218" s="138"/>
    </row>
    <row r="2219" spans="1:1" x14ac:dyDescent="0.35">
      <c r="A2219" s="138"/>
    </row>
    <row r="2220" spans="1:1" x14ac:dyDescent="0.35">
      <c r="A2220" s="138"/>
    </row>
    <row r="2221" spans="1:1" x14ac:dyDescent="0.35">
      <c r="A2221" s="138"/>
    </row>
    <row r="2222" spans="1:1" x14ac:dyDescent="0.35">
      <c r="A2222" s="138"/>
    </row>
    <row r="2223" spans="1:1" x14ac:dyDescent="0.35">
      <c r="A2223" s="138"/>
    </row>
    <row r="2224" spans="1:1" x14ac:dyDescent="0.35">
      <c r="A2224" s="138"/>
    </row>
    <row r="2225" spans="1:1" x14ac:dyDescent="0.35">
      <c r="A2225" s="138"/>
    </row>
    <row r="2226" spans="1:1" x14ac:dyDescent="0.35">
      <c r="A2226" s="138"/>
    </row>
    <row r="2227" spans="1:1" x14ac:dyDescent="0.35">
      <c r="A2227" s="138"/>
    </row>
    <row r="2228" spans="1:1" x14ac:dyDescent="0.35">
      <c r="A2228" s="138"/>
    </row>
    <row r="2229" spans="1:1" x14ac:dyDescent="0.35">
      <c r="A2229" s="138"/>
    </row>
    <row r="2230" spans="1:1" x14ac:dyDescent="0.35">
      <c r="A2230" s="138"/>
    </row>
    <row r="2231" spans="1:1" x14ac:dyDescent="0.35">
      <c r="A2231" s="138"/>
    </row>
    <row r="2232" spans="1:1" x14ac:dyDescent="0.35">
      <c r="A2232" s="138"/>
    </row>
    <row r="2233" spans="1:1" x14ac:dyDescent="0.35">
      <c r="A2233" s="138"/>
    </row>
    <row r="2234" spans="1:1" x14ac:dyDescent="0.35">
      <c r="A2234" s="138"/>
    </row>
    <row r="2235" spans="1:1" x14ac:dyDescent="0.35">
      <c r="A2235" s="138"/>
    </row>
    <row r="2236" spans="1:1" x14ac:dyDescent="0.35">
      <c r="A2236" s="138"/>
    </row>
    <row r="2237" spans="1:1" x14ac:dyDescent="0.35">
      <c r="A2237" s="138"/>
    </row>
    <row r="2238" spans="1:1" x14ac:dyDescent="0.35">
      <c r="A2238" s="138"/>
    </row>
    <row r="2239" spans="1:1" x14ac:dyDescent="0.35">
      <c r="A2239" s="138"/>
    </row>
    <row r="2240" spans="1:1" x14ac:dyDescent="0.35">
      <c r="A2240" s="138"/>
    </row>
    <row r="2241" spans="1:1" x14ac:dyDescent="0.35">
      <c r="A2241" s="138"/>
    </row>
    <row r="2242" spans="1:1" x14ac:dyDescent="0.35">
      <c r="A2242" s="138"/>
    </row>
    <row r="2243" spans="1:1" x14ac:dyDescent="0.35">
      <c r="A2243" s="138"/>
    </row>
    <row r="2244" spans="1:1" x14ac:dyDescent="0.35">
      <c r="A2244" s="138"/>
    </row>
    <row r="2245" spans="1:1" x14ac:dyDescent="0.35">
      <c r="A2245" s="138"/>
    </row>
    <row r="2246" spans="1:1" x14ac:dyDescent="0.35">
      <c r="A2246" s="138"/>
    </row>
    <row r="2247" spans="1:1" x14ac:dyDescent="0.35">
      <c r="A2247" s="138"/>
    </row>
    <row r="2248" spans="1:1" x14ac:dyDescent="0.35">
      <c r="A2248" s="138"/>
    </row>
    <row r="2249" spans="1:1" x14ac:dyDescent="0.35">
      <c r="A2249" s="138"/>
    </row>
    <row r="2250" spans="1:1" x14ac:dyDescent="0.35">
      <c r="A2250" s="138"/>
    </row>
    <row r="2251" spans="1:1" x14ac:dyDescent="0.35">
      <c r="A2251" s="138"/>
    </row>
    <row r="2252" spans="1:1" x14ac:dyDescent="0.35">
      <c r="A2252" s="138"/>
    </row>
    <row r="2253" spans="1:1" x14ac:dyDescent="0.35">
      <c r="A2253" s="138"/>
    </row>
    <row r="2254" spans="1:1" x14ac:dyDescent="0.35">
      <c r="A2254" s="138"/>
    </row>
    <row r="2255" spans="1:1" x14ac:dyDescent="0.35">
      <c r="A2255" s="138"/>
    </row>
    <row r="2256" spans="1:1" x14ac:dyDescent="0.35">
      <c r="A2256" s="138"/>
    </row>
    <row r="2257" spans="1:1" x14ac:dyDescent="0.35">
      <c r="A2257" s="138"/>
    </row>
    <row r="2258" spans="1:1" x14ac:dyDescent="0.35">
      <c r="A2258" s="138"/>
    </row>
    <row r="2259" spans="1:1" x14ac:dyDescent="0.35">
      <c r="A2259" s="138"/>
    </row>
    <row r="2260" spans="1:1" x14ac:dyDescent="0.35">
      <c r="A2260" s="138"/>
    </row>
    <row r="2261" spans="1:1" x14ac:dyDescent="0.35">
      <c r="A2261" s="138"/>
    </row>
    <row r="2262" spans="1:1" x14ac:dyDescent="0.35">
      <c r="A2262" s="138"/>
    </row>
    <row r="2263" spans="1:1" x14ac:dyDescent="0.35">
      <c r="A2263" s="138"/>
    </row>
    <row r="2264" spans="1:1" x14ac:dyDescent="0.35">
      <c r="A2264" s="138"/>
    </row>
    <row r="2265" spans="1:1" x14ac:dyDescent="0.35">
      <c r="A2265" s="138"/>
    </row>
    <row r="2266" spans="1:1" x14ac:dyDescent="0.35">
      <c r="A2266" s="138"/>
    </row>
    <row r="2267" spans="1:1" x14ac:dyDescent="0.35">
      <c r="A2267" s="138"/>
    </row>
    <row r="2268" spans="1:1" x14ac:dyDescent="0.35">
      <c r="A2268" s="138"/>
    </row>
    <row r="2269" spans="1:1" x14ac:dyDescent="0.35">
      <c r="A2269" s="138"/>
    </row>
    <row r="2270" spans="1:1" x14ac:dyDescent="0.35">
      <c r="A2270" s="138"/>
    </row>
    <row r="2271" spans="1:1" x14ac:dyDescent="0.35">
      <c r="A2271" s="138"/>
    </row>
    <row r="2272" spans="1:1" x14ac:dyDescent="0.35">
      <c r="A2272" s="138"/>
    </row>
    <row r="2273" spans="1:1" x14ac:dyDescent="0.35">
      <c r="A2273" s="138"/>
    </row>
    <row r="2274" spans="1:1" x14ac:dyDescent="0.35">
      <c r="A2274" s="138"/>
    </row>
    <row r="2275" spans="1:1" x14ac:dyDescent="0.35">
      <c r="A2275" s="138"/>
    </row>
    <row r="2276" spans="1:1" x14ac:dyDescent="0.35">
      <c r="A2276" s="138"/>
    </row>
    <row r="2277" spans="1:1" x14ac:dyDescent="0.35">
      <c r="A2277" s="138"/>
    </row>
    <row r="2278" spans="1:1" x14ac:dyDescent="0.35">
      <c r="A2278" s="138"/>
    </row>
    <row r="2279" spans="1:1" x14ac:dyDescent="0.35">
      <c r="A2279" s="138"/>
    </row>
    <row r="2280" spans="1:1" x14ac:dyDescent="0.35">
      <c r="A2280" s="138"/>
    </row>
    <row r="2281" spans="1:1" x14ac:dyDescent="0.35">
      <c r="A2281" s="138"/>
    </row>
    <row r="2282" spans="1:1" x14ac:dyDescent="0.35">
      <c r="A2282" s="138"/>
    </row>
    <row r="2283" spans="1:1" x14ac:dyDescent="0.35">
      <c r="A2283" s="138"/>
    </row>
    <row r="2284" spans="1:1" x14ac:dyDescent="0.35">
      <c r="A2284" s="138"/>
    </row>
    <row r="2285" spans="1:1" x14ac:dyDescent="0.35">
      <c r="A2285" s="138"/>
    </row>
    <row r="2286" spans="1:1" x14ac:dyDescent="0.35">
      <c r="A2286" s="138"/>
    </row>
    <row r="2287" spans="1:1" x14ac:dyDescent="0.35">
      <c r="A2287" s="138"/>
    </row>
    <row r="2288" spans="1:1" x14ac:dyDescent="0.35">
      <c r="A2288" s="138"/>
    </row>
    <row r="2289" spans="1:1" x14ac:dyDescent="0.35">
      <c r="A2289" s="138"/>
    </row>
    <row r="2290" spans="1:1" x14ac:dyDescent="0.35">
      <c r="A2290" s="138"/>
    </row>
    <row r="2291" spans="1:1" x14ac:dyDescent="0.35">
      <c r="A2291" s="138"/>
    </row>
    <row r="2292" spans="1:1" x14ac:dyDescent="0.35">
      <c r="A2292" s="138"/>
    </row>
    <row r="2293" spans="1:1" x14ac:dyDescent="0.35">
      <c r="A2293" s="138"/>
    </row>
    <row r="2294" spans="1:1" x14ac:dyDescent="0.35">
      <c r="A2294" s="138"/>
    </row>
    <row r="2295" spans="1:1" x14ac:dyDescent="0.35">
      <c r="A2295" s="138"/>
    </row>
    <row r="2296" spans="1:1" x14ac:dyDescent="0.35">
      <c r="A2296" s="138"/>
    </row>
    <row r="2297" spans="1:1" x14ac:dyDescent="0.35">
      <c r="A2297" s="138"/>
    </row>
    <row r="2298" spans="1:1" x14ac:dyDescent="0.35">
      <c r="A2298" s="138"/>
    </row>
    <row r="2299" spans="1:1" x14ac:dyDescent="0.35">
      <c r="A2299" s="138"/>
    </row>
    <row r="2300" spans="1:1" x14ac:dyDescent="0.35">
      <c r="A2300" s="138"/>
    </row>
    <row r="2301" spans="1:1" x14ac:dyDescent="0.35">
      <c r="A2301" s="138"/>
    </row>
    <row r="2302" spans="1:1" x14ac:dyDescent="0.35">
      <c r="A2302" s="138"/>
    </row>
    <row r="2303" spans="1:1" x14ac:dyDescent="0.35">
      <c r="A2303" s="138"/>
    </row>
    <row r="2304" spans="1:1" x14ac:dyDescent="0.35">
      <c r="A2304" s="138"/>
    </row>
    <row r="2305" spans="1:1" x14ac:dyDescent="0.35">
      <c r="A2305" s="138"/>
    </row>
    <row r="2306" spans="1:1" x14ac:dyDescent="0.35">
      <c r="A2306" s="138"/>
    </row>
    <row r="2307" spans="1:1" x14ac:dyDescent="0.35">
      <c r="A2307" s="138"/>
    </row>
    <row r="2308" spans="1:1" x14ac:dyDescent="0.35">
      <c r="A2308" s="138"/>
    </row>
    <row r="2309" spans="1:1" x14ac:dyDescent="0.35">
      <c r="A2309" s="138"/>
    </row>
    <row r="2310" spans="1:1" x14ac:dyDescent="0.35">
      <c r="A2310" s="138"/>
    </row>
    <row r="2311" spans="1:1" x14ac:dyDescent="0.35">
      <c r="A2311" s="138"/>
    </row>
    <row r="2312" spans="1:1" x14ac:dyDescent="0.35">
      <c r="A2312" s="138"/>
    </row>
    <row r="2313" spans="1:1" x14ac:dyDescent="0.35">
      <c r="A2313" s="138"/>
    </row>
    <row r="2314" spans="1:1" x14ac:dyDescent="0.35">
      <c r="A2314" s="138"/>
    </row>
    <row r="2315" spans="1:1" x14ac:dyDescent="0.35">
      <c r="A2315" s="138"/>
    </row>
    <row r="2316" spans="1:1" x14ac:dyDescent="0.35">
      <c r="A2316" s="138"/>
    </row>
    <row r="2317" spans="1:1" x14ac:dyDescent="0.35">
      <c r="A2317" s="138"/>
    </row>
    <row r="2318" spans="1:1" x14ac:dyDescent="0.35">
      <c r="A2318" s="138"/>
    </row>
    <row r="2319" spans="1:1" x14ac:dyDescent="0.35">
      <c r="A2319" s="138"/>
    </row>
    <row r="2320" spans="1:1" x14ac:dyDescent="0.35">
      <c r="A2320" s="138"/>
    </row>
    <row r="2321" spans="1:1" x14ac:dyDescent="0.35">
      <c r="A2321" s="138"/>
    </row>
    <row r="2322" spans="1:1" x14ac:dyDescent="0.35">
      <c r="A2322" s="138"/>
    </row>
    <row r="2323" spans="1:1" x14ac:dyDescent="0.35">
      <c r="A2323" s="138"/>
    </row>
    <row r="2324" spans="1:1" x14ac:dyDescent="0.35">
      <c r="A2324" s="138"/>
    </row>
    <row r="2325" spans="1:1" x14ac:dyDescent="0.35">
      <c r="A2325" s="138"/>
    </row>
    <row r="2326" spans="1:1" x14ac:dyDescent="0.35">
      <c r="A2326" s="138"/>
    </row>
    <row r="2327" spans="1:1" x14ac:dyDescent="0.35">
      <c r="A2327" s="138"/>
    </row>
    <row r="2328" spans="1:1" x14ac:dyDescent="0.35">
      <c r="A2328" s="138"/>
    </row>
    <row r="2329" spans="1:1" x14ac:dyDescent="0.35">
      <c r="A2329" s="138"/>
    </row>
    <row r="2330" spans="1:1" x14ac:dyDescent="0.35">
      <c r="A2330" s="138"/>
    </row>
    <row r="2331" spans="1:1" x14ac:dyDescent="0.35">
      <c r="A2331" s="138"/>
    </row>
    <row r="2332" spans="1:1" x14ac:dyDescent="0.35">
      <c r="A2332" s="138"/>
    </row>
    <row r="2333" spans="1:1" x14ac:dyDescent="0.35">
      <c r="A2333" s="138"/>
    </row>
    <row r="2334" spans="1:1" x14ac:dyDescent="0.35">
      <c r="A2334" s="138"/>
    </row>
    <row r="2335" spans="1:1" x14ac:dyDescent="0.35">
      <c r="A2335" s="138"/>
    </row>
    <row r="2336" spans="1:1" x14ac:dyDescent="0.35">
      <c r="A2336" s="138"/>
    </row>
    <row r="2337" spans="1:1" x14ac:dyDescent="0.35">
      <c r="A2337" s="138"/>
    </row>
    <row r="2338" spans="1:1" x14ac:dyDescent="0.35">
      <c r="A2338" s="138"/>
    </row>
    <row r="2339" spans="1:1" x14ac:dyDescent="0.35">
      <c r="A2339" s="138"/>
    </row>
    <row r="2340" spans="1:1" x14ac:dyDescent="0.35">
      <c r="A2340" s="138"/>
    </row>
    <row r="2341" spans="1:1" x14ac:dyDescent="0.35">
      <c r="A2341" s="138"/>
    </row>
    <row r="2342" spans="1:1" x14ac:dyDescent="0.35">
      <c r="A2342" s="138"/>
    </row>
    <row r="2343" spans="1:1" x14ac:dyDescent="0.35">
      <c r="A2343" s="138"/>
    </row>
    <row r="2344" spans="1:1" x14ac:dyDescent="0.35">
      <c r="A2344" s="138"/>
    </row>
    <row r="2345" spans="1:1" x14ac:dyDescent="0.35">
      <c r="A2345" s="138"/>
    </row>
    <row r="2346" spans="1:1" x14ac:dyDescent="0.35">
      <c r="A2346" s="138"/>
    </row>
    <row r="2347" spans="1:1" x14ac:dyDescent="0.35">
      <c r="A2347" s="138"/>
    </row>
    <row r="2348" spans="1:1" x14ac:dyDescent="0.35">
      <c r="A2348" s="138"/>
    </row>
    <row r="2349" spans="1:1" x14ac:dyDescent="0.35">
      <c r="A2349" s="138"/>
    </row>
    <row r="2350" spans="1:1" x14ac:dyDescent="0.35">
      <c r="A2350" s="138"/>
    </row>
    <row r="2351" spans="1:1" x14ac:dyDescent="0.35">
      <c r="A2351" s="138"/>
    </row>
    <row r="2352" spans="1:1" x14ac:dyDescent="0.35">
      <c r="A2352" s="138"/>
    </row>
    <row r="2353" spans="1:1" x14ac:dyDescent="0.35">
      <c r="A2353" s="138"/>
    </row>
    <row r="2354" spans="1:1" x14ac:dyDescent="0.35">
      <c r="A2354" s="138"/>
    </row>
    <row r="2355" spans="1:1" x14ac:dyDescent="0.35">
      <c r="A2355" s="138"/>
    </row>
    <row r="2356" spans="1:1" x14ac:dyDescent="0.35">
      <c r="A2356" s="138"/>
    </row>
    <row r="2357" spans="1:1" x14ac:dyDescent="0.35">
      <c r="A2357" s="138"/>
    </row>
    <row r="2358" spans="1:1" x14ac:dyDescent="0.35">
      <c r="A2358" s="138"/>
    </row>
    <row r="2359" spans="1:1" x14ac:dyDescent="0.35">
      <c r="A2359" s="138"/>
    </row>
    <row r="2360" spans="1:1" x14ac:dyDescent="0.35">
      <c r="A2360" s="138"/>
    </row>
    <row r="2361" spans="1:1" x14ac:dyDescent="0.35">
      <c r="A2361" s="138"/>
    </row>
    <row r="2362" spans="1:1" x14ac:dyDescent="0.35">
      <c r="A2362" s="138"/>
    </row>
    <row r="2363" spans="1:1" x14ac:dyDescent="0.35">
      <c r="A2363" s="138"/>
    </row>
    <row r="2364" spans="1:1" x14ac:dyDescent="0.35">
      <c r="A2364" s="138"/>
    </row>
    <row r="2365" spans="1:1" x14ac:dyDescent="0.35">
      <c r="A2365" s="138"/>
    </row>
    <row r="2366" spans="1:1" x14ac:dyDescent="0.35">
      <c r="A2366" s="138"/>
    </row>
    <row r="2367" spans="1:1" x14ac:dyDescent="0.35">
      <c r="A2367" s="138"/>
    </row>
    <row r="2368" spans="1:1" x14ac:dyDescent="0.35">
      <c r="A2368" s="138"/>
    </row>
    <row r="2369" spans="1:1" x14ac:dyDescent="0.35">
      <c r="A2369" s="138"/>
    </row>
    <row r="2370" spans="1:1" x14ac:dyDescent="0.35">
      <c r="A2370" s="138"/>
    </row>
    <row r="2371" spans="1:1" x14ac:dyDescent="0.35">
      <c r="A2371" s="138"/>
    </row>
    <row r="2372" spans="1:1" x14ac:dyDescent="0.35">
      <c r="A2372" s="138"/>
    </row>
    <row r="2373" spans="1:1" x14ac:dyDescent="0.35">
      <c r="A2373" s="138"/>
    </row>
    <row r="2374" spans="1:1" x14ac:dyDescent="0.35">
      <c r="A2374" s="138"/>
    </row>
    <row r="2375" spans="1:1" x14ac:dyDescent="0.35">
      <c r="A2375" s="138"/>
    </row>
    <row r="2376" spans="1:1" x14ac:dyDescent="0.35">
      <c r="A2376" s="138"/>
    </row>
    <row r="2377" spans="1:1" x14ac:dyDescent="0.35">
      <c r="A2377" s="138"/>
    </row>
    <row r="2378" spans="1:1" x14ac:dyDescent="0.35">
      <c r="A2378" s="138"/>
    </row>
    <row r="2379" spans="1:1" x14ac:dyDescent="0.35">
      <c r="A2379" s="138"/>
    </row>
    <row r="2380" spans="1:1" x14ac:dyDescent="0.35">
      <c r="A2380" s="138"/>
    </row>
    <row r="2381" spans="1:1" x14ac:dyDescent="0.35">
      <c r="A2381" s="138"/>
    </row>
    <row r="2382" spans="1:1" x14ac:dyDescent="0.35">
      <c r="A2382" s="138"/>
    </row>
    <row r="2383" spans="1:1" x14ac:dyDescent="0.35">
      <c r="A2383" s="138"/>
    </row>
    <row r="2384" spans="1:1" x14ac:dyDescent="0.35">
      <c r="A2384" s="138"/>
    </row>
    <row r="2385" spans="1:1" x14ac:dyDescent="0.35">
      <c r="A2385" s="138"/>
    </row>
    <row r="2386" spans="1:1" x14ac:dyDescent="0.35">
      <c r="A2386" s="138"/>
    </row>
    <row r="2387" spans="1:1" x14ac:dyDescent="0.35">
      <c r="A2387" s="138"/>
    </row>
    <row r="2388" spans="1:1" x14ac:dyDescent="0.35">
      <c r="A2388" s="138"/>
    </row>
    <row r="2389" spans="1:1" x14ac:dyDescent="0.35">
      <c r="A2389" s="138"/>
    </row>
    <row r="2390" spans="1:1" x14ac:dyDescent="0.35">
      <c r="A2390" s="138"/>
    </row>
    <row r="2391" spans="1:1" x14ac:dyDescent="0.35">
      <c r="A2391" s="138"/>
    </row>
    <row r="2392" spans="1:1" x14ac:dyDescent="0.35">
      <c r="A2392" s="138"/>
    </row>
    <row r="2393" spans="1:1" x14ac:dyDescent="0.35">
      <c r="A2393" s="138"/>
    </row>
    <row r="2394" spans="1:1" x14ac:dyDescent="0.35">
      <c r="A2394" s="138"/>
    </row>
    <row r="2395" spans="1:1" x14ac:dyDescent="0.35">
      <c r="A2395" s="138"/>
    </row>
    <row r="2396" spans="1:1" x14ac:dyDescent="0.35">
      <c r="A2396" s="138"/>
    </row>
    <row r="2397" spans="1:1" x14ac:dyDescent="0.35">
      <c r="A2397" s="138"/>
    </row>
    <row r="2398" spans="1:1" x14ac:dyDescent="0.35">
      <c r="A2398" s="138"/>
    </row>
    <row r="2399" spans="1:1" x14ac:dyDescent="0.35">
      <c r="A2399" s="138"/>
    </row>
    <row r="2400" spans="1:1" x14ac:dyDescent="0.35">
      <c r="A2400" s="138"/>
    </row>
    <row r="2401" spans="1:1" x14ac:dyDescent="0.35">
      <c r="A2401" s="138"/>
    </row>
    <row r="2402" spans="1:1" x14ac:dyDescent="0.35">
      <c r="A2402" s="138"/>
    </row>
    <row r="2403" spans="1:1" x14ac:dyDescent="0.35">
      <c r="A2403" s="138"/>
    </row>
    <row r="2404" spans="1:1" x14ac:dyDescent="0.35">
      <c r="A2404" s="138"/>
    </row>
    <row r="2405" spans="1:1" x14ac:dyDescent="0.35">
      <c r="A2405" s="138"/>
    </row>
    <row r="2406" spans="1:1" x14ac:dyDescent="0.35">
      <c r="A2406" s="138"/>
    </row>
    <row r="2407" spans="1:1" x14ac:dyDescent="0.35">
      <c r="A2407" s="138"/>
    </row>
    <row r="2408" spans="1:1" x14ac:dyDescent="0.35">
      <c r="A2408" s="138"/>
    </row>
    <row r="2409" spans="1:1" x14ac:dyDescent="0.35">
      <c r="A2409" s="138"/>
    </row>
    <row r="2410" spans="1:1" x14ac:dyDescent="0.35">
      <c r="A2410" s="138"/>
    </row>
    <row r="2411" spans="1:1" x14ac:dyDescent="0.35">
      <c r="A2411" s="138"/>
    </row>
    <row r="2412" spans="1:1" x14ac:dyDescent="0.35">
      <c r="A2412" s="138"/>
    </row>
    <row r="2413" spans="1:1" x14ac:dyDescent="0.35">
      <c r="A2413" s="138"/>
    </row>
    <row r="2414" spans="1:1" x14ac:dyDescent="0.35">
      <c r="A2414" s="138"/>
    </row>
    <row r="2415" spans="1:1" x14ac:dyDescent="0.35">
      <c r="A2415" s="138"/>
    </row>
    <row r="2416" spans="1:1" x14ac:dyDescent="0.35">
      <c r="A2416" s="138"/>
    </row>
    <row r="2417" spans="1:1" x14ac:dyDescent="0.35">
      <c r="A2417" s="138"/>
    </row>
    <row r="2418" spans="1:1" x14ac:dyDescent="0.35">
      <c r="A2418" s="138"/>
    </row>
    <row r="2419" spans="1:1" x14ac:dyDescent="0.35">
      <c r="A2419" s="138"/>
    </row>
    <row r="2420" spans="1:1" x14ac:dyDescent="0.35">
      <c r="A2420" s="138"/>
    </row>
    <row r="2421" spans="1:1" x14ac:dyDescent="0.35">
      <c r="A2421" s="138"/>
    </row>
    <row r="2422" spans="1:1" x14ac:dyDescent="0.35">
      <c r="A2422" s="138"/>
    </row>
    <row r="2423" spans="1:1" x14ac:dyDescent="0.35">
      <c r="A2423" s="138"/>
    </row>
    <row r="2424" spans="1:1" x14ac:dyDescent="0.35">
      <c r="A2424" s="138"/>
    </row>
    <row r="2425" spans="1:1" x14ac:dyDescent="0.35">
      <c r="A2425" s="138"/>
    </row>
    <row r="2426" spans="1:1" x14ac:dyDescent="0.35">
      <c r="A2426" s="138"/>
    </row>
    <row r="2427" spans="1:1" x14ac:dyDescent="0.35">
      <c r="A2427" s="138"/>
    </row>
    <row r="2428" spans="1:1" x14ac:dyDescent="0.35">
      <c r="A2428" s="138"/>
    </row>
    <row r="2429" spans="1:1" x14ac:dyDescent="0.35">
      <c r="A2429" s="138"/>
    </row>
    <row r="2430" spans="1:1" x14ac:dyDescent="0.35">
      <c r="A2430" s="138"/>
    </row>
    <row r="2431" spans="1:1" x14ac:dyDescent="0.35">
      <c r="A2431" s="138"/>
    </row>
    <row r="2432" spans="1:1" x14ac:dyDescent="0.35">
      <c r="A2432" s="138"/>
    </row>
    <row r="2433" spans="1:1" x14ac:dyDescent="0.35">
      <c r="A2433" s="138"/>
    </row>
    <row r="2434" spans="1:1" x14ac:dyDescent="0.35">
      <c r="A2434" s="138"/>
    </row>
    <row r="2435" spans="1:1" x14ac:dyDescent="0.35">
      <c r="A2435" s="138"/>
    </row>
    <row r="2436" spans="1:1" x14ac:dyDescent="0.35">
      <c r="A2436" s="138"/>
    </row>
    <row r="2437" spans="1:1" x14ac:dyDescent="0.35">
      <c r="A2437" s="138"/>
    </row>
    <row r="2438" spans="1:1" x14ac:dyDescent="0.35">
      <c r="A2438" s="138"/>
    </row>
    <row r="2439" spans="1:1" x14ac:dyDescent="0.35">
      <c r="A2439" s="138"/>
    </row>
    <row r="2440" spans="1:1" x14ac:dyDescent="0.35">
      <c r="A2440" s="138"/>
    </row>
    <row r="2441" spans="1:1" x14ac:dyDescent="0.35">
      <c r="A2441" s="138"/>
    </row>
    <row r="2442" spans="1:1" x14ac:dyDescent="0.35">
      <c r="A2442" s="138"/>
    </row>
    <row r="2443" spans="1:1" x14ac:dyDescent="0.35">
      <c r="A2443" s="138"/>
    </row>
    <row r="2444" spans="1:1" x14ac:dyDescent="0.35">
      <c r="A2444" s="138"/>
    </row>
    <row r="2445" spans="1:1" x14ac:dyDescent="0.35">
      <c r="A2445" s="138"/>
    </row>
    <row r="2446" spans="1:1" x14ac:dyDescent="0.35">
      <c r="A2446" s="138"/>
    </row>
    <row r="2447" spans="1:1" x14ac:dyDescent="0.35">
      <c r="A2447" s="138"/>
    </row>
    <row r="2448" spans="1:1" x14ac:dyDescent="0.35">
      <c r="A2448" s="138"/>
    </row>
    <row r="2449" spans="1:1" x14ac:dyDescent="0.35">
      <c r="A2449" s="138"/>
    </row>
    <row r="2450" spans="1:1" x14ac:dyDescent="0.35">
      <c r="A2450" s="138"/>
    </row>
    <row r="2451" spans="1:1" x14ac:dyDescent="0.35">
      <c r="A2451" s="138"/>
    </row>
    <row r="2452" spans="1:1" x14ac:dyDescent="0.35">
      <c r="A2452" s="138"/>
    </row>
    <row r="2453" spans="1:1" x14ac:dyDescent="0.35">
      <c r="A2453" s="138"/>
    </row>
    <row r="2454" spans="1:1" x14ac:dyDescent="0.35">
      <c r="A2454" s="138"/>
    </row>
    <row r="2455" spans="1:1" x14ac:dyDescent="0.35">
      <c r="A2455" s="138"/>
    </row>
    <row r="2456" spans="1:1" x14ac:dyDescent="0.35">
      <c r="A2456" s="138"/>
    </row>
    <row r="2457" spans="1:1" x14ac:dyDescent="0.35">
      <c r="A2457" s="138"/>
    </row>
    <row r="2458" spans="1:1" x14ac:dyDescent="0.35">
      <c r="A2458" s="138"/>
    </row>
    <row r="2459" spans="1:1" x14ac:dyDescent="0.35">
      <c r="A2459" s="138"/>
    </row>
    <row r="2460" spans="1:1" x14ac:dyDescent="0.35">
      <c r="A2460" s="138"/>
    </row>
    <row r="2461" spans="1:1" x14ac:dyDescent="0.35">
      <c r="A2461" s="138"/>
    </row>
    <row r="2462" spans="1:1" x14ac:dyDescent="0.35">
      <c r="A2462" s="138"/>
    </row>
    <row r="2463" spans="1:1" x14ac:dyDescent="0.35">
      <c r="A2463" s="138"/>
    </row>
    <row r="2464" spans="1:1" x14ac:dyDescent="0.35">
      <c r="A2464" s="138"/>
    </row>
    <row r="2465" spans="1:1" x14ac:dyDescent="0.35">
      <c r="A2465" s="138"/>
    </row>
    <row r="2466" spans="1:1" x14ac:dyDescent="0.35">
      <c r="A2466" s="138"/>
    </row>
    <row r="2467" spans="1:1" x14ac:dyDescent="0.35">
      <c r="A2467" s="138"/>
    </row>
    <row r="2468" spans="1:1" x14ac:dyDescent="0.35">
      <c r="A2468" s="138"/>
    </row>
    <row r="2469" spans="1:1" x14ac:dyDescent="0.35">
      <c r="A2469" s="138"/>
    </row>
    <row r="2470" spans="1:1" x14ac:dyDescent="0.35">
      <c r="A2470" s="138"/>
    </row>
    <row r="2471" spans="1:1" x14ac:dyDescent="0.35">
      <c r="A2471" s="138"/>
    </row>
    <row r="2472" spans="1:1" x14ac:dyDescent="0.35">
      <c r="A2472" s="138"/>
    </row>
    <row r="2473" spans="1:1" x14ac:dyDescent="0.35">
      <c r="A2473" s="138"/>
    </row>
    <row r="2474" spans="1:1" x14ac:dyDescent="0.35">
      <c r="A2474" s="138"/>
    </row>
    <row r="2475" spans="1:1" x14ac:dyDescent="0.35">
      <c r="A2475" s="138"/>
    </row>
    <row r="2476" spans="1:1" x14ac:dyDescent="0.35">
      <c r="A2476" s="138"/>
    </row>
    <row r="2477" spans="1:1" x14ac:dyDescent="0.35">
      <c r="A2477" s="138"/>
    </row>
    <row r="2478" spans="1:1" x14ac:dyDescent="0.35">
      <c r="A2478" s="138"/>
    </row>
    <row r="2479" spans="1:1" x14ac:dyDescent="0.35">
      <c r="A2479" s="138"/>
    </row>
    <row r="2480" spans="1:1" x14ac:dyDescent="0.35">
      <c r="A2480" s="138"/>
    </row>
    <row r="2481" spans="1:1" x14ac:dyDescent="0.35">
      <c r="A2481" s="138"/>
    </row>
    <row r="2482" spans="1:1" x14ac:dyDescent="0.35">
      <c r="A2482" s="138"/>
    </row>
    <row r="2483" spans="1:1" x14ac:dyDescent="0.35">
      <c r="A2483" s="138"/>
    </row>
    <row r="2484" spans="1:1" x14ac:dyDescent="0.35">
      <c r="A2484" s="138"/>
    </row>
    <row r="2485" spans="1:1" x14ac:dyDescent="0.35">
      <c r="A2485" s="138"/>
    </row>
    <row r="2486" spans="1:1" x14ac:dyDescent="0.35">
      <c r="A2486" s="138"/>
    </row>
    <row r="2487" spans="1:1" x14ac:dyDescent="0.35">
      <c r="A2487" s="138"/>
    </row>
    <row r="2488" spans="1:1" x14ac:dyDescent="0.35">
      <c r="A2488" s="138"/>
    </row>
    <row r="2489" spans="1:1" x14ac:dyDescent="0.35">
      <c r="A2489" s="138"/>
    </row>
    <row r="2490" spans="1:1" x14ac:dyDescent="0.35">
      <c r="A2490" s="138"/>
    </row>
    <row r="2491" spans="1:1" x14ac:dyDescent="0.35">
      <c r="A2491" s="138"/>
    </row>
    <row r="2492" spans="1:1" x14ac:dyDescent="0.35">
      <c r="A2492" s="138"/>
    </row>
    <row r="2493" spans="1:1" x14ac:dyDescent="0.35">
      <c r="A2493" s="138"/>
    </row>
    <row r="2494" spans="1:1" x14ac:dyDescent="0.35">
      <c r="A2494" s="138"/>
    </row>
    <row r="2495" spans="1:1" x14ac:dyDescent="0.35">
      <c r="A2495" s="138"/>
    </row>
    <row r="2496" spans="1:1" x14ac:dyDescent="0.35">
      <c r="A2496" s="138"/>
    </row>
    <row r="2497" spans="1:1" x14ac:dyDescent="0.35">
      <c r="A2497" s="138"/>
    </row>
    <row r="2498" spans="1:1" x14ac:dyDescent="0.35">
      <c r="A2498" s="138"/>
    </row>
    <row r="2499" spans="1:1" x14ac:dyDescent="0.35">
      <c r="A2499" s="138"/>
    </row>
    <row r="2500" spans="1:1" x14ac:dyDescent="0.35">
      <c r="A2500" s="138"/>
    </row>
    <row r="2501" spans="1:1" x14ac:dyDescent="0.35">
      <c r="A2501" s="138"/>
    </row>
    <row r="2502" spans="1:1" x14ac:dyDescent="0.35">
      <c r="A2502" s="138"/>
    </row>
    <row r="2503" spans="1:1" x14ac:dyDescent="0.35">
      <c r="A2503" s="138"/>
    </row>
    <row r="2504" spans="1:1" x14ac:dyDescent="0.35">
      <c r="A2504" s="138"/>
    </row>
    <row r="2505" spans="1:1" x14ac:dyDescent="0.35">
      <c r="A2505" s="138"/>
    </row>
    <row r="2506" spans="1:1" x14ac:dyDescent="0.35">
      <c r="A2506" s="138"/>
    </row>
    <row r="2507" spans="1:1" x14ac:dyDescent="0.35">
      <c r="A2507" s="138"/>
    </row>
    <row r="2508" spans="1:1" x14ac:dyDescent="0.35">
      <c r="A2508" s="138"/>
    </row>
    <row r="2509" spans="1:1" x14ac:dyDescent="0.35">
      <c r="A2509" s="138"/>
    </row>
    <row r="2510" spans="1:1" x14ac:dyDescent="0.35">
      <c r="A2510" s="138"/>
    </row>
    <row r="2511" spans="1:1" x14ac:dyDescent="0.35">
      <c r="A2511" s="138"/>
    </row>
    <row r="2512" spans="1:1" x14ac:dyDescent="0.35">
      <c r="A2512" s="138"/>
    </row>
    <row r="2513" spans="1:1" x14ac:dyDescent="0.35">
      <c r="A2513" s="138"/>
    </row>
    <row r="2514" spans="1:1" x14ac:dyDescent="0.35">
      <c r="A2514" s="138"/>
    </row>
    <row r="2515" spans="1:1" x14ac:dyDescent="0.35">
      <c r="A2515" s="138"/>
    </row>
    <row r="2516" spans="1:1" x14ac:dyDescent="0.35">
      <c r="A2516" s="138"/>
    </row>
    <row r="2517" spans="1:1" x14ac:dyDescent="0.35">
      <c r="A2517" s="138"/>
    </row>
    <row r="2518" spans="1:1" x14ac:dyDescent="0.35">
      <c r="A2518" s="138"/>
    </row>
    <row r="2519" spans="1:1" x14ac:dyDescent="0.35">
      <c r="A2519" s="138"/>
    </row>
    <row r="2520" spans="1:1" x14ac:dyDescent="0.35">
      <c r="A2520" s="138"/>
    </row>
    <row r="2521" spans="1:1" x14ac:dyDescent="0.35">
      <c r="A2521" s="138"/>
    </row>
    <row r="2522" spans="1:1" x14ac:dyDescent="0.35">
      <c r="A2522" s="138"/>
    </row>
    <row r="2523" spans="1:1" x14ac:dyDescent="0.35">
      <c r="A2523" s="138"/>
    </row>
    <row r="2524" spans="1:1" x14ac:dyDescent="0.35">
      <c r="A2524" s="138"/>
    </row>
    <row r="2525" spans="1:1" x14ac:dyDescent="0.35">
      <c r="A2525" s="138"/>
    </row>
    <row r="2526" spans="1:1" x14ac:dyDescent="0.35">
      <c r="A2526" s="138"/>
    </row>
    <row r="2527" spans="1:1" x14ac:dyDescent="0.35">
      <c r="A2527" s="138"/>
    </row>
    <row r="2528" spans="1:1" x14ac:dyDescent="0.35">
      <c r="A2528" s="138"/>
    </row>
    <row r="2529" spans="1:1" x14ac:dyDescent="0.35">
      <c r="A2529" s="138"/>
    </row>
    <row r="2530" spans="1:1" x14ac:dyDescent="0.35">
      <c r="A2530" s="138"/>
    </row>
    <row r="2531" spans="1:1" x14ac:dyDescent="0.35">
      <c r="A2531" s="138"/>
    </row>
    <row r="2532" spans="1:1" x14ac:dyDescent="0.35">
      <c r="A2532" s="138"/>
    </row>
    <row r="2533" spans="1:1" x14ac:dyDescent="0.35">
      <c r="A2533" s="138"/>
    </row>
    <row r="2534" spans="1:1" x14ac:dyDescent="0.35">
      <c r="A2534" s="138"/>
    </row>
    <row r="2535" spans="1:1" x14ac:dyDescent="0.35">
      <c r="A2535" s="138"/>
    </row>
    <row r="2536" spans="1:1" x14ac:dyDescent="0.35">
      <c r="A2536" s="138"/>
    </row>
    <row r="2537" spans="1:1" x14ac:dyDescent="0.35">
      <c r="A2537" s="138"/>
    </row>
    <row r="2538" spans="1:1" x14ac:dyDescent="0.35">
      <c r="A2538" s="138"/>
    </row>
    <row r="2539" spans="1:1" x14ac:dyDescent="0.35">
      <c r="A2539" s="138"/>
    </row>
    <row r="2540" spans="1:1" x14ac:dyDescent="0.35">
      <c r="A2540" s="138"/>
    </row>
    <row r="2541" spans="1:1" x14ac:dyDescent="0.35">
      <c r="A2541" s="138"/>
    </row>
    <row r="2542" spans="1:1" x14ac:dyDescent="0.35">
      <c r="A2542" s="138"/>
    </row>
    <row r="2543" spans="1:1" x14ac:dyDescent="0.35">
      <c r="A2543" s="138"/>
    </row>
    <row r="2544" spans="1:1" x14ac:dyDescent="0.35">
      <c r="A2544" s="138"/>
    </row>
    <row r="2545" spans="1:1" x14ac:dyDescent="0.35">
      <c r="A2545" s="138"/>
    </row>
    <row r="2546" spans="1:1" x14ac:dyDescent="0.35">
      <c r="A2546" s="138"/>
    </row>
    <row r="2547" spans="1:1" x14ac:dyDescent="0.35">
      <c r="A2547" s="138"/>
    </row>
    <row r="2548" spans="1:1" x14ac:dyDescent="0.35">
      <c r="A2548" s="138"/>
    </row>
    <row r="2549" spans="1:1" x14ac:dyDescent="0.35">
      <c r="A2549" s="138"/>
    </row>
    <row r="2550" spans="1:1" x14ac:dyDescent="0.35">
      <c r="A2550" s="138"/>
    </row>
    <row r="2551" spans="1:1" x14ac:dyDescent="0.35">
      <c r="A2551" s="138"/>
    </row>
    <row r="2552" spans="1:1" x14ac:dyDescent="0.35">
      <c r="A2552" s="138"/>
    </row>
    <row r="2553" spans="1:1" x14ac:dyDescent="0.35">
      <c r="A2553" s="138"/>
    </row>
    <row r="2554" spans="1:1" x14ac:dyDescent="0.35">
      <c r="A2554" s="138"/>
    </row>
    <row r="2555" spans="1:1" x14ac:dyDescent="0.35">
      <c r="A2555" s="138"/>
    </row>
    <row r="2556" spans="1:1" x14ac:dyDescent="0.35">
      <c r="A2556" s="138"/>
    </row>
    <row r="2557" spans="1:1" x14ac:dyDescent="0.35">
      <c r="A2557" s="138"/>
    </row>
    <row r="2558" spans="1:1" x14ac:dyDescent="0.35">
      <c r="A2558" s="138"/>
    </row>
    <row r="2559" spans="1:1" x14ac:dyDescent="0.35">
      <c r="A2559" s="138"/>
    </row>
    <row r="2560" spans="1:1" x14ac:dyDescent="0.35">
      <c r="A2560" s="138"/>
    </row>
    <row r="2561" spans="1:1" x14ac:dyDescent="0.35">
      <c r="A2561" s="138"/>
    </row>
    <row r="2562" spans="1:1" x14ac:dyDescent="0.35">
      <c r="A2562" s="138"/>
    </row>
    <row r="2563" spans="1:1" x14ac:dyDescent="0.35">
      <c r="A2563" s="138"/>
    </row>
    <row r="2564" spans="1:1" x14ac:dyDescent="0.35">
      <c r="A2564" s="138"/>
    </row>
    <row r="2565" spans="1:1" x14ac:dyDescent="0.35">
      <c r="A2565" s="138"/>
    </row>
    <row r="2566" spans="1:1" x14ac:dyDescent="0.35">
      <c r="A2566" s="138"/>
    </row>
    <row r="2567" spans="1:1" x14ac:dyDescent="0.35">
      <c r="A2567" s="138"/>
    </row>
    <row r="2568" spans="1:1" x14ac:dyDescent="0.35">
      <c r="A2568" s="138"/>
    </row>
    <row r="2569" spans="1:1" x14ac:dyDescent="0.35">
      <c r="A2569" s="138"/>
    </row>
    <row r="2570" spans="1:1" x14ac:dyDescent="0.35">
      <c r="A2570" s="138"/>
    </row>
    <row r="2571" spans="1:1" x14ac:dyDescent="0.35">
      <c r="A2571" s="138"/>
    </row>
    <row r="2572" spans="1:1" x14ac:dyDescent="0.35">
      <c r="A2572" s="138"/>
    </row>
    <row r="2573" spans="1:1" x14ac:dyDescent="0.35">
      <c r="A2573" s="138"/>
    </row>
    <row r="2574" spans="1:1" x14ac:dyDescent="0.35">
      <c r="A2574" s="138"/>
    </row>
    <row r="2575" spans="1:1" x14ac:dyDescent="0.35">
      <c r="A2575" s="138"/>
    </row>
    <row r="2576" spans="1:1" x14ac:dyDescent="0.35">
      <c r="A2576" s="138"/>
    </row>
    <row r="2577" spans="1:1" x14ac:dyDescent="0.35">
      <c r="A2577" s="138"/>
    </row>
    <row r="2578" spans="1:1" x14ac:dyDescent="0.35">
      <c r="A2578" s="138"/>
    </row>
    <row r="2579" spans="1:1" x14ac:dyDescent="0.35">
      <c r="A2579" s="138"/>
    </row>
    <row r="2580" spans="1:1" x14ac:dyDescent="0.35">
      <c r="A2580" s="138"/>
    </row>
    <row r="2581" spans="1:1" x14ac:dyDescent="0.35">
      <c r="A2581" s="138"/>
    </row>
    <row r="2582" spans="1:1" x14ac:dyDescent="0.35">
      <c r="A2582" s="138"/>
    </row>
    <row r="2583" spans="1:1" x14ac:dyDescent="0.35">
      <c r="A2583" s="138"/>
    </row>
    <row r="2584" spans="1:1" x14ac:dyDescent="0.35">
      <c r="A2584" s="138"/>
    </row>
    <row r="2585" spans="1:1" x14ac:dyDescent="0.35">
      <c r="A2585" s="138"/>
    </row>
    <row r="2586" spans="1:1" x14ac:dyDescent="0.35">
      <c r="A2586" s="138"/>
    </row>
    <row r="2587" spans="1:1" x14ac:dyDescent="0.35">
      <c r="A2587" s="138"/>
    </row>
    <row r="2588" spans="1:1" x14ac:dyDescent="0.35">
      <c r="A2588" s="138"/>
    </row>
    <row r="2589" spans="1:1" x14ac:dyDescent="0.35">
      <c r="A2589" s="138"/>
    </row>
    <row r="2590" spans="1:1" x14ac:dyDescent="0.35">
      <c r="A2590" s="138"/>
    </row>
    <row r="2591" spans="1:1" x14ac:dyDescent="0.35">
      <c r="A2591" s="138"/>
    </row>
    <row r="2592" spans="1:1" x14ac:dyDescent="0.35">
      <c r="A2592" s="138"/>
    </row>
    <row r="2593" spans="1:1" x14ac:dyDescent="0.35">
      <c r="A2593" s="138"/>
    </row>
    <row r="2594" spans="1:1" x14ac:dyDescent="0.35">
      <c r="A2594" s="138"/>
    </row>
    <row r="2595" spans="1:1" x14ac:dyDescent="0.35">
      <c r="A2595" s="138"/>
    </row>
    <row r="2596" spans="1:1" x14ac:dyDescent="0.35">
      <c r="A2596" s="138"/>
    </row>
    <row r="2597" spans="1:1" x14ac:dyDescent="0.35">
      <c r="A2597" s="138"/>
    </row>
    <row r="2598" spans="1:1" x14ac:dyDescent="0.35">
      <c r="A2598" s="138"/>
    </row>
    <row r="2599" spans="1:1" x14ac:dyDescent="0.35">
      <c r="A2599" s="138"/>
    </row>
    <row r="2600" spans="1:1" x14ac:dyDescent="0.35">
      <c r="A2600" s="138"/>
    </row>
    <row r="2601" spans="1:1" x14ac:dyDescent="0.35">
      <c r="A2601" s="138"/>
    </row>
    <row r="2602" spans="1:1" x14ac:dyDescent="0.35">
      <c r="A2602" s="138"/>
    </row>
    <row r="2603" spans="1:1" x14ac:dyDescent="0.35">
      <c r="A2603" s="138"/>
    </row>
    <row r="2604" spans="1:1" x14ac:dyDescent="0.35">
      <c r="A2604" s="138"/>
    </row>
    <row r="2605" spans="1:1" x14ac:dyDescent="0.35">
      <c r="A2605" s="138"/>
    </row>
    <row r="2606" spans="1:1" x14ac:dyDescent="0.35">
      <c r="A2606" s="138"/>
    </row>
    <row r="2607" spans="1:1" x14ac:dyDescent="0.35">
      <c r="A2607" s="138"/>
    </row>
    <row r="2608" spans="1:1" x14ac:dyDescent="0.35">
      <c r="A2608" s="138"/>
    </row>
    <row r="2609" spans="1:1" x14ac:dyDescent="0.35">
      <c r="A2609" s="138"/>
    </row>
    <row r="2610" spans="1:1" x14ac:dyDescent="0.35">
      <c r="A2610" s="138"/>
    </row>
    <row r="2611" spans="1:1" x14ac:dyDescent="0.35">
      <c r="A2611" s="138"/>
    </row>
    <row r="2612" spans="1:1" x14ac:dyDescent="0.35">
      <c r="A2612" s="138"/>
    </row>
    <row r="2613" spans="1:1" x14ac:dyDescent="0.35">
      <c r="A2613" s="138"/>
    </row>
    <row r="2614" spans="1:1" x14ac:dyDescent="0.35">
      <c r="A2614" s="138"/>
    </row>
    <row r="2615" spans="1:1" x14ac:dyDescent="0.35">
      <c r="A2615" s="138"/>
    </row>
    <row r="2616" spans="1:1" x14ac:dyDescent="0.35">
      <c r="A2616" s="138"/>
    </row>
    <row r="2617" spans="1:1" x14ac:dyDescent="0.35">
      <c r="A2617" s="138"/>
    </row>
    <row r="2618" spans="1:1" x14ac:dyDescent="0.35">
      <c r="A2618" s="138"/>
    </row>
    <row r="2619" spans="1:1" x14ac:dyDescent="0.35">
      <c r="A2619" s="138"/>
    </row>
    <row r="2620" spans="1:1" x14ac:dyDescent="0.35">
      <c r="A2620" s="138"/>
    </row>
    <row r="2621" spans="1:1" x14ac:dyDescent="0.35">
      <c r="A2621" s="138"/>
    </row>
    <row r="2622" spans="1:1" x14ac:dyDescent="0.35">
      <c r="A2622" s="138"/>
    </row>
    <row r="2623" spans="1:1" x14ac:dyDescent="0.35">
      <c r="A2623" s="138"/>
    </row>
    <row r="2624" spans="1:1" x14ac:dyDescent="0.35">
      <c r="A2624" s="138"/>
    </row>
    <row r="2625" spans="1:1" x14ac:dyDescent="0.35">
      <c r="A2625" s="138"/>
    </row>
    <row r="2626" spans="1:1" x14ac:dyDescent="0.35">
      <c r="A2626" s="138"/>
    </row>
    <row r="2627" spans="1:1" x14ac:dyDescent="0.35">
      <c r="A2627" s="138"/>
    </row>
    <row r="2628" spans="1:1" x14ac:dyDescent="0.35">
      <c r="A2628" s="138"/>
    </row>
    <row r="2629" spans="1:1" x14ac:dyDescent="0.35">
      <c r="A2629" s="138"/>
    </row>
    <row r="2630" spans="1:1" x14ac:dyDescent="0.35">
      <c r="A2630" s="138"/>
    </row>
    <row r="2631" spans="1:1" x14ac:dyDescent="0.35">
      <c r="A2631" s="138"/>
    </row>
    <row r="2632" spans="1:1" x14ac:dyDescent="0.35">
      <c r="A2632" s="138"/>
    </row>
    <row r="2633" spans="1:1" x14ac:dyDescent="0.35">
      <c r="A2633" s="138"/>
    </row>
    <row r="2634" spans="1:1" x14ac:dyDescent="0.35">
      <c r="A2634" s="138"/>
    </row>
    <row r="2635" spans="1:1" x14ac:dyDescent="0.35">
      <c r="A2635" s="138"/>
    </row>
    <row r="2636" spans="1:1" x14ac:dyDescent="0.35">
      <c r="A2636" s="138"/>
    </row>
    <row r="2637" spans="1:1" x14ac:dyDescent="0.35">
      <c r="A2637" s="138"/>
    </row>
    <row r="2638" spans="1:1" x14ac:dyDescent="0.35">
      <c r="A2638" s="138"/>
    </row>
    <row r="2639" spans="1:1" x14ac:dyDescent="0.35">
      <c r="A2639" s="138"/>
    </row>
    <row r="2640" spans="1:1" x14ac:dyDescent="0.35">
      <c r="A2640" s="138"/>
    </row>
    <row r="2641" spans="1:1" x14ac:dyDescent="0.35">
      <c r="A2641" s="138"/>
    </row>
    <row r="2642" spans="1:1" x14ac:dyDescent="0.35">
      <c r="A2642" s="138"/>
    </row>
    <row r="2643" spans="1:1" x14ac:dyDescent="0.35">
      <c r="A2643" s="138"/>
    </row>
    <row r="2644" spans="1:1" x14ac:dyDescent="0.35">
      <c r="A2644" s="138"/>
    </row>
    <row r="2645" spans="1:1" x14ac:dyDescent="0.35">
      <c r="A2645" s="138"/>
    </row>
    <row r="2646" spans="1:1" x14ac:dyDescent="0.35">
      <c r="A2646" s="138"/>
    </row>
    <row r="2647" spans="1:1" x14ac:dyDescent="0.35">
      <c r="A2647" s="138"/>
    </row>
    <row r="2648" spans="1:1" x14ac:dyDescent="0.35">
      <c r="A2648" s="138"/>
    </row>
    <row r="2649" spans="1:1" x14ac:dyDescent="0.35">
      <c r="A2649" s="138"/>
    </row>
    <row r="2650" spans="1:1" x14ac:dyDescent="0.35">
      <c r="A2650" s="138"/>
    </row>
    <row r="2651" spans="1:1" x14ac:dyDescent="0.35">
      <c r="A2651" s="138"/>
    </row>
    <row r="2652" spans="1:1" x14ac:dyDescent="0.35">
      <c r="A2652" s="138"/>
    </row>
    <row r="2653" spans="1:1" x14ac:dyDescent="0.35">
      <c r="A2653" s="138"/>
    </row>
    <row r="2654" spans="1:1" x14ac:dyDescent="0.35">
      <c r="A2654" s="138"/>
    </row>
    <row r="2655" spans="1:1" x14ac:dyDescent="0.35">
      <c r="A2655" s="138"/>
    </row>
    <row r="2656" spans="1:1" x14ac:dyDescent="0.35">
      <c r="A2656" s="138"/>
    </row>
    <row r="2657" spans="1:1" x14ac:dyDescent="0.35">
      <c r="A2657" s="138"/>
    </row>
    <row r="2658" spans="1:1" x14ac:dyDescent="0.35">
      <c r="A2658" s="138"/>
    </row>
    <row r="2659" spans="1:1" x14ac:dyDescent="0.35">
      <c r="A2659" s="138"/>
    </row>
    <row r="2660" spans="1:1" x14ac:dyDescent="0.35">
      <c r="A2660" s="138"/>
    </row>
    <row r="2661" spans="1:1" x14ac:dyDescent="0.35">
      <c r="A2661" s="138"/>
    </row>
    <row r="2662" spans="1:1" x14ac:dyDescent="0.35">
      <c r="A2662" s="138"/>
    </row>
    <row r="2663" spans="1:1" x14ac:dyDescent="0.35">
      <c r="A2663" s="138"/>
    </row>
    <row r="2664" spans="1:1" x14ac:dyDescent="0.35">
      <c r="A2664" s="138"/>
    </row>
    <row r="2665" spans="1:1" x14ac:dyDescent="0.35">
      <c r="A2665" s="138"/>
    </row>
    <row r="2666" spans="1:1" x14ac:dyDescent="0.35">
      <c r="A2666" s="138"/>
    </row>
    <row r="2667" spans="1:1" x14ac:dyDescent="0.35">
      <c r="A2667" s="138"/>
    </row>
    <row r="2668" spans="1:1" x14ac:dyDescent="0.35">
      <c r="A2668" s="138"/>
    </row>
    <row r="2669" spans="1:1" x14ac:dyDescent="0.35">
      <c r="A2669" s="138"/>
    </row>
    <row r="2670" spans="1:1" x14ac:dyDescent="0.35">
      <c r="A2670" s="138"/>
    </row>
    <row r="2671" spans="1:1" x14ac:dyDescent="0.35">
      <c r="A2671" s="138"/>
    </row>
    <row r="2672" spans="1:1" x14ac:dyDescent="0.35">
      <c r="A2672" s="138"/>
    </row>
    <row r="2673" spans="1:1" x14ac:dyDescent="0.35">
      <c r="A2673" s="138"/>
    </row>
    <row r="2674" spans="1:1" x14ac:dyDescent="0.35">
      <c r="A2674" s="138"/>
    </row>
    <row r="2675" spans="1:1" x14ac:dyDescent="0.35">
      <c r="A2675" s="138"/>
    </row>
    <row r="2676" spans="1:1" x14ac:dyDescent="0.35">
      <c r="A2676" s="138"/>
    </row>
    <row r="2677" spans="1:1" x14ac:dyDescent="0.35">
      <c r="A2677" s="138"/>
    </row>
    <row r="2678" spans="1:1" x14ac:dyDescent="0.35">
      <c r="A2678" s="138"/>
    </row>
    <row r="2679" spans="1:1" x14ac:dyDescent="0.35">
      <c r="A2679" s="138"/>
    </row>
    <row r="2680" spans="1:1" x14ac:dyDescent="0.35">
      <c r="A2680" s="138"/>
    </row>
    <row r="2681" spans="1:1" x14ac:dyDescent="0.35">
      <c r="A2681" s="138"/>
    </row>
    <row r="2682" spans="1:1" x14ac:dyDescent="0.35">
      <c r="A2682" s="138"/>
    </row>
    <row r="2683" spans="1:1" x14ac:dyDescent="0.35">
      <c r="A2683" s="138"/>
    </row>
    <row r="2684" spans="1:1" x14ac:dyDescent="0.35">
      <c r="A2684" s="138"/>
    </row>
    <row r="2685" spans="1:1" x14ac:dyDescent="0.35">
      <c r="A2685" s="138"/>
    </row>
    <row r="2686" spans="1:1" x14ac:dyDescent="0.35">
      <c r="A2686" s="138"/>
    </row>
    <row r="2687" spans="1:1" x14ac:dyDescent="0.35">
      <c r="A2687" s="138"/>
    </row>
    <row r="2688" spans="1:1" x14ac:dyDescent="0.35">
      <c r="A2688" s="138"/>
    </row>
    <row r="2689" spans="1:1" x14ac:dyDescent="0.35">
      <c r="A2689" s="138"/>
    </row>
    <row r="2690" spans="1:1" x14ac:dyDescent="0.35">
      <c r="A2690" s="138"/>
    </row>
    <row r="2691" spans="1:1" x14ac:dyDescent="0.35">
      <c r="A2691" s="138"/>
    </row>
    <row r="2692" spans="1:1" x14ac:dyDescent="0.35">
      <c r="A2692" s="138"/>
    </row>
    <row r="2693" spans="1:1" x14ac:dyDescent="0.35">
      <c r="A2693" s="138"/>
    </row>
    <row r="2694" spans="1:1" x14ac:dyDescent="0.35">
      <c r="A2694" s="138"/>
    </row>
    <row r="2695" spans="1:1" x14ac:dyDescent="0.35">
      <c r="A2695" s="138"/>
    </row>
    <row r="2696" spans="1:1" x14ac:dyDescent="0.35">
      <c r="A2696" s="138"/>
    </row>
    <row r="2697" spans="1:1" x14ac:dyDescent="0.35">
      <c r="A2697" s="138"/>
    </row>
    <row r="2698" spans="1:1" x14ac:dyDescent="0.35">
      <c r="A2698" s="138"/>
    </row>
    <row r="2699" spans="1:1" x14ac:dyDescent="0.35">
      <c r="A2699" s="138"/>
    </row>
    <row r="2700" spans="1:1" x14ac:dyDescent="0.35">
      <c r="A2700" s="138"/>
    </row>
    <row r="2701" spans="1:1" x14ac:dyDescent="0.35">
      <c r="A2701" s="138"/>
    </row>
    <row r="2702" spans="1:1" x14ac:dyDescent="0.35">
      <c r="A2702" s="138"/>
    </row>
    <row r="2703" spans="1:1" x14ac:dyDescent="0.35">
      <c r="A2703" s="138"/>
    </row>
    <row r="2704" spans="1:1" x14ac:dyDescent="0.35">
      <c r="A2704" s="138"/>
    </row>
    <row r="2705" spans="1:1" x14ac:dyDescent="0.35">
      <c r="A2705" s="138"/>
    </row>
    <row r="2706" spans="1:1" x14ac:dyDescent="0.35">
      <c r="A2706" s="138"/>
    </row>
    <row r="2707" spans="1:1" x14ac:dyDescent="0.35">
      <c r="A2707" s="138"/>
    </row>
    <row r="2708" spans="1:1" x14ac:dyDescent="0.35">
      <c r="A2708" s="138"/>
    </row>
    <row r="2709" spans="1:1" x14ac:dyDescent="0.35">
      <c r="A2709" s="138"/>
    </row>
    <row r="2710" spans="1:1" x14ac:dyDescent="0.35">
      <c r="A2710" s="138"/>
    </row>
    <row r="2711" spans="1:1" x14ac:dyDescent="0.35">
      <c r="A2711" s="138"/>
    </row>
    <row r="2712" spans="1:1" x14ac:dyDescent="0.35">
      <c r="A2712" s="138"/>
    </row>
    <row r="2713" spans="1:1" x14ac:dyDescent="0.35">
      <c r="A2713" s="138"/>
    </row>
    <row r="2714" spans="1:1" x14ac:dyDescent="0.35">
      <c r="A2714" s="138"/>
    </row>
    <row r="2715" spans="1:1" x14ac:dyDescent="0.35">
      <c r="A2715" s="138"/>
    </row>
    <row r="2716" spans="1:1" x14ac:dyDescent="0.35">
      <c r="A2716" s="138"/>
    </row>
    <row r="2717" spans="1:1" x14ac:dyDescent="0.35">
      <c r="A2717" s="138"/>
    </row>
    <row r="2718" spans="1:1" x14ac:dyDescent="0.35">
      <c r="A2718" s="138"/>
    </row>
    <row r="2719" spans="1:1" x14ac:dyDescent="0.35">
      <c r="A2719" s="138"/>
    </row>
    <row r="2720" spans="1:1" x14ac:dyDescent="0.35">
      <c r="A2720" s="138"/>
    </row>
    <row r="2721" spans="1:1" x14ac:dyDescent="0.35">
      <c r="A2721" s="138"/>
    </row>
    <row r="2722" spans="1:1" x14ac:dyDescent="0.35">
      <c r="A2722" s="138"/>
    </row>
    <row r="2723" spans="1:1" x14ac:dyDescent="0.35">
      <c r="A2723" s="138"/>
    </row>
    <row r="2724" spans="1:1" x14ac:dyDescent="0.35">
      <c r="A2724" s="138"/>
    </row>
    <row r="2725" spans="1:1" x14ac:dyDescent="0.35">
      <c r="A2725" s="138"/>
    </row>
    <row r="2726" spans="1:1" x14ac:dyDescent="0.35">
      <c r="A2726" s="138"/>
    </row>
    <row r="2727" spans="1:1" x14ac:dyDescent="0.35">
      <c r="A2727" s="138"/>
    </row>
    <row r="2728" spans="1:1" x14ac:dyDescent="0.35">
      <c r="A2728" s="138"/>
    </row>
    <row r="2729" spans="1:1" x14ac:dyDescent="0.35">
      <c r="A2729" s="138"/>
    </row>
    <row r="2730" spans="1:1" x14ac:dyDescent="0.35">
      <c r="A2730" s="138"/>
    </row>
    <row r="2731" spans="1:1" x14ac:dyDescent="0.35">
      <c r="A2731" s="138"/>
    </row>
    <row r="2732" spans="1:1" x14ac:dyDescent="0.35">
      <c r="A2732" s="138"/>
    </row>
    <row r="2733" spans="1:1" x14ac:dyDescent="0.35">
      <c r="A2733" s="138"/>
    </row>
    <row r="2734" spans="1:1" x14ac:dyDescent="0.35">
      <c r="A2734" s="138"/>
    </row>
    <row r="2735" spans="1:1" x14ac:dyDescent="0.35">
      <c r="A2735" s="138"/>
    </row>
    <row r="2736" spans="1:1" x14ac:dyDescent="0.35">
      <c r="A2736" s="138"/>
    </row>
    <row r="2737" spans="1:1" x14ac:dyDescent="0.35">
      <c r="A2737" s="138"/>
    </row>
    <row r="2738" spans="1:1" x14ac:dyDescent="0.35">
      <c r="A2738" s="138"/>
    </row>
    <row r="2739" spans="1:1" x14ac:dyDescent="0.35">
      <c r="A2739" s="138"/>
    </row>
    <row r="2740" spans="1:1" x14ac:dyDescent="0.35">
      <c r="A2740" s="138"/>
    </row>
    <row r="2741" spans="1:1" x14ac:dyDescent="0.35">
      <c r="A2741" s="138"/>
    </row>
    <row r="2742" spans="1:1" x14ac:dyDescent="0.35">
      <c r="A2742" s="138"/>
    </row>
    <row r="2743" spans="1:1" x14ac:dyDescent="0.35">
      <c r="A2743" s="138"/>
    </row>
    <row r="2744" spans="1:1" x14ac:dyDescent="0.35">
      <c r="A2744" s="138"/>
    </row>
    <row r="2745" spans="1:1" x14ac:dyDescent="0.35">
      <c r="A2745" s="138"/>
    </row>
    <row r="2746" spans="1:1" x14ac:dyDescent="0.35">
      <c r="A2746" s="138"/>
    </row>
    <row r="2747" spans="1:1" x14ac:dyDescent="0.35">
      <c r="A2747" s="138"/>
    </row>
    <row r="2748" spans="1:1" x14ac:dyDescent="0.35">
      <c r="A2748" s="138"/>
    </row>
    <row r="2749" spans="1:1" x14ac:dyDescent="0.35">
      <c r="A2749" s="138"/>
    </row>
    <row r="2750" spans="1:1" x14ac:dyDescent="0.35">
      <c r="A2750" s="138"/>
    </row>
    <row r="2751" spans="1:1" x14ac:dyDescent="0.35">
      <c r="A2751" s="138"/>
    </row>
    <row r="2752" spans="1:1" x14ac:dyDescent="0.35">
      <c r="A2752" s="138"/>
    </row>
    <row r="2753" spans="1:1" x14ac:dyDescent="0.35">
      <c r="A2753" s="138"/>
    </row>
    <row r="2754" spans="1:1" x14ac:dyDescent="0.35">
      <c r="A2754" s="138"/>
    </row>
    <row r="2755" spans="1:1" x14ac:dyDescent="0.35">
      <c r="A2755" s="138"/>
    </row>
    <row r="2756" spans="1:1" x14ac:dyDescent="0.35">
      <c r="A2756" s="138"/>
    </row>
    <row r="2757" spans="1:1" x14ac:dyDescent="0.35">
      <c r="A2757" s="138"/>
    </row>
    <row r="2758" spans="1:1" x14ac:dyDescent="0.35">
      <c r="A2758" s="138"/>
    </row>
    <row r="2759" spans="1:1" x14ac:dyDescent="0.35">
      <c r="A2759" s="138"/>
    </row>
    <row r="2760" spans="1:1" x14ac:dyDescent="0.35">
      <c r="A2760" s="138"/>
    </row>
    <row r="2761" spans="1:1" x14ac:dyDescent="0.35">
      <c r="A2761" s="138"/>
    </row>
    <row r="2762" spans="1:1" x14ac:dyDescent="0.35">
      <c r="A2762" s="138"/>
    </row>
    <row r="2763" spans="1:1" x14ac:dyDescent="0.35">
      <c r="A2763" s="138"/>
    </row>
    <row r="2764" spans="1:1" x14ac:dyDescent="0.35">
      <c r="A2764" s="138"/>
    </row>
    <row r="2765" spans="1:1" x14ac:dyDescent="0.35">
      <c r="A2765" s="138"/>
    </row>
    <row r="2766" spans="1:1" x14ac:dyDescent="0.35">
      <c r="A2766" s="138"/>
    </row>
    <row r="2767" spans="1:1" x14ac:dyDescent="0.35">
      <c r="A2767" s="138"/>
    </row>
    <row r="2768" spans="1:1" x14ac:dyDescent="0.35">
      <c r="A2768" s="138"/>
    </row>
    <row r="2769" spans="1:1" x14ac:dyDescent="0.35">
      <c r="A2769" s="138"/>
    </row>
    <row r="2770" spans="1:1" x14ac:dyDescent="0.35">
      <c r="A2770" s="138"/>
    </row>
    <row r="2771" spans="1:1" x14ac:dyDescent="0.35">
      <c r="A2771" s="138"/>
    </row>
    <row r="2772" spans="1:1" x14ac:dyDescent="0.35">
      <c r="A2772" s="138"/>
    </row>
    <row r="2773" spans="1:1" x14ac:dyDescent="0.35">
      <c r="A2773" s="138"/>
    </row>
    <row r="2774" spans="1:1" x14ac:dyDescent="0.35">
      <c r="A2774" s="138"/>
    </row>
    <row r="2775" spans="1:1" x14ac:dyDescent="0.35">
      <c r="A2775" s="138"/>
    </row>
    <row r="2776" spans="1:1" x14ac:dyDescent="0.35">
      <c r="A2776" s="138"/>
    </row>
    <row r="2777" spans="1:1" x14ac:dyDescent="0.35">
      <c r="A2777" s="138"/>
    </row>
    <row r="2778" spans="1:1" x14ac:dyDescent="0.35">
      <c r="A2778" s="138"/>
    </row>
    <row r="2779" spans="1:1" x14ac:dyDescent="0.35">
      <c r="A2779" s="138"/>
    </row>
    <row r="2780" spans="1:1" x14ac:dyDescent="0.35">
      <c r="A2780" s="138"/>
    </row>
    <row r="2781" spans="1:1" x14ac:dyDescent="0.35">
      <c r="A2781" s="138"/>
    </row>
    <row r="2782" spans="1:1" x14ac:dyDescent="0.35">
      <c r="A2782" s="138"/>
    </row>
    <row r="2783" spans="1:1" x14ac:dyDescent="0.35">
      <c r="A2783" s="138"/>
    </row>
    <row r="2784" spans="1:1" x14ac:dyDescent="0.35">
      <c r="A2784" s="138"/>
    </row>
    <row r="2785" spans="1:1" x14ac:dyDescent="0.35">
      <c r="A2785" s="138"/>
    </row>
    <row r="2786" spans="1:1" x14ac:dyDescent="0.35">
      <c r="A2786" s="138"/>
    </row>
    <row r="2787" spans="1:1" x14ac:dyDescent="0.35">
      <c r="A2787" s="138"/>
    </row>
    <row r="2788" spans="1:1" x14ac:dyDescent="0.35">
      <c r="A2788" s="138"/>
    </row>
    <row r="2789" spans="1:1" x14ac:dyDescent="0.35">
      <c r="A2789" s="138"/>
    </row>
    <row r="2790" spans="1:1" x14ac:dyDescent="0.35">
      <c r="A2790" s="138"/>
    </row>
    <row r="2791" spans="1:1" x14ac:dyDescent="0.35">
      <c r="A2791" s="138"/>
    </row>
    <row r="2792" spans="1:1" x14ac:dyDescent="0.35">
      <c r="A2792" s="138"/>
    </row>
    <row r="2793" spans="1:1" x14ac:dyDescent="0.35">
      <c r="A2793" s="138"/>
    </row>
    <row r="2794" spans="1:1" x14ac:dyDescent="0.35">
      <c r="A2794" s="138"/>
    </row>
    <row r="2795" spans="1:1" x14ac:dyDescent="0.35">
      <c r="A2795" s="138"/>
    </row>
    <row r="2796" spans="1:1" x14ac:dyDescent="0.35">
      <c r="A2796" s="138"/>
    </row>
    <row r="2797" spans="1:1" x14ac:dyDescent="0.35">
      <c r="A2797" s="138"/>
    </row>
    <row r="2798" spans="1:1" x14ac:dyDescent="0.35">
      <c r="A2798" s="138"/>
    </row>
    <row r="2799" spans="1:1" x14ac:dyDescent="0.35">
      <c r="A2799" s="138"/>
    </row>
    <row r="2800" spans="1:1" x14ac:dyDescent="0.35">
      <c r="A2800" s="138"/>
    </row>
    <row r="2801" spans="1:1" x14ac:dyDescent="0.35">
      <c r="A2801" s="138"/>
    </row>
    <row r="2802" spans="1:1" x14ac:dyDescent="0.35">
      <c r="A2802" s="138"/>
    </row>
    <row r="2803" spans="1:1" x14ac:dyDescent="0.35">
      <c r="A2803" s="138"/>
    </row>
    <row r="2804" spans="1:1" x14ac:dyDescent="0.35">
      <c r="A2804" s="138"/>
    </row>
    <row r="2805" spans="1:1" x14ac:dyDescent="0.35">
      <c r="A2805" s="138"/>
    </row>
    <row r="2806" spans="1:1" x14ac:dyDescent="0.35">
      <c r="A2806" s="138"/>
    </row>
    <row r="2807" spans="1:1" x14ac:dyDescent="0.35">
      <c r="A2807" s="138"/>
    </row>
    <row r="2808" spans="1:1" x14ac:dyDescent="0.35">
      <c r="A2808" s="138"/>
    </row>
    <row r="2809" spans="1:1" x14ac:dyDescent="0.35">
      <c r="A2809" s="138"/>
    </row>
    <row r="2810" spans="1:1" x14ac:dyDescent="0.35">
      <c r="A2810" s="138"/>
    </row>
    <row r="2811" spans="1:1" x14ac:dyDescent="0.35">
      <c r="A2811" s="138"/>
    </row>
    <row r="2812" spans="1:1" x14ac:dyDescent="0.35">
      <c r="A2812" s="138"/>
    </row>
    <row r="2813" spans="1:1" x14ac:dyDescent="0.35">
      <c r="A2813" s="138"/>
    </row>
    <row r="2814" spans="1:1" x14ac:dyDescent="0.35">
      <c r="A2814" s="138"/>
    </row>
    <row r="2815" spans="1:1" x14ac:dyDescent="0.35">
      <c r="A2815" s="138"/>
    </row>
    <row r="2816" spans="1:1" x14ac:dyDescent="0.35">
      <c r="A2816" s="138"/>
    </row>
    <row r="2817" spans="1:1" x14ac:dyDescent="0.35">
      <c r="A2817" s="138"/>
    </row>
    <row r="2818" spans="1:1" x14ac:dyDescent="0.35">
      <c r="A2818" s="138"/>
    </row>
    <row r="2819" spans="1:1" x14ac:dyDescent="0.35">
      <c r="A2819" s="138"/>
    </row>
    <row r="2820" spans="1:1" x14ac:dyDescent="0.35">
      <c r="A2820" s="138"/>
    </row>
    <row r="2821" spans="1:1" x14ac:dyDescent="0.35">
      <c r="A2821" s="138"/>
    </row>
    <row r="2822" spans="1:1" x14ac:dyDescent="0.35">
      <c r="A2822" s="138"/>
    </row>
    <row r="2823" spans="1:1" x14ac:dyDescent="0.35">
      <c r="A2823" s="138"/>
    </row>
    <row r="2824" spans="1:1" x14ac:dyDescent="0.35">
      <c r="A2824" s="138"/>
    </row>
    <row r="2825" spans="1:1" x14ac:dyDescent="0.35">
      <c r="A2825" s="138"/>
    </row>
    <row r="2826" spans="1:1" x14ac:dyDescent="0.35">
      <c r="A2826" s="138"/>
    </row>
    <row r="2827" spans="1:1" x14ac:dyDescent="0.35">
      <c r="A2827" s="138"/>
    </row>
    <row r="2828" spans="1:1" x14ac:dyDescent="0.35">
      <c r="A2828" s="138"/>
    </row>
    <row r="2829" spans="1:1" x14ac:dyDescent="0.35">
      <c r="A2829" s="138"/>
    </row>
    <row r="2830" spans="1:1" x14ac:dyDescent="0.35">
      <c r="A2830" s="138"/>
    </row>
    <row r="2831" spans="1:1" x14ac:dyDescent="0.35">
      <c r="A2831" s="138"/>
    </row>
    <row r="2832" spans="1:1" x14ac:dyDescent="0.35">
      <c r="A2832" s="138"/>
    </row>
    <row r="2833" spans="1:1" x14ac:dyDescent="0.35">
      <c r="A2833" s="138"/>
    </row>
    <row r="2834" spans="1:1" x14ac:dyDescent="0.35">
      <c r="A2834" s="138"/>
    </row>
    <row r="2835" spans="1:1" x14ac:dyDescent="0.35">
      <c r="A2835" s="138"/>
    </row>
    <row r="2836" spans="1:1" x14ac:dyDescent="0.35">
      <c r="A2836" s="138"/>
    </row>
    <row r="2837" spans="1:1" x14ac:dyDescent="0.35">
      <c r="A2837" s="138"/>
    </row>
    <row r="2838" spans="1:1" x14ac:dyDescent="0.35">
      <c r="A2838" s="138"/>
    </row>
    <row r="2839" spans="1:1" x14ac:dyDescent="0.35">
      <c r="A2839" s="138"/>
    </row>
    <row r="2840" spans="1:1" x14ac:dyDescent="0.35">
      <c r="A2840" s="138"/>
    </row>
    <row r="2841" spans="1:1" x14ac:dyDescent="0.35">
      <c r="A2841" s="138"/>
    </row>
    <row r="2842" spans="1:1" x14ac:dyDescent="0.35">
      <c r="A2842" s="138"/>
    </row>
    <row r="2843" spans="1:1" x14ac:dyDescent="0.35">
      <c r="A2843" s="138"/>
    </row>
    <row r="2844" spans="1:1" x14ac:dyDescent="0.35">
      <c r="A2844" s="138"/>
    </row>
    <row r="2845" spans="1:1" x14ac:dyDescent="0.35">
      <c r="A2845" s="138"/>
    </row>
    <row r="2846" spans="1:1" x14ac:dyDescent="0.35">
      <c r="A2846" s="138"/>
    </row>
    <row r="2847" spans="1:1" x14ac:dyDescent="0.35">
      <c r="A2847" s="138"/>
    </row>
    <row r="2848" spans="1:1" x14ac:dyDescent="0.35">
      <c r="A2848" s="138"/>
    </row>
    <row r="2849" spans="1:1" x14ac:dyDescent="0.35">
      <c r="A2849" s="138"/>
    </row>
    <row r="2850" spans="1:1" x14ac:dyDescent="0.35">
      <c r="A2850" s="138"/>
    </row>
    <row r="2851" spans="1:1" x14ac:dyDescent="0.35">
      <c r="A2851" s="138"/>
    </row>
    <row r="2852" spans="1:1" x14ac:dyDescent="0.35">
      <c r="A2852" s="138"/>
    </row>
    <row r="2853" spans="1:1" x14ac:dyDescent="0.35">
      <c r="A2853" s="138"/>
    </row>
    <row r="2854" spans="1:1" x14ac:dyDescent="0.35">
      <c r="A2854" s="138"/>
    </row>
    <row r="2855" spans="1:1" x14ac:dyDescent="0.35">
      <c r="A2855" s="138"/>
    </row>
    <row r="2856" spans="1:1" x14ac:dyDescent="0.35">
      <c r="A2856" s="138"/>
    </row>
    <row r="2857" spans="1:1" x14ac:dyDescent="0.35">
      <c r="A2857" s="138"/>
    </row>
    <row r="2858" spans="1:1" x14ac:dyDescent="0.35">
      <c r="A2858" s="138"/>
    </row>
    <row r="2859" spans="1:1" x14ac:dyDescent="0.35">
      <c r="A2859" s="138"/>
    </row>
    <row r="2860" spans="1:1" x14ac:dyDescent="0.35">
      <c r="A2860" s="138"/>
    </row>
    <row r="2861" spans="1:1" x14ac:dyDescent="0.35">
      <c r="A2861" s="138"/>
    </row>
    <row r="2862" spans="1:1" x14ac:dyDescent="0.35">
      <c r="A2862" s="138"/>
    </row>
    <row r="2863" spans="1:1" x14ac:dyDescent="0.35">
      <c r="A2863" s="138"/>
    </row>
    <row r="2864" spans="1:1" x14ac:dyDescent="0.35">
      <c r="A2864" s="138"/>
    </row>
    <row r="2865" spans="1:1" x14ac:dyDescent="0.35">
      <c r="A2865" s="138"/>
    </row>
    <row r="2866" spans="1:1" x14ac:dyDescent="0.35">
      <c r="A2866" s="138"/>
    </row>
    <row r="2867" spans="1:1" x14ac:dyDescent="0.35">
      <c r="A2867" s="138"/>
    </row>
    <row r="2868" spans="1:1" x14ac:dyDescent="0.35">
      <c r="A2868" s="138"/>
    </row>
    <row r="2869" spans="1:1" x14ac:dyDescent="0.35">
      <c r="A2869" s="138"/>
    </row>
    <row r="2870" spans="1:1" x14ac:dyDescent="0.35">
      <c r="A2870" s="138"/>
    </row>
    <row r="2871" spans="1:1" x14ac:dyDescent="0.35">
      <c r="A2871" s="138"/>
    </row>
    <row r="2872" spans="1:1" x14ac:dyDescent="0.35">
      <c r="A2872" s="138"/>
    </row>
    <row r="2873" spans="1:1" x14ac:dyDescent="0.35">
      <c r="A2873" s="138"/>
    </row>
    <row r="2874" spans="1:1" x14ac:dyDescent="0.35">
      <c r="A2874" s="138"/>
    </row>
    <row r="2875" spans="1:1" x14ac:dyDescent="0.35">
      <c r="A2875" s="138"/>
    </row>
    <row r="2876" spans="1:1" x14ac:dyDescent="0.35">
      <c r="A2876" s="138"/>
    </row>
    <row r="2877" spans="1:1" x14ac:dyDescent="0.35">
      <c r="A2877" s="138"/>
    </row>
    <row r="2878" spans="1:1" x14ac:dyDescent="0.35">
      <c r="A2878" s="138"/>
    </row>
    <row r="2879" spans="1:1" x14ac:dyDescent="0.35">
      <c r="A2879" s="138"/>
    </row>
    <row r="2880" spans="1:1" x14ac:dyDescent="0.35">
      <c r="A2880" s="138"/>
    </row>
    <row r="2881" spans="1:1" x14ac:dyDescent="0.35">
      <c r="A2881" s="138"/>
    </row>
    <row r="2882" spans="1:1" x14ac:dyDescent="0.35">
      <c r="A2882" s="138"/>
    </row>
    <row r="2883" spans="1:1" x14ac:dyDescent="0.35">
      <c r="A2883" s="138"/>
    </row>
    <row r="2884" spans="1:1" x14ac:dyDescent="0.35">
      <c r="A2884" s="138"/>
    </row>
    <row r="2885" spans="1:1" x14ac:dyDescent="0.35">
      <c r="A2885" s="138"/>
    </row>
    <row r="2886" spans="1:1" x14ac:dyDescent="0.35">
      <c r="A2886" s="138"/>
    </row>
    <row r="2887" spans="1:1" x14ac:dyDescent="0.35">
      <c r="A2887" s="138"/>
    </row>
    <row r="2888" spans="1:1" x14ac:dyDescent="0.35">
      <c r="A2888" s="138"/>
    </row>
    <row r="2889" spans="1:1" x14ac:dyDescent="0.35">
      <c r="A2889" s="138"/>
    </row>
    <row r="2890" spans="1:1" x14ac:dyDescent="0.35">
      <c r="A2890" s="138"/>
    </row>
    <row r="2891" spans="1:1" x14ac:dyDescent="0.35">
      <c r="A2891" s="138"/>
    </row>
    <row r="2892" spans="1:1" x14ac:dyDescent="0.35">
      <c r="A2892" s="138"/>
    </row>
    <row r="2893" spans="1:1" x14ac:dyDescent="0.35">
      <c r="A2893" s="138"/>
    </row>
    <row r="2894" spans="1:1" x14ac:dyDescent="0.35">
      <c r="A2894" s="138"/>
    </row>
    <row r="2895" spans="1:1" x14ac:dyDescent="0.35">
      <c r="A2895" s="138"/>
    </row>
    <row r="2896" spans="1:1" x14ac:dyDescent="0.35">
      <c r="A2896" s="138"/>
    </row>
    <row r="2897" spans="1:1" x14ac:dyDescent="0.35">
      <c r="A2897" s="138"/>
    </row>
    <row r="2898" spans="1:1" x14ac:dyDescent="0.35">
      <c r="A2898" s="138"/>
    </row>
    <row r="2899" spans="1:1" x14ac:dyDescent="0.35">
      <c r="A2899" s="138"/>
    </row>
    <row r="2900" spans="1:1" x14ac:dyDescent="0.35">
      <c r="A2900" s="138"/>
    </row>
    <row r="2901" spans="1:1" x14ac:dyDescent="0.35">
      <c r="A2901" s="138"/>
    </row>
    <row r="2902" spans="1:1" x14ac:dyDescent="0.35">
      <c r="A2902" s="138"/>
    </row>
    <row r="2903" spans="1:1" x14ac:dyDescent="0.35">
      <c r="A2903" s="138"/>
    </row>
    <row r="2904" spans="1:1" x14ac:dyDescent="0.35">
      <c r="A2904" s="138"/>
    </row>
    <row r="2905" spans="1:1" x14ac:dyDescent="0.35">
      <c r="A2905" s="138"/>
    </row>
    <row r="2906" spans="1:1" x14ac:dyDescent="0.35">
      <c r="A2906" s="138"/>
    </row>
    <row r="2907" spans="1:1" x14ac:dyDescent="0.35">
      <c r="A2907" s="138"/>
    </row>
    <row r="2908" spans="1:1" x14ac:dyDescent="0.35">
      <c r="A2908" s="138"/>
    </row>
    <row r="2909" spans="1:1" x14ac:dyDescent="0.35">
      <c r="A2909" s="138"/>
    </row>
    <row r="2910" spans="1:1" x14ac:dyDescent="0.35">
      <c r="A2910" s="138"/>
    </row>
    <row r="2911" spans="1:1" x14ac:dyDescent="0.35">
      <c r="A2911" s="138"/>
    </row>
    <row r="2912" spans="1:1" x14ac:dyDescent="0.35">
      <c r="A2912" s="138"/>
    </row>
    <row r="2913" spans="1:1" x14ac:dyDescent="0.35">
      <c r="A2913" s="138"/>
    </row>
    <row r="2914" spans="1:1" x14ac:dyDescent="0.35">
      <c r="A2914" s="138"/>
    </row>
    <row r="2915" spans="1:1" x14ac:dyDescent="0.35">
      <c r="A2915" s="138"/>
    </row>
    <row r="2916" spans="1:1" x14ac:dyDescent="0.35">
      <c r="A2916" s="138"/>
    </row>
    <row r="2917" spans="1:1" x14ac:dyDescent="0.35">
      <c r="A2917" s="138"/>
    </row>
    <row r="2918" spans="1:1" x14ac:dyDescent="0.35">
      <c r="A2918" s="138"/>
    </row>
    <row r="2919" spans="1:1" x14ac:dyDescent="0.35">
      <c r="A2919" s="138"/>
    </row>
    <row r="2920" spans="1:1" x14ac:dyDescent="0.35">
      <c r="A2920" s="138"/>
    </row>
    <row r="2921" spans="1:1" x14ac:dyDescent="0.35">
      <c r="A2921" s="138"/>
    </row>
    <row r="2922" spans="1:1" x14ac:dyDescent="0.35">
      <c r="A2922" s="138"/>
    </row>
    <row r="2923" spans="1:1" x14ac:dyDescent="0.35">
      <c r="A2923" s="138"/>
    </row>
    <row r="2924" spans="1:1" x14ac:dyDescent="0.35">
      <c r="A2924" s="138"/>
    </row>
    <row r="2925" spans="1:1" x14ac:dyDescent="0.35">
      <c r="A2925" s="138"/>
    </row>
    <row r="2926" spans="1:1" x14ac:dyDescent="0.35">
      <c r="A2926" s="138"/>
    </row>
    <row r="2927" spans="1:1" x14ac:dyDescent="0.35">
      <c r="A2927" s="138"/>
    </row>
    <row r="2928" spans="1:1" x14ac:dyDescent="0.35">
      <c r="A2928" s="138"/>
    </row>
    <row r="2929" spans="1:1" x14ac:dyDescent="0.35">
      <c r="A2929" s="138"/>
    </row>
    <row r="2930" spans="1:1" x14ac:dyDescent="0.35">
      <c r="A2930" s="138"/>
    </row>
    <row r="2931" spans="1:1" x14ac:dyDescent="0.35">
      <c r="A2931" s="138"/>
    </row>
    <row r="2932" spans="1:1" x14ac:dyDescent="0.35">
      <c r="A2932" s="138"/>
    </row>
    <row r="2933" spans="1:1" x14ac:dyDescent="0.35">
      <c r="A2933" s="138"/>
    </row>
    <row r="2934" spans="1:1" x14ac:dyDescent="0.35">
      <c r="A2934" s="138"/>
    </row>
    <row r="2935" spans="1:1" x14ac:dyDescent="0.35">
      <c r="A2935" s="138"/>
    </row>
    <row r="2936" spans="1:1" x14ac:dyDescent="0.35">
      <c r="A2936" s="138"/>
    </row>
    <row r="2937" spans="1:1" x14ac:dyDescent="0.35">
      <c r="A2937" s="138"/>
    </row>
    <row r="2938" spans="1:1" x14ac:dyDescent="0.35">
      <c r="A2938" s="138"/>
    </row>
    <row r="2939" spans="1:1" x14ac:dyDescent="0.35">
      <c r="A2939" s="138"/>
    </row>
    <row r="2940" spans="1:1" x14ac:dyDescent="0.35">
      <c r="A2940" s="138"/>
    </row>
    <row r="2941" spans="1:1" x14ac:dyDescent="0.35">
      <c r="A2941" s="138"/>
    </row>
    <row r="2942" spans="1:1" x14ac:dyDescent="0.35">
      <c r="A2942" s="138"/>
    </row>
    <row r="2943" spans="1:1" x14ac:dyDescent="0.35">
      <c r="A2943" s="138"/>
    </row>
    <row r="2944" spans="1:1" x14ac:dyDescent="0.35">
      <c r="A2944" s="138"/>
    </row>
    <row r="2945" spans="1:1" x14ac:dyDescent="0.35">
      <c r="A2945" s="138"/>
    </row>
    <row r="2946" spans="1:1" x14ac:dyDescent="0.35">
      <c r="A2946" s="138"/>
    </row>
    <row r="2947" spans="1:1" x14ac:dyDescent="0.35">
      <c r="A2947" s="138"/>
    </row>
    <row r="2948" spans="1:1" x14ac:dyDescent="0.35">
      <c r="A2948" s="138"/>
    </row>
    <row r="2949" spans="1:1" x14ac:dyDescent="0.35">
      <c r="A2949" s="138"/>
    </row>
    <row r="2950" spans="1:1" x14ac:dyDescent="0.35">
      <c r="A2950" s="138"/>
    </row>
    <row r="2951" spans="1:1" x14ac:dyDescent="0.35">
      <c r="A2951" s="138"/>
    </row>
    <row r="2952" spans="1:1" x14ac:dyDescent="0.35">
      <c r="A2952" s="138"/>
    </row>
    <row r="2953" spans="1:1" x14ac:dyDescent="0.35">
      <c r="A2953" s="138"/>
    </row>
    <row r="2954" spans="1:1" x14ac:dyDescent="0.35">
      <c r="A2954" s="138"/>
    </row>
    <row r="2955" spans="1:1" x14ac:dyDescent="0.35">
      <c r="A2955" s="138"/>
    </row>
    <row r="2956" spans="1:1" x14ac:dyDescent="0.35">
      <c r="A2956" s="138"/>
    </row>
    <row r="2957" spans="1:1" x14ac:dyDescent="0.35">
      <c r="A2957" s="138"/>
    </row>
    <row r="2958" spans="1:1" x14ac:dyDescent="0.35">
      <c r="A2958" s="138"/>
    </row>
    <row r="2959" spans="1:1" x14ac:dyDescent="0.35">
      <c r="A2959" s="138"/>
    </row>
    <row r="2960" spans="1:1" x14ac:dyDescent="0.35">
      <c r="A2960" s="138"/>
    </row>
    <row r="2961" spans="1:1" x14ac:dyDescent="0.35">
      <c r="A2961" s="138"/>
    </row>
    <row r="2962" spans="1:1" x14ac:dyDescent="0.35">
      <c r="A2962" s="138"/>
    </row>
    <row r="2963" spans="1:1" x14ac:dyDescent="0.35">
      <c r="A2963" s="138"/>
    </row>
    <row r="2964" spans="1:1" x14ac:dyDescent="0.35">
      <c r="A2964" s="138"/>
    </row>
    <row r="2965" spans="1:1" x14ac:dyDescent="0.35">
      <c r="A2965" s="138"/>
    </row>
    <row r="2966" spans="1:1" x14ac:dyDescent="0.35">
      <c r="A2966" s="138"/>
    </row>
    <row r="2967" spans="1:1" x14ac:dyDescent="0.35">
      <c r="A2967" s="138"/>
    </row>
    <row r="2968" spans="1:1" x14ac:dyDescent="0.35">
      <c r="A2968" s="138"/>
    </row>
    <row r="2969" spans="1:1" x14ac:dyDescent="0.35">
      <c r="A2969" s="138"/>
    </row>
    <row r="2970" spans="1:1" x14ac:dyDescent="0.35">
      <c r="A2970" s="138"/>
    </row>
    <row r="2971" spans="1:1" x14ac:dyDescent="0.35">
      <c r="A2971" s="138"/>
    </row>
    <row r="2972" spans="1:1" x14ac:dyDescent="0.35">
      <c r="A2972" s="138"/>
    </row>
    <row r="2973" spans="1:1" x14ac:dyDescent="0.35">
      <c r="A2973" s="138"/>
    </row>
    <row r="2974" spans="1:1" x14ac:dyDescent="0.35">
      <c r="A2974" s="138"/>
    </row>
    <row r="2975" spans="1:1" x14ac:dyDescent="0.35">
      <c r="A2975" s="138"/>
    </row>
    <row r="2976" spans="1:1" x14ac:dyDescent="0.35">
      <c r="A2976" s="138"/>
    </row>
    <row r="2977" spans="1:1" x14ac:dyDescent="0.35">
      <c r="A2977" s="138"/>
    </row>
    <row r="2978" spans="1:1" x14ac:dyDescent="0.35">
      <c r="A2978" s="138"/>
    </row>
    <row r="2979" spans="1:1" x14ac:dyDescent="0.35">
      <c r="A2979" s="138"/>
    </row>
    <row r="2980" spans="1:1" x14ac:dyDescent="0.35">
      <c r="A2980" s="138"/>
    </row>
    <row r="2981" spans="1:1" x14ac:dyDescent="0.35">
      <c r="A2981" s="138"/>
    </row>
    <row r="2982" spans="1:1" x14ac:dyDescent="0.35">
      <c r="A2982" s="138"/>
    </row>
    <row r="2983" spans="1:1" x14ac:dyDescent="0.35">
      <c r="A2983" s="138"/>
    </row>
    <row r="2984" spans="1:1" x14ac:dyDescent="0.35">
      <c r="A2984" s="138"/>
    </row>
    <row r="2985" spans="1:1" x14ac:dyDescent="0.35">
      <c r="A2985" s="138"/>
    </row>
    <row r="2986" spans="1:1" x14ac:dyDescent="0.35">
      <c r="A2986" s="138"/>
    </row>
    <row r="2987" spans="1:1" x14ac:dyDescent="0.35">
      <c r="A2987" s="138"/>
    </row>
    <row r="2988" spans="1:1" x14ac:dyDescent="0.35">
      <c r="A2988" s="138"/>
    </row>
    <row r="2989" spans="1:1" x14ac:dyDescent="0.35">
      <c r="A2989" s="138"/>
    </row>
    <row r="2990" spans="1:1" x14ac:dyDescent="0.35">
      <c r="A2990" s="138"/>
    </row>
    <row r="2991" spans="1:1" x14ac:dyDescent="0.35">
      <c r="A2991" s="138"/>
    </row>
    <row r="2992" spans="1:1" x14ac:dyDescent="0.35">
      <c r="A2992" s="138"/>
    </row>
    <row r="2993" spans="1:1" x14ac:dyDescent="0.35">
      <c r="A2993" s="138"/>
    </row>
    <row r="2994" spans="1:1" x14ac:dyDescent="0.35">
      <c r="A2994" s="138"/>
    </row>
    <row r="2995" spans="1:1" x14ac:dyDescent="0.35">
      <c r="A2995" s="138"/>
    </row>
    <row r="2996" spans="1:1" x14ac:dyDescent="0.35">
      <c r="A2996" s="138"/>
    </row>
    <row r="2997" spans="1:1" x14ac:dyDescent="0.35">
      <c r="A2997" s="138"/>
    </row>
    <row r="2998" spans="1:1" x14ac:dyDescent="0.35">
      <c r="A2998" s="138"/>
    </row>
    <row r="2999" spans="1:1" x14ac:dyDescent="0.35">
      <c r="A2999" s="138"/>
    </row>
    <row r="3000" spans="1:1" x14ac:dyDescent="0.35">
      <c r="A3000" s="138"/>
    </row>
    <row r="3001" spans="1:1" x14ac:dyDescent="0.35">
      <c r="A3001" s="138"/>
    </row>
    <row r="3002" spans="1:1" x14ac:dyDescent="0.35">
      <c r="A3002" s="138"/>
    </row>
    <row r="3003" spans="1:1" x14ac:dyDescent="0.35">
      <c r="A3003" s="138"/>
    </row>
    <row r="3004" spans="1:1" x14ac:dyDescent="0.35">
      <c r="A3004" s="138"/>
    </row>
    <row r="3005" spans="1:1" x14ac:dyDescent="0.35">
      <c r="A3005" s="138"/>
    </row>
    <row r="3006" spans="1:1" x14ac:dyDescent="0.35">
      <c r="A3006" s="138"/>
    </row>
    <row r="3007" spans="1:1" x14ac:dyDescent="0.35">
      <c r="A3007" s="138"/>
    </row>
    <row r="3008" spans="1:1" x14ac:dyDescent="0.35">
      <c r="A3008" s="138"/>
    </row>
    <row r="3009" spans="1:1" x14ac:dyDescent="0.35">
      <c r="A3009" s="138"/>
    </row>
    <row r="3010" spans="1:1" x14ac:dyDescent="0.35">
      <c r="A3010" s="138"/>
    </row>
    <row r="3011" spans="1:1" x14ac:dyDescent="0.35">
      <c r="A3011" s="138"/>
    </row>
    <row r="3012" spans="1:1" x14ac:dyDescent="0.35">
      <c r="A3012" s="138"/>
    </row>
    <row r="3013" spans="1:1" x14ac:dyDescent="0.35">
      <c r="A3013" s="138"/>
    </row>
    <row r="3014" spans="1:1" x14ac:dyDescent="0.35">
      <c r="A3014" s="138"/>
    </row>
    <row r="3015" spans="1:1" x14ac:dyDescent="0.35">
      <c r="A3015" s="138"/>
    </row>
    <row r="3016" spans="1:1" x14ac:dyDescent="0.35">
      <c r="A3016" s="138"/>
    </row>
    <row r="3017" spans="1:1" x14ac:dyDescent="0.35">
      <c r="A3017" s="138"/>
    </row>
    <row r="3018" spans="1:1" x14ac:dyDescent="0.35">
      <c r="A3018" s="138"/>
    </row>
    <row r="3019" spans="1:1" x14ac:dyDescent="0.35">
      <c r="A3019" s="138"/>
    </row>
    <row r="3020" spans="1:1" x14ac:dyDescent="0.35">
      <c r="A3020" s="138"/>
    </row>
    <row r="3021" spans="1:1" x14ac:dyDescent="0.35">
      <c r="A3021" s="138"/>
    </row>
    <row r="3022" spans="1:1" x14ac:dyDescent="0.35">
      <c r="A3022" s="138"/>
    </row>
    <row r="3023" spans="1:1" x14ac:dyDescent="0.35">
      <c r="A3023" s="138"/>
    </row>
    <row r="3024" spans="1:1" x14ac:dyDescent="0.35">
      <c r="A3024" s="138"/>
    </row>
    <row r="3025" spans="1:1" x14ac:dyDescent="0.35">
      <c r="A3025" s="138"/>
    </row>
    <row r="3026" spans="1:1" x14ac:dyDescent="0.35">
      <c r="A3026" s="138"/>
    </row>
    <row r="3027" spans="1:1" x14ac:dyDescent="0.35">
      <c r="A3027" s="138"/>
    </row>
    <row r="3028" spans="1:1" x14ac:dyDescent="0.35">
      <c r="A3028" s="138"/>
    </row>
    <row r="3029" spans="1:1" x14ac:dyDescent="0.35">
      <c r="A3029" s="138"/>
    </row>
    <row r="3030" spans="1:1" x14ac:dyDescent="0.35">
      <c r="A3030" s="138"/>
    </row>
    <row r="3031" spans="1:1" x14ac:dyDescent="0.35">
      <c r="A3031" s="138"/>
    </row>
    <row r="3032" spans="1:1" x14ac:dyDescent="0.35">
      <c r="A3032" s="138"/>
    </row>
    <row r="3033" spans="1:1" x14ac:dyDescent="0.35">
      <c r="A3033" s="138"/>
    </row>
    <row r="3034" spans="1:1" x14ac:dyDescent="0.35">
      <c r="A3034" s="138"/>
    </row>
    <row r="3035" spans="1:1" x14ac:dyDescent="0.35">
      <c r="A3035" s="138"/>
    </row>
    <row r="3036" spans="1:1" x14ac:dyDescent="0.35">
      <c r="A3036" s="138"/>
    </row>
    <row r="3037" spans="1:1" x14ac:dyDescent="0.35">
      <c r="A3037" s="138"/>
    </row>
    <row r="3038" spans="1:1" x14ac:dyDescent="0.35">
      <c r="A3038" s="138"/>
    </row>
    <row r="3039" spans="1:1" x14ac:dyDescent="0.35">
      <c r="A3039" s="138"/>
    </row>
    <row r="3040" spans="1:1" x14ac:dyDescent="0.35">
      <c r="A3040" s="138"/>
    </row>
    <row r="3041" spans="1:1" x14ac:dyDescent="0.35">
      <c r="A3041" s="138"/>
    </row>
    <row r="3042" spans="1:1" x14ac:dyDescent="0.35">
      <c r="A3042" s="138"/>
    </row>
    <row r="3043" spans="1:1" x14ac:dyDescent="0.35">
      <c r="A3043" s="138"/>
    </row>
    <row r="3044" spans="1:1" x14ac:dyDescent="0.35">
      <c r="A3044" s="138"/>
    </row>
    <row r="3045" spans="1:1" x14ac:dyDescent="0.35">
      <c r="A3045" s="138"/>
    </row>
    <row r="3046" spans="1:1" x14ac:dyDescent="0.35">
      <c r="A3046" s="138"/>
    </row>
    <row r="3047" spans="1:1" x14ac:dyDescent="0.35">
      <c r="A3047" s="138"/>
    </row>
    <row r="3048" spans="1:1" x14ac:dyDescent="0.35">
      <c r="A3048" s="138"/>
    </row>
    <row r="3049" spans="1:1" x14ac:dyDescent="0.35">
      <c r="A3049" s="138"/>
    </row>
    <row r="3050" spans="1:1" x14ac:dyDescent="0.35">
      <c r="A3050" s="138"/>
    </row>
    <row r="3051" spans="1:1" x14ac:dyDescent="0.35">
      <c r="A3051" s="138"/>
    </row>
    <row r="3052" spans="1:1" x14ac:dyDescent="0.35">
      <c r="A3052" s="138"/>
    </row>
    <row r="3053" spans="1:1" x14ac:dyDescent="0.35">
      <c r="A3053" s="138"/>
    </row>
    <row r="3054" spans="1:1" x14ac:dyDescent="0.35">
      <c r="A3054" s="138"/>
    </row>
    <row r="3055" spans="1:1" x14ac:dyDescent="0.35">
      <c r="A3055" s="138"/>
    </row>
    <row r="3056" spans="1:1" x14ac:dyDescent="0.35">
      <c r="A3056" s="138"/>
    </row>
    <row r="3057" spans="1:1" x14ac:dyDescent="0.35">
      <c r="A3057" s="138"/>
    </row>
    <row r="3058" spans="1:1" x14ac:dyDescent="0.35">
      <c r="A3058" s="138"/>
    </row>
    <row r="3059" spans="1:1" x14ac:dyDescent="0.35">
      <c r="A3059" s="138"/>
    </row>
    <row r="3060" spans="1:1" x14ac:dyDescent="0.35">
      <c r="A3060" s="138"/>
    </row>
    <row r="3061" spans="1:1" x14ac:dyDescent="0.35">
      <c r="A3061" s="138"/>
    </row>
    <row r="3062" spans="1:1" x14ac:dyDescent="0.35">
      <c r="A3062" s="138"/>
    </row>
    <row r="3063" spans="1:1" x14ac:dyDescent="0.35">
      <c r="A3063" s="138"/>
    </row>
    <row r="3064" spans="1:1" x14ac:dyDescent="0.35">
      <c r="A3064" s="138"/>
    </row>
    <row r="3065" spans="1:1" x14ac:dyDescent="0.35">
      <c r="A3065" s="138"/>
    </row>
    <row r="3066" spans="1:1" x14ac:dyDescent="0.35">
      <c r="A3066" s="138"/>
    </row>
    <row r="3067" spans="1:1" x14ac:dyDescent="0.35">
      <c r="A3067" s="138"/>
    </row>
    <row r="3068" spans="1:1" x14ac:dyDescent="0.35">
      <c r="A3068" s="138"/>
    </row>
    <row r="3069" spans="1:1" x14ac:dyDescent="0.35">
      <c r="A3069" s="138"/>
    </row>
    <row r="3070" spans="1:1" x14ac:dyDescent="0.35">
      <c r="A3070" s="138"/>
    </row>
    <row r="3071" spans="1:1" x14ac:dyDescent="0.35">
      <c r="A3071" s="138"/>
    </row>
    <row r="3072" spans="1:1" x14ac:dyDescent="0.35">
      <c r="A3072" s="138"/>
    </row>
    <row r="3073" spans="1:1" x14ac:dyDescent="0.35">
      <c r="A3073" s="138"/>
    </row>
    <row r="3074" spans="1:1" x14ac:dyDescent="0.35">
      <c r="A3074" s="138"/>
    </row>
    <row r="3075" spans="1:1" x14ac:dyDescent="0.35">
      <c r="A3075" s="138"/>
    </row>
    <row r="3076" spans="1:1" x14ac:dyDescent="0.35">
      <c r="A3076" s="138"/>
    </row>
    <row r="3077" spans="1:1" x14ac:dyDescent="0.35">
      <c r="A3077" s="138"/>
    </row>
    <row r="3078" spans="1:1" x14ac:dyDescent="0.35">
      <c r="A3078" s="138"/>
    </row>
    <row r="3079" spans="1:1" x14ac:dyDescent="0.35">
      <c r="A3079" s="138"/>
    </row>
    <row r="3080" spans="1:1" x14ac:dyDescent="0.35">
      <c r="A3080" s="138"/>
    </row>
    <row r="3081" spans="1:1" x14ac:dyDescent="0.35">
      <c r="A3081" s="138"/>
    </row>
    <row r="3082" spans="1:1" x14ac:dyDescent="0.35">
      <c r="A3082" s="138"/>
    </row>
    <row r="3083" spans="1:1" x14ac:dyDescent="0.35">
      <c r="A3083" s="138"/>
    </row>
    <row r="3084" spans="1:1" x14ac:dyDescent="0.35">
      <c r="A3084" s="138"/>
    </row>
    <row r="3085" spans="1:1" x14ac:dyDescent="0.35">
      <c r="A3085" s="138"/>
    </row>
    <row r="3086" spans="1:1" x14ac:dyDescent="0.35">
      <c r="A3086" s="138"/>
    </row>
    <row r="3087" spans="1:1" x14ac:dyDescent="0.35">
      <c r="A3087" s="138"/>
    </row>
    <row r="3088" spans="1:1" x14ac:dyDescent="0.35">
      <c r="A3088" s="138"/>
    </row>
    <row r="3089" spans="1:1" x14ac:dyDescent="0.35">
      <c r="A3089" s="138"/>
    </row>
    <row r="3090" spans="1:1" x14ac:dyDescent="0.35">
      <c r="A3090" s="138"/>
    </row>
    <row r="3091" spans="1:1" x14ac:dyDescent="0.35">
      <c r="A3091" s="138"/>
    </row>
    <row r="3092" spans="1:1" x14ac:dyDescent="0.35">
      <c r="A3092" s="138"/>
    </row>
    <row r="3093" spans="1:1" x14ac:dyDescent="0.35">
      <c r="A3093" s="138"/>
    </row>
    <row r="3094" spans="1:1" x14ac:dyDescent="0.35">
      <c r="A3094" s="138"/>
    </row>
    <row r="3095" spans="1:1" x14ac:dyDescent="0.35">
      <c r="A3095" s="138"/>
    </row>
    <row r="3096" spans="1:1" x14ac:dyDescent="0.35">
      <c r="A3096" s="138"/>
    </row>
    <row r="3097" spans="1:1" x14ac:dyDescent="0.35">
      <c r="A3097" s="138"/>
    </row>
    <row r="3098" spans="1:1" x14ac:dyDescent="0.35">
      <c r="A3098" s="138"/>
    </row>
    <row r="3099" spans="1:1" x14ac:dyDescent="0.35">
      <c r="A3099" s="138"/>
    </row>
    <row r="3100" spans="1:1" x14ac:dyDescent="0.35">
      <c r="A3100" s="138"/>
    </row>
    <row r="3101" spans="1:1" x14ac:dyDescent="0.35">
      <c r="A3101" s="138"/>
    </row>
    <row r="3102" spans="1:1" x14ac:dyDescent="0.35">
      <c r="A3102" s="138"/>
    </row>
    <row r="3103" spans="1:1" x14ac:dyDescent="0.35">
      <c r="A3103" s="138"/>
    </row>
    <row r="3104" spans="1:1" x14ac:dyDescent="0.35">
      <c r="A3104" s="138"/>
    </row>
    <row r="3105" spans="1:1" x14ac:dyDescent="0.35">
      <c r="A3105" s="138"/>
    </row>
    <row r="3106" spans="1:1" x14ac:dyDescent="0.35">
      <c r="A3106" s="138"/>
    </row>
    <row r="3107" spans="1:1" x14ac:dyDescent="0.35">
      <c r="A3107" s="138"/>
    </row>
    <row r="3108" spans="1:1" x14ac:dyDescent="0.35">
      <c r="A3108" s="138"/>
    </row>
    <row r="3109" spans="1:1" x14ac:dyDescent="0.35">
      <c r="A3109" s="138"/>
    </row>
    <row r="3110" spans="1:1" x14ac:dyDescent="0.35">
      <c r="A3110" s="138"/>
    </row>
    <row r="3111" spans="1:1" x14ac:dyDescent="0.35">
      <c r="A3111" s="138"/>
    </row>
    <row r="3112" spans="1:1" x14ac:dyDescent="0.35">
      <c r="A3112" s="138"/>
    </row>
    <row r="3113" spans="1:1" x14ac:dyDescent="0.35">
      <c r="A3113" s="138"/>
    </row>
    <row r="3114" spans="1:1" x14ac:dyDescent="0.35">
      <c r="A3114" s="138"/>
    </row>
    <row r="3115" spans="1:1" x14ac:dyDescent="0.35">
      <c r="A3115" s="138"/>
    </row>
    <row r="3116" spans="1:1" x14ac:dyDescent="0.35">
      <c r="A3116" s="138"/>
    </row>
    <row r="3117" spans="1:1" x14ac:dyDescent="0.35">
      <c r="A3117" s="138"/>
    </row>
    <row r="3118" spans="1:1" x14ac:dyDescent="0.35">
      <c r="A3118" s="138"/>
    </row>
    <row r="3119" spans="1:1" x14ac:dyDescent="0.35">
      <c r="A3119" s="138"/>
    </row>
    <row r="3120" spans="1:1" x14ac:dyDescent="0.35">
      <c r="A3120" s="138"/>
    </row>
    <row r="3121" spans="1:1" x14ac:dyDescent="0.35">
      <c r="A3121" s="138"/>
    </row>
    <row r="3122" spans="1:1" x14ac:dyDescent="0.35">
      <c r="A3122" s="138"/>
    </row>
    <row r="3123" spans="1:1" x14ac:dyDescent="0.35">
      <c r="A3123" s="138"/>
    </row>
    <row r="3124" spans="1:1" x14ac:dyDescent="0.35">
      <c r="A3124" s="138"/>
    </row>
    <row r="3125" spans="1:1" x14ac:dyDescent="0.35">
      <c r="A3125" s="138"/>
    </row>
    <row r="3126" spans="1:1" x14ac:dyDescent="0.35">
      <c r="A3126" s="138"/>
    </row>
    <row r="3127" spans="1:1" x14ac:dyDescent="0.35">
      <c r="A3127" s="138"/>
    </row>
    <row r="3128" spans="1:1" x14ac:dyDescent="0.35">
      <c r="A3128" s="138"/>
    </row>
    <row r="3129" spans="1:1" x14ac:dyDescent="0.35">
      <c r="A3129" s="138"/>
    </row>
    <row r="3130" spans="1:1" x14ac:dyDescent="0.35">
      <c r="A3130" s="138"/>
    </row>
    <row r="3131" spans="1:1" x14ac:dyDescent="0.35">
      <c r="A3131" s="138"/>
    </row>
    <row r="3132" spans="1:1" x14ac:dyDescent="0.35">
      <c r="A3132" s="138"/>
    </row>
    <row r="3133" spans="1:1" x14ac:dyDescent="0.35">
      <c r="A3133" s="138"/>
    </row>
    <row r="3134" spans="1:1" x14ac:dyDescent="0.35">
      <c r="A3134" s="138"/>
    </row>
    <row r="3135" spans="1:1" x14ac:dyDescent="0.35">
      <c r="A3135" s="138"/>
    </row>
    <row r="3136" spans="1:1" x14ac:dyDescent="0.35">
      <c r="A3136" s="138"/>
    </row>
    <row r="3137" spans="1:1" x14ac:dyDescent="0.35">
      <c r="A3137" s="138"/>
    </row>
    <row r="3138" spans="1:1" x14ac:dyDescent="0.35">
      <c r="A3138" s="138"/>
    </row>
    <row r="3139" spans="1:1" x14ac:dyDescent="0.35">
      <c r="A3139" s="138"/>
    </row>
    <row r="3140" spans="1:1" x14ac:dyDescent="0.35">
      <c r="A3140" s="138"/>
    </row>
    <row r="3141" spans="1:1" x14ac:dyDescent="0.35">
      <c r="A3141" s="138"/>
    </row>
    <row r="3142" spans="1:1" x14ac:dyDescent="0.35">
      <c r="A3142" s="138"/>
    </row>
    <row r="3143" spans="1:1" x14ac:dyDescent="0.35">
      <c r="A3143" s="138"/>
    </row>
    <row r="3144" spans="1:1" x14ac:dyDescent="0.35">
      <c r="A3144" s="138"/>
    </row>
    <row r="3145" spans="1:1" x14ac:dyDescent="0.35">
      <c r="A3145" s="138"/>
    </row>
    <row r="3146" spans="1:1" x14ac:dyDescent="0.35">
      <c r="A3146" s="138"/>
    </row>
    <row r="3147" spans="1:1" x14ac:dyDescent="0.35">
      <c r="A3147" s="138"/>
    </row>
    <row r="3148" spans="1:1" x14ac:dyDescent="0.35">
      <c r="A3148" s="138"/>
    </row>
    <row r="3149" spans="1:1" x14ac:dyDescent="0.35">
      <c r="A3149" s="138"/>
    </row>
    <row r="3150" spans="1:1" x14ac:dyDescent="0.35">
      <c r="A3150" s="138"/>
    </row>
    <row r="3151" spans="1:1" x14ac:dyDescent="0.35">
      <c r="A3151" s="138"/>
    </row>
    <row r="3152" spans="1:1" x14ac:dyDescent="0.35">
      <c r="A3152" s="138"/>
    </row>
    <row r="3153" spans="1:1" x14ac:dyDescent="0.35">
      <c r="A3153" s="138"/>
    </row>
    <row r="3154" spans="1:1" x14ac:dyDescent="0.35">
      <c r="A3154" s="138"/>
    </row>
    <row r="3155" spans="1:1" x14ac:dyDescent="0.35">
      <c r="A3155" s="138"/>
    </row>
    <row r="3156" spans="1:1" x14ac:dyDescent="0.35">
      <c r="A3156" s="138"/>
    </row>
    <row r="3157" spans="1:1" x14ac:dyDescent="0.35">
      <c r="A3157" s="138"/>
    </row>
    <row r="3158" spans="1:1" x14ac:dyDescent="0.35">
      <c r="A3158" s="138"/>
    </row>
    <row r="3159" spans="1:1" x14ac:dyDescent="0.35">
      <c r="A3159" s="138"/>
    </row>
    <row r="3160" spans="1:1" x14ac:dyDescent="0.35">
      <c r="A3160" s="138"/>
    </row>
    <row r="3161" spans="1:1" x14ac:dyDescent="0.35">
      <c r="A3161" s="138"/>
    </row>
    <row r="3162" spans="1:1" x14ac:dyDescent="0.35">
      <c r="A3162" s="138"/>
    </row>
    <row r="3163" spans="1:1" x14ac:dyDescent="0.35">
      <c r="A3163" s="138"/>
    </row>
    <row r="3164" spans="1:1" x14ac:dyDescent="0.35">
      <c r="A3164" s="138"/>
    </row>
    <row r="3165" spans="1:1" x14ac:dyDescent="0.35">
      <c r="A3165" s="138"/>
    </row>
    <row r="3166" spans="1:1" x14ac:dyDescent="0.35">
      <c r="A3166" s="138"/>
    </row>
    <row r="3167" spans="1:1" x14ac:dyDescent="0.35">
      <c r="A3167" s="138"/>
    </row>
    <row r="3168" spans="1:1" x14ac:dyDescent="0.35">
      <c r="A3168" s="138"/>
    </row>
    <row r="3169" spans="1:1" x14ac:dyDescent="0.35">
      <c r="A3169" s="138"/>
    </row>
    <row r="3170" spans="1:1" x14ac:dyDescent="0.35">
      <c r="A3170" s="138"/>
    </row>
    <row r="3171" spans="1:1" x14ac:dyDescent="0.35">
      <c r="A3171" s="138"/>
    </row>
    <row r="3172" spans="1:1" x14ac:dyDescent="0.35">
      <c r="A3172" s="138"/>
    </row>
    <row r="3173" spans="1:1" x14ac:dyDescent="0.35">
      <c r="A3173" s="138"/>
    </row>
    <row r="3174" spans="1:1" x14ac:dyDescent="0.35">
      <c r="A3174" s="138"/>
    </row>
    <row r="3175" spans="1:1" x14ac:dyDescent="0.35">
      <c r="A3175" s="138"/>
    </row>
    <row r="3176" spans="1:1" x14ac:dyDescent="0.35">
      <c r="A3176" s="138"/>
    </row>
    <row r="3177" spans="1:1" x14ac:dyDescent="0.35">
      <c r="A3177" s="138"/>
    </row>
    <row r="3178" spans="1:1" x14ac:dyDescent="0.35">
      <c r="A3178" s="138"/>
    </row>
    <row r="3179" spans="1:1" x14ac:dyDescent="0.35">
      <c r="A3179" s="138"/>
    </row>
    <row r="3180" spans="1:1" x14ac:dyDescent="0.35">
      <c r="A3180" s="138"/>
    </row>
    <row r="3181" spans="1:1" x14ac:dyDescent="0.35">
      <c r="A3181" s="138"/>
    </row>
    <row r="3182" spans="1:1" x14ac:dyDescent="0.35">
      <c r="A3182" s="138"/>
    </row>
    <row r="3183" spans="1:1" x14ac:dyDescent="0.35">
      <c r="A3183" s="138"/>
    </row>
    <row r="3184" spans="1:1" x14ac:dyDescent="0.35">
      <c r="A3184" s="138"/>
    </row>
    <row r="3185" spans="1:1" x14ac:dyDescent="0.35">
      <c r="A3185" s="138"/>
    </row>
    <row r="3186" spans="1:1" x14ac:dyDescent="0.35">
      <c r="A3186" s="138"/>
    </row>
    <row r="3187" spans="1:1" x14ac:dyDescent="0.35">
      <c r="A3187" s="138"/>
    </row>
    <row r="3188" spans="1:1" x14ac:dyDescent="0.35">
      <c r="A3188" s="138"/>
    </row>
    <row r="3189" spans="1:1" x14ac:dyDescent="0.35">
      <c r="A3189" s="138"/>
    </row>
    <row r="3190" spans="1:1" x14ac:dyDescent="0.35">
      <c r="A3190" s="138"/>
    </row>
    <row r="3191" spans="1:1" x14ac:dyDescent="0.35">
      <c r="A3191" s="138"/>
    </row>
    <row r="3192" spans="1:1" x14ac:dyDescent="0.35">
      <c r="A3192" s="138"/>
    </row>
    <row r="3193" spans="1:1" x14ac:dyDescent="0.35">
      <c r="A3193" s="138"/>
    </row>
    <row r="3194" spans="1:1" x14ac:dyDescent="0.35">
      <c r="A3194" s="138"/>
    </row>
    <row r="3195" spans="1:1" x14ac:dyDescent="0.35">
      <c r="A3195" s="138"/>
    </row>
    <row r="3196" spans="1:1" x14ac:dyDescent="0.35">
      <c r="A3196" s="138"/>
    </row>
    <row r="3197" spans="1:1" x14ac:dyDescent="0.35">
      <c r="A3197" s="138"/>
    </row>
    <row r="3198" spans="1:1" x14ac:dyDescent="0.35">
      <c r="A3198" s="138"/>
    </row>
    <row r="3199" spans="1:1" x14ac:dyDescent="0.35">
      <c r="A3199" s="138"/>
    </row>
    <row r="3200" spans="1:1" x14ac:dyDescent="0.35">
      <c r="A3200" s="138"/>
    </row>
    <row r="3201" spans="1:1" x14ac:dyDescent="0.35">
      <c r="A3201" s="138"/>
    </row>
    <row r="3202" spans="1:1" x14ac:dyDescent="0.35">
      <c r="A3202" s="138"/>
    </row>
    <row r="3203" spans="1:1" x14ac:dyDescent="0.35">
      <c r="A3203" s="138"/>
    </row>
    <row r="3204" spans="1:1" x14ac:dyDescent="0.35">
      <c r="A3204" s="138"/>
    </row>
    <row r="3205" spans="1:1" x14ac:dyDescent="0.35">
      <c r="A3205" s="138"/>
    </row>
    <row r="3206" spans="1:1" x14ac:dyDescent="0.35">
      <c r="A3206" s="138"/>
    </row>
    <row r="3207" spans="1:1" x14ac:dyDescent="0.35">
      <c r="A3207" s="138"/>
    </row>
    <row r="3208" spans="1:1" x14ac:dyDescent="0.35">
      <c r="A3208" s="138"/>
    </row>
    <row r="3209" spans="1:1" x14ac:dyDescent="0.35">
      <c r="A3209" s="138"/>
    </row>
    <row r="3210" spans="1:1" x14ac:dyDescent="0.35">
      <c r="A3210" s="138"/>
    </row>
    <row r="3211" spans="1:1" x14ac:dyDescent="0.35">
      <c r="A3211" s="138"/>
    </row>
    <row r="3212" spans="1:1" x14ac:dyDescent="0.35">
      <c r="A3212" s="138"/>
    </row>
    <row r="3213" spans="1:1" x14ac:dyDescent="0.35">
      <c r="A3213" s="138"/>
    </row>
    <row r="3214" spans="1:1" x14ac:dyDescent="0.35">
      <c r="A3214" s="138"/>
    </row>
    <row r="3215" spans="1:1" x14ac:dyDescent="0.35">
      <c r="A3215" s="138"/>
    </row>
    <row r="3216" spans="1:1" x14ac:dyDescent="0.35">
      <c r="A3216" s="138"/>
    </row>
    <row r="3217" spans="1:1" x14ac:dyDescent="0.35">
      <c r="A3217" s="138"/>
    </row>
    <row r="3218" spans="1:1" x14ac:dyDescent="0.35">
      <c r="A3218" s="138"/>
    </row>
    <row r="3219" spans="1:1" x14ac:dyDescent="0.35">
      <c r="A3219" s="138"/>
    </row>
    <row r="3220" spans="1:1" x14ac:dyDescent="0.35">
      <c r="A3220" s="138"/>
    </row>
    <row r="3221" spans="1:1" x14ac:dyDescent="0.35">
      <c r="A3221" s="138"/>
    </row>
    <row r="3222" spans="1:1" x14ac:dyDescent="0.35">
      <c r="A3222" s="138"/>
    </row>
    <row r="3223" spans="1:1" x14ac:dyDescent="0.35">
      <c r="A3223" s="138"/>
    </row>
    <row r="3224" spans="1:1" x14ac:dyDescent="0.35">
      <c r="A3224" s="138"/>
    </row>
    <row r="3225" spans="1:1" x14ac:dyDescent="0.35">
      <c r="A3225" s="138"/>
    </row>
    <row r="3226" spans="1:1" x14ac:dyDescent="0.35">
      <c r="A3226" s="138"/>
    </row>
    <row r="3227" spans="1:1" x14ac:dyDescent="0.35">
      <c r="A3227" s="138"/>
    </row>
    <row r="3228" spans="1:1" x14ac:dyDescent="0.35">
      <c r="A3228" s="138"/>
    </row>
    <row r="3229" spans="1:1" x14ac:dyDescent="0.35">
      <c r="A3229" s="138"/>
    </row>
    <row r="3230" spans="1:1" x14ac:dyDescent="0.35">
      <c r="A3230" s="138"/>
    </row>
    <row r="3231" spans="1:1" x14ac:dyDescent="0.35">
      <c r="A3231" s="138"/>
    </row>
    <row r="3232" spans="1:1" x14ac:dyDescent="0.35">
      <c r="A3232" s="138"/>
    </row>
    <row r="3233" spans="1:1" x14ac:dyDescent="0.35">
      <c r="A3233" s="138"/>
    </row>
    <row r="3234" spans="1:1" x14ac:dyDescent="0.35">
      <c r="A3234" s="138"/>
    </row>
    <row r="3235" spans="1:1" x14ac:dyDescent="0.35">
      <c r="A3235" s="138"/>
    </row>
    <row r="3236" spans="1:1" x14ac:dyDescent="0.35">
      <c r="A3236" s="138"/>
    </row>
    <row r="3237" spans="1:1" x14ac:dyDescent="0.35">
      <c r="A3237" s="138"/>
    </row>
    <row r="3238" spans="1:1" x14ac:dyDescent="0.35">
      <c r="A3238" s="138"/>
    </row>
    <row r="3239" spans="1:1" x14ac:dyDescent="0.35">
      <c r="A3239" s="138"/>
    </row>
    <row r="3240" spans="1:1" x14ac:dyDescent="0.35">
      <c r="A3240" s="138"/>
    </row>
    <row r="3241" spans="1:1" x14ac:dyDescent="0.35">
      <c r="A3241" s="138"/>
    </row>
    <row r="3242" spans="1:1" x14ac:dyDescent="0.35">
      <c r="A3242" s="138"/>
    </row>
    <row r="3243" spans="1:1" x14ac:dyDescent="0.35">
      <c r="A3243" s="138"/>
    </row>
    <row r="3244" spans="1:1" x14ac:dyDescent="0.35">
      <c r="A3244" s="138"/>
    </row>
    <row r="3245" spans="1:1" x14ac:dyDescent="0.35">
      <c r="A3245" s="138"/>
    </row>
    <row r="3246" spans="1:1" x14ac:dyDescent="0.35">
      <c r="A3246" s="138"/>
    </row>
    <row r="3247" spans="1:1" x14ac:dyDescent="0.35">
      <c r="A3247" s="138"/>
    </row>
    <row r="3248" spans="1:1" x14ac:dyDescent="0.35">
      <c r="A3248" s="138"/>
    </row>
    <row r="3249" spans="1:1" x14ac:dyDescent="0.35">
      <c r="A3249" s="138"/>
    </row>
    <row r="3250" spans="1:1" x14ac:dyDescent="0.35">
      <c r="A3250" s="138"/>
    </row>
    <row r="3251" spans="1:1" x14ac:dyDescent="0.35">
      <c r="A3251" s="138"/>
    </row>
    <row r="3252" spans="1:1" x14ac:dyDescent="0.35">
      <c r="A3252" s="138"/>
    </row>
    <row r="3253" spans="1:1" x14ac:dyDescent="0.35">
      <c r="A3253" s="138"/>
    </row>
    <row r="3254" spans="1:1" x14ac:dyDescent="0.35">
      <c r="A3254" s="138"/>
    </row>
    <row r="3255" spans="1:1" x14ac:dyDescent="0.35">
      <c r="A3255" s="138"/>
    </row>
    <row r="3256" spans="1:1" x14ac:dyDescent="0.35">
      <c r="A3256" s="138"/>
    </row>
    <row r="3257" spans="1:1" x14ac:dyDescent="0.35">
      <c r="A3257" s="138"/>
    </row>
    <row r="3258" spans="1:1" x14ac:dyDescent="0.35">
      <c r="A3258" s="138"/>
    </row>
    <row r="3259" spans="1:1" x14ac:dyDescent="0.35">
      <c r="A3259" s="138"/>
    </row>
    <row r="3260" spans="1:1" x14ac:dyDescent="0.35">
      <c r="A3260" s="138"/>
    </row>
    <row r="3261" spans="1:1" x14ac:dyDescent="0.35">
      <c r="A3261" s="138"/>
    </row>
    <row r="3262" spans="1:1" x14ac:dyDescent="0.35">
      <c r="A3262" s="138"/>
    </row>
    <row r="3263" spans="1:1" x14ac:dyDescent="0.35">
      <c r="A3263" s="138"/>
    </row>
    <row r="3264" spans="1:1" x14ac:dyDescent="0.35">
      <c r="A3264" s="138"/>
    </row>
    <row r="3265" spans="1:1" x14ac:dyDescent="0.35">
      <c r="A3265" s="138"/>
    </row>
    <row r="3266" spans="1:1" x14ac:dyDescent="0.35">
      <c r="A3266" s="138"/>
    </row>
    <row r="3267" spans="1:1" x14ac:dyDescent="0.35">
      <c r="A3267" s="138"/>
    </row>
    <row r="3268" spans="1:1" x14ac:dyDescent="0.35">
      <c r="A3268" s="138"/>
    </row>
    <row r="3269" spans="1:1" x14ac:dyDescent="0.35">
      <c r="A3269" s="138"/>
    </row>
    <row r="3270" spans="1:1" x14ac:dyDescent="0.35">
      <c r="A3270" s="138"/>
    </row>
    <row r="3271" spans="1:1" x14ac:dyDescent="0.35">
      <c r="A3271" s="138"/>
    </row>
    <row r="3272" spans="1:1" x14ac:dyDescent="0.35">
      <c r="A3272" s="138"/>
    </row>
    <row r="3273" spans="1:1" x14ac:dyDescent="0.35">
      <c r="A3273" s="138"/>
    </row>
    <row r="3274" spans="1:1" x14ac:dyDescent="0.35">
      <c r="A3274" s="138"/>
    </row>
    <row r="3275" spans="1:1" x14ac:dyDescent="0.35">
      <c r="A3275" s="138"/>
    </row>
    <row r="3276" spans="1:1" x14ac:dyDescent="0.35">
      <c r="A3276" s="138"/>
    </row>
    <row r="3277" spans="1:1" x14ac:dyDescent="0.35">
      <c r="A3277" s="138"/>
    </row>
    <row r="3278" spans="1:1" x14ac:dyDescent="0.35">
      <c r="A3278" s="138"/>
    </row>
    <row r="3279" spans="1:1" x14ac:dyDescent="0.35">
      <c r="A3279" s="138"/>
    </row>
    <row r="3280" spans="1:1" x14ac:dyDescent="0.35">
      <c r="A3280" s="138"/>
    </row>
    <row r="3281" spans="1:1" x14ac:dyDescent="0.35">
      <c r="A3281" s="138"/>
    </row>
    <row r="3282" spans="1:1" x14ac:dyDescent="0.35">
      <c r="A3282" s="138"/>
    </row>
    <row r="3283" spans="1:1" x14ac:dyDescent="0.35">
      <c r="A3283" s="138"/>
    </row>
    <row r="3284" spans="1:1" x14ac:dyDescent="0.35">
      <c r="A3284" s="138"/>
    </row>
    <row r="3285" spans="1:1" x14ac:dyDescent="0.35">
      <c r="A3285" s="138"/>
    </row>
    <row r="3286" spans="1:1" x14ac:dyDescent="0.35">
      <c r="A3286" s="138"/>
    </row>
    <row r="3287" spans="1:1" x14ac:dyDescent="0.35">
      <c r="A3287" s="138"/>
    </row>
    <row r="3288" spans="1:1" x14ac:dyDescent="0.35">
      <c r="A3288" s="138"/>
    </row>
    <row r="3289" spans="1:1" x14ac:dyDescent="0.35">
      <c r="A3289" s="138"/>
    </row>
    <row r="3290" spans="1:1" x14ac:dyDescent="0.35">
      <c r="A3290" s="138"/>
    </row>
    <row r="3291" spans="1:1" x14ac:dyDescent="0.35">
      <c r="A3291" s="138"/>
    </row>
    <row r="3292" spans="1:1" x14ac:dyDescent="0.35">
      <c r="A3292" s="138"/>
    </row>
    <row r="3293" spans="1:1" x14ac:dyDescent="0.35">
      <c r="A3293" s="138"/>
    </row>
    <row r="3294" spans="1:1" x14ac:dyDescent="0.35">
      <c r="A3294" s="138"/>
    </row>
    <row r="3295" spans="1:1" x14ac:dyDescent="0.35">
      <c r="A3295" s="138"/>
    </row>
    <row r="3296" spans="1:1" x14ac:dyDescent="0.35">
      <c r="A3296" s="138"/>
    </row>
    <row r="3297" spans="1:1" x14ac:dyDescent="0.35">
      <c r="A3297" s="138"/>
    </row>
    <row r="3298" spans="1:1" x14ac:dyDescent="0.35">
      <c r="A3298" s="138"/>
    </row>
    <row r="3299" spans="1:1" x14ac:dyDescent="0.35">
      <c r="A3299" s="138"/>
    </row>
    <row r="3300" spans="1:1" x14ac:dyDescent="0.35">
      <c r="A3300" s="138"/>
    </row>
    <row r="3301" spans="1:1" x14ac:dyDescent="0.35">
      <c r="A3301" s="138"/>
    </row>
    <row r="3302" spans="1:1" x14ac:dyDescent="0.35">
      <c r="A3302" s="138"/>
    </row>
    <row r="3303" spans="1:1" x14ac:dyDescent="0.35">
      <c r="A3303" s="138"/>
    </row>
    <row r="3304" spans="1:1" x14ac:dyDescent="0.35">
      <c r="A3304" s="138"/>
    </row>
    <row r="3305" spans="1:1" x14ac:dyDescent="0.35">
      <c r="A3305" s="138"/>
    </row>
    <row r="3306" spans="1:1" x14ac:dyDescent="0.35">
      <c r="A3306" s="138"/>
    </row>
    <row r="3307" spans="1:1" x14ac:dyDescent="0.35">
      <c r="A3307" s="138"/>
    </row>
    <row r="3308" spans="1:1" x14ac:dyDescent="0.35">
      <c r="A3308" s="138"/>
    </row>
    <row r="3309" spans="1:1" x14ac:dyDescent="0.35">
      <c r="A3309" s="138"/>
    </row>
    <row r="3310" spans="1:1" x14ac:dyDescent="0.35">
      <c r="A3310" s="138"/>
    </row>
    <row r="3311" spans="1:1" x14ac:dyDescent="0.35">
      <c r="A3311" s="138"/>
    </row>
    <row r="3312" spans="1:1" x14ac:dyDescent="0.35">
      <c r="A3312" s="138"/>
    </row>
    <row r="3313" spans="1:1" x14ac:dyDescent="0.35">
      <c r="A3313" s="138"/>
    </row>
    <row r="3314" spans="1:1" x14ac:dyDescent="0.35">
      <c r="A3314" s="138"/>
    </row>
    <row r="3315" spans="1:1" x14ac:dyDescent="0.35">
      <c r="A3315" s="138"/>
    </row>
    <row r="3316" spans="1:1" x14ac:dyDescent="0.35">
      <c r="A3316" s="138"/>
    </row>
    <row r="3317" spans="1:1" x14ac:dyDescent="0.35">
      <c r="A3317" s="138"/>
    </row>
    <row r="3318" spans="1:1" x14ac:dyDescent="0.35">
      <c r="A3318" s="138"/>
    </row>
    <row r="3319" spans="1:1" x14ac:dyDescent="0.35">
      <c r="A3319" s="138"/>
    </row>
    <row r="3320" spans="1:1" x14ac:dyDescent="0.35">
      <c r="A3320" s="138"/>
    </row>
    <row r="3321" spans="1:1" x14ac:dyDescent="0.35">
      <c r="A3321" s="138"/>
    </row>
    <row r="3322" spans="1:1" x14ac:dyDescent="0.35">
      <c r="A3322" s="138"/>
    </row>
    <row r="3323" spans="1:1" x14ac:dyDescent="0.35">
      <c r="A3323" s="138"/>
    </row>
    <row r="3324" spans="1:1" x14ac:dyDescent="0.35">
      <c r="A3324" s="138"/>
    </row>
    <row r="3325" spans="1:1" x14ac:dyDescent="0.35">
      <c r="A3325" s="138"/>
    </row>
    <row r="3326" spans="1:1" x14ac:dyDescent="0.35">
      <c r="A3326" s="138"/>
    </row>
    <row r="3327" spans="1:1" x14ac:dyDescent="0.35">
      <c r="A3327" s="138"/>
    </row>
    <row r="3328" spans="1:1" x14ac:dyDescent="0.35">
      <c r="A3328" s="138"/>
    </row>
    <row r="3329" spans="1:1" x14ac:dyDescent="0.35">
      <c r="A3329" s="138"/>
    </row>
    <row r="3330" spans="1:1" x14ac:dyDescent="0.35">
      <c r="A3330" s="138"/>
    </row>
    <row r="3331" spans="1:1" x14ac:dyDescent="0.35">
      <c r="A3331" s="138"/>
    </row>
    <row r="3332" spans="1:1" x14ac:dyDescent="0.35">
      <c r="A3332" s="138"/>
    </row>
    <row r="3333" spans="1:1" x14ac:dyDescent="0.35">
      <c r="A3333" s="138"/>
    </row>
    <row r="3334" spans="1:1" x14ac:dyDescent="0.35">
      <c r="A3334" s="138"/>
    </row>
    <row r="3335" spans="1:1" x14ac:dyDescent="0.35">
      <c r="A3335" s="138"/>
    </row>
    <row r="3336" spans="1:1" x14ac:dyDescent="0.35">
      <c r="A3336" s="138"/>
    </row>
    <row r="3337" spans="1:1" x14ac:dyDescent="0.35">
      <c r="A3337" s="138"/>
    </row>
    <row r="3338" spans="1:1" x14ac:dyDescent="0.35">
      <c r="A3338" s="138"/>
    </row>
    <row r="3339" spans="1:1" x14ac:dyDescent="0.35">
      <c r="A3339" s="138"/>
    </row>
    <row r="3340" spans="1:1" x14ac:dyDescent="0.35">
      <c r="A3340" s="138"/>
    </row>
    <row r="3341" spans="1:1" x14ac:dyDescent="0.35">
      <c r="A3341" s="138"/>
    </row>
    <row r="3342" spans="1:1" x14ac:dyDescent="0.35">
      <c r="A3342" s="138"/>
    </row>
    <row r="3343" spans="1:1" x14ac:dyDescent="0.35">
      <c r="A3343" s="138"/>
    </row>
    <row r="3344" spans="1:1" x14ac:dyDescent="0.35">
      <c r="A3344" s="138"/>
    </row>
    <row r="3345" spans="1:1" x14ac:dyDescent="0.35">
      <c r="A3345" s="138"/>
    </row>
    <row r="3346" spans="1:1" x14ac:dyDescent="0.35">
      <c r="A3346" s="138"/>
    </row>
    <row r="3347" spans="1:1" x14ac:dyDescent="0.35">
      <c r="A3347" s="138"/>
    </row>
    <row r="3348" spans="1:1" x14ac:dyDescent="0.35">
      <c r="A3348" s="138"/>
    </row>
    <row r="3349" spans="1:1" x14ac:dyDescent="0.35">
      <c r="A3349" s="138"/>
    </row>
    <row r="3350" spans="1:1" x14ac:dyDescent="0.35">
      <c r="A3350" s="138"/>
    </row>
    <row r="3351" spans="1:1" x14ac:dyDescent="0.35">
      <c r="A3351" s="138"/>
    </row>
    <row r="3352" spans="1:1" x14ac:dyDescent="0.35">
      <c r="A3352" s="138"/>
    </row>
    <row r="3353" spans="1:1" x14ac:dyDescent="0.35">
      <c r="A3353" s="138"/>
    </row>
    <row r="3354" spans="1:1" x14ac:dyDescent="0.35">
      <c r="A3354" s="138"/>
    </row>
    <row r="3355" spans="1:1" x14ac:dyDescent="0.35">
      <c r="A3355" s="138"/>
    </row>
    <row r="3356" spans="1:1" x14ac:dyDescent="0.35">
      <c r="A3356" s="138"/>
    </row>
    <row r="3357" spans="1:1" x14ac:dyDescent="0.35">
      <c r="A3357" s="138"/>
    </row>
    <row r="3358" spans="1:1" x14ac:dyDescent="0.35">
      <c r="A3358" s="138"/>
    </row>
    <row r="3359" spans="1:1" x14ac:dyDescent="0.35">
      <c r="A3359" s="138"/>
    </row>
    <row r="3360" spans="1:1" x14ac:dyDescent="0.35">
      <c r="A3360" s="138"/>
    </row>
    <row r="3361" spans="1:1" x14ac:dyDescent="0.35">
      <c r="A3361" s="138"/>
    </row>
    <row r="3362" spans="1:1" x14ac:dyDescent="0.35">
      <c r="A3362" s="138"/>
    </row>
    <row r="3363" spans="1:1" x14ac:dyDescent="0.35">
      <c r="A3363" s="138"/>
    </row>
    <row r="3364" spans="1:1" x14ac:dyDescent="0.35">
      <c r="A3364" s="138"/>
    </row>
    <row r="3365" spans="1:1" x14ac:dyDescent="0.35">
      <c r="A3365" s="138"/>
    </row>
    <row r="3366" spans="1:1" x14ac:dyDescent="0.35">
      <c r="A3366" s="138"/>
    </row>
    <row r="3367" spans="1:1" x14ac:dyDescent="0.35">
      <c r="A3367" s="138"/>
    </row>
    <row r="3368" spans="1:1" x14ac:dyDescent="0.35">
      <c r="A3368" s="138"/>
    </row>
    <row r="3369" spans="1:1" x14ac:dyDescent="0.35">
      <c r="A3369" s="138"/>
    </row>
    <row r="3370" spans="1:1" x14ac:dyDescent="0.35">
      <c r="A3370" s="138"/>
    </row>
    <row r="3371" spans="1:1" x14ac:dyDescent="0.35">
      <c r="A3371" s="138"/>
    </row>
    <row r="3372" spans="1:1" x14ac:dyDescent="0.35">
      <c r="A3372" s="138"/>
    </row>
    <row r="3373" spans="1:1" x14ac:dyDescent="0.35">
      <c r="A3373" s="138"/>
    </row>
    <row r="3374" spans="1:1" x14ac:dyDescent="0.35">
      <c r="A3374" s="138"/>
    </row>
    <row r="3375" spans="1:1" x14ac:dyDescent="0.35">
      <c r="A3375" s="138"/>
    </row>
    <row r="3376" spans="1:1" x14ac:dyDescent="0.35">
      <c r="A3376" s="138"/>
    </row>
    <row r="3377" spans="1:1" x14ac:dyDescent="0.35">
      <c r="A3377" s="138"/>
    </row>
    <row r="3378" spans="1:1" x14ac:dyDescent="0.35">
      <c r="A3378" s="138"/>
    </row>
    <row r="3379" spans="1:1" x14ac:dyDescent="0.35">
      <c r="A3379" s="138"/>
    </row>
    <row r="3380" spans="1:1" x14ac:dyDescent="0.35">
      <c r="A3380" s="138"/>
    </row>
    <row r="3381" spans="1:1" x14ac:dyDescent="0.35">
      <c r="A3381" s="138"/>
    </row>
    <row r="3382" spans="1:1" x14ac:dyDescent="0.35">
      <c r="A3382" s="138"/>
    </row>
    <row r="3383" spans="1:1" x14ac:dyDescent="0.35">
      <c r="A3383" s="138"/>
    </row>
    <row r="3384" spans="1:1" x14ac:dyDescent="0.35">
      <c r="A3384" s="138"/>
    </row>
    <row r="3385" spans="1:1" x14ac:dyDescent="0.35">
      <c r="A3385" s="138"/>
    </row>
    <row r="3386" spans="1:1" x14ac:dyDescent="0.35">
      <c r="A3386" s="138"/>
    </row>
    <row r="3387" spans="1:1" x14ac:dyDescent="0.35">
      <c r="A3387" s="138"/>
    </row>
    <row r="3388" spans="1:1" x14ac:dyDescent="0.35">
      <c r="A3388" s="138"/>
    </row>
    <row r="3389" spans="1:1" x14ac:dyDescent="0.35">
      <c r="A3389" s="138"/>
    </row>
    <row r="3390" spans="1:1" x14ac:dyDescent="0.35">
      <c r="A3390" s="138"/>
    </row>
    <row r="3391" spans="1:1" x14ac:dyDescent="0.35">
      <c r="A3391" s="138"/>
    </row>
    <row r="3392" spans="1:1" x14ac:dyDescent="0.35">
      <c r="A3392" s="138"/>
    </row>
    <row r="3393" spans="1:1" x14ac:dyDescent="0.35">
      <c r="A3393" s="138"/>
    </row>
    <row r="3394" spans="1:1" x14ac:dyDescent="0.35">
      <c r="A3394" s="138"/>
    </row>
    <row r="3395" spans="1:1" x14ac:dyDescent="0.35">
      <c r="A3395" s="138"/>
    </row>
    <row r="3396" spans="1:1" x14ac:dyDescent="0.35">
      <c r="A3396" s="138"/>
    </row>
    <row r="3397" spans="1:1" x14ac:dyDescent="0.35">
      <c r="A3397" s="138"/>
    </row>
    <row r="3398" spans="1:1" x14ac:dyDescent="0.35">
      <c r="A3398" s="138"/>
    </row>
    <row r="3399" spans="1:1" x14ac:dyDescent="0.35">
      <c r="A3399" s="138"/>
    </row>
    <row r="3400" spans="1:1" x14ac:dyDescent="0.35">
      <c r="A3400" s="138"/>
    </row>
    <row r="3401" spans="1:1" x14ac:dyDescent="0.35">
      <c r="A3401" s="138"/>
    </row>
    <row r="3402" spans="1:1" x14ac:dyDescent="0.35">
      <c r="A3402" s="138"/>
    </row>
    <row r="3403" spans="1:1" x14ac:dyDescent="0.35">
      <c r="A3403" s="138"/>
    </row>
    <row r="3404" spans="1:1" x14ac:dyDescent="0.35">
      <c r="A3404" s="138"/>
    </row>
    <row r="3405" spans="1:1" x14ac:dyDescent="0.35">
      <c r="A3405" s="138"/>
    </row>
    <row r="3406" spans="1:1" x14ac:dyDescent="0.35">
      <c r="A3406" s="138"/>
    </row>
    <row r="3407" spans="1:1" x14ac:dyDescent="0.35">
      <c r="A3407" s="138"/>
    </row>
    <row r="3408" spans="1:1" x14ac:dyDescent="0.35">
      <c r="A3408" s="138"/>
    </row>
    <row r="3409" spans="1:1" x14ac:dyDescent="0.35">
      <c r="A3409" s="138"/>
    </row>
    <row r="3410" spans="1:1" x14ac:dyDescent="0.35">
      <c r="A3410" s="138"/>
    </row>
    <row r="3411" spans="1:1" x14ac:dyDescent="0.35">
      <c r="A3411" s="138"/>
    </row>
    <row r="3412" spans="1:1" x14ac:dyDescent="0.35">
      <c r="A3412" s="138"/>
    </row>
    <row r="3413" spans="1:1" x14ac:dyDescent="0.35">
      <c r="A3413" s="138"/>
    </row>
    <row r="3414" spans="1:1" x14ac:dyDescent="0.35">
      <c r="A3414" s="138"/>
    </row>
    <row r="3415" spans="1:1" x14ac:dyDescent="0.35">
      <c r="A3415" s="138"/>
    </row>
    <row r="3416" spans="1:1" x14ac:dyDescent="0.35">
      <c r="A3416" s="138"/>
    </row>
    <row r="3417" spans="1:1" x14ac:dyDescent="0.35">
      <c r="A3417" s="138"/>
    </row>
    <row r="3418" spans="1:1" x14ac:dyDescent="0.35">
      <c r="A3418" s="138"/>
    </row>
    <row r="3419" spans="1:1" x14ac:dyDescent="0.35">
      <c r="A3419" s="138"/>
    </row>
    <row r="3420" spans="1:1" x14ac:dyDescent="0.35">
      <c r="A3420" s="138"/>
    </row>
    <row r="3421" spans="1:1" x14ac:dyDescent="0.35">
      <c r="A3421" s="138"/>
    </row>
    <row r="3422" spans="1:1" x14ac:dyDescent="0.35">
      <c r="A3422" s="138"/>
    </row>
    <row r="3423" spans="1:1" x14ac:dyDescent="0.35">
      <c r="A3423" s="138"/>
    </row>
    <row r="3424" spans="1:1" x14ac:dyDescent="0.35">
      <c r="A3424" s="138"/>
    </row>
    <row r="3425" spans="1:1" x14ac:dyDescent="0.35">
      <c r="A3425" s="138"/>
    </row>
    <row r="3426" spans="1:1" x14ac:dyDescent="0.35">
      <c r="A3426" s="138"/>
    </row>
    <row r="3427" spans="1:1" x14ac:dyDescent="0.35">
      <c r="A3427" s="138"/>
    </row>
    <row r="3428" spans="1:1" x14ac:dyDescent="0.35">
      <c r="A3428" s="138"/>
    </row>
    <row r="3429" spans="1:1" x14ac:dyDescent="0.35">
      <c r="A3429" s="138"/>
    </row>
    <row r="3430" spans="1:1" x14ac:dyDescent="0.35">
      <c r="A3430" s="138"/>
    </row>
    <row r="3431" spans="1:1" x14ac:dyDescent="0.35">
      <c r="A3431" s="138"/>
    </row>
    <row r="3432" spans="1:1" x14ac:dyDescent="0.35">
      <c r="A3432" s="138"/>
    </row>
    <row r="3433" spans="1:1" x14ac:dyDescent="0.35">
      <c r="A3433" s="138"/>
    </row>
    <row r="3434" spans="1:1" x14ac:dyDescent="0.35">
      <c r="A3434" s="138"/>
    </row>
    <row r="3435" spans="1:1" x14ac:dyDescent="0.35">
      <c r="A3435" s="138"/>
    </row>
    <row r="3436" spans="1:1" x14ac:dyDescent="0.35">
      <c r="A3436" s="138"/>
    </row>
    <row r="3437" spans="1:1" x14ac:dyDescent="0.35">
      <c r="A3437" s="138"/>
    </row>
    <row r="3438" spans="1:1" x14ac:dyDescent="0.35">
      <c r="A3438" s="138"/>
    </row>
    <row r="3439" spans="1:1" x14ac:dyDescent="0.35">
      <c r="A3439" s="138"/>
    </row>
    <row r="3440" spans="1:1" x14ac:dyDescent="0.35">
      <c r="A3440" s="138"/>
    </row>
    <row r="3441" spans="1:1" x14ac:dyDescent="0.35">
      <c r="A3441" s="138"/>
    </row>
    <row r="3442" spans="1:1" x14ac:dyDescent="0.35">
      <c r="A3442" s="138"/>
    </row>
    <row r="3443" spans="1:1" x14ac:dyDescent="0.35">
      <c r="A3443" s="138"/>
    </row>
    <row r="3444" spans="1:1" x14ac:dyDescent="0.35">
      <c r="A3444" s="138"/>
    </row>
    <row r="3445" spans="1:1" x14ac:dyDescent="0.35">
      <c r="A3445" s="138"/>
    </row>
    <row r="3446" spans="1:1" x14ac:dyDescent="0.35">
      <c r="A3446" s="138"/>
    </row>
    <row r="3447" spans="1:1" x14ac:dyDescent="0.35">
      <c r="A3447" s="138"/>
    </row>
    <row r="3448" spans="1:1" x14ac:dyDescent="0.35">
      <c r="A3448" s="138"/>
    </row>
    <row r="3449" spans="1:1" x14ac:dyDescent="0.35">
      <c r="A3449" s="138"/>
    </row>
    <row r="3450" spans="1:1" x14ac:dyDescent="0.35">
      <c r="A3450" s="138"/>
    </row>
    <row r="3451" spans="1:1" x14ac:dyDescent="0.35">
      <c r="A3451" s="138"/>
    </row>
    <row r="3452" spans="1:1" x14ac:dyDescent="0.35">
      <c r="A3452" s="138"/>
    </row>
    <row r="3453" spans="1:1" x14ac:dyDescent="0.35">
      <c r="A3453" s="138"/>
    </row>
    <row r="3454" spans="1:1" x14ac:dyDescent="0.35">
      <c r="A3454" s="138"/>
    </row>
    <row r="3455" spans="1:1" x14ac:dyDescent="0.35">
      <c r="A3455" s="138"/>
    </row>
    <row r="3456" spans="1:1" x14ac:dyDescent="0.35">
      <c r="A3456" s="138"/>
    </row>
    <row r="3457" spans="1:1" x14ac:dyDescent="0.35">
      <c r="A3457" s="138"/>
    </row>
    <row r="3458" spans="1:1" x14ac:dyDescent="0.35">
      <c r="A3458" s="138"/>
    </row>
    <row r="3459" spans="1:1" x14ac:dyDescent="0.35">
      <c r="A3459" s="138"/>
    </row>
    <row r="3460" spans="1:1" x14ac:dyDescent="0.35">
      <c r="A3460" s="138"/>
    </row>
    <row r="3461" spans="1:1" x14ac:dyDescent="0.35">
      <c r="A3461" s="138"/>
    </row>
    <row r="3462" spans="1:1" x14ac:dyDescent="0.35">
      <c r="A3462" s="138"/>
    </row>
    <row r="3463" spans="1:1" x14ac:dyDescent="0.35">
      <c r="A3463" s="138"/>
    </row>
    <row r="3464" spans="1:1" x14ac:dyDescent="0.35">
      <c r="A3464" s="138"/>
    </row>
    <row r="3465" spans="1:1" x14ac:dyDescent="0.35">
      <c r="A3465" s="138"/>
    </row>
    <row r="3466" spans="1:1" x14ac:dyDescent="0.35">
      <c r="A3466" s="138"/>
    </row>
    <row r="3467" spans="1:1" x14ac:dyDescent="0.35">
      <c r="A3467" s="138"/>
    </row>
    <row r="3468" spans="1:1" x14ac:dyDescent="0.35">
      <c r="A3468" s="138"/>
    </row>
    <row r="3469" spans="1:1" x14ac:dyDescent="0.35">
      <c r="A3469" s="138"/>
    </row>
    <row r="3470" spans="1:1" x14ac:dyDescent="0.35">
      <c r="A3470" s="138"/>
    </row>
    <row r="3471" spans="1:1" x14ac:dyDescent="0.35">
      <c r="A3471" s="138"/>
    </row>
    <row r="3472" spans="1:1" x14ac:dyDescent="0.35">
      <c r="A3472" s="138"/>
    </row>
    <row r="3473" spans="1:1" x14ac:dyDescent="0.35">
      <c r="A3473" s="138"/>
    </row>
    <row r="3474" spans="1:1" x14ac:dyDescent="0.35">
      <c r="A3474" s="138"/>
    </row>
    <row r="3475" spans="1:1" x14ac:dyDescent="0.35">
      <c r="A3475" s="138"/>
    </row>
    <row r="3476" spans="1:1" x14ac:dyDescent="0.35">
      <c r="A3476" s="138"/>
    </row>
    <row r="3477" spans="1:1" x14ac:dyDescent="0.35">
      <c r="A3477" s="138"/>
    </row>
    <row r="3478" spans="1:1" x14ac:dyDescent="0.35">
      <c r="A3478" s="138"/>
    </row>
    <row r="3479" spans="1:1" x14ac:dyDescent="0.35">
      <c r="A3479" s="138"/>
    </row>
    <row r="3480" spans="1:1" x14ac:dyDescent="0.35">
      <c r="A3480" s="138"/>
    </row>
    <row r="3481" spans="1:1" x14ac:dyDescent="0.35">
      <c r="A3481" s="138"/>
    </row>
    <row r="3482" spans="1:1" x14ac:dyDescent="0.35">
      <c r="A3482" s="138"/>
    </row>
    <row r="3483" spans="1:1" x14ac:dyDescent="0.35">
      <c r="A3483" s="138"/>
    </row>
    <row r="3484" spans="1:1" x14ac:dyDescent="0.35">
      <c r="A3484" s="138"/>
    </row>
    <row r="3485" spans="1:1" x14ac:dyDescent="0.35">
      <c r="A3485" s="138"/>
    </row>
    <row r="3486" spans="1:1" x14ac:dyDescent="0.35">
      <c r="A3486" s="138"/>
    </row>
    <row r="3487" spans="1:1" x14ac:dyDescent="0.35">
      <c r="A3487" s="138"/>
    </row>
    <row r="3488" spans="1:1" x14ac:dyDescent="0.35">
      <c r="A3488" s="138"/>
    </row>
    <row r="3489" spans="1:1" x14ac:dyDescent="0.35">
      <c r="A3489" s="138"/>
    </row>
    <row r="3490" spans="1:1" x14ac:dyDescent="0.35">
      <c r="A3490" s="138"/>
    </row>
    <row r="3491" spans="1:1" x14ac:dyDescent="0.35">
      <c r="A3491" s="138"/>
    </row>
    <row r="3492" spans="1:1" x14ac:dyDescent="0.35">
      <c r="A3492" s="138"/>
    </row>
    <row r="3493" spans="1:1" x14ac:dyDescent="0.35">
      <c r="A3493" s="138"/>
    </row>
    <row r="3494" spans="1:1" x14ac:dyDescent="0.35">
      <c r="A3494" s="138"/>
    </row>
    <row r="3495" spans="1:1" x14ac:dyDescent="0.35">
      <c r="A3495" s="138"/>
    </row>
    <row r="3496" spans="1:1" x14ac:dyDescent="0.35">
      <c r="A3496" s="138"/>
    </row>
    <row r="3497" spans="1:1" x14ac:dyDescent="0.35">
      <c r="A3497" s="138"/>
    </row>
    <row r="3498" spans="1:1" x14ac:dyDescent="0.35">
      <c r="A3498" s="138"/>
    </row>
    <row r="3499" spans="1:1" x14ac:dyDescent="0.35">
      <c r="A3499" s="138"/>
    </row>
    <row r="3500" spans="1:1" x14ac:dyDescent="0.35">
      <c r="A3500" s="138"/>
    </row>
    <row r="3501" spans="1:1" x14ac:dyDescent="0.35">
      <c r="A3501" s="138"/>
    </row>
    <row r="3502" spans="1:1" x14ac:dyDescent="0.35">
      <c r="A3502" s="138"/>
    </row>
    <row r="3503" spans="1:1" x14ac:dyDescent="0.35">
      <c r="A3503" s="138"/>
    </row>
    <row r="3504" spans="1:1" x14ac:dyDescent="0.35">
      <c r="A3504" s="138"/>
    </row>
    <row r="3505" spans="1:1" x14ac:dyDescent="0.35">
      <c r="A3505" s="138"/>
    </row>
    <row r="3506" spans="1:1" x14ac:dyDescent="0.35">
      <c r="A3506" s="138"/>
    </row>
    <row r="3507" spans="1:1" x14ac:dyDescent="0.35">
      <c r="A3507" s="138"/>
    </row>
    <row r="3508" spans="1:1" x14ac:dyDescent="0.35">
      <c r="A3508" s="138"/>
    </row>
    <row r="3509" spans="1:1" x14ac:dyDescent="0.35">
      <c r="A3509" s="138"/>
    </row>
    <row r="3510" spans="1:1" x14ac:dyDescent="0.35">
      <c r="A3510" s="138"/>
    </row>
    <row r="3511" spans="1:1" x14ac:dyDescent="0.35">
      <c r="A3511" s="138"/>
    </row>
    <row r="3512" spans="1:1" x14ac:dyDescent="0.35">
      <c r="A3512" s="138"/>
    </row>
    <row r="3513" spans="1:1" x14ac:dyDescent="0.35">
      <c r="A3513" s="138"/>
    </row>
    <row r="3514" spans="1:1" x14ac:dyDescent="0.35">
      <c r="A3514" s="138"/>
    </row>
    <row r="3515" spans="1:1" x14ac:dyDescent="0.35">
      <c r="A3515" s="138"/>
    </row>
    <row r="3516" spans="1:1" x14ac:dyDescent="0.35">
      <c r="A3516" s="138"/>
    </row>
    <row r="3517" spans="1:1" x14ac:dyDescent="0.35">
      <c r="A3517" s="138"/>
    </row>
    <row r="3518" spans="1:1" x14ac:dyDescent="0.35">
      <c r="A3518" s="138"/>
    </row>
    <row r="3519" spans="1:1" x14ac:dyDescent="0.35">
      <c r="A3519" s="138"/>
    </row>
    <row r="3520" spans="1:1" x14ac:dyDescent="0.35">
      <c r="A3520" s="138"/>
    </row>
    <row r="3521" spans="1:1" x14ac:dyDescent="0.35">
      <c r="A3521" s="138"/>
    </row>
    <row r="3522" spans="1:1" x14ac:dyDescent="0.35">
      <c r="A3522" s="138"/>
    </row>
    <row r="3523" spans="1:1" x14ac:dyDescent="0.35">
      <c r="A3523" s="138"/>
    </row>
    <row r="3524" spans="1:1" x14ac:dyDescent="0.35">
      <c r="A3524" s="138"/>
    </row>
    <row r="3525" spans="1:1" x14ac:dyDescent="0.35">
      <c r="A3525" s="138"/>
    </row>
    <row r="3526" spans="1:1" x14ac:dyDescent="0.35">
      <c r="A3526" s="138"/>
    </row>
    <row r="3527" spans="1:1" x14ac:dyDescent="0.35">
      <c r="A3527" s="138"/>
    </row>
    <row r="3528" spans="1:1" x14ac:dyDescent="0.35">
      <c r="A3528" s="138"/>
    </row>
    <row r="3529" spans="1:1" x14ac:dyDescent="0.35">
      <c r="A3529" s="138"/>
    </row>
    <row r="3530" spans="1:1" x14ac:dyDescent="0.35">
      <c r="A3530" s="138"/>
    </row>
    <row r="3531" spans="1:1" x14ac:dyDescent="0.35">
      <c r="A3531" s="138"/>
    </row>
    <row r="3532" spans="1:1" x14ac:dyDescent="0.35">
      <c r="A3532" s="138"/>
    </row>
    <row r="3533" spans="1:1" x14ac:dyDescent="0.35">
      <c r="A3533" s="138"/>
    </row>
    <row r="3534" spans="1:1" x14ac:dyDescent="0.35">
      <c r="A3534" s="138"/>
    </row>
    <row r="3535" spans="1:1" x14ac:dyDescent="0.35">
      <c r="A3535" s="138"/>
    </row>
    <row r="3536" spans="1:1" x14ac:dyDescent="0.35">
      <c r="A3536" s="138"/>
    </row>
    <row r="3537" spans="1:1" x14ac:dyDescent="0.35">
      <c r="A3537" s="138"/>
    </row>
    <row r="3538" spans="1:1" x14ac:dyDescent="0.35">
      <c r="A3538" s="138"/>
    </row>
    <row r="3539" spans="1:1" x14ac:dyDescent="0.35">
      <c r="A3539" s="138"/>
    </row>
    <row r="3540" spans="1:1" x14ac:dyDescent="0.35">
      <c r="A3540" s="138"/>
    </row>
    <row r="3541" spans="1:1" x14ac:dyDescent="0.35">
      <c r="A3541" s="138"/>
    </row>
    <row r="3542" spans="1:1" x14ac:dyDescent="0.35">
      <c r="A3542" s="138"/>
    </row>
    <row r="3543" spans="1:1" x14ac:dyDescent="0.35">
      <c r="A3543" s="138"/>
    </row>
    <row r="3544" spans="1:1" x14ac:dyDescent="0.35">
      <c r="A3544" s="138"/>
    </row>
    <row r="3545" spans="1:1" x14ac:dyDescent="0.35">
      <c r="A3545" s="138"/>
    </row>
    <row r="3546" spans="1:1" x14ac:dyDescent="0.35">
      <c r="A3546" s="138"/>
    </row>
    <row r="3547" spans="1:1" x14ac:dyDescent="0.35">
      <c r="A3547" s="138"/>
    </row>
    <row r="3548" spans="1:1" x14ac:dyDescent="0.35">
      <c r="A3548" s="138"/>
    </row>
    <row r="3549" spans="1:1" x14ac:dyDescent="0.35">
      <c r="A3549" s="138"/>
    </row>
    <row r="3550" spans="1:1" x14ac:dyDescent="0.35">
      <c r="A3550" s="138"/>
    </row>
    <row r="3551" spans="1:1" x14ac:dyDescent="0.35">
      <c r="A3551" s="138"/>
    </row>
    <row r="3552" spans="1:1" x14ac:dyDescent="0.35">
      <c r="A3552" s="138"/>
    </row>
    <row r="3553" spans="1:1" x14ac:dyDescent="0.35">
      <c r="A3553" s="138"/>
    </row>
    <row r="3554" spans="1:1" x14ac:dyDescent="0.35">
      <c r="A3554" s="138"/>
    </row>
    <row r="3555" spans="1:1" x14ac:dyDescent="0.35">
      <c r="A3555" s="138"/>
    </row>
    <row r="3556" spans="1:1" x14ac:dyDescent="0.35">
      <c r="A3556" s="138"/>
    </row>
    <row r="3557" spans="1:1" x14ac:dyDescent="0.35">
      <c r="A3557" s="138"/>
    </row>
    <row r="3558" spans="1:1" x14ac:dyDescent="0.35">
      <c r="A3558" s="138"/>
    </row>
    <row r="3559" spans="1:1" x14ac:dyDescent="0.35">
      <c r="A3559" s="138"/>
    </row>
    <row r="3560" spans="1:1" x14ac:dyDescent="0.35">
      <c r="A3560" s="138"/>
    </row>
    <row r="3561" spans="1:1" x14ac:dyDescent="0.35">
      <c r="A3561" s="138"/>
    </row>
    <row r="3562" spans="1:1" x14ac:dyDescent="0.35">
      <c r="A3562" s="138"/>
    </row>
    <row r="3563" spans="1:1" x14ac:dyDescent="0.35">
      <c r="A3563" s="138"/>
    </row>
    <row r="3564" spans="1:1" x14ac:dyDescent="0.35">
      <c r="A3564" s="138"/>
    </row>
    <row r="3565" spans="1:1" x14ac:dyDescent="0.35">
      <c r="A3565" s="138"/>
    </row>
    <row r="3566" spans="1:1" x14ac:dyDescent="0.35">
      <c r="A3566" s="138"/>
    </row>
    <row r="3567" spans="1:1" x14ac:dyDescent="0.35">
      <c r="A3567" s="138"/>
    </row>
    <row r="3568" spans="1:1" x14ac:dyDescent="0.35">
      <c r="A3568" s="138"/>
    </row>
    <row r="3569" spans="1:1" x14ac:dyDescent="0.35">
      <c r="A3569" s="138"/>
    </row>
    <row r="3570" spans="1:1" x14ac:dyDescent="0.35">
      <c r="A3570" s="138"/>
    </row>
    <row r="3571" spans="1:1" x14ac:dyDescent="0.35">
      <c r="A3571" s="138"/>
    </row>
    <row r="3572" spans="1:1" x14ac:dyDescent="0.35">
      <c r="A3572" s="138"/>
    </row>
    <row r="3573" spans="1:1" x14ac:dyDescent="0.35">
      <c r="A3573" s="138"/>
    </row>
    <row r="3574" spans="1:1" x14ac:dyDescent="0.35">
      <c r="A3574" s="138"/>
    </row>
    <row r="3575" spans="1:1" x14ac:dyDescent="0.35">
      <c r="A3575" s="138"/>
    </row>
    <row r="3576" spans="1:1" x14ac:dyDescent="0.35">
      <c r="A3576" s="138"/>
    </row>
    <row r="3577" spans="1:1" x14ac:dyDescent="0.35">
      <c r="A3577" s="138"/>
    </row>
    <row r="3578" spans="1:1" x14ac:dyDescent="0.35">
      <c r="A3578" s="138"/>
    </row>
    <row r="3579" spans="1:1" x14ac:dyDescent="0.35">
      <c r="A3579" s="138"/>
    </row>
    <row r="3580" spans="1:1" x14ac:dyDescent="0.35">
      <c r="A3580" s="138"/>
    </row>
    <row r="3581" spans="1:1" x14ac:dyDescent="0.35">
      <c r="A3581" s="138"/>
    </row>
    <row r="3582" spans="1:1" x14ac:dyDescent="0.35">
      <c r="A3582" s="138"/>
    </row>
    <row r="3583" spans="1:1" x14ac:dyDescent="0.35">
      <c r="A3583" s="138"/>
    </row>
    <row r="3584" spans="1:1" x14ac:dyDescent="0.35">
      <c r="A3584" s="138"/>
    </row>
    <row r="3585" spans="1:1" x14ac:dyDescent="0.35">
      <c r="A3585" s="138"/>
    </row>
    <row r="3586" spans="1:1" x14ac:dyDescent="0.35">
      <c r="A3586" s="138"/>
    </row>
    <row r="3587" spans="1:1" x14ac:dyDescent="0.35">
      <c r="A3587" s="138"/>
    </row>
    <row r="3588" spans="1:1" x14ac:dyDescent="0.35">
      <c r="A3588" s="138"/>
    </row>
    <row r="3589" spans="1:1" x14ac:dyDescent="0.35">
      <c r="A3589" s="138"/>
    </row>
    <row r="3590" spans="1:1" x14ac:dyDescent="0.35">
      <c r="A3590" s="138"/>
    </row>
    <row r="3591" spans="1:1" x14ac:dyDescent="0.35">
      <c r="A3591" s="138"/>
    </row>
    <row r="3592" spans="1:1" x14ac:dyDescent="0.35">
      <c r="A3592" s="138"/>
    </row>
    <row r="3593" spans="1:1" x14ac:dyDescent="0.35">
      <c r="A3593" s="138"/>
    </row>
    <row r="3594" spans="1:1" x14ac:dyDescent="0.35">
      <c r="A3594" s="138"/>
    </row>
    <row r="3595" spans="1:1" x14ac:dyDescent="0.35">
      <c r="A3595" s="138"/>
    </row>
    <row r="3596" spans="1:1" x14ac:dyDescent="0.35">
      <c r="A3596" s="138"/>
    </row>
    <row r="3597" spans="1:1" x14ac:dyDescent="0.35">
      <c r="A3597" s="138"/>
    </row>
    <row r="3598" spans="1:1" x14ac:dyDescent="0.35">
      <c r="A3598" s="138"/>
    </row>
    <row r="3599" spans="1:1" x14ac:dyDescent="0.35">
      <c r="A3599" s="138"/>
    </row>
    <row r="3600" spans="1:1" x14ac:dyDescent="0.35">
      <c r="A3600" s="138"/>
    </row>
    <row r="3601" spans="1:1" x14ac:dyDescent="0.35">
      <c r="A3601" s="138"/>
    </row>
    <row r="3602" spans="1:1" x14ac:dyDescent="0.35">
      <c r="A3602" s="138"/>
    </row>
    <row r="3603" spans="1:1" x14ac:dyDescent="0.35">
      <c r="A3603" s="138"/>
    </row>
    <row r="3604" spans="1:1" x14ac:dyDescent="0.35">
      <c r="A3604" s="138"/>
    </row>
    <row r="3605" spans="1:1" x14ac:dyDescent="0.35">
      <c r="A3605" s="138"/>
    </row>
    <row r="3606" spans="1:1" x14ac:dyDescent="0.35">
      <c r="A3606" s="138"/>
    </row>
    <row r="3607" spans="1:1" x14ac:dyDescent="0.35">
      <c r="A3607" s="138"/>
    </row>
    <row r="3608" spans="1:1" x14ac:dyDescent="0.35">
      <c r="A3608" s="138"/>
    </row>
    <row r="3609" spans="1:1" x14ac:dyDescent="0.35">
      <c r="A3609" s="138"/>
    </row>
    <row r="3610" spans="1:1" x14ac:dyDescent="0.35">
      <c r="A3610" s="138"/>
    </row>
    <row r="3611" spans="1:1" x14ac:dyDescent="0.35">
      <c r="A3611" s="138"/>
    </row>
    <row r="3612" spans="1:1" x14ac:dyDescent="0.35">
      <c r="A3612" s="138"/>
    </row>
    <row r="3613" spans="1:1" x14ac:dyDescent="0.35">
      <c r="A3613" s="138"/>
    </row>
    <row r="3614" spans="1:1" x14ac:dyDescent="0.35">
      <c r="A3614" s="138"/>
    </row>
    <row r="3615" spans="1:1" x14ac:dyDescent="0.35">
      <c r="A3615" s="138"/>
    </row>
    <row r="3616" spans="1:1" x14ac:dyDescent="0.35">
      <c r="A3616" s="138"/>
    </row>
    <row r="3617" spans="1:1" x14ac:dyDescent="0.35">
      <c r="A3617" s="138"/>
    </row>
    <row r="3618" spans="1:1" x14ac:dyDescent="0.35">
      <c r="A3618" s="138"/>
    </row>
    <row r="3619" spans="1:1" x14ac:dyDescent="0.35">
      <c r="A3619" s="138"/>
    </row>
    <row r="3620" spans="1:1" x14ac:dyDescent="0.35">
      <c r="A3620" s="138"/>
    </row>
    <row r="3621" spans="1:1" x14ac:dyDescent="0.35">
      <c r="A3621" s="138"/>
    </row>
    <row r="3622" spans="1:1" x14ac:dyDescent="0.35">
      <c r="A3622" s="138"/>
    </row>
    <row r="3623" spans="1:1" x14ac:dyDescent="0.35">
      <c r="A3623" s="138"/>
    </row>
    <row r="3624" spans="1:1" x14ac:dyDescent="0.35">
      <c r="A3624" s="138"/>
    </row>
    <row r="3625" spans="1:1" x14ac:dyDescent="0.35">
      <c r="A3625" s="138"/>
    </row>
    <row r="3626" spans="1:1" x14ac:dyDescent="0.35">
      <c r="A3626" s="138"/>
    </row>
    <row r="3627" spans="1:1" x14ac:dyDescent="0.35">
      <c r="A3627" s="138"/>
    </row>
    <row r="3628" spans="1:1" x14ac:dyDescent="0.35">
      <c r="A3628" s="138"/>
    </row>
    <row r="3629" spans="1:1" x14ac:dyDescent="0.35">
      <c r="A3629" s="138"/>
    </row>
    <row r="3630" spans="1:1" x14ac:dyDescent="0.35">
      <c r="A3630" s="138"/>
    </row>
    <row r="3631" spans="1:1" x14ac:dyDescent="0.35">
      <c r="A3631" s="138"/>
    </row>
    <row r="3632" spans="1:1" x14ac:dyDescent="0.35">
      <c r="A3632" s="138"/>
    </row>
    <row r="3633" spans="1:1" x14ac:dyDescent="0.35">
      <c r="A3633" s="138"/>
    </row>
    <row r="3634" spans="1:1" x14ac:dyDescent="0.35">
      <c r="A3634" s="138"/>
    </row>
    <row r="3635" spans="1:1" x14ac:dyDescent="0.35">
      <c r="A3635" s="138"/>
    </row>
    <row r="3636" spans="1:1" x14ac:dyDescent="0.35">
      <c r="A3636" s="138"/>
    </row>
    <row r="3637" spans="1:1" x14ac:dyDescent="0.35">
      <c r="A3637" s="138"/>
    </row>
    <row r="3638" spans="1:1" x14ac:dyDescent="0.35">
      <c r="A3638" s="138"/>
    </row>
    <row r="3639" spans="1:1" x14ac:dyDescent="0.35">
      <c r="A3639" s="138"/>
    </row>
    <row r="3640" spans="1:1" x14ac:dyDescent="0.35">
      <c r="A3640" s="138"/>
    </row>
    <row r="3641" spans="1:1" x14ac:dyDescent="0.35">
      <c r="A3641" s="138"/>
    </row>
    <row r="3642" spans="1:1" x14ac:dyDescent="0.35">
      <c r="A3642" s="138"/>
    </row>
    <row r="3643" spans="1:1" x14ac:dyDescent="0.35">
      <c r="A3643" s="138"/>
    </row>
    <row r="3644" spans="1:1" x14ac:dyDescent="0.35">
      <c r="A3644" s="138"/>
    </row>
    <row r="3645" spans="1:1" x14ac:dyDescent="0.35">
      <c r="A3645" s="138"/>
    </row>
    <row r="3646" spans="1:1" x14ac:dyDescent="0.35">
      <c r="A3646" s="138"/>
    </row>
    <row r="3647" spans="1:1" x14ac:dyDescent="0.35">
      <c r="A3647" s="138"/>
    </row>
    <row r="3648" spans="1:1" x14ac:dyDescent="0.35">
      <c r="A3648" s="138"/>
    </row>
    <row r="3649" spans="1:1" x14ac:dyDescent="0.35">
      <c r="A3649" s="138"/>
    </row>
    <row r="3650" spans="1:1" x14ac:dyDescent="0.35">
      <c r="A3650" s="138"/>
    </row>
    <row r="3651" spans="1:1" x14ac:dyDescent="0.35">
      <c r="A3651" s="138"/>
    </row>
    <row r="3652" spans="1:1" x14ac:dyDescent="0.35">
      <c r="A3652" s="138"/>
    </row>
    <row r="3653" spans="1:1" x14ac:dyDescent="0.35">
      <c r="A3653" s="138"/>
    </row>
    <row r="3654" spans="1:1" x14ac:dyDescent="0.35">
      <c r="A3654" s="138"/>
    </row>
    <row r="3655" spans="1:1" x14ac:dyDescent="0.35">
      <c r="A3655" s="138"/>
    </row>
    <row r="3656" spans="1:1" x14ac:dyDescent="0.35">
      <c r="A3656" s="138"/>
    </row>
    <row r="3657" spans="1:1" x14ac:dyDescent="0.35">
      <c r="A3657" s="138"/>
    </row>
    <row r="3658" spans="1:1" x14ac:dyDescent="0.35">
      <c r="A3658" s="138"/>
    </row>
    <row r="3659" spans="1:1" x14ac:dyDescent="0.35">
      <c r="A3659" s="138"/>
    </row>
    <row r="3660" spans="1:1" x14ac:dyDescent="0.35">
      <c r="A3660" s="138"/>
    </row>
    <row r="3661" spans="1:1" x14ac:dyDescent="0.35">
      <c r="A3661" s="138"/>
    </row>
    <row r="3662" spans="1:1" x14ac:dyDescent="0.35">
      <c r="A3662" s="138"/>
    </row>
    <row r="3663" spans="1:1" x14ac:dyDescent="0.35">
      <c r="A3663" s="138"/>
    </row>
    <row r="3664" spans="1:1" x14ac:dyDescent="0.35">
      <c r="A3664" s="138"/>
    </row>
    <row r="3665" spans="1:1" x14ac:dyDescent="0.35">
      <c r="A3665" s="138"/>
    </row>
    <row r="3666" spans="1:1" x14ac:dyDescent="0.35">
      <c r="A3666" s="138"/>
    </row>
    <row r="3667" spans="1:1" x14ac:dyDescent="0.35">
      <c r="A3667" s="138"/>
    </row>
    <row r="3668" spans="1:1" x14ac:dyDescent="0.35">
      <c r="A3668" s="138"/>
    </row>
    <row r="3669" spans="1:1" x14ac:dyDescent="0.35">
      <c r="A3669" s="138"/>
    </row>
    <row r="3670" spans="1:1" x14ac:dyDescent="0.35">
      <c r="A3670" s="138"/>
    </row>
    <row r="3671" spans="1:1" x14ac:dyDescent="0.35">
      <c r="A3671" s="138"/>
    </row>
    <row r="3672" spans="1:1" x14ac:dyDescent="0.35">
      <c r="A3672" s="138"/>
    </row>
    <row r="3673" spans="1:1" x14ac:dyDescent="0.35">
      <c r="A3673" s="138"/>
    </row>
    <row r="3674" spans="1:1" x14ac:dyDescent="0.35">
      <c r="A3674" s="138"/>
    </row>
    <row r="3675" spans="1:1" x14ac:dyDescent="0.35">
      <c r="A3675" s="138"/>
    </row>
    <row r="3676" spans="1:1" x14ac:dyDescent="0.35">
      <c r="A3676" s="138"/>
    </row>
    <row r="3677" spans="1:1" x14ac:dyDescent="0.35">
      <c r="A3677" s="138"/>
    </row>
    <row r="3678" spans="1:1" x14ac:dyDescent="0.35">
      <c r="A3678" s="138"/>
    </row>
    <row r="3679" spans="1:1" x14ac:dyDescent="0.35">
      <c r="A3679" s="138"/>
    </row>
    <row r="3680" spans="1:1" x14ac:dyDescent="0.35">
      <c r="A3680" s="138"/>
    </row>
    <row r="3681" spans="1:1" x14ac:dyDescent="0.35">
      <c r="A3681" s="138"/>
    </row>
    <row r="3682" spans="1:1" x14ac:dyDescent="0.35">
      <c r="A3682" s="138"/>
    </row>
    <row r="3683" spans="1:1" x14ac:dyDescent="0.35">
      <c r="A3683" s="138"/>
    </row>
    <row r="3684" spans="1:1" x14ac:dyDescent="0.35">
      <c r="A3684" s="138"/>
    </row>
    <row r="3685" spans="1:1" x14ac:dyDescent="0.35">
      <c r="A3685" s="138"/>
    </row>
    <row r="3686" spans="1:1" x14ac:dyDescent="0.35">
      <c r="A3686" s="138"/>
    </row>
    <row r="3687" spans="1:1" x14ac:dyDescent="0.35">
      <c r="A3687" s="138"/>
    </row>
    <row r="3688" spans="1:1" x14ac:dyDescent="0.35">
      <c r="A3688" s="138"/>
    </row>
    <row r="3689" spans="1:1" x14ac:dyDescent="0.35">
      <c r="A3689" s="138"/>
    </row>
    <row r="3690" spans="1:1" x14ac:dyDescent="0.35">
      <c r="A3690" s="138"/>
    </row>
    <row r="3691" spans="1:1" x14ac:dyDescent="0.35">
      <c r="A3691" s="138"/>
    </row>
    <row r="3692" spans="1:1" x14ac:dyDescent="0.35">
      <c r="A3692" s="138"/>
    </row>
    <row r="3693" spans="1:1" x14ac:dyDescent="0.35">
      <c r="A3693" s="138"/>
    </row>
    <row r="3694" spans="1:1" x14ac:dyDescent="0.35">
      <c r="A3694" s="138"/>
    </row>
    <row r="3695" spans="1:1" x14ac:dyDescent="0.35">
      <c r="A3695" s="138"/>
    </row>
    <row r="3696" spans="1:1" x14ac:dyDescent="0.35">
      <c r="A3696" s="138"/>
    </row>
    <row r="3697" spans="1:1" x14ac:dyDescent="0.35">
      <c r="A3697" s="138"/>
    </row>
    <row r="3698" spans="1:1" x14ac:dyDescent="0.35">
      <c r="A3698" s="138"/>
    </row>
    <row r="3699" spans="1:1" x14ac:dyDescent="0.35">
      <c r="A3699" s="138"/>
    </row>
    <row r="3700" spans="1:1" x14ac:dyDescent="0.35">
      <c r="A3700" s="138"/>
    </row>
    <row r="3701" spans="1:1" x14ac:dyDescent="0.35">
      <c r="A3701" s="138"/>
    </row>
    <row r="3702" spans="1:1" x14ac:dyDescent="0.35">
      <c r="A3702" s="138"/>
    </row>
    <row r="3703" spans="1:1" x14ac:dyDescent="0.35">
      <c r="A3703" s="138"/>
    </row>
    <row r="3704" spans="1:1" x14ac:dyDescent="0.35">
      <c r="A3704" s="138"/>
    </row>
    <row r="3705" spans="1:1" x14ac:dyDescent="0.35">
      <c r="A3705" s="138"/>
    </row>
    <row r="3706" spans="1:1" x14ac:dyDescent="0.35">
      <c r="A3706" s="138"/>
    </row>
    <row r="3707" spans="1:1" x14ac:dyDescent="0.35">
      <c r="A3707" s="138"/>
    </row>
    <row r="3708" spans="1:1" x14ac:dyDescent="0.35">
      <c r="A3708" s="138"/>
    </row>
    <row r="3709" spans="1:1" x14ac:dyDescent="0.35">
      <c r="A3709" s="138"/>
    </row>
    <row r="3710" spans="1:1" x14ac:dyDescent="0.35">
      <c r="A3710" s="138"/>
    </row>
    <row r="3711" spans="1:1" x14ac:dyDescent="0.35">
      <c r="A3711" s="138"/>
    </row>
    <row r="3712" spans="1:1" x14ac:dyDescent="0.35">
      <c r="A3712" s="138"/>
    </row>
    <row r="3713" spans="1:1" x14ac:dyDescent="0.35">
      <c r="A3713" s="138"/>
    </row>
    <row r="3714" spans="1:1" x14ac:dyDescent="0.35">
      <c r="A3714" s="138"/>
    </row>
    <row r="3715" spans="1:1" x14ac:dyDescent="0.35">
      <c r="A3715" s="138"/>
    </row>
    <row r="3716" spans="1:1" x14ac:dyDescent="0.35">
      <c r="A3716" s="138"/>
    </row>
    <row r="3717" spans="1:1" x14ac:dyDescent="0.35">
      <c r="A3717" s="138"/>
    </row>
    <row r="3718" spans="1:1" x14ac:dyDescent="0.35">
      <c r="A3718" s="138"/>
    </row>
    <row r="3719" spans="1:1" x14ac:dyDescent="0.35">
      <c r="A3719" s="138"/>
    </row>
    <row r="3720" spans="1:1" x14ac:dyDescent="0.35">
      <c r="A3720" s="138"/>
    </row>
    <row r="3721" spans="1:1" x14ac:dyDescent="0.35">
      <c r="A3721" s="138"/>
    </row>
    <row r="3722" spans="1:1" x14ac:dyDescent="0.35">
      <c r="A3722" s="138"/>
    </row>
    <row r="3723" spans="1:1" x14ac:dyDescent="0.35">
      <c r="A3723" s="138"/>
    </row>
    <row r="3724" spans="1:1" x14ac:dyDescent="0.35">
      <c r="A3724" s="138"/>
    </row>
    <row r="3725" spans="1:1" x14ac:dyDescent="0.35">
      <c r="A3725" s="138"/>
    </row>
    <row r="3726" spans="1:1" x14ac:dyDescent="0.35">
      <c r="A3726" s="138"/>
    </row>
    <row r="3727" spans="1:1" x14ac:dyDescent="0.35">
      <c r="A3727" s="138"/>
    </row>
    <row r="3728" spans="1:1" x14ac:dyDescent="0.35">
      <c r="A3728" s="138"/>
    </row>
    <row r="3729" spans="1:1" x14ac:dyDescent="0.35">
      <c r="A3729" s="138"/>
    </row>
    <row r="3730" spans="1:1" x14ac:dyDescent="0.35">
      <c r="A3730" s="138"/>
    </row>
    <row r="3731" spans="1:1" x14ac:dyDescent="0.35">
      <c r="A3731" s="138"/>
    </row>
    <row r="3732" spans="1:1" x14ac:dyDescent="0.35">
      <c r="A3732" s="138"/>
    </row>
    <row r="3733" spans="1:1" x14ac:dyDescent="0.35">
      <c r="A3733" s="138"/>
    </row>
    <row r="3734" spans="1:1" x14ac:dyDescent="0.35">
      <c r="A3734" s="138"/>
    </row>
    <row r="3735" spans="1:1" x14ac:dyDescent="0.35">
      <c r="A3735" s="138"/>
    </row>
    <row r="3736" spans="1:1" x14ac:dyDescent="0.35">
      <c r="A3736" s="138"/>
    </row>
    <row r="3737" spans="1:1" x14ac:dyDescent="0.35">
      <c r="A3737" s="138"/>
    </row>
    <row r="3738" spans="1:1" x14ac:dyDescent="0.35">
      <c r="A3738" s="138"/>
    </row>
    <row r="3739" spans="1:1" x14ac:dyDescent="0.35">
      <c r="A3739" s="138"/>
    </row>
    <row r="3740" spans="1:1" x14ac:dyDescent="0.35">
      <c r="A3740" s="138"/>
    </row>
    <row r="3741" spans="1:1" x14ac:dyDescent="0.35">
      <c r="A3741" s="138"/>
    </row>
    <row r="3742" spans="1:1" x14ac:dyDescent="0.35">
      <c r="A3742" s="138"/>
    </row>
    <row r="3743" spans="1:1" x14ac:dyDescent="0.35">
      <c r="A3743" s="138"/>
    </row>
    <row r="3744" spans="1:1" x14ac:dyDescent="0.35">
      <c r="A3744" s="138"/>
    </row>
    <row r="3745" spans="1:1" x14ac:dyDescent="0.35">
      <c r="A3745" s="138"/>
    </row>
    <row r="3746" spans="1:1" x14ac:dyDescent="0.35">
      <c r="A3746" s="138"/>
    </row>
    <row r="3747" spans="1:1" x14ac:dyDescent="0.35">
      <c r="A3747" s="138"/>
    </row>
    <row r="3748" spans="1:1" x14ac:dyDescent="0.35">
      <c r="A3748" s="138"/>
    </row>
    <row r="3749" spans="1:1" x14ac:dyDescent="0.35">
      <c r="A3749" s="138"/>
    </row>
    <row r="3750" spans="1:1" x14ac:dyDescent="0.35">
      <c r="A3750" s="138"/>
    </row>
    <row r="3751" spans="1:1" x14ac:dyDescent="0.35">
      <c r="A3751" s="138"/>
    </row>
    <row r="3752" spans="1:1" x14ac:dyDescent="0.35">
      <c r="A3752" s="138"/>
    </row>
    <row r="3753" spans="1:1" x14ac:dyDescent="0.35">
      <c r="A3753" s="138"/>
    </row>
    <row r="3754" spans="1:1" x14ac:dyDescent="0.35">
      <c r="A3754" s="138"/>
    </row>
    <row r="3755" spans="1:1" x14ac:dyDescent="0.35">
      <c r="A3755" s="138"/>
    </row>
    <row r="3756" spans="1:1" x14ac:dyDescent="0.35">
      <c r="A3756" s="138"/>
    </row>
    <row r="3757" spans="1:1" x14ac:dyDescent="0.35">
      <c r="A3757" s="138"/>
    </row>
    <row r="3758" spans="1:1" x14ac:dyDescent="0.35">
      <c r="A3758" s="138"/>
    </row>
    <row r="3759" spans="1:1" x14ac:dyDescent="0.35">
      <c r="A3759" s="138"/>
    </row>
    <row r="3760" spans="1:1" x14ac:dyDescent="0.35">
      <c r="A3760" s="138"/>
    </row>
    <row r="3761" spans="1:1" x14ac:dyDescent="0.35">
      <c r="A3761" s="138"/>
    </row>
    <row r="3762" spans="1:1" x14ac:dyDescent="0.35">
      <c r="A3762" s="138"/>
    </row>
    <row r="3763" spans="1:1" x14ac:dyDescent="0.35">
      <c r="A3763" s="138"/>
    </row>
    <row r="3764" spans="1:1" x14ac:dyDescent="0.35">
      <c r="A3764" s="138"/>
    </row>
    <row r="3765" spans="1:1" x14ac:dyDescent="0.35">
      <c r="A3765" s="138"/>
    </row>
    <row r="3766" spans="1:1" x14ac:dyDescent="0.35">
      <c r="A3766" s="138"/>
    </row>
    <row r="3767" spans="1:1" x14ac:dyDescent="0.35">
      <c r="A3767" s="138"/>
    </row>
    <row r="3768" spans="1:1" x14ac:dyDescent="0.35">
      <c r="A3768" s="138"/>
    </row>
    <row r="3769" spans="1:1" x14ac:dyDescent="0.35">
      <c r="A3769" s="138"/>
    </row>
    <row r="3770" spans="1:1" x14ac:dyDescent="0.35">
      <c r="A3770" s="138"/>
    </row>
    <row r="3771" spans="1:1" x14ac:dyDescent="0.35">
      <c r="A3771" s="138"/>
    </row>
    <row r="3772" spans="1:1" x14ac:dyDescent="0.35">
      <c r="A3772" s="138"/>
    </row>
    <row r="3773" spans="1:1" x14ac:dyDescent="0.35">
      <c r="A3773" s="138"/>
    </row>
    <row r="3774" spans="1:1" x14ac:dyDescent="0.35">
      <c r="A3774" s="138"/>
    </row>
    <row r="3775" spans="1:1" x14ac:dyDescent="0.35">
      <c r="A3775" s="138"/>
    </row>
    <row r="3776" spans="1:1" x14ac:dyDescent="0.35">
      <c r="A3776" s="138"/>
    </row>
    <row r="3777" spans="1:1" x14ac:dyDescent="0.35">
      <c r="A3777" s="138"/>
    </row>
    <row r="3778" spans="1:1" x14ac:dyDescent="0.35">
      <c r="A3778" s="138"/>
    </row>
    <row r="3779" spans="1:1" x14ac:dyDescent="0.35">
      <c r="A3779" s="138"/>
    </row>
    <row r="3780" spans="1:1" x14ac:dyDescent="0.35">
      <c r="A3780" s="138"/>
    </row>
    <row r="3781" spans="1:1" x14ac:dyDescent="0.35">
      <c r="A3781" s="138"/>
    </row>
    <row r="3782" spans="1:1" x14ac:dyDescent="0.35">
      <c r="A3782" s="138"/>
    </row>
    <row r="3783" spans="1:1" x14ac:dyDescent="0.35">
      <c r="A3783" s="138"/>
    </row>
    <row r="3784" spans="1:1" x14ac:dyDescent="0.35">
      <c r="A3784" s="138"/>
    </row>
    <row r="3785" spans="1:1" x14ac:dyDescent="0.35">
      <c r="A3785" s="138"/>
    </row>
    <row r="3786" spans="1:1" x14ac:dyDescent="0.35">
      <c r="A3786" s="138"/>
    </row>
    <row r="3787" spans="1:1" x14ac:dyDescent="0.35">
      <c r="A3787" s="138"/>
    </row>
    <row r="3788" spans="1:1" x14ac:dyDescent="0.35">
      <c r="A3788" s="138"/>
    </row>
    <row r="3789" spans="1:1" x14ac:dyDescent="0.35">
      <c r="A3789" s="138"/>
    </row>
    <row r="3790" spans="1:1" x14ac:dyDescent="0.35">
      <c r="A3790" s="138"/>
    </row>
    <row r="3791" spans="1:1" x14ac:dyDescent="0.35">
      <c r="A3791" s="138"/>
    </row>
    <row r="3792" spans="1:1" x14ac:dyDescent="0.35">
      <c r="A3792" s="138"/>
    </row>
    <row r="3793" spans="1:1" x14ac:dyDescent="0.35">
      <c r="A3793" s="138"/>
    </row>
    <row r="3794" spans="1:1" x14ac:dyDescent="0.35">
      <c r="A3794" s="138"/>
    </row>
    <row r="3795" spans="1:1" x14ac:dyDescent="0.35">
      <c r="A3795" s="138"/>
    </row>
    <row r="3796" spans="1:1" x14ac:dyDescent="0.35">
      <c r="A3796" s="138"/>
    </row>
    <row r="3797" spans="1:1" x14ac:dyDescent="0.35">
      <c r="A3797" s="138"/>
    </row>
    <row r="3798" spans="1:1" x14ac:dyDescent="0.35">
      <c r="A3798" s="138"/>
    </row>
    <row r="3799" spans="1:1" x14ac:dyDescent="0.35">
      <c r="A3799" s="138"/>
    </row>
    <row r="3800" spans="1:1" x14ac:dyDescent="0.35">
      <c r="A3800" s="138"/>
    </row>
    <row r="3801" spans="1:1" x14ac:dyDescent="0.35">
      <c r="A3801" s="138"/>
    </row>
    <row r="3802" spans="1:1" x14ac:dyDescent="0.35">
      <c r="A3802" s="138"/>
    </row>
    <row r="3803" spans="1:1" x14ac:dyDescent="0.35">
      <c r="A3803" s="138"/>
    </row>
    <row r="3804" spans="1:1" x14ac:dyDescent="0.35">
      <c r="A3804" s="138"/>
    </row>
    <row r="3805" spans="1:1" x14ac:dyDescent="0.35">
      <c r="A3805" s="138"/>
    </row>
    <row r="3806" spans="1:1" x14ac:dyDescent="0.35">
      <c r="A3806" s="138"/>
    </row>
    <row r="3807" spans="1:1" x14ac:dyDescent="0.35">
      <c r="A3807" s="138"/>
    </row>
    <row r="3808" spans="1:1" x14ac:dyDescent="0.35">
      <c r="A3808" s="138"/>
    </row>
    <row r="3809" spans="1:1" x14ac:dyDescent="0.35">
      <c r="A3809" s="138"/>
    </row>
    <row r="3810" spans="1:1" x14ac:dyDescent="0.35">
      <c r="A3810" s="138"/>
    </row>
    <row r="3811" spans="1:1" x14ac:dyDescent="0.35">
      <c r="A3811" s="138"/>
    </row>
    <row r="3812" spans="1:1" x14ac:dyDescent="0.35">
      <c r="A3812" s="138"/>
    </row>
    <row r="3813" spans="1:1" x14ac:dyDescent="0.35">
      <c r="A3813" s="138"/>
    </row>
    <row r="3814" spans="1:1" x14ac:dyDescent="0.35">
      <c r="A3814" s="138"/>
    </row>
    <row r="3815" spans="1:1" x14ac:dyDescent="0.35">
      <c r="A3815" s="138"/>
    </row>
    <row r="3816" spans="1:1" x14ac:dyDescent="0.35">
      <c r="A3816" s="138"/>
    </row>
    <row r="3817" spans="1:1" x14ac:dyDescent="0.35">
      <c r="A3817" s="138"/>
    </row>
    <row r="3818" spans="1:1" x14ac:dyDescent="0.35">
      <c r="A3818" s="138"/>
    </row>
    <row r="3819" spans="1:1" x14ac:dyDescent="0.35">
      <c r="A3819" s="138"/>
    </row>
    <row r="3820" spans="1:1" x14ac:dyDescent="0.35">
      <c r="A3820" s="138"/>
    </row>
    <row r="3821" spans="1:1" x14ac:dyDescent="0.35">
      <c r="A3821" s="138"/>
    </row>
    <row r="3822" spans="1:1" x14ac:dyDescent="0.35">
      <c r="A3822" s="138"/>
    </row>
    <row r="3823" spans="1:1" x14ac:dyDescent="0.35">
      <c r="A3823" s="138"/>
    </row>
    <row r="3824" spans="1:1" x14ac:dyDescent="0.35">
      <c r="A3824" s="138"/>
    </row>
    <row r="3825" spans="1:1" x14ac:dyDescent="0.35">
      <c r="A3825" s="138"/>
    </row>
    <row r="3826" spans="1:1" x14ac:dyDescent="0.35">
      <c r="A3826" s="138"/>
    </row>
    <row r="3827" spans="1:1" x14ac:dyDescent="0.35">
      <c r="A3827" s="138"/>
    </row>
    <row r="3828" spans="1:1" x14ac:dyDescent="0.35">
      <c r="A3828" s="138"/>
    </row>
    <row r="3829" spans="1:1" x14ac:dyDescent="0.35">
      <c r="A3829" s="138"/>
    </row>
    <row r="3830" spans="1:1" x14ac:dyDescent="0.35">
      <c r="A3830" s="138"/>
    </row>
    <row r="3831" spans="1:1" x14ac:dyDescent="0.35">
      <c r="A3831" s="138"/>
    </row>
    <row r="3832" spans="1:1" x14ac:dyDescent="0.35">
      <c r="A3832" s="138"/>
    </row>
    <row r="3833" spans="1:1" x14ac:dyDescent="0.35">
      <c r="A3833" s="138"/>
    </row>
    <row r="3834" spans="1:1" x14ac:dyDescent="0.35">
      <c r="A3834" s="138"/>
    </row>
    <row r="3835" spans="1:1" x14ac:dyDescent="0.35">
      <c r="A3835" s="138"/>
    </row>
    <row r="3836" spans="1:1" x14ac:dyDescent="0.35">
      <c r="A3836" s="138"/>
    </row>
    <row r="3837" spans="1:1" x14ac:dyDescent="0.35">
      <c r="A3837" s="138"/>
    </row>
    <row r="3838" spans="1:1" x14ac:dyDescent="0.35">
      <c r="A3838" s="138"/>
    </row>
    <row r="3839" spans="1:1" x14ac:dyDescent="0.35">
      <c r="A3839" s="138"/>
    </row>
    <row r="3840" spans="1:1" x14ac:dyDescent="0.35">
      <c r="A3840" s="138"/>
    </row>
    <row r="3841" spans="1:1" x14ac:dyDescent="0.35">
      <c r="A3841" s="138"/>
    </row>
    <row r="3842" spans="1:1" x14ac:dyDescent="0.35">
      <c r="A3842" s="138"/>
    </row>
    <row r="3843" spans="1:1" x14ac:dyDescent="0.35">
      <c r="A3843" s="138"/>
    </row>
    <row r="3844" spans="1:1" x14ac:dyDescent="0.35">
      <c r="A3844" s="138"/>
    </row>
    <row r="3845" spans="1:1" x14ac:dyDescent="0.35">
      <c r="A3845" s="138"/>
    </row>
    <row r="3846" spans="1:1" x14ac:dyDescent="0.35">
      <c r="A3846" s="138"/>
    </row>
    <row r="3847" spans="1:1" x14ac:dyDescent="0.35">
      <c r="A3847" s="138"/>
    </row>
    <row r="3848" spans="1:1" x14ac:dyDescent="0.35">
      <c r="A3848" s="138"/>
    </row>
    <row r="3849" spans="1:1" x14ac:dyDescent="0.35">
      <c r="A3849" s="138"/>
    </row>
    <row r="3850" spans="1:1" x14ac:dyDescent="0.35">
      <c r="A3850" s="138"/>
    </row>
    <row r="3851" spans="1:1" x14ac:dyDescent="0.35">
      <c r="A3851" s="138"/>
    </row>
    <row r="3852" spans="1:1" x14ac:dyDescent="0.35">
      <c r="A3852" s="138"/>
    </row>
    <row r="3853" spans="1:1" x14ac:dyDescent="0.35">
      <c r="A3853" s="138"/>
    </row>
    <row r="3854" spans="1:1" x14ac:dyDescent="0.35">
      <c r="A3854" s="138"/>
    </row>
    <row r="3855" spans="1:1" x14ac:dyDescent="0.35">
      <c r="A3855" s="138"/>
    </row>
    <row r="3856" spans="1:1" x14ac:dyDescent="0.35">
      <c r="A3856" s="138"/>
    </row>
    <row r="3857" spans="1:1" x14ac:dyDescent="0.35">
      <c r="A3857" s="138"/>
    </row>
    <row r="3858" spans="1:1" x14ac:dyDescent="0.35">
      <c r="A3858" s="138"/>
    </row>
    <row r="3859" spans="1:1" x14ac:dyDescent="0.35">
      <c r="A3859" s="138"/>
    </row>
    <row r="3860" spans="1:1" x14ac:dyDescent="0.35">
      <c r="A3860" s="138"/>
    </row>
    <row r="3861" spans="1:1" x14ac:dyDescent="0.35">
      <c r="A3861" s="138"/>
    </row>
    <row r="3862" spans="1:1" x14ac:dyDescent="0.35">
      <c r="A3862" s="138"/>
    </row>
    <row r="3863" spans="1:1" x14ac:dyDescent="0.35">
      <c r="A3863" s="138"/>
    </row>
    <row r="3864" spans="1:1" x14ac:dyDescent="0.35">
      <c r="A3864" s="138"/>
    </row>
    <row r="3865" spans="1:1" x14ac:dyDescent="0.35">
      <c r="A3865" s="138"/>
    </row>
    <row r="3866" spans="1:1" x14ac:dyDescent="0.35">
      <c r="A3866" s="138"/>
    </row>
    <row r="3867" spans="1:1" x14ac:dyDescent="0.35">
      <c r="A3867" s="138"/>
    </row>
    <row r="3868" spans="1:1" x14ac:dyDescent="0.35">
      <c r="A3868" s="138"/>
    </row>
    <row r="3869" spans="1:1" x14ac:dyDescent="0.35">
      <c r="A3869" s="138"/>
    </row>
    <row r="3870" spans="1:1" x14ac:dyDescent="0.35">
      <c r="A3870" s="138"/>
    </row>
    <row r="3871" spans="1:1" x14ac:dyDescent="0.35">
      <c r="A3871" s="138"/>
    </row>
    <row r="3872" spans="1:1" x14ac:dyDescent="0.35">
      <c r="A3872" s="138"/>
    </row>
    <row r="3873" spans="1:1" x14ac:dyDescent="0.35">
      <c r="A3873" s="138"/>
    </row>
    <row r="3874" spans="1:1" x14ac:dyDescent="0.35">
      <c r="A3874" s="138"/>
    </row>
    <row r="3875" spans="1:1" x14ac:dyDescent="0.35">
      <c r="A3875" s="138"/>
    </row>
    <row r="3876" spans="1:1" x14ac:dyDescent="0.35">
      <c r="A3876" s="138"/>
    </row>
    <row r="3877" spans="1:1" x14ac:dyDescent="0.35">
      <c r="A3877" s="138"/>
    </row>
    <row r="3878" spans="1:1" x14ac:dyDescent="0.35">
      <c r="A3878" s="138"/>
    </row>
    <row r="3879" spans="1:1" x14ac:dyDescent="0.35">
      <c r="A3879" s="138"/>
    </row>
    <row r="3880" spans="1:1" x14ac:dyDescent="0.35">
      <c r="A3880" s="138"/>
    </row>
    <row r="3881" spans="1:1" x14ac:dyDescent="0.35">
      <c r="A3881" s="138"/>
    </row>
    <row r="3882" spans="1:1" x14ac:dyDescent="0.35">
      <c r="A3882" s="138"/>
    </row>
    <row r="3883" spans="1:1" x14ac:dyDescent="0.35">
      <c r="A3883" s="138"/>
    </row>
    <row r="3884" spans="1:1" x14ac:dyDescent="0.35">
      <c r="A3884" s="138"/>
    </row>
    <row r="3885" spans="1:1" x14ac:dyDescent="0.35">
      <c r="A3885" s="138"/>
    </row>
    <row r="3886" spans="1:1" x14ac:dyDescent="0.35">
      <c r="A3886" s="138"/>
    </row>
    <row r="3887" spans="1:1" x14ac:dyDescent="0.35">
      <c r="A3887" s="138"/>
    </row>
    <row r="3888" spans="1:1" x14ac:dyDescent="0.35">
      <c r="A3888" s="138"/>
    </row>
    <row r="3889" spans="1:1" x14ac:dyDescent="0.35">
      <c r="A3889" s="138"/>
    </row>
    <row r="3890" spans="1:1" x14ac:dyDescent="0.35">
      <c r="A3890" s="138"/>
    </row>
    <row r="3891" spans="1:1" x14ac:dyDescent="0.35">
      <c r="A3891" s="138"/>
    </row>
    <row r="3892" spans="1:1" x14ac:dyDescent="0.35">
      <c r="A3892" s="138"/>
    </row>
    <row r="3893" spans="1:1" x14ac:dyDescent="0.35">
      <c r="A3893" s="138"/>
    </row>
    <row r="3894" spans="1:1" x14ac:dyDescent="0.35">
      <c r="A3894" s="138"/>
    </row>
    <row r="3895" spans="1:1" x14ac:dyDescent="0.35">
      <c r="A3895" s="138"/>
    </row>
    <row r="3896" spans="1:1" x14ac:dyDescent="0.35">
      <c r="A3896" s="138"/>
    </row>
    <row r="3897" spans="1:1" x14ac:dyDescent="0.35">
      <c r="A3897" s="138"/>
    </row>
    <row r="3898" spans="1:1" x14ac:dyDescent="0.35">
      <c r="A3898" s="138"/>
    </row>
    <row r="3899" spans="1:1" x14ac:dyDescent="0.35">
      <c r="A3899" s="138"/>
    </row>
    <row r="3900" spans="1:1" x14ac:dyDescent="0.35">
      <c r="A3900" s="138"/>
    </row>
    <row r="3901" spans="1:1" x14ac:dyDescent="0.35">
      <c r="A3901" s="138"/>
    </row>
    <row r="3902" spans="1:1" x14ac:dyDescent="0.35">
      <c r="A3902" s="138"/>
    </row>
    <row r="3903" spans="1:1" x14ac:dyDescent="0.35">
      <c r="A3903" s="138"/>
    </row>
    <row r="3904" spans="1:1" x14ac:dyDescent="0.35">
      <c r="A3904" s="138"/>
    </row>
    <row r="3905" spans="1:1" x14ac:dyDescent="0.35">
      <c r="A3905" s="138"/>
    </row>
    <row r="3906" spans="1:1" x14ac:dyDescent="0.35">
      <c r="A3906" s="138"/>
    </row>
    <row r="3907" spans="1:1" x14ac:dyDescent="0.35">
      <c r="A3907" s="138"/>
    </row>
    <row r="3908" spans="1:1" x14ac:dyDescent="0.35">
      <c r="A3908" s="138"/>
    </row>
    <row r="3909" spans="1:1" x14ac:dyDescent="0.35">
      <c r="A3909" s="138"/>
    </row>
    <row r="3910" spans="1:1" x14ac:dyDescent="0.35">
      <c r="A3910" s="138"/>
    </row>
    <row r="3911" spans="1:1" x14ac:dyDescent="0.35">
      <c r="A3911" s="138"/>
    </row>
    <row r="3912" spans="1:1" x14ac:dyDescent="0.35">
      <c r="A3912" s="138"/>
    </row>
    <row r="3913" spans="1:1" x14ac:dyDescent="0.35">
      <c r="A3913" s="138"/>
    </row>
    <row r="3914" spans="1:1" x14ac:dyDescent="0.35">
      <c r="A3914" s="138"/>
    </row>
    <row r="3915" spans="1:1" x14ac:dyDescent="0.35">
      <c r="A3915" s="138"/>
    </row>
    <row r="3916" spans="1:1" x14ac:dyDescent="0.35">
      <c r="A3916" s="138"/>
    </row>
    <row r="3917" spans="1:1" x14ac:dyDescent="0.35">
      <c r="A3917" s="138"/>
    </row>
    <row r="3918" spans="1:1" x14ac:dyDescent="0.35">
      <c r="A3918" s="138"/>
    </row>
    <row r="3919" spans="1:1" x14ac:dyDescent="0.35">
      <c r="A3919" s="138"/>
    </row>
    <row r="3920" spans="1:1" x14ac:dyDescent="0.35">
      <c r="A3920" s="138"/>
    </row>
    <row r="3921" spans="1:1" x14ac:dyDescent="0.35">
      <c r="A3921" s="138"/>
    </row>
    <row r="3922" spans="1:1" x14ac:dyDescent="0.35">
      <c r="A3922" s="138"/>
    </row>
    <row r="3923" spans="1:1" x14ac:dyDescent="0.35">
      <c r="A3923" s="138"/>
    </row>
    <row r="3924" spans="1:1" x14ac:dyDescent="0.35">
      <c r="A3924" s="138"/>
    </row>
    <row r="3925" spans="1:1" x14ac:dyDescent="0.35">
      <c r="A3925" s="138"/>
    </row>
    <row r="3926" spans="1:1" x14ac:dyDescent="0.35">
      <c r="A3926" s="138"/>
    </row>
    <row r="3927" spans="1:1" x14ac:dyDescent="0.35">
      <c r="A3927" s="138"/>
    </row>
    <row r="3928" spans="1:1" x14ac:dyDescent="0.35">
      <c r="A3928" s="138"/>
    </row>
    <row r="3929" spans="1:1" x14ac:dyDescent="0.35">
      <c r="A3929" s="138"/>
    </row>
    <row r="3930" spans="1:1" x14ac:dyDescent="0.35">
      <c r="A3930" s="138"/>
    </row>
    <row r="3931" spans="1:1" x14ac:dyDescent="0.35">
      <c r="A3931" s="138"/>
    </row>
    <row r="3932" spans="1:1" x14ac:dyDescent="0.35">
      <c r="A3932" s="138"/>
    </row>
    <row r="3933" spans="1:1" x14ac:dyDescent="0.35">
      <c r="A3933" s="138"/>
    </row>
    <row r="3934" spans="1:1" x14ac:dyDescent="0.35">
      <c r="A3934" s="138"/>
    </row>
    <row r="3935" spans="1:1" x14ac:dyDescent="0.35">
      <c r="A3935" s="138"/>
    </row>
    <row r="3936" spans="1:1" x14ac:dyDescent="0.35">
      <c r="A3936" s="138"/>
    </row>
    <row r="3937" spans="1:1" x14ac:dyDescent="0.35">
      <c r="A3937" s="138"/>
    </row>
    <row r="3938" spans="1:1" x14ac:dyDescent="0.35">
      <c r="A3938" s="138"/>
    </row>
    <row r="3939" spans="1:1" x14ac:dyDescent="0.35">
      <c r="A3939" s="138"/>
    </row>
    <row r="3940" spans="1:1" x14ac:dyDescent="0.35">
      <c r="A3940" s="138"/>
    </row>
    <row r="3941" spans="1:1" x14ac:dyDescent="0.35">
      <c r="A3941" s="138"/>
    </row>
    <row r="3942" spans="1:1" x14ac:dyDescent="0.35">
      <c r="A3942" s="138"/>
    </row>
    <row r="3943" spans="1:1" x14ac:dyDescent="0.35">
      <c r="A3943" s="138"/>
    </row>
    <row r="3944" spans="1:1" x14ac:dyDescent="0.35">
      <c r="A3944" s="138"/>
    </row>
    <row r="3945" spans="1:1" x14ac:dyDescent="0.35">
      <c r="A3945" s="138"/>
    </row>
    <row r="3946" spans="1:1" x14ac:dyDescent="0.35">
      <c r="A3946" s="138"/>
    </row>
    <row r="3947" spans="1:1" x14ac:dyDescent="0.35">
      <c r="A3947" s="138"/>
    </row>
  </sheetData>
  <printOptions horizontalCentered="1"/>
  <pageMargins left="0" right="0.2" top="0.3" bottom="0.3" header="0.5" footer="0.1"/>
  <pageSetup scale="53" orientation="landscape" r:id="rId1"/>
  <headerFooter alignWithMargins="0">
    <oddFooter>&amp;R&amp;F &amp;A&amp;L&amp;"Times New Roman,Regular"&amp;8 156650783.1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Y300"/>
  <sheetViews>
    <sheetView zoomScale="70" zoomScaleNormal="7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2" sqref="A2"/>
    </sheetView>
  </sheetViews>
  <sheetFormatPr defaultColWidth="9.1796875" defaultRowHeight="12.5" outlineLevelCol="1" x14ac:dyDescent="0.25"/>
  <cols>
    <col min="1" max="1" width="5.1796875" style="68" customWidth="1"/>
    <col min="2" max="2" width="9.54296875" style="68" customWidth="1"/>
    <col min="3" max="3" width="14.7265625" style="68" customWidth="1"/>
    <col min="4" max="4" width="16" style="68" customWidth="1"/>
    <col min="5" max="5" width="3" style="65" customWidth="1"/>
    <col min="6" max="6" width="15.26953125" style="68" customWidth="1"/>
    <col min="7" max="7" width="15" style="68" customWidth="1"/>
    <col min="8" max="8" width="14.453125" style="68" bestFit="1" customWidth="1"/>
    <col min="9" max="9" width="10.7265625" style="68" customWidth="1"/>
    <col min="10" max="11" width="14.453125" style="68" bestFit="1" customWidth="1"/>
    <col min="12" max="12" width="10.26953125" style="68" hidden="1" customWidth="1"/>
    <col min="13" max="13" width="16.453125" style="68" customWidth="1"/>
    <col min="14" max="14" width="15.453125" style="68" customWidth="1"/>
    <col min="15" max="15" width="18.453125" style="68" customWidth="1"/>
    <col min="16" max="16" width="14.453125" style="68" bestFit="1" customWidth="1"/>
    <col min="17" max="17" width="4.453125" style="68" customWidth="1"/>
    <col min="18" max="18" width="0.26953125" style="68" customWidth="1"/>
    <col min="19" max="20" width="14.453125" style="68" customWidth="1"/>
    <col min="21" max="21" width="13.1796875" style="68" bestFit="1" customWidth="1"/>
    <col min="22" max="22" width="12.26953125" style="68" hidden="1" customWidth="1"/>
    <col min="23" max="23" width="13.453125" style="68" hidden="1" customWidth="1"/>
    <col min="24" max="26" width="12.81640625" style="68" hidden="1" customWidth="1"/>
    <col min="27" max="27" width="15" style="68" customWidth="1"/>
    <col min="28" max="28" width="15.26953125" style="68" customWidth="1"/>
    <col min="29" max="29" width="16.1796875" style="68" customWidth="1"/>
    <col min="30" max="30" width="9.453125" style="68" hidden="1" customWidth="1" outlineLevel="1"/>
    <col min="31" max="31" width="15.7265625" style="68" customWidth="1" collapsed="1"/>
    <col min="32" max="32" width="14.453125" style="68" customWidth="1"/>
    <col min="33" max="33" width="2.7265625" style="68" customWidth="1"/>
    <col min="34" max="34" width="12.81640625" style="68" bestFit="1" customWidth="1"/>
    <col min="35" max="16384" width="9.1796875" style="68"/>
  </cols>
  <sheetData>
    <row r="2" spans="1:33" ht="13" x14ac:dyDescent="0.3">
      <c r="A2" s="196" t="str">
        <f ca="1">MID(CELL("filename",A2),FIND("]",CELL("filename",A2))+1,255)</f>
        <v>SEF-3 p 4 Bands</v>
      </c>
    </row>
    <row r="3" spans="1:33" ht="15.5" x14ac:dyDescent="0.35">
      <c r="A3" s="71" t="s">
        <v>159</v>
      </c>
    </row>
    <row r="4" spans="1:33" ht="15.5" x14ac:dyDescent="0.35">
      <c r="A4" s="71" t="s">
        <v>158</v>
      </c>
    </row>
    <row r="5" spans="1:33" ht="15.5" x14ac:dyDescent="0.35">
      <c r="A5" s="71" t="s">
        <v>157</v>
      </c>
      <c r="G5" s="84"/>
      <c r="H5" s="84"/>
      <c r="I5" s="84"/>
    </row>
    <row r="6" spans="1:33" ht="15" customHeight="1" x14ac:dyDescent="0.35">
      <c r="A6" s="71" t="s">
        <v>156</v>
      </c>
      <c r="B6" s="94"/>
      <c r="D6" s="94"/>
      <c r="G6" s="94"/>
      <c r="H6" s="94"/>
      <c r="I6" s="94"/>
      <c r="J6" s="94"/>
    </row>
    <row r="7" spans="1:33" ht="12.75" customHeight="1" x14ac:dyDescent="0.35">
      <c r="A7" s="71"/>
      <c r="B7" s="94"/>
      <c r="D7" s="94"/>
      <c r="G7" s="94"/>
      <c r="H7" s="94"/>
      <c r="I7" s="94"/>
      <c r="J7" s="94"/>
    </row>
    <row r="8" spans="1:33" ht="18" customHeight="1" x14ac:dyDescent="0.35">
      <c r="D8" s="66"/>
      <c r="E8" s="78"/>
      <c r="F8" s="184" t="s">
        <v>116</v>
      </c>
      <c r="G8" s="183"/>
      <c r="H8" s="183"/>
      <c r="I8" s="183"/>
      <c r="J8" s="183"/>
      <c r="K8" s="183"/>
      <c r="L8" s="183"/>
      <c r="M8" s="175"/>
      <c r="N8" s="175"/>
      <c r="O8" s="175"/>
      <c r="P8" s="175"/>
      <c r="Q8" s="166"/>
      <c r="R8" s="66"/>
      <c r="S8" s="184" t="s">
        <v>48</v>
      </c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</row>
    <row r="9" spans="1:33" ht="51.65" customHeight="1" x14ac:dyDescent="0.3">
      <c r="A9" s="182" t="s">
        <v>155</v>
      </c>
      <c r="B9" s="74" t="s">
        <v>102</v>
      </c>
      <c r="C9" s="74" t="s">
        <v>105</v>
      </c>
      <c r="D9" s="182" t="s">
        <v>154</v>
      </c>
      <c r="E9" s="141"/>
      <c r="F9" s="180" t="s">
        <v>153</v>
      </c>
      <c r="G9" s="180" t="s">
        <v>152</v>
      </c>
      <c r="H9" s="180" t="s">
        <v>151</v>
      </c>
      <c r="I9" s="180" t="s">
        <v>150</v>
      </c>
      <c r="J9" s="180" t="s">
        <v>143</v>
      </c>
      <c r="K9" s="180" t="s">
        <v>142</v>
      </c>
      <c r="L9" s="180" t="s">
        <v>141</v>
      </c>
      <c r="M9" s="180" t="s">
        <v>149</v>
      </c>
      <c r="N9" s="180" t="s">
        <v>148</v>
      </c>
      <c r="O9" s="180" t="s">
        <v>147</v>
      </c>
      <c r="P9" s="180" t="s">
        <v>146</v>
      </c>
      <c r="Q9" s="181"/>
      <c r="R9" s="179" t="s">
        <v>145</v>
      </c>
      <c r="S9" s="180" t="s">
        <v>144</v>
      </c>
      <c r="T9" s="180" t="s">
        <v>143</v>
      </c>
      <c r="U9" s="180" t="s">
        <v>142</v>
      </c>
      <c r="V9" s="180" t="s">
        <v>141</v>
      </c>
      <c r="W9" s="180"/>
      <c r="X9" s="180"/>
      <c r="Y9" s="180"/>
      <c r="Z9" s="180"/>
      <c r="AA9" s="180" t="s">
        <v>140</v>
      </c>
      <c r="AB9" s="180" t="s">
        <v>139</v>
      </c>
      <c r="AC9" s="180" t="s">
        <v>138</v>
      </c>
      <c r="AD9" s="180" t="s">
        <v>137</v>
      </c>
      <c r="AE9" s="180" t="s">
        <v>136</v>
      </c>
      <c r="AF9" s="180" t="s">
        <v>135</v>
      </c>
      <c r="AG9" s="179"/>
    </row>
    <row r="10" spans="1:33" x14ac:dyDescent="0.25">
      <c r="F10" s="176">
        <v>20000000</v>
      </c>
      <c r="G10" s="176">
        <v>20000000</v>
      </c>
      <c r="H10" s="176">
        <v>80000000</v>
      </c>
      <c r="I10" s="178">
        <v>120000000</v>
      </c>
      <c r="J10" s="177"/>
      <c r="K10" s="177"/>
      <c r="L10" s="177"/>
      <c r="M10" s="175"/>
      <c r="N10" s="175" t="s">
        <v>134</v>
      </c>
      <c r="O10" s="175"/>
      <c r="P10" s="175"/>
      <c r="Q10" s="94"/>
      <c r="S10" s="176">
        <v>20000000</v>
      </c>
      <c r="T10" s="176">
        <v>20000000</v>
      </c>
      <c r="U10" s="176">
        <v>80000000</v>
      </c>
      <c r="V10" s="176">
        <v>120000000</v>
      </c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</row>
    <row r="11" spans="1:33" x14ac:dyDescent="0.25">
      <c r="F11" s="176">
        <v>10000000</v>
      </c>
      <c r="G11" s="176">
        <v>10000000</v>
      </c>
      <c r="H11" s="176">
        <v>40000000</v>
      </c>
      <c r="I11" s="178">
        <v>60000000</v>
      </c>
      <c r="J11" s="177"/>
      <c r="K11" s="177"/>
      <c r="L11" s="177"/>
      <c r="M11" s="175"/>
      <c r="N11" s="175"/>
      <c r="O11" s="175"/>
      <c r="P11" s="175"/>
      <c r="Q11" s="94"/>
      <c r="S11" s="176">
        <v>10000000</v>
      </c>
      <c r="T11" s="176">
        <v>10000000</v>
      </c>
      <c r="U11" s="176">
        <v>40000000</v>
      </c>
      <c r="V11" s="176">
        <v>60000000</v>
      </c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</row>
    <row r="12" spans="1:33" x14ac:dyDescent="0.25">
      <c r="F12" s="176"/>
      <c r="G12" s="176"/>
      <c r="H12" s="176"/>
      <c r="I12" s="176"/>
      <c r="J12" s="177"/>
      <c r="K12" s="177"/>
      <c r="L12" s="177"/>
      <c r="M12" s="175"/>
      <c r="N12" s="175"/>
      <c r="O12" s="175"/>
      <c r="P12" s="175"/>
      <c r="Q12" s="94"/>
      <c r="S12" s="176"/>
      <c r="T12" s="176"/>
      <c r="U12" s="176"/>
      <c r="V12" s="176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</row>
    <row r="13" spans="1:33" x14ac:dyDescent="0.25">
      <c r="D13" s="122" t="s">
        <v>133</v>
      </c>
      <c r="F13" s="176">
        <v>17000000</v>
      </c>
      <c r="G13" s="176">
        <v>23000000</v>
      </c>
      <c r="H13" s="176">
        <v>40000000</v>
      </c>
      <c r="I13" s="176" t="s">
        <v>132</v>
      </c>
      <c r="J13" s="177"/>
      <c r="K13" s="177"/>
      <c r="L13" s="177"/>
      <c r="M13" s="175"/>
      <c r="N13" s="175"/>
      <c r="O13" s="175"/>
      <c r="P13" s="175"/>
      <c r="Q13" s="94"/>
      <c r="S13" s="176">
        <v>17000000</v>
      </c>
      <c r="T13" s="176">
        <v>23000000</v>
      </c>
      <c r="U13" s="176">
        <v>40000000</v>
      </c>
      <c r="V13" s="176" t="s">
        <v>132</v>
      </c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</row>
    <row r="14" spans="1:33" s="94" customFormat="1" x14ac:dyDescent="0.25">
      <c r="E14" s="117"/>
      <c r="F14" s="172"/>
      <c r="G14" s="172"/>
      <c r="H14" s="172"/>
      <c r="I14" s="172"/>
      <c r="J14" s="174"/>
      <c r="K14" s="174"/>
      <c r="L14" s="174"/>
      <c r="M14" s="166"/>
      <c r="N14" s="166"/>
      <c r="O14" s="166"/>
      <c r="P14" s="166"/>
      <c r="S14" s="172"/>
      <c r="T14" s="172"/>
      <c r="U14" s="172"/>
      <c r="V14" s="172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</row>
    <row r="15" spans="1:33" s="94" customFormat="1" ht="9" customHeight="1" x14ac:dyDescent="0.25">
      <c r="E15" s="117"/>
      <c r="F15" s="139"/>
      <c r="G15" s="139"/>
      <c r="H15" s="173"/>
      <c r="I15" s="173"/>
      <c r="J15" s="92"/>
      <c r="K15" s="92"/>
      <c r="L15" s="92"/>
      <c r="U15" s="172"/>
      <c r="V15" s="172"/>
    </row>
    <row r="16" spans="1:33" x14ac:dyDescent="0.25">
      <c r="A16" s="66">
        <v>1</v>
      </c>
      <c r="B16" s="68" t="s">
        <v>125</v>
      </c>
      <c r="C16" s="84">
        <v>-3572898.5503520002</v>
      </c>
      <c r="D16" s="134">
        <f>+C16</f>
        <v>-3572898.5503520002</v>
      </c>
      <c r="E16" s="84"/>
      <c r="F16" s="84">
        <f t="shared" ref="F16:F27" si="0">IF(ABS(D16)&gt;+$F$10,IF(D16&lt;0,-$F$10,+$F$10),+D16)</f>
        <v>-3572898.5503520002</v>
      </c>
      <c r="G16" s="84">
        <f t="shared" ref="G16:G27" si="1">IF(ABS(D16)-ABS(F16)&gt;=$G$10,IF(D16&lt;=0,-$G$10,+$G$10),+D16-F16)</f>
        <v>0</v>
      </c>
      <c r="H16" s="84">
        <f t="shared" ref="H16:H27" si="2">IF(ABS(+D16)-ABS(SUM(F16:G16))&gt;=$H$10,IF(D16&lt;=0,-$H$10,+$H$10),+D16-SUM(F16:G16))</f>
        <v>0</v>
      </c>
      <c r="I16" s="84">
        <f t="shared" ref="I16:I27" si="3">IF(ABS(+D16)-ABS(SUM(F16:H16))&gt;=$I$10,IF(D16&lt;=0,$D16-SUM($F16:$H16),$D16-SUM($F16:$H16)),D16-SUM(F16:H16))</f>
        <v>0</v>
      </c>
      <c r="J16" s="84">
        <f t="shared" ref="J16:J27" si="4">+G16*$C$278</f>
        <v>0</v>
      </c>
      <c r="K16" s="84">
        <f t="shared" ref="K16:K27" si="5">+H16*$C$279</f>
        <v>0</v>
      </c>
      <c r="L16" s="84">
        <f t="shared" ref="L16:L27" si="6">+I16*$C$280</f>
        <v>0</v>
      </c>
      <c r="M16" s="84">
        <f t="shared" ref="M16:M27" si="7">SUM(J16:L16)</f>
        <v>0</v>
      </c>
      <c r="N16" s="84">
        <f t="shared" ref="N16:N27" si="8">AB16*$C$282</f>
        <v>0</v>
      </c>
      <c r="O16" s="84">
        <f t="shared" ref="O16:O27" si="9">M16+N16</f>
        <v>0</v>
      </c>
      <c r="P16" s="84">
        <f>O16</f>
        <v>0</v>
      </c>
      <c r="Q16" s="92"/>
      <c r="R16" s="84">
        <v>0</v>
      </c>
      <c r="S16" s="84">
        <f t="shared" ref="S16:S27" si="10">+F16</f>
        <v>-3572898.5503520002</v>
      </c>
      <c r="T16" s="84">
        <f t="shared" ref="T16:T27" si="11">+G16-J16</f>
        <v>0</v>
      </c>
      <c r="U16" s="84">
        <f t="shared" ref="U16:U27" si="12">+H16-K16</f>
        <v>0</v>
      </c>
      <c r="V16" s="84">
        <f t="shared" ref="V16:V27" si="13">+I16-L16</f>
        <v>0</v>
      </c>
      <c r="W16" s="84"/>
      <c r="X16" s="84"/>
      <c r="Y16" s="84"/>
      <c r="Z16" s="84"/>
      <c r="AA16" s="84">
        <f t="shared" ref="AA16:AA27" si="14">SUM(S16:V16)</f>
        <v>-3572898.5503520002</v>
      </c>
      <c r="AB16" s="84">
        <f t="shared" ref="AB16:AB27" si="15">IF(AA16&gt;40000000,AA16-40000000,0)</f>
        <v>0</v>
      </c>
      <c r="AC16" s="84">
        <f t="shared" ref="AC16:AC27" si="16">AA16-AB16</f>
        <v>-3572898.5503520002</v>
      </c>
      <c r="AD16" s="84">
        <f t="shared" ref="AD16:AD27" si="17">AB16*$D$282</f>
        <v>0</v>
      </c>
      <c r="AE16" s="84">
        <f t="shared" ref="AE16:AE27" si="18">AA16-AB16+AD16</f>
        <v>-3572898.5503520002</v>
      </c>
      <c r="AF16" s="84">
        <f>AE16</f>
        <v>-3572898.5503520002</v>
      </c>
    </row>
    <row r="17" spans="1:103" x14ac:dyDescent="0.25">
      <c r="A17" s="66">
        <v>1</v>
      </c>
      <c r="B17" s="68" t="s">
        <v>124</v>
      </c>
      <c r="C17" s="84">
        <v>-1350321.288468</v>
      </c>
      <c r="D17" s="134">
        <f>SUM($C$16:C17)</f>
        <v>-4923219.8388200002</v>
      </c>
      <c r="E17" s="84"/>
      <c r="F17" s="84">
        <f t="shared" si="0"/>
        <v>-4923219.8388200002</v>
      </c>
      <c r="G17" s="84">
        <f t="shared" si="1"/>
        <v>0</v>
      </c>
      <c r="H17" s="84">
        <f t="shared" si="2"/>
        <v>0</v>
      </c>
      <c r="I17" s="84">
        <f t="shared" si="3"/>
        <v>0</v>
      </c>
      <c r="J17" s="84">
        <f t="shared" si="4"/>
        <v>0</v>
      </c>
      <c r="K17" s="84">
        <f t="shared" si="5"/>
        <v>0</v>
      </c>
      <c r="L17" s="84">
        <f t="shared" si="6"/>
        <v>0</v>
      </c>
      <c r="M17" s="84">
        <f t="shared" si="7"/>
        <v>0</v>
      </c>
      <c r="N17" s="84">
        <f t="shared" si="8"/>
        <v>0</v>
      </c>
      <c r="O17" s="84">
        <f t="shared" si="9"/>
        <v>0</v>
      </c>
      <c r="P17" s="84">
        <f t="shared" ref="P17:P27" si="19">O17-O16</f>
        <v>0</v>
      </c>
      <c r="Q17" s="84"/>
      <c r="R17" s="84">
        <v>0</v>
      </c>
      <c r="S17" s="84">
        <f t="shared" si="10"/>
        <v>-4923219.8388200002</v>
      </c>
      <c r="T17" s="84">
        <f t="shared" si="11"/>
        <v>0</v>
      </c>
      <c r="U17" s="84">
        <f t="shared" si="12"/>
        <v>0</v>
      </c>
      <c r="V17" s="84">
        <f t="shared" si="13"/>
        <v>0</v>
      </c>
      <c r="W17" s="84"/>
      <c r="X17" s="84"/>
      <c r="Y17" s="84"/>
      <c r="Z17" s="84"/>
      <c r="AA17" s="84">
        <f t="shared" si="14"/>
        <v>-4923219.8388200002</v>
      </c>
      <c r="AB17" s="84">
        <f t="shared" si="15"/>
        <v>0</v>
      </c>
      <c r="AC17" s="84">
        <f t="shared" si="16"/>
        <v>-4923219.8388200002</v>
      </c>
      <c r="AD17" s="84">
        <f t="shared" si="17"/>
        <v>0</v>
      </c>
      <c r="AE17" s="84">
        <f t="shared" si="18"/>
        <v>-4923219.8388200002</v>
      </c>
      <c r="AF17" s="84">
        <f t="shared" ref="AF17:AF27" si="20">AE17-AE16</f>
        <v>-1350321.288468</v>
      </c>
    </row>
    <row r="18" spans="1:103" x14ac:dyDescent="0.25">
      <c r="A18" s="66">
        <v>1</v>
      </c>
      <c r="B18" s="68" t="s">
        <v>123</v>
      </c>
      <c r="C18" s="84">
        <v>6858670.8690839997</v>
      </c>
      <c r="D18" s="134">
        <f>SUM($C$16:C18)</f>
        <v>1935451.0302639995</v>
      </c>
      <c r="E18" s="84"/>
      <c r="F18" s="84">
        <f t="shared" si="0"/>
        <v>1935451.0302639995</v>
      </c>
      <c r="G18" s="84">
        <f t="shared" si="1"/>
        <v>0</v>
      </c>
      <c r="H18" s="84">
        <f t="shared" si="2"/>
        <v>0</v>
      </c>
      <c r="I18" s="84">
        <f t="shared" si="3"/>
        <v>0</v>
      </c>
      <c r="J18" s="84">
        <f t="shared" si="4"/>
        <v>0</v>
      </c>
      <c r="K18" s="84">
        <f t="shared" si="5"/>
        <v>0</v>
      </c>
      <c r="L18" s="84">
        <f t="shared" si="6"/>
        <v>0</v>
      </c>
      <c r="M18" s="84">
        <f t="shared" si="7"/>
        <v>0</v>
      </c>
      <c r="N18" s="84">
        <f t="shared" si="8"/>
        <v>0</v>
      </c>
      <c r="O18" s="84">
        <f t="shared" si="9"/>
        <v>0</v>
      </c>
      <c r="P18" s="84">
        <f t="shared" si="19"/>
        <v>0</v>
      </c>
      <c r="Q18" s="84"/>
      <c r="R18" s="84">
        <v>0</v>
      </c>
      <c r="S18" s="84">
        <f t="shared" si="10"/>
        <v>1935451.0302639995</v>
      </c>
      <c r="T18" s="84">
        <f t="shared" si="11"/>
        <v>0</v>
      </c>
      <c r="U18" s="84">
        <f t="shared" si="12"/>
        <v>0</v>
      </c>
      <c r="V18" s="84">
        <f t="shared" si="13"/>
        <v>0</v>
      </c>
      <c r="W18" s="84"/>
      <c r="X18" s="84"/>
      <c r="Y18" s="84"/>
      <c r="Z18" s="84"/>
      <c r="AA18" s="84">
        <f t="shared" si="14"/>
        <v>1935451.0302639995</v>
      </c>
      <c r="AB18" s="84">
        <f t="shared" si="15"/>
        <v>0</v>
      </c>
      <c r="AC18" s="84">
        <f t="shared" si="16"/>
        <v>1935451.0302639995</v>
      </c>
      <c r="AD18" s="84">
        <f t="shared" si="17"/>
        <v>0</v>
      </c>
      <c r="AE18" s="84">
        <f t="shared" si="18"/>
        <v>1935451.0302639995</v>
      </c>
      <c r="AF18" s="84">
        <f t="shared" si="20"/>
        <v>6858670.8690839997</v>
      </c>
    </row>
    <row r="19" spans="1:103" x14ac:dyDescent="0.25">
      <c r="A19" s="66">
        <v>1</v>
      </c>
      <c r="B19" s="68" t="s">
        <v>122</v>
      </c>
      <c r="C19" s="84">
        <v>3449128.7154040001</v>
      </c>
      <c r="D19" s="134">
        <f>SUM($C$16:C19)</f>
        <v>5384579.7456679996</v>
      </c>
      <c r="E19" s="84"/>
      <c r="F19" s="84">
        <f t="shared" si="0"/>
        <v>5384579.7456679996</v>
      </c>
      <c r="G19" s="84">
        <f t="shared" si="1"/>
        <v>0</v>
      </c>
      <c r="H19" s="84">
        <f t="shared" si="2"/>
        <v>0</v>
      </c>
      <c r="I19" s="84">
        <f t="shared" si="3"/>
        <v>0</v>
      </c>
      <c r="J19" s="84">
        <f t="shared" si="4"/>
        <v>0</v>
      </c>
      <c r="K19" s="84">
        <f t="shared" si="5"/>
        <v>0</v>
      </c>
      <c r="L19" s="84">
        <f t="shared" si="6"/>
        <v>0</v>
      </c>
      <c r="M19" s="84">
        <f t="shared" si="7"/>
        <v>0</v>
      </c>
      <c r="N19" s="84">
        <f t="shared" si="8"/>
        <v>0</v>
      </c>
      <c r="O19" s="84">
        <f t="shared" si="9"/>
        <v>0</v>
      </c>
      <c r="P19" s="84">
        <f t="shared" si="19"/>
        <v>0</v>
      </c>
      <c r="Q19" s="84"/>
      <c r="R19" s="84">
        <v>0</v>
      </c>
      <c r="S19" s="84">
        <f t="shared" si="10"/>
        <v>5384579.7456679996</v>
      </c>
      <c r="T19" s="84">
        <f t="shared" si="11"/>
        <v>0</v>
      </c>
      <c r="U19" s="84">
        <f t="shared" si="12"/>
        <v>0</v>
      </c>
      <c r="V19" s="84">
        <f t="shared" si="13"/>
        <v>0</v>
      </c>
      <c r="W19" s="84"/>
      <c r="X19" s="84"/>
      <c r="Y19" s="84"/>
      <c r="Z19" s="84"/>
      <c r="AA19" s="84">
        <f t="shared" si="14"/>
        <v>5384579.7456679996</v>
      </c>
      <c r="AB19" s="84">
        <f t="shared" si="15"/>
        <v>0</v>
      </c>
      <c r="AC19" s="84">
        <f t="shared" si="16"/>
        <v>5384579.7456679996</v>
      </c>
      <c r="AD19" s="84">
        <f t="shared" si="17"/>
        <v>0</v>
      </c>
      <c r="AE19" s="84">
        <f t="shared" si="18"/>
        <v>5384579.7456679996</v>
      </c>
      <c r="AF19" s="84">
        <f t="shared" si="20"/>
        <v>3449128.7154040001</v>
      </c>
    </row>
    <row r="20" spans="1:103" x14ac:dyDescent="0.25">
      <c r="A20" s="66">
        <v>1</v>
      </c>
      <c r="B20" s="68" t="s">
        <v>121</v>
      </c>
      <c r="C20" s="84">
        <v>-2438803.8268479998</v>
      </c>
      <c r="D20" s="134">
        <f>SUM($C$16:C20)</f>
        <v>2945775.9188199998</v>
      </c>
      <c r="E20" s="84"/>
      <c r="F20" s="84">
        <f t="shared" si="0"/>
        <v>2945775.9188199998</v>
      </c>
      <c r="G20" s="84">
        <f t="shared" si="1"/>
        <v>0</v>
      </c>
      <c r="H20" s="84">
        <f t="shared" si="2"/>
        <v>0</v>
      </c>
      <c r="I20" s="84">
        <f t="shared" si="3"/>
        <v>0</v>
      </c>
      <c r="J20" s="84">
        <f t="shared" si="4"/>
        <v>0</v>
      </c>
      <c r="K20" s="84">
        <f t="shared" si="5"/>
        <v>0</v>
      </c>
      <c r="L20" s="84">
        <f t="shared" si="6"/>
        <v>0</v>
      </c>
      <c r="M20" s="84">
        <f t="shared" si="7"/>
        <v>0</v>
      </c>
      <c r="N20" s="84">
        <f t="shared" si="8"/>
        <v>0</v>
      </c>
      <c r="O20" s="84">
        <f t="shared" si="9"/>
        <v>0</v>
      </c>
      <c r="P20" s="84">
        <f t="shared" si="19"/>
        <v>0</v>
      </c>
      <c r="Q20" s="84"/>
      <c r="R20" s="84">
        <v>0</v>
      </c>
      <c r="S20" s="84">
        <f t="shared" si="10"/>
        <v>2945775.9188199998</v>
      </c>
      <c r="T20" s="84">
        <f t="shared" si="11"/>
        <v>0</v>
      </c>
      <c r="U20" s="84">
        <f t="shared" si="12"/>
        <v>0</v>
      </c>
      <c r="V20" s="84">
        <f t="shared" si="13"/>
        <v>0</v>
      </c>
      <c r="W20" s="84"/>
      <c r="X20" s="84"/>
      <c r="Y20" s="84"/>
      <c r="Z20" s="84"/>
      <c r="AA20" s="84">
        <f t="shared" si="14"/>
        <v>2945775.9188199998</v>
      </c>
      <c r="AB20" s="84">
        <f t="shared" si="15"/>
        <v>0</v>
      </c>
      <c r="AC20" s="84">
        <f t="shared" si="16"/>
        <v>2945775.9188199998</v>
      </c>
      <c r="AD20" s="84">
        <f t="shared" si="17"/>
        <v>0</v>
      </c>
      <c r="AE20" s="84">
        <f t="shared" si="18"/>
        <v>2945775.9188199998</v>
      </c>
      <c r="AF20" s="84">
        <f t="shared" si="20"/>
        <v>-2438803.8268479998</v>
      </c>
    </row>
    <row r="21" spans="1:103" x14ac:dyDescent="0.25">
      <c r="A21" s="66">
        <v>1</v>
      </c>
      <c r="B21" s="68" t="s">
        <v>120</v>
      </c>
      <c r="C21" s="84">
        <v>2177046.7884359998</v>
      </c>
      <c r="D21" s="134">
        <f>SUM($C$16:C21)</f>
        <v>5122822.7072559996</v>
      </c>
      <c r="E21" s="84"/>
      <c r="F21" s="84">
        <f t="shared" si="0"/>
        <v>5122822.7072559996</v>
      </c>
      <c r="G21" s="84">
        <f t="shared" si="1"/>
        <v>0</v>
      </c>
      <c r="H21" s="84">
        <f t="shared" si="2"/>
        <v>0</v>
      </c>
      <c r="I21" s="84">
        <f t="shared" si="3"/>
        <v>0</v>
      </c>
      <c r="J21" s="84">
        <f t="shared" si="4"/>
        <v>0</v>
      </c>
      <c r="K21" s="84">
        <f t="shared" si="5"/>
        <v>0</v>
      </c>
      <c r="L21" s="84">
        <f t="shared" si="6"/>
        <v>0</v>
      </c>
      <c r="M21" s="84">
        <f t="shared" si="7"/>
        <v>0</v>
      </c>
      <c r="N21" s="84">
        <f t="shared" si="8"/>
        <v>0</v>
      </c>
      <c r="O21" s="84">
        <f t="shared" si="9"/>
        <v>0</v>
      </c>
      <c r="P21" s="84">
        <f t="shared" si="19"/>
        <v>0</v>
      </c>
      <c r="Q21" s="84"/>
      <c r="R21" s="84">
        <v>283872</v>
      </c>
      <c r="S21" s="84">
        <f t="shared" si="10"/>
        <v>5122822.7072559996</v>
      </c>
      <c r="T21" s="84">
        <f t="shared" si="11"/>
        <v>0</v>
      </c>
      <c r="U21" s="84">
        <f t="shared" si="12"/>
        <v>0</v>
      </c>
      <c r="V21" s="84">
        <f t="shared" si="13"/>
        <v>0</v>
      </c>
      <c r="W21" s="84"/>
      <c r="X21" s="84"/>
      <c r="Y21" s="84"/>
      <c r="Z21" s="84"/>
      <c r="AA21" s="84">
        <f t="shared" si="14"/>
        <v>5122822.7072559996</v>
      </c>
      <c r="AB21" s="84">
        <f t="shared" si="15"/>
        <v>0</v>
      </c>
      <c r="AC21" s="84">
        <f t="shared" si="16"/>
        <v>5122822.7072559996</v>
      </c>
      <c r="AD21" s="84">
        <f t="shared" si="17"/>
        <v>0</v>
      </c>
      <c r="AE21" s="84">
        <f t="shared" si="18"/>
        <v>5122822.7072559996</v>
      </c>
      <c r="AF21" s="84">
        <f t="shared" si="20"/>
        <v>2177046.7884359998</v>
      </c>
    </row>
    <row r="22" spans="1:103" x14ac:dyDescent="0.25">
      <c r="A22" s="66">
        <v>1</v>
      </c>
      <c r="B22" s="68" t="s">
        <v>131</v>
      </c>
      <c r="C22" s="84">
        <v>-1379687.0227959999</v>
      </c>
      <c r="D22" s="134">
        <f>SUM($C$16:C22)</f>
        <v>3743135.6844599997</v>
      </c>
      <c r="E22" s="84"/>
      <c r="F22" s="84">
        <f t="shared" si="0"/>
        <v>3743135.6844599997</v>
      </c>
      <c r="G22" s="84">
        <f t="shared" si="1"/>
        <v>0</v>
      </c>
      <c r="H22" s="84">
        <f t="shared" si="2"/>
        <v>0</v>
      </c>
      <c r="I22" s="84">
        <f t="shared" si="3"/>
        <v>0</v>
      </c>
      <c r="J22" s="84">
        <f t="shared" si="4"/>
        <v>0</v>
      </c>
      <c r="K22" s="84">
        <f t="shared" si="5"/>
        <v>0</v>
      </c>
      <c r="L22" s="84">
        <f t="shared" si="6"/>
        <v>0</v>
      </c>
      <c r="M22" s="84">
        <f t="shared" si="7"/>
        <v>0</v>
      </c>
      <c r="N22" s="84">
        <f t="shared" si="8"/>
        <v>0</v>
      </c>
      <c r="O22" s="84">
        <f t="shared" si="9"/>
        <v>0</v>
      </c>
      <c r="P22" s="84">
        <f t="shared" si="19"/>
        <v>0</v>
      </c>
      <c r="Q22" s="84"/>
      <c r="R22" s="84">
        <v>0</v>
      </c>
      <c r="S22" s="84">
        <f t="shared" si="10"/>
        <v>3743135.6844599997</v>
      </c>
      <c r="T22" s="84">
        <f t="shared" si="11"/>
        <v>0</v>
      </c>
      <c r="U22" s="84">
        <f t="shared" si="12"/>
        <v>0</v>
      </c>
      <c r="V22" s="84">
        <f t="shared" si="13"/>
        <v>0</v>
      </c>
      <c r="W22" s="84"/>
      <c r="X22" s="84"/>
      <c r="Y22" s="84"/>
      <c r="Z22" s="84"/>
      <c r="AA22" s="84">
        <f t="shared" si="14"/>
        <v>3743135.6844599997</v>
      </c>
      <c r="AB22" s="84">
        <f t="shared" si="15"/>
        <v>0</v>
      </c>
      <c r="AC22" s="84">
        <f t="shared" si="16"/>
        <v>3743135.6844599997</v>
      </c>
      <c r="AD22" s="84">
        <f t="shared" si="17"/>
        <v>0</v>
      </c>
      <c r="AE22" s="84">
        <f t="shared" si="18"/>
        <v>3743135.6844599997</v>
      </c>
      <c r="AF22" s="84">
        <f t="shared" si="20"/>
        <v>-1379687.0227959999</v>
      </c>
    </row>
    <row r="23" spans="1:103" x14ac:dyDescent="0.25">
      <c r="A23" s="66">
        <v>1</v>
      </c>
      <c r="B23" s="68" t="s">
        <v>130</v>
      </c>
      <c r="C23" s="84">
        <v>5410150.868636</v>
      </c>
      <c r="D23" s="134">
        <f>SUM($C$16:C23)</f>
        <v>9153286.5530960001</v>
      </c>
      <c r="E23" s="84"/>
      <c r="F23" s="84">
        <f t="shared" si="0"/>
        <v>9153286.5530960001</v>
      </c>
      <c r="G23" s="84">
        <f t="shared" si="1"/>
        <v>0</v>
      </c>
      <c r="H23" s="84">
        <f t="shared" si="2"/>
        <v>0</v>
      </c>
      <c r="I23" s="84">
        <f t="shared" si="3"/>
        <v>0</v>
      </c>
      <c r="J23" s="84">
        <f t="shared" si="4"/>
        <v>0</v>
      </c>
      <c r="K23" s="84">
        <f t="shared" si="5"/>
        <v>0</v>
      </c>
      <c r="L23" s="84">
        <f t="shared" si="6"/>
        <v>0</v>
      </c>
      <c r="M23" s="84">
        <f t="shared" si="7"/>
        <v>0</v>
      </c>
      <c r="N23" s="84">
        <f t="shared" si="8"/>
        <v>0</v>
      </c>
      <c r="O23" s="84">
        <f t="shared" si="9"/>
        <v>0</v>
      </c>
      <c r="P23" s="84">
        <f t="shared" si="19"/>
        <v>0</v>
      </c>
      <c r="Q23" s="84"/>
      <c r="R23" s="84">
        <v>0</v>
      </c>
      <c r="S23" s="84">
        <f t="shared" si="10"/>
        <v>9153286.5530960001</v>
      </c>
      <c r="T23" s="84">
        <f t="shared" si="11"/>
        <v>0</v>
      </c>
      <c r="U23" s="84">
        <f t="shared" si="12"/>
        <v>0</v>
      </c>
      <c r="V23" s="84">
        <f t="shared" si="13"/>
        <v>0</v>
      </c>
      <c r="W23" s="84"/>
      <c r="X23" s="84"/>
      <c r="Y23" s="84"/>
      <c r="Z23" s="84"/>
      <c r="AA23" s="84">
        <f t="shared" si="14"/>
        <v>9153286.5530960001</v>
      </c>
      <c r="AB23" s="84">
        <f t="shared" si="15"/>
        <v>0</v>
      </c>
      <c r="AC23" s="84">
        <f t="shared" si="16"/>
        <v>9153286.5530960001</v>
      </c>
      <c r="AD23" s="84">
        <f t="shared" si="17"/>
        <v>0</v>
      </c>
      <c r="AE23" s="84">
        <f t="shared" si="18"/>
        <v>9153286.5530960001</v>
      </c>
      <c r="AF23" s="84">
        <f t="shared" si="20"/>
        <v>5410150.8686360009</v>
      </c>
    </row>
    <row r="24" spans="1:103" x14ac:dyDescent="0.25">
      <c r="A24" s="66">
        <v>1</v>
      </c>
      <c r="B24" s="68" t="s">
        <v>129</v>
      </c>
      <c r="C24" s="84">
        <v>7371202.1948520001</v>
      </c>
      <c r="D24" s="134">
        <f>SUM($C$16:C24)</f>
        <v>16524488.747948</v>
      </c>
      <c r="E24" s="84"/>
      <c r="F24" s="84">
        <f t="shared" si="0"/>
        <v>16524488.747948</v>
      </c>
      <c r="G24" s="84">
        <f t="shared" si="1"/>
        <v>0</v>
      </c>
      <c r="H24" s="84">
        <f t="shared" si="2"/>
        <v>0</v>
      </c>
      <c r="I24" s="84">
        <f t="shared" si="3"/>
        <v>0</v>
      </c>
      <c r="J24" s="84">
        <f t="shared" si="4"/>
        <v>0</v>
      </c>
      <c r="K24" s="84">
        <f t="shared" si="5"/>
        <v>0</v>
      </c>
      <c r="L24" s="84">
        <f t="shared" si="6"/>
        <v>0</v>
      </c>
      <c r="M24" s="84">
        <f t="shared" si="7"/>
        <v>0</v>
      </c>
      <c r="N24" s="84">
        <f t="shared" si="8"/>
        <v>0</v>
      </c>
      <c r="O24" s="84">
        <f t="shared" si="9"/>
        <v>0</v>
      </c>
      <c r="P24" s="84">
        <f t="shared" si="19"/>
        <v>0</v>
      </c>
      <c r="Q24" s="84"/>
      <c r="R24" s="84">
        <v>0</v>
      </c>
      <c r="S24" s="84">
        <f t="shared" si="10"/>
        <v>16524488.747948</v>
      </c>
      <c r="T24" s="84">
        <f t="shared" si="11"/>
        <v>0</v>
      </c>
      <c r="U24" s="84">
        <f t="shared" si="12"/>
        <v>0</v>
      </c>
      <c r="V24" s="84">
        <f t="shared" si="13"/>
        <v>0</v>
      </c>
      <c r="W24" s="84"/>
      <c r="X24" s="84"/>
      <c r="Y24" s="84"/>
      <c r="Z24" s="84"/>
      <c r="AA24" s="84">
        <f t="shared" si="14"/>
        <v>16524488.747948</v>
      </c>
      <c r="AB24" s="84">
        <f t="shared" si="15"/>
        <v>0</v>
      </c>
      <c r="AC24" s="84">
        <f t="shared" si="16"/>
        <v>16524488.747948</v>
      </c>
      <c r="AD24" s="84">
        <f t="shared" si="17"/>
        <v>0</v>
      </c>
      <c r="AE24" s="84">
        <f t="shared" si="18"/>
        <v>16524488.747948</v>
      </c>
      <c r="AF24" s="84">
        <f t="shared" si="20"/>
        <v>7371202.1948520001</v>
      </c>
    </row>
    <row r="25" spans="1:103" x14ac:dyDescent="0.25">
      <c r="A25" s="66">
        <v>1</v>
      </c>
      <c r="B25" s="68" t="s">
        <v>128</v>
      </c>
      <c r="C25" s="84">
        <v>-1629966.3063080001</v>
      </c>
      <c r="D25" s="134">
        <f>SUM($C$16:C25)</f>
        <v>14894522.441640001</v>
      </c>
      <c r="E25" s="84"/>
      <c r="F25" s="84">
        <f t="shared" si="0"/>
        <v>14894522.441640001</v>
      </c>
      <c r="G25" s="84">
        <f t="shared" si="1"/>
        <v>0</v>
      </c>
      <c r="H25" s="84">
        <f t="shared" si="2"/>
        <v>0</v>
      </c>
      <c r="I25" s="84">
        <f t="shared" si="3"/>
        <v>0</v>
      </c>
      <c r="J25" s="84">
        <f t="shared" si="4"/>
        <v>0</v>
      </c>
      <c r="K25" s="84">
        <f t="shared" si="5"/>
        <v>0</v>
      </c>
      <c r="L25" s="84">
        <f t="shared" si="6"/>
        <v>0</v>
      </c>
      <c r="M25" s="84">
        <f t="shared" si="7"/>
        <v>0</v>
      </c>
      <c r="N25" s="84">
        <f t="shared" si="8"/>
        <v>0</v>
      </c>
      <c r="O25" s="84">
        <f t="shared" si="9"/>
        <v>0</v>
      </c>
      <c r="P25" s="84">
        <f t="shared" si="19"/>
        <v>0</v>
      </c>
      <c r="Q25" s="84"/>
      <c r="R25" s="84">
        <v>0</v>
      </c>
      <c r="S25" s="84">
        <f t="shared" si="10"/>
        <v>14894522.441640001</v>
      </c>
      <c r="T25" s="84">
        <f t="shared" si="11"/>
        <v>0</v>
      </c>
      <c r="U25" s="84">
        <f t="shared" si="12"/>
        <v>0</v>
      </c>
      <c r="V25" s="84">
        <f t="shared" si="13"/>
        <v>0</v>
      </c>
      <c r="W25" s="84"/>
      <c r="X25" s="84"/>
      <c r="Y25" s="84"/>
      <c r="Z25" s="84"/>
      <c r="AA25" s="84">
        <f t="shared" si="14"/>
        <v>14894522.441640001</v>
      </c>
      <c r="AB25" s="84">
        <f t="shared" si="15"/>
        <v>0</v>
      </c>
      <c r="AC25" s="84">
        <f t="shared" si="16"/>
        <v>14894522.441640001</v>
      </c>
      <c r="AD25" s="84">
        <f t="shared" si="17"/>
        <v>0</v>
      </c>
      <c r="AE25" s="84">
        <f t="shared" si="18"/>
        <v>14894522.441640001</v>
      </c>
      <c r="AF25" s="84">
        <f t="shared" si="20"/>
        <v>-1629966.3063079994</v>
      </c>
    </row>
    <row r="26" spans="1:103" x14ac:dyDescent="0.25">
      <c r="A26" s="66">
        <v>1</v>
      </c>
      <c r="B26" s="68" t="s">
        <v>127</v>
      </c>
      <c r="C26" s="84">
        <v>-2271770.6493159998</v>
      </c>
      <c r="D26" s="134">
        <f>SUM($C$16:C26)</f>
        <v>12622751.792324001</v>
      </c>
      <c r="E26" s="84"/>
      <c r="F26" s="84">
        <f t="shared" si="0"/>
        <v>12622751.792324001</v>
      </c>
      <c r="G26" s="84">
        <f t="shared" si="1"/>
        <v>0</v>
      </c>
      <c r="H26" s="84">
        <f t="shared" si="2"/>
        <v>0</v>
      </c>
      <c r="I26" s="84">
        <f t="shared" si="3"/>
        <v>0</v>
      </c>
      <c r="J26" s="84">
        <f t="shared" si="4"/>
        <v>0</v>
      </c>
      <c r="K26" s="84">
        <f t="shared" si="5"/>
        <v>0</v>
      </c>
      <c r="L26" s="84">
        <f t="shared" si="6"/>
        <v>0</v>
      </c>
      <c r="M26" s="84">
        <f t="shared" si="7"/>
        <v>0</v>
      </c>
      <c r="N26" s="84">
        <f t="shared" si="8"/>
        <v>0</v>
      </c>
      <c r="O26" s="84">
        <f t="shared" si="9"/>
        <v>0</v>
      </c>
      <c r="P26" s="84">
        <f t="shared" si="19"/>
        <v>0</v>
      </c>
      <c r="Q26" s="84"/>
      <c r="R26" s="84"/>
      <c r="S26" s="84">
        <f t="shared" si="10"/>
        <v>12622751.792324001</v>
      </c>
      <c r="T26" s="84">
        <f t="shared" si="11"/>
        <v>0</v>
      </c>
      <c r="U26" s="84">
        <f t="shared" si="12"/>
        <v>0</v>
      </c>
      <c r="V26" s="84">
        <f t="shared" si="13"/>
        <v>0</v>
      </c>
      <c r="W26" s="84"/>
      <c r="X26" s="84"/>
      <c r="Y26" s="84"/>
      <c r="Z26" s="84"/>
      <c r="AA26" s="84">
        <f t="shared" si="14"/>
        <v>12622751.792324001</v>
      </c>
      <c r="AB26" s="84">
        <f t="shared" si="15"/>
        <v>0</v>
      </c>
      <c r="AC26" s="84">
        <f t="shared" si="16"/>
        <v>12622751.792324001</v>
      </c>
      <c r="AD26" s="84">
        <f t="shared" si="17"/>
        <v>0</v>
      </c>
      <c r="AE26" s="84">
        <f t="shared" si="18"/>
        <v>12622751.792324001</v>
      </c>
      <c r="AF26" s="84">
        <f t="shared" si="20"/>
        <v>-2271770.6493159998</v>
      </c>
    </row>
    <row r="27" spans="1:103" x14ac:dyDescent="0.25">
      <c r="A27" s="166">
        <v>1</v>
      </c>
      <c r="B27" s="94" t="s">
        <v>126</v>
      </c>
      <c r="C27" s="84">
        <v>-10794453.650140001</v>
      </c>
      <c r="D27" s="134">
        <f>SUM($C$16:C27)</f>
        <v>1828298.1421840005</v>
      </c>
      <c r="E27" s="84"/>
      <c r="F27" s="84">
        <f t="shared" si="0"/>
        <v>1828298.1421840005</v>
      </c>
      <c r="G27" s="84">
        <f t="shared" si="1"/>
        <v>0</v>
      </c>
      <c r="H27" s="84">
        <f t="shared" si="2"/>
        <v>0</v>
      </c>
      <c r="I27" s="84">
        <f t="shared" si="3"/>
        <v>0</v>
      </c>
      <c r="J27" s="84">
        <f t="shared" si="4"/>
        <v>0</v>
      </c>
      <c r="K27" s="84">
        <f t="shared" si="5"/>
        <v>0</v>
      </c>
      <c r="L27" s="84">
        <f t="shared" si="6"/>
        <v>0</v>
      </c>
      <c r="M27" s="84">
        <f t="shared" si="7"/>
        <v>0</v>
      </c>
      <c r="N27" s="84">
        <f t="shared" si="8"/>
        <v>0</v>
      </c>
      <c r="O27" s="84">
        <f t="shared" si="9"/>
        <v>0</v>
      </c>
      <c r="P27" s="84">
        <f t="shared" si="19"/>
        <v>0</v>
      </c>
      <c r="Q27" s="84"/>
      <c r="R27" s="101">
        <v>0</v>
      </c>
      <c r="S27" s="84">
        <f t="shared" si="10"/>
        <v>1828298.1421840005</v>
      </c>
      <c r="T27" s="84">
        <f t="shared" si="11"/>
        <v>0</v>
      </c>
      <c r="U27" s="84">
        <f t="shared" si="12"/>
        <v>0</v>
      </c>
      <c r="V27" s="84">
        <f t="shared" si="13"/>
        <v>0</v>
      </c>
      <c r="W27" s="84"/>
      <c r="X27" s="84"/>
      <c r="Y27" s="84"/>
      <c r="Z27" s="84"/>
      <c r="AA27" s="84">
        <f t="shared" si="14"/>
        <v>1828298.1421840005</v>
      </c>
      <c r="AB27" s="84">
        <f t="shared" si="15"/>
        <v>0</v>
      </c>
      <c r="AC27" s="84">
        <f t="shared" si="16"/>
        <v>1828298.1421840005</v>
      </c>
      <c r="AD27" s="84">
        <f t="shared" si="17"/>
        <v>0</v>
      </c>
      <c r="AE27" s="84">
        <f t="shared" si="18"/>
        <v>1828298.1421840005</v>
      </c>
      <c r="AF27" s="84">
        <f t="shared" si="20"/>
        <v>-10794453.650140001</v>
      </c>
    </row>
    <row r="28" spans="1:103" s="169" customFormat="1" x14ac:dyDescent="0.25">
      <c r="A28" s="171"/>
      <c r="C28" s="170"/>
      <c r="D28" s="13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101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</row>
    <row r="29" spans="1:103" s="169" customFormat="1" x14ac:dyDescent="0.25">
      <c r="A29" s="66">
        <v>2</v>
      </c>
      <c r="B29" s="68" t="s">
        <v>125</v>
      </c>
      <c r="C29" s="84">
        <v>553555.29666674999</v>
      </c>
      <c r="D29" s="134">
        <f>SUM($C$29)</f>
        <v>553555.29666674999</v>
      </c>
      <c r="E29" s="84"/>
      <c r="F29" s="84">
        <f t="shared" ref="F29:F40" si="21">IF(ABS(D29)&gt;+$F$10,IF(D29&lt;0,-$F$10,+$F$10),+D29)</f>
        <v>553555.29666674999</v>
      </c>
      <c r="G29" s="84">
        <f t="shared" ref="G29:G40" si="22">IF(ABS(D29)-ABS(F29)&gt;=$G$10,IF(D29&lt;=0,-$G$10,+$G$10),+D29-F29)</f>
        <v>0</v>
      </c>
      <c r="H29" s="84">
        <f t="shared" ref="H29:H40" si="23">IF(ABS(+D29)-ABS(SUM(F29:G29))&gt;=$H$10,IF(D29&lt;=0,-$H$10,+$H$10),+D29-SUM(F29:G29))</f>
        <v>0</v>
      </c>
      <c r="I29" s="84">
        <f t="shared" ref="I29:I40" si="24">IF(ABS(+D29)-ABS(SUM(F29:H29))&gt;=$I$10,IF(D29&lt;=0,$D29-SUM($F29:$H29),$D29-SUM($F29:$H29)),D29-SUM(F29:H29))</f>
        <v>0</v>
      </c>
      <c r="J29" s="84">
        <f t="shared" ref="J29:J40" si="25">+G29*$C$278</f>
        <v>0</v>
      </c>
      <c r="K29" s="84">
        <f t="shared" ref="K29:K40" si="26">+H29*$C$279</f>
        <v>0</v>
      </c>
      <c r="L29" s="84">
        <f t="shared" ref="L29:L40" si="27">+I29*$C$280</f>
        <v>0</v>
      </c>
      <c r="M29" s="84">
        <f t="shared" ref="M29:M40" si="28">SUM(J29:L29)+$M$27</f>
        <v>0</v>
      </c>
      <c r="N29" s="84">
        <f t="shared" ref="N29:N40" si="29">AB29*$C$282</f>
        <v>0</v>
      </c>
      <c r="O29" s="84">
        <f t="shared" ref="O29:O40" si="30">M29+N29</f>
        <v>0</v>
      </c>
      <c r="P29" s="84">
        <f>O29-O27</f>
        <v>0</v>
      </c>
      <c r="Q29" s="92"/>
      <c r="R29" s="84">
        <v>0</v>
      </c>
      <c r="S29" s="84">
        <f t="shared" ref="S29:S40" si="31">+F29</f>
        <v>553555.29666674999</v>
      </c>
      <c r="T29" s="84">
        <f t="shared" ref="T29:T40" si="32">+G29-J29</f>
        <v>0</v>
      </c>
      <c r="U29" s="84">
        <f t="shared" ref="U29:U40" si="33">+H29-K29</f>
        <v>0</v>
      </c>
      <c r="V29" s="84">
        <f t="shared" ref="V29:V40" si="34">+I29-L29</f>
        <v>0</v>
      </c>
      <c r="W29" s="84"/>
      <c r="X29" s="84"/>
      <c r="Y29" s="84"/>
      <c r="Z29" s="84"/>
      <c r="AA29" s="84">
        <f t="shared" ref="AA29:AA40" si="35">SUM(S29:V29)+$AA$27</f>
        <v>2381853.4388507502</v>
      </c>
      <c r="AB29" s="84">
        <f t="shared" ref="AB29:AB40" si="36">IF(AA29&gt;40000000,AA29-40000000,0)</f>
        <v>0</v>
      </c>
      <c r="AC29" s="84">
        <f t="shared" ref="AC29:AC40" si="37">AA29-AB29</f>
        <v>2381853.4388507502</v>
      </c>
      <c r="AD29" s="84">
        <f t="shared" ref="AD29:AD40" si="38">AB29*$D$282</f>
        <v>0</v>
      </c>
      <c r="AE29" s="84">
        <f t="shared" ref="AE29:AE40" si="39">AA29-AB29+AD29</f>
        <v>2381853.4388507502</v>
      </c>
      <c r="AF29" s="84">
        <f>AE29-AE27</f>
        <v>553555.29666674975</v>
      </c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</row>
    <row r="30" spans="1:103" s="169" customFormat="1" x14ac:dyDescent="0.25">
      <c r="A30" s="66">
        <v>2</v>
      </c>
      <c r="B30" s="68" t="s">
        <v>124</v>
      </c>
      <c r="C30" s="84">
        <v>1563206.7823995384</v>
      </c>
      <c r="D30" s="134">
        <f>SUM($C$29:C30)</f>
        <v>2116762.0790662887</v>
      </c>
      <c r="E30" s="84"/>
      <c r="F30" s="84">
        <f t="shared" si="21"/>
        <v>2116762.0790662887</v>
      </c>
      <c r="G30" s="84">
        <f t="shared" si="22"/>
        <v>0</v>
      </c>
      <c r="H30" s="84">
        <f t="shared" si="23"/>
        <v>0</v>
      </c>
      <c r="I30" s="84">
        <f t="shared" si="24"/>
        <v>0</v>
      </c>
      <c r="J30" s="84">
        <f t="shared" si="25"/>
        <v>0</v>
      </c>
      <c r="K30" s="84">
        <f t="shared" si="26"/>
        <v>0</v>
      </c>
      <c r="L30" s="84">
        <f t="shared" si="27"/>
        <v>0</v>
      </c>
      <c r="M30" s="84">
        <f t="shared" si="28"/>
        <v>0</v>
      </c>
      <c r="N30" s="84">
        <f t="shared" si="29"/>
        <v>0</v>
      </c>
      <c r="O30" s="84">
        <f t="shared" si="30"/>
        <v>0</v>
      </c>
      <c r="P30" s="84">
        <f t="shared" ref="P30:P40" si="40">O30-O29</f>
        <v>0</v>
      </c>
      <c r="Q30" s="84"/>
      <c r="R30" s="84">
        <v>0</v>
      </c>
      <c r="S30" s="84">
        <f t="shared" si="31"/>
        <v>2116762.0790662887</v>
      </c>
      <c r="T30" s="84">
        <f t="shared" si="32"/>
        <v>0</v>
      </c>
      <c r="U30" s="84">
        <f t="shared" si="33"/>
        <v>0</v>
      </c>
      <c r="V30" s="84">
        <f t="shared" si="34"/>
        <v>0</v>
      </c>
      <c r="W30" s="84"/>
      <c r="X30" s="84"/>
      <c r="Y30" s="84"/>
      <c r="Z30" s="84"/>
      <c r="AA30" s="84">
        <f t="shared" si="35"/>
        <v>3945060.2212502891</v>
      </c>
      <c r="AB30" s="84">
        <f t="shared" si="36"/>
        <v>0</v>
      </c>
      <c r="AC30" s="84">
        <f t="shared" si="37"/>
        <v>3945060.2212502891</v>
      </c>
      <c r="AD30" s="84">
        <f t="shared" si="38"/>
        <v>0</v>
      </c>
      <c r="AE30" s="84">
        <f t="shared" si="39"/>
        <v>3945060.2212502891</v>
      </c>
      <c r="AF30" s="84">
        <f t="shared" ref="AF30:AF40" si="41">AE30-AE29</f>
        <v>1563206.7823995389</v>
      </c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</row>
    <row r="31" spans="1:103" s="169" customFormat="1" x14ac:dyDescent="0.25">
      <c r="A31" s="66">
        <v>2</v>
      </c>
      <c r="B31" s="68" t="s">
        <v>123</v>
      </c>
      <c r="C31" s="84">
        <v>4286450.4896373283</v>
      </c>
      <c r="D31" s="134">
        <f>SUM($C$29:C31)</f>
        <v>6403212.568703617</v>
      </c>
      <c r="E31" s="84"/>
      <c r="F31" s="84">
        <f t="shared" si="21"/>
        <v>6403212.568703617</v>
      </c>
      <c r="G31" s="84">
        <f t="shared" si="22"/>
        <v>0</v>
      </c>
      <c r="H31" s="84">
        <f t="shared" si="23"/>
        <v>0</v>
      </c>
      <c r="I31" s="84">
        <f t="shared" si="24"/>
        <v>0</v>
      </c>
      <c r="J31" s="84">
        <f t="shared" si="25"/>
        <v>0</v>
      </c>
      <c r="K31" s="84">
        <f t="shared" si="26"/>
        <v>0</v>
      </c>
      <c r="L31" s="84">
        <f t="shared" si="27"/>
        <v>0</v>
      </c>
      <c r="M31" s="84">
        <f t="shared" si="28"/>
        <v>0</v>
      </c>
      <c r="N31" s="84">
        <f t="shared" si="29"/>
        <v>0</v>
      </c>
      <c r="O31" s="84">
        <f t="shared" si="30"/>
        <v>0</v>
      </c>
      <c r="P31" s="84">
        <f t="shared" si="40"/>
        <v>0</v>
      </c>
      <c r="Q31" s="84"/>
      <c r="R31" s="84">
        <v>0</v>
      </c>
      <c r="S31" s="84">
        <f t="shared" si="31"/>
        <v>6403212.568703617</v>
      </c>
      <c r="T31" s="84">
        <f t="shared" si="32"/>
        <v>0</v>
      </c>
      <c r="U31" s="84">
        <f t="shared" si="33"/>
        <v>0</v>
      </c>
      <c r="V31" s="84">
        <f t="shared" si="34"/>
        <v>0</v>
      </c>
      <c r="W31" s="84"/>
      <c r="X31" s="84"/>
      <c r="Y31" s="84"/>
      <c r="Z31" s="84"/>
      <c r="AA31" s="84">
        <f t="shared" si="35"/>
        <v>8231510.7108876174</v>
      </c>
      <c r="AB31" s="84">
        <f t="shared" si="36"/>
        <v>0</v>
      </c>
      <c r="AC31" s="84">
        <f t="shared" si="37"/>
        <v>8231510.7108876174</v>
      </c>
      <c r="AD31" s="84">
        <f t="shared" si="38"/>
        <v>0</v>
      </c>
      <c r="AE31" s="84">
        <f t="shared" si="39"/>
        <v>8231510.7108876174</v>
      </c>
      <c r="AF31" s="84">
        <f t="shared" si="41"/>
        <v>4286450.4896373283</v>
      </c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</row>
    <row r="32" spans="1:103" s="169" customFormat="1" x14ac:dyDescent="0.25">
      <c r="A32" s="66">
        <v>2</v>
      </c>
      <c r="B32" s="68" t="s">
        <v>122</v>
      </c>
      <c r="C32" s="84">
        <v>5975563.4745287374</v>
      </c>
      <c r="D32" s="134">
        <f>SUM($C$29:C32)</f>
        <v>12378776.043232355</v>
      </c>
      <c r="E32" s="84"/>
      <c r="F32" s="84">
        <f t="shared" si="21"/>
        <v>12378776.043232355</v>
      </c>
      <c r="G32" s="84">
        <f t="shared" si="22"/>
        <v>0</v>
      </c>
      <c r="H32" s="84">
        <f t="shared" si="23"/>
        <v>0</v>
      </c>
      <c r="I32" s="84">
        <f t="shared" si="24"/>
        <v>0</v>
      </c>
      <c r="J32" s="84">
        <f t="shared" si="25"/>
        <v>0</v>
      </c>
      <c r="K32" s="84">
        <f t="shared" si="26"/>
        <v>0</v>
      </c>
      <c r="L32" s="84">
        <f t="shared" si="27"/>
        <v>0</v>
      </c>
      <c r="M32" s="84">
        <f t="shared" si="28"/>
        <v>0</v>
      </c>
      <c r="N32" s="84">
        <f t="shared" si="29"/>
        <v>0</v>
      </c>
      <c r="O32" s="84">
        <f t="shared" si="30"/>
        <v>0</v>
      </c>
      <c r="P32" s="84">
        <f t="shared" si="40"/>
        <v>0</v>
      </c>
      <c r="Q32" s="84"/>
      <c r="R32" s="84">
        <v>0</v>
      </c>
      <c r="S32" s="84">
        <f t="shared" si="31"/>
        <v>12378776.043232355</v>
      </c>
      <c r="T32" s="84">
        <f t="shared" si="32"/>
        <v>0</v>
      </c>
      <c r="U32" s="84">
        <f t="shared" si="33"/>
        <v>0</v>
      </c>
      <c r="V32" s="84">
        <f t="shared" si="34"/>
        <v>0</v>
      </c>
      <c r="W32" s="84"/>
      <c r="X32" s="84"/>
      <c r="Y32" s="84"/>
      <c r="Z32" s="84"/>
      <c r="AA32" s="84">
        <f t="shared" si="35"/>
        <v>14207074.185416356</v>
      </c>
      <c r="AB32" s="84">
        <f t="shared" si="36"/>
        <v>0</v>
      </c>
      <c r="AC32" s="84">
        <f t="shared" si="37"/>
        <v>14207074.185416356</v>
      </c>
      <c r="AD32" s="84">
        <f t="shared" si="38"/>
        <v>0</v>
      </c>
      <c r="AE32" s="84">
        <f t="shared" si="39"/>
        <v>14207074.185416356</v>
      </c>
      <c r="AF32" s="84">
        <f t="shared" si="41"/>
        <v>5975563.4745287383</v>
      </c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</row>
    <row r="33" spans="1:103" s="169" customFormat="1" x14ac:dyDescent="0.25">
      <c r="A33" s="66">
        <v>2</v>
      </c>
      <c r="B33" s="68" t="s">
        <v>121</v>
      </c>
      <c r="C33" s="84">
        <v>2921160.2050545742</v>
      </c>
      <c r="D33" s="134">
        <f>SUM($C$29:C33)</f>
        <v>15299936.248286929</v>
      </c>
      <c r="E33" s="84"/>
      <c r="F33" s="84">
        <f t="shared" si="21"/>
        <v>15299936.248286929</v>
      </c>
      <c r="G33" s="84">
        <f t="shared" si="22"/>
        <v>0</v>
      </c>
      <c r="H33" s="84">
        <f t="shared" si="23"/>
        <v>0</v>
      </c>
      <c r="I33" s="84">
        <f t="shared" si="24"/>
        <v>0</v>
      </c>
      <c r="J33" s="84">
        <f t="shared" si="25"/>
        <v>0</v>
      </c>
      <c r="K33" s="84">
        <f t="shared" si="26"/>
        <v>0</v>
      </c>
      <c r="L33" s="84">
        <f t="shared" si="27"/>
        <v>0</v>
      </c>
      <c r="M33" s="84">
        <f t="shared" si="28"/>
        <v>0</v>
      </c>
      <c r="N33" s="84">
        <f t="shared" si="29"/>
        <v>0</v>
      </c>
      <c r="O33" s="84">
        <f t="shared" si="30"/>
        <v>0</v>
      </c>
      <c r="P33" s="84">
        <f t="shared" si="40"/>
        <v>0</v>
      </c>
      <c r="Q33" s="84"/>
      <c r="R33" s="84">
        <v>0</v>
      </c>
      <c r="S33" s="84">
        <f t="shared" si="31"/>
        <v>15299936.248286929</v>
      </c>
      <c r="T33" s="84">
        <f t="shared" si="32"/>
        <v>0</v>
      </c>
      <c r="U33" s="84">
        <f t="shared" si="33"/>
        <v>0</v>
      </c>
      <c r="V33" s="84">
        <f t="shared" si="34"/>
        <v>0</v>
      </c>
      <c r="W33" s="84"/>
      <c r="X33" s="84"/>
      <c r="Y33" s="84"/>
      <c r="Z33" s="84"/>
      <c r="AA33" s="84">
        <f t="shared" si="35"/>
        <v>17128234.390470929</v>
      </c>
      <c r="AB33" s="84">
        <f t="shared" si="36"/>
        <v>0</v>
      </c>
      <c r="AC33" s="84">
        <f t="shared" si="37"/>
        <v>17128234.390470929</v>
      </c>
      <c r="AD33" s="84">
        <f t="shared" si="38"/>
        <v>0</v>
      </c>
      <c r="AE33" s="84">
        <f t="shared" si="39"/>
        <v>17128234.390470929</v>
      </c>
      <c r="AF33" s="84">
        <f t="shared" si="41"/>
        <v>2921160.2050545737</v>
      </c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</row>
    <row r="34" spans="1:103" s="169" customFormat="1" x14ac:dyDescent="0.25">
      <c r="A34" s="66">
        <v>2</v>
      </c>
      <c r="B34" s="68" t="s">
        <v>120</v>
      </c>
      <c r="C34" s="84">
        <v>3375349.0901841279</v>
      </c>
      <c r="D34" s="134">
        <f>SUM($C$29:C34)</f>
        <v>18675285.338471055</v>
      </c>
      <c r="E34" s="84"/>
      <c r="F34" s="84">
        <f t="shared" si="21"/>
        <v>18675285.338471055</v>
      </c>
      <c r="G34" s="84">
        <f t="shared" si="22"/>
        <v>0</v>
      </c>
      <c r="H34" s="84">
        <f t="shared" si="23"/>
        <v>0</v>
      </c>
      <c r="I34" s="84">
        <f t="shared" si="24"/>
        <v>0</v>
      </c>
      <c r="J34" s="84">
        <f t="shared" si="25"/>
        <v>0</v>
      </c>
      <c r="K34" s="84">
        <f t="shared" si="26"/>
        <v>0</v>
      </c>
      <c r="L34" s="84">
        <f t="shared" si="27"/>
        <v>0</v>
      </c>
      <c r="M34" s="84">
        <f t="shared" si="28"/>
        <v>0</v>
      </c>
      <c r="N34" s="84">
        <f t="shared" si="29"/>
        <v>0</v>
      </c>
      <c r="O34" s="84">
        <f t="shared" si="30"/>
        <v>0</v>
      </c>
      <c r="P34" s="84">
        <f t="shared" si="40"/>
        <v>0</v>
      </c>
      <c r="Q34" s="84"/>
      <c r="R34" s="84">
        <v>0</v>
      </c>
      <c r="S34" s="84">
        <f t="shared" si="31"/>
        <v>18675285.338471055</v>
      </c>
      <c r="T34" s="84">
        <f t="shared" si="32"/>
        <v>0</v>
      </c>
      <c r="U34" s="84">
        <f t="shared" si="33"/>
        <v>0</v>
      </c>
      <c r="V34" s="84">
        <f t="shared" si="34"/>
        <v>0</v>
      </c>
      <c r="W34" s="84"/>
      <c r="X34" s="84"/>
      <c r="Y34" s="84"/>
      <c r="Z34" s="84"/>
      <c r="AA34" s="84">
        <f t="shared" si="35"/>
        <v>20503583.480655055</v>
      </c>
      <c r="AB34" s="84">
        <f t="shared" si="36"/>
        <v>0</v>
      </c>
      <c r="AC34" s="84">
        <f t="shared" si="37"/>
        <v>20503583.480655055</v>
      </c>
      <c r="AD34" s="84">
        <f t="shared" si="38"/>
        <v>0</v>
      </c>
      <c r="AE34" s="84">
        <f t="shared" si="39"/>
        <v>20503583.480655055</v>
      </c>
      <c r="AF34" s="84">
        <f t="shared" si="41"/>
        <v>3375349.090184126</v>
      </c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</row>
    <row r="35" spans="1:103" s="169" customFormat="1" x14ac:dyDescent="0.25">
      <c r="A35" s="66">
        <v>2</v>
      </c>
      <c r="B35" s="68" t="s">
        <v>131</v>
      </c>
      <c r="C35" s="84">
        <v>548855.20570934727</v>
      </c>
      <c r="D35" s="134">
        <f>SUM($C$29:C35)</f>
        <v>19224140.544180401</v>
      </c>
      <c r="E35" s="84"/>
      <c r="F35" s="84">
        <f t="shared" si="21"/>
        <v>19224140.544180401</v>
      </c>
      <c r="G35" s="84">
        <f t="shared" si="22"/>
        <v>0</v>
      </c>
      <c r="H35" s="84">
        <f t="shared" si="23"/>
        <v>0</v>
      </c>
      <c r="I35" s="84">
        <f t="shared" si="24"/>
        <v>0</v>
      </c>
      <c r="J35" s="84">
        <f t="shared" si="25"/>
        <v>0</v>
      </c>
      <c r="K35" s="84">
        <f t="shared" si="26"/>
        <v>0</v>
      </c>
      <c r="L35" s="84">
        <f t="shared" si="27"/>
        <v>0</v>
      </c>
      <c r="M35" s="84">
        <f t="shared" si="28"/>
        <v>0</v>
      </c>
      <c r="N35" s="84">
        <f t="shared" si="29"/>
        <v>0</v>
      </c>
      <c r="O35" s="84">
        <f t="shared" si="30"/>
        <v>0</v>
      </c>
      <c r="P35" s="84">
        <f t="shared" si="40"/>
        <v>0</v>
      </c>
      <c r="Q35" s="84"/>
      <c r="R35" s="84">
        <v>0</v>
      </c>
      <c r="S35" s="84">
        <f t="shared" si="31"/>
        <v>19224140.544180401</v>
      </c>
      <c r="T35" s="84">
        <f t="shared" si="32"/>
        <v>0</v>
      </c>
      <c r="U35" s="84">
        <f t="shared" si="33"/>
        <v>0</v>
      </c>
      <c r="V35" s="84">
        <f t="shared" si="34"/>
        <v>0</v>
      </c>
      <c r="W35" s="84"/>
      <c r="X35" s="84"/>
      <c r="Y35" s="84"/>
      <c r="Z35" s="84"/>
      <c r="AA35" s="84">
        <f t="shared" si="35"/>
        <v>21052438.686364401</v>
      </c>
      <c r="AB35" s="84">
        <f t="shared" si="36"/>
        <v>0</v>
      </c>
      <c r="AC35" s="84">
        <f t="shared" si="37"/>
        <v>21052438.686364401</v>
      </c>
      <c r="AD35" s="84">
        <f t="shared" si="38"/>
        <v>0</v>
      </c>
      <c r="AE35" s="84">
        <f t="shared" si="39"/>
        <v>21052438.686364401</v>
      </c>
      <c r="AF35" s="84">
        <f t="shared" si="41"/>
        <v>548855.20570934564</v>
      </c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</row>
    <row r="36" spans="1:103" s="169" customFormat="1" x14ac:dyDescent="0.25">
      <c r="A36" s="66">
        <v>2</v>
      </c>
      <c r="B36" s="68" t="s">
        <v>130</v>
      </c>
      <c r="C36" s="84">
        <v>6568296.4036993841</v>
      </c>
      <c r="D36" s="134">
        <f>SUM($C$29:C36)</f>
        <v>25792436.947879784</v>
      </c>
      <c r="E36" s="84"/>
      <c r="F36" s="84">
        <f t="shared" si="21"/>
        <v>20000000</v>
      </c>
      <c r="G36" s="84">
        <f t="shared" si="22"/>
        <v>5792436.9478797838</v>
      </c>
      <c r="H36" s="84">
        <f t="shared" si="23"/>
        <v>0</v>
      </c>
      <c r="I36" s="84">
        <f t="shared" si="24"/>
        <v>0</v>
      </c>
      <c r="J36" s="84">
        <f t="shared" si="25"/>
        <v>2896218.4739398919</v>
      </c>
      <c r="K36" s="84">
        <f t="shared" si="26"/>
        <v>0</v>
      </c>
      <c r="L36" s="84">
        <f t="shared" si="27"/>
        <v>0</v>
      </c>
      <c r="M36" s="84">
        <f t="shared" si="28"/>
        <v>2896218.4739398919</v>
      </c>
      <c r="N36" s="84">
        <f t="shared" si="29"/>
        <v>0</v>
      </c>
      <c r="O36" s="84">
        <f t="shared" si="30"/>
        <v>2896218.4739398919</v>
      </c>
      <c r="P36" s="84">
        <f t="shared" si="40"/>
        <v>2896218.4739398919</v>
      </c>
      <c r="Q36" s="84"/>
      <c r="R36" s="84">
        <v>0</v>
      </c>
      <c r="S36" s="84">
        <f t="shared" si="31"/>
        <v>20000000</v>
      </c>
      <c r="T36" s="84">
        <f t="shared" si="32"/>
        <v>2896218.4739398919</v>
      </c>
      <c r="U36" s="84">
        <f t="shared" si="33"/>
        <v>0</v>
      </c>
      <c r="V36" s="84">
        <f t="shared" si="34"/>
        <v>0</v>
      </c>
      <c r="W36" s="84"/>
      <c r="X36" s="84"/>
      <c r="Y36" s="84"/>
      <c r="Z36" s="84"/>
      <c r="AA36" s="84">
        <f t="shared" si="35"/>
        <v>24724516.616123892</v>
      </c>
      <c r="AB36" s="84">
        <f t="shared" si="36"/>
        <v>0</v>
      </c>
      <c r="AC36" s="84">
        <f t="shared" si="37"/>
        <v>24724516.616123892</v>
      </c>
      <c r="AD36" s="84">
        <f t="shared" si="38"/>
        <v>0</v>
      </c>
      <c r="AE36" s="84">
        <f t="shared" si="39"/>
        <v>24724516.616123892</v>
      </c>
      <c r="AF36" s="84">
        <f t="shared" si="41"/>
        <v>3672077.9297594912</v>
      </c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</row>
    <row r="37" spans="1:103" s="169" customFormat="1" x14ac:dyDescent="0.25">
      <c r="A37" s="66">
        <v>2</v>
      </c>
      <c r="B37" s="68" t="s">
        <v>129</v>
      </c>
      <c r="C37" s="84">
        <v>4108919.8459156379</v>
      </c>
      <c r="D37" s="134">
        <f>SUM($C$29:C37)</f>
        <v>29901356.793795422</v>
      </c>
      <c r="E37" s="84"/>
      <c r="F37" s="84">
        <f t="shared" si="21"/>
        <v>20000000</v>
      </c>
      <c r="G37" s="84">
        <f t="shared" si="22"/>
        <v>9901356.7937954217</v>
      </c>
      <c r="H37" s="84">
        <f t="shared" si="23"/>
        <v>0</v>
      </c>
      <c r="I37" s="84">
        <f t="shared" si="24"/>
        <v>0</v>
      </c>
      <c r="J37" s="84">
        <f t="shared" si="25"/>
        <v>4950678.3968977109</v>
      </c>
      <c r="K37" s="84">
        <f t="shared" si="26"/>
        <v>0</v>
      </c>
      <c r="L37" s="84">
        <f t="shared" si="27"/>
        <v>0</v>
      </c>
      <c r="M37" s="84">
        <f t="shared" si="28"/>
        <v>4950678.3968977109</v>
      </c>
      <c r="N37" s="84">
        <f t="shared" si="29"/>
        <v>0</v>
      </c>
      <c r="O37" s="84">
        <f t="shared" si="30"/>
        <v>4950678.3968977109</v>
      </c>
      <c r="P37" s="84">
        <f t="shared" si="40"/>
        <v>2054459.922957819</v>
      </c>
      <c r="Q37" s="84"/>
      <c r="R37" s="84">
        <v>0</v>
      </c>
      <c r="S37" s="84">
        <f t="shared" si="31"/>
        <v>20000000</v>
      </c>
      <c r="T37" s="84">
        <f t="shared" si="32"/>
        <v>4950678.3968977109</v>
      </c>
      <c r="U37" s="84">
        <f t="shared" si="33"/>
        <v>0</v>
      </c>
      <c r="V37" s="84">
        <f t="shared" si="34"/>
        <v>0</v>
      </c>
      <c r="W37" s="84"/>
      <c r="X37" s="84"/>
      <c r="Y37" s="84"/>
      <c r="Z37" s="84"/>
      <c r="AA37" s="84">
        <f t="shared" si="35"/>
        <v>26778976.539081711</v>
      </c>
      <c r="AB37" s="84">
        <f t="shared" si="36"/>
        <v>0</v>
      </c>
      <c r="AC37" s="84">
        <f t="shared" si="37"/>
        <v>26778976.539081711</v>
      </c>
      <c r="AD37" s="84">
        <f t="shared" si="38"/>
        <v>0</v>
      </c>
      <c r="AE37" s="84">
        <f t="shared" si="39"/>
        <v>26778976.539081711</v>
      </c>
      <c r="AF37" s="84">
        <f t="shared" si="41"/>
        <v>2054459.922957819</v>
      </c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</row>
    <row r="38" spans="1:103" s="169" customFormat="1" x14ac:dyDescent="0.25">
      <c r="A38" s="66">
        <v>2</v>
      </c>
      <c r="B38" s="68" t="s">
        <v>128</v>
      </c>
      <c r="C38" s="84">
        <v>2768077.2235904834</v>
      </c>
      <c r="D38" s="134">
        <f>SUM($C$29:C38)</f>
        <v>32669434.017385904</v>
      </c>
      <c r="E38" s="84"/>
      <c r="F38" s="84">
        <f t="shared" si="21"/>
        <v>20000000</v>
      </c>
      <c r="G38" s="84">
        <f t="shared" si="22"/>
        <v>12669434.017385904</v>
      </c>
      <c r="H38" s="84">
        <f t="shared" si="23"/>
        <v>0</v>
      </c>
      <c r="I38" s="84">
        <f t="shared" si="24"/>
        <v>0</v>
      </c>
      <c r="J38" s="84">
        <f t="shared" si="25"/>
        <v>6334717.0086929519</v>
      </c>
      <c r="K38" s="84">
        <f t="shared" si="26"/>
        <v>0</v>
      </c>
      <c r="L38" s="84">
        <f t="shared" si="27"/>
        <v>0</v>
      </c>
      <c r="M38" s="84">
        <f t="shared" si="28"/>
        <v>6334717.0086929519</v>
      </c>
      <c r="N38" s="84">
        <f t="shared" si="29"/>
        <v>0</v>
      </c>
      <c r="O38" s="84">
        <f t="shared" si="30"/>
        <v>6334717.0086929519</v>
      </c>
      <c r="P38" s="84">
        <f t="shared" si="40"/>
        <v>1384038.611795241</v>
      </c>
      <c r="Q38" s="84"/>
      <c r="R38" s="84">
        <v>0</v>
      </c>
      <c r="S38" s="84">
        <f t="shared" si="31"/>
        <v>20000000</v>
      </c>
      <c r="T38" s="84">
        <f t="shared" si="32"/>
        <v>6334717.0086929519</v>
      </c>
      <c r="U38" s="84">
        <f t="shared" si="33"/>
        <v>0</v>
      </c>
      <c r="V38" s="84">
        <f t="shared" si="34"/>
        <v>0</v>
      </c>
      <c r="W38" s="84"/>
      <c r="X38" s="84"/>
      <c r="Y38" s="84"/>
      <c r="Z38" s="84"/>
      <c r="AA38" s="84">
        <f t="shared" si="35"/>
        <v>28163015.15087695</v>
      </c>
      <c r="AB38" s="84">
        <f t="shared" si="36"/>
        <v>0</v>
      </c>
      <c r="AC38" s="84">
        <f t="shared" si="37"/>
        <v>28163015.15087695</v>
      </c>
      <c r="AD38" s="84">
        <f t="shared" si="38"/>
        <v>0</v>
      </c>
      <c r="AE38" s="84">
        <f t="shared" si="39"/>
        <v>28163015.15087695</v>
      </c>
      <c r="AF38" s="84">
        <f t="shared" si="41"/>
        <v>1384038.6117952392</v>
      </c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</row>
    <row r="39" spans="1:103" s="169" customFormat="1" x14ac:dyDescent="0.25">
      <c r="A39" s="168">
        <v>2</v>
      </c>
      <c r="B39" s="167" t="s">
        <v>127</v>
      </c>
      <c r="C39" s="84">
        <v>-6106173.5915870275</v>
      </c>
      <c r="D39" s="134">
        <f>SUM($C$29:C39)</f>
        <v>26563260.425798878</v>
      </c>
      <c r="E39" s="84"/>
      <c r="F39" s="84">
        <f t="shared" si="21"/>
        <v>20000000</v>
      </c>
      <c r="G39" s="84">
        <f t="shared" si="22"/>
        <v>6563260.4257988781</v>
      </c>
      <c r="H39" s="84">
        <f t="shared" si="23"/>
        <v>0</v>
      </c>
      <c r="I39" s="84">
        <f t="shared" si="24"/>
        <v>0</v>
      </c>
      <c r="J39" s="84">
        <f t="shared" si="25"/>
        <v>3281630.212899439</v>
      </c>
      <c r="K39" s="84">
        <f t="shared" si="26"/>
        <v>0</v>
      </c>
      <c r="L39" s="84">
        <f t="shared" si="27"/>
        <v>0</v>
      </c>
      <c r="M39" s="84">
        <f t="shared" si="28"/>
        <v>3281630.212899439</v>
      </c>
      <c r="N39" s="84">
        <f t="shared" si="29"/>
        <v>0</v>
      </c>
      <c r="O39" s="84">
        <f t="shared" si="30"/>
        <v>3281630.212899439</v>
      </c>
      <c r="P39" s="84">
        <f t="shared" si="40"/>
        <v>-3053086.7957935128</v>
      </c>
      <c r="Q39" s="84"/>
      <c r="R39" s="84">
        <v>0</v>
      </c>
      <c r="S39" s="84">
        <f t="shared" si="31"/>
        <v>20000000</v>
      </c>
      <c r="T39" s="84">
        <f t="shared" si="32"/>
        <v>3281630.212899439</v>
      </c>
      <c r="U39" s="84">
        <f t="shared" si="33"/>
        <v>0</v>
      </c>
      <c r="V39" s="84">
        <f t="shared" si="34"/>
        <v>0</v>
      </c>
      <c r="W39" s="84"/>
      <c r="X39" s="84"/>
      <c r="Y39" s="84"/>
      <c r="Z39" s="84"/>
      <c r="AA39" s="84">
        <f t="shared" si="35"/>
        <v>25109928.355083439</v>
      </c>
      <c r="AB39" s="84">
        <f t="shared" si="36"/>
        <v>0</v>
      </c>
      <c r="AC39" s="84">
        <f t="shared" si="37"/>
        <v>25109928.355083439</v>
      </c>
      <c r="AD39" s="84">
        <f t="shared" si="38"/>
        <v>0</v>
      </c>
      <c r="AE39" s="84">
        <f t="shared" si="39"/>
        <v>25109928.355083439</v>
      </c>
      <c r="AF39" s="84">
        <f t="shared" si="41"/>
        <v>-3053086.795793511</v>
      </c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</row>
    <row r="40" spans="1:103" s="169" customFormat="1" x14ac:dyDescent="0.25">
      <c r="A40" s="66">
        <v>2</v>
      </c>
      <c r="B40" s="68" t="s">
        <v>126</v>
      </c>
      <c r="C40" s="84">
        <v>2988063.3860555193</v>
      </c>
      <c r="D40" s="134">
        <f>SUM($C$29:C40)</f>
        <v>29551323.811854396</v>
      </c>
      <c r="E40" s="84"/>
      <c r="F40" s="84">
        <f t="shared" si="21"/>
        <v>20000000</v>
      </c>
      <c r="G40" s="84">
        <f t="shared" si="22"/>
        <v>9551323.811854396</v>
      </c>
      <c r="H40" s="84">
        <f t="shared" si="23"/>
        <v>0</v>
      </c>
      <c r="I40" s="84">
        <f t="shared" si="24"/>
        <v>0</v>
      </c>
      <c r="J40" s="84">
        <f t="shared" si="25"/>
        <v>4775661.905927198</v>
      </c>
      <c r="K40" s="84">
        <f t="shared" si="26"/>
        <v>0</v>
      </c>
      <c r="L40" s="84">
        <f t="shared" si="27"/>
        <v>0</v>
      </c>
      <c r="M40" s="84">
        <f t="shared" si="28"/>
        <v>4775661.905927198</v>
      </c>
      <c r="N40" s="84">
        <f t="shared" si="29"/>
        <v>0</v>
      </c>
      <c r="O40" s="84">
        <f t="shared" si="30"/>
        <v>4775661.905927198</v>
      </c>
      <c r="P40" s="84">
        <f t="shared" si="40"/>
        <v>1494031.693027759</v>
      </c>
      <c r="Q40" s="84"/>
      <c r="R40" s="101">
        <v>0</v>
      </c>
      <c r="S40" s="84">
        <f t="shared" si="31"/>
        <v>20000000</v>
      </c>
      <c r="T40" s="84">
        <f t="shared" si="32"/>
        <v>4775661.905927198</v>
      </c>
      <c r="U40" s="84">
        <f t="shared" si="33"/>
        <v>0</v>
      </c>
      <c r="V40" s="84">
        <f t="shared" si="34"/>
        <v>0</v>
      </c>
      <c r="W40" s="84"/>
      <c r="X40" s="84"/>
      <c r="Y40" s="84"/>
      <c r="Z40" s="84"/>
      <c r="AA40" s="84">
        <f t="shared" si="35"/>
        <v>26603960.048111197</v>
      </c>
      <c r="AB40" s="84">
        <f t="shared" si="36"/>
        <v>0</v>
      </c>
      <c r="AC40" s="84">
        <f t="shared" si="37"/>
        <v>26603960.048111197</v>
      </c>
      <c r="AD40" s="84">
        <f t="shared" si="38"/>
        <v>0</v>
      </c>
      <c r="AE40" s="84">
        <f t="shared" si="39"/>
        <v>26603960.048111197</v>
      </c>
      <c r="AF40" s="84">
        <f t="shared" si="41"/>
        <v>1494031.6930277571</v>
      </c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</row>
    <row r="41" spans="1:103" s="169" customFormat="1" x14ac:dyDescent="0.25">
      <c r="A41" s="171"/>
      <c r="C41" s="170"/>
      <c r="D41" s="13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101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</row>
    <row r="42" spans="1:103" x14ac:dyDescent="0.25">
      <c r="A42" s="66">
        <v>3</v>
      </c>
      <c r="B42" s="68" t="s">
        <v>125</v>
      </c>
      <c r="C42" s="84">
        <v>2708484.1832444821</v>
      </c>
      <c r="D42" s="134">
        <f>C42</f>
        <v>2708484.1832444821</v>
      </c>
      <c r="E42" s="84"/>
      <c r="F42" s="84">
        <f t="shared" ref="F42:F53" si="42">IF(ABS(D42)&gt;+$F$10,IF(D42&lt;0,-$F$10,+$F$10),+D42)</f>
        <v>2708484.1832444821</v>
      </c>
      <c r="G42" s="84">
        <f t="shared" ref="G42:G53" si="43">IF(ABS(D42)-ABS(F42)&gt;=$G$10,IF(D42&lt;=0,-$G$10,+$G$10),+D42-F42)</f>
        <v>0</v>
      </c>
      <c r="H42" s="84">
        <f t="shared" ref="H42:H53" si="44">IF(ABS(+D42)-ABS(SUM(F42:G42))&gt;=$H$10,IF(D42&lt;=0,-$H$10,+$H$10),+D42-SUM(F42:G42))</f>
        <v>0</v>
      </c>
      <c r="I42" s="84">
        <f t="shared" ref="I42:I53" si="45">IF(ABS(+D42)-ABS(SUM(F42:H42))&gt;=$I$10,IF(D42&lt;=0,$D42-SUM($F42:$H42),$D42-SUM($F42:$H42)),D42-SUM(F42:H42))</f>
        <v>0</v>
      </c>
      <c r="J42" s="84">
        <f t="shared" ref="J42:J53" si="46">+G42*$C$278</f>
        <v>0</v>
      </c>
      <c r="K42" s="84">
        <f t="shared" ref="K42:K53" si="47">+H42*$C$279</f>
        <v>0</v>
      </c>
      <c r="L42" s="84">
        <f t="shared" ref="L42:L53" si="48">+I42*$C$280</f>
        <v>0</v>
      </c>
      <c r="M42" s="84">
        <f t="shared" ref="M42:M53" si="49">SUM(J42:L42)+$M$40</f>
        <v>4775661.905927198</v>
      </c>
      <c r="N42" s="84">
        <f t="shared" ref="N42:N53" si="50">AB42*$C$282</f>
        <v>0</v>
      </c>
      <c r="O42" s="84">
        <f t="shared" ref="O42:O53" si="51">M42+N42</f>
        <v>4775661.905927198</v>
      </c>
      <c r="P42" s="84">
        <f>O42-O40</f>
        <v>0</v>
      </c>
      <c r="Q42" s="92"/>
      <c r="R42" s="84">
        <v>0</v>
      </c>
      <c r="S42" s="84">
        <f t="shared" ref="S42:S53" si="52">+F42</f>
        <v>2708484.1832444821</v>
      </c>
      <c r="T42" s="84">
        <f t="shared" ref="T42:T53" si="53">+G42-J42</f>
        <v>0</v>
      </c>
      <c r="U42" s="84">
        <f t="shared" ref="U42:U53" si="54">+H42-K42</f>
        <v>0</v>
      </c>
      <c r="V42" s="84">
        <f t="shared" ref="V42:V53" si="55">+I42-L42</f>
        <v>0</v>
      </c>
      <c r="W42" s="84"/>
      <c r="X42" s="84"/>
      <c r="Y42" s="84"/>
      <c r="Z42" s="84"/>
      <c r="AA42" s="84">
        <f t="shared" ref="AA42:AA53" si="56">SUM(S42:V42)+$AA$40</f>
        <v>29312444.231355678</v>
      </c>
      <c r="AB42" s="84">
        <f t="shared" ref="AB42:AB53" si="57">IF(AA42&gt;40000000,AA42-40000000,0)</f>
        <v>0</v>
      </c>
      <c r="AC42" s="84">
        <f t="shared" ref="AC42:AC53" si="58">AA42-AB42</f>
        <v>29312444.231355678</v>
      </c>
      <c r="AD42" s="84">
        <f t="shared" ref="AD42:AD53" si="59">AB42*$D$282</f>
        <v>0</v>
      </c>
      <c r="AE42" s="84">
        <f t="shared" ref="AE42:AE53" si="60">AA42-AB42+AD42</f>
        <v>29312444.231355678</v>
      </c>
      <c r="AF42" s="84">
        <f>AE42-AE40</f>
        <v>2708484.1832444817</v>
      </c>
    </row>
    <row r="43" spans="1:103" x14ac:dyDescent="0.25">
      <c r="A43" s="66">
        <v>3</v>
      </c>
      <c r="B43" s="68" t="s">
        <v>124</v>
      </c>
      <c r="C43" s="84">
        <v>-1027759.6405214515</v>
      </c>
      <c r="D43" s="134">
        <f>SUM($C$42:C43)</f>
        <v>1680724.5427230308</v>
      </c>
      <c r="E43" s="84"/>
      <c r="F43" s="84">
        <f t="shared" si="42"/>
        <v>1680724.5427230308</v>
      </c>
      <c r="G43" s="84">
        <f t="shared" si="43"/>
        <v>0</v>
      </c>
      <c r="H43" s="84">
        <f t="shared" si="44"/>
        <v>0</v>
      </c>
      <c r="I43" s="84">
        <f t="shared" si="45"/>
        <v>0</v>
      </c>
      <c r="J43" s="84">
        <f t="shared" si="46"/>
        <v>0</v>
      </c>
      <c r="K43" s="84">
        <f t="shared" si="47"/>
        <v>0</v>
      </c>
      <c r="L43" s="84">
        <f t="shared" si="48"/>
        <v>0</v>
      </c>
      <c r="M43" s="84">
        <f t="shared" si="49"/>
        <v>4775661.905927198</v>
      </c>
      <c r="N43" s="84">
        <f t="shared" si="50"/>
        <v>0</v>
      </c>
      <c r="O43" s="84">
        <f t="shared" si="51"/>
        <v>4775661.905927198</v>
      </c>
      <c r="P43" s="84">
        <f t="shared" ref="P43:P53" si="61">O43-O42</f>
        <v>0</v>
      </c>
      <c r="Q43" s="84"/>
      <c r="R43" s="84">
        <v>0</v>
      </c>
      <c r="S43" s="84">
        <f t="shared" si="52"/>
        <v>1680724.5427230308</v>
      </c>
      <c r="T43" s="84">
        <f t="shared" si="53"/>
        <v>0</v>
      </c>
      <c r="U43" s="84">
        <f t="shared" si="54"/>
        <v>0</v>
      </c>
      <c r="V43" s="84">
        <f t="shared" si="55"/>
        <v>0</v>
      </c>
      <c r="W43" s="84"/>
      <c r="X43" s="84"/>
      <c r="Y43" s="84"/>
      <c r="Z43" s="84"/>
      <c r="AA43" s="84">
        <f t="shared" si="56"/>
        <v>28284684.590834226</v>
      </c>
      <c r="AB43" s="84">
        <f t="shared" si="57"/>
        <v>0</v>
      </c>
      <c r="AC43" s="84">
        <f t="shared" si="58"/>
        <v>28284684.590834226</v>
      </c>
      <c r="AD43" s="84">
        <f t="shared" si="59"/>
        <v>0</v>
      </c>
      <c r="AE43" s="84">
        <f t="shared" si="60"/>
        <v>28284684.590834226</v>
      </c>
      <c r="AF43" s="84">
        <f t="shared" ref="AF43:AF53" si="62">AE43-AE42</f>
        <v>-1027759.6405214518</v>
      </c>
    </row>
    <row r="44" spans="1:103" x14ac:dyDescent="0.25">
      <c r="A44" s="66">
        <v>3</v>
      </c>
      <c r="B44" s="68" t="s">
        <v>123</v>
      </c>
      <c r="C44" s="84">
        <v>291436.92235272226</v>
      </c>
      <c r="D44" s="134">
        <f>SUM($C$42:C44)</f>
        <v>1972161.4650757532</v>
      </c>
      <c r="E44" s="84"/>
      <c r="F44" s="84">
        <f t="shared" si="42"/>
        <v>1972161.4650757532</v>
      </c>
      <c r="G44" s="84">
        <f t="shared" si="43"/>
        <v>0</v>
      </c>
      <c r="H44" s="84">
        <f t="shared" si="44"/>
        <v>0</v>
      </c>
      <c r="I44" s="84">
        <f t="shared" si="45"/>
        <v>0</v>
      </c>
      <c r="J44" s="84">
        <f t="shared" si="46"/>
        <v>0</v>
      </c>
      <c r="K44" s="84">
        <f t="shared" si="47"/>
        <v>0</v>
      </c>
      <c r="L44" s="84">
        <f t="shared" si="48"/>
        <v>0</v>
      </c>
      <c r="M44" s="84">
        <f t="shared" si="49"/>
        <v>4775661.905927198</v>
      </c>
      <c r="N44" s="84">
        <f t="shared" si="50"/>
        <v>0</v>
      </c>
      <c r="O44" s="84">
        <f t="shared" si="51"/>
        <v>4775661.905927198</v>
      </c>
      <c r="P44" s="84">
        <f t="shared" si="61"/>
        <v>0</v>
      </c>
      <c r="Q44" s="84"/>
      <c r="R44" s="84">
        <v>0</v>
      </c>
      <c r="S44" s="84">
        <f t="shared" si="52"/>
        <v>1972161.4650757532</v>
      </c>
      <c r="T44" s="84">
        <f t="shared" si="53"/>
        <v>0</v>
      </c>
      <c r="U44" s="84">
        <f t="shared" si="54"/>
        <v>0</v>
      </c>
      <c r="V44" s="84">
        <f t="shared" si="55"/>
        <v>0</v>
      </c>
      <c r="W44" s="84"/>
      <c r="X44" s="84"/>
      <c r="Y44" s="84"/>
      <c r="Z44" s="84"/>
      <c r="AA44" s="84">
        <f t="shared" si="56"/>
        <v>28576121.51318695</v>
      </c>
      <c r="AB44" s="84">
        <f t="shared" si="57"/>
        <v>0</v>
      </c>
      <c r="AC44" s="84">
        <f t="shared" si="58"/>
        <v>28576121.51318695</v>
      </c>
      <c r="AD44" s="84">
        <f t="shared" si="59"/>
        <v>0</v>
      </c>
      <c r="AE44" s="84">
        <f t="shared" si="60"/>
        <v>28576121.51318695</v>
      </c>
      <c r="AF44" s="84">
        <f t="shared" si="62"/>
        <v>291436.92235272378</v>
      </c>
    </row>
    <row r="45" spans="1:103" x14ac:dyDescent="0.25">
      <c r="A45" s="66">
        <v>3</v>
      </c>
      <c r="B45" s="68" t="s">
        <v>122</v>
      </c>
      <c r="C45" s="84">
        <v>4606562.9052692913</v>
      </c>
      <c r="D45" s="134">
        <f>SUM($C$42:C45)</f>
        <v>6578724.3703450449</v>
      </c>
      <c r="E45" s="84"/>
      <c r="F45" s="84">
        <f t="shared" si="42"/>
        <v>6578724.3703450449</v>
      </c>
      <c r="G45" s="84">
        <f t="shared" si="43"/>
        <v>0</v>
      </c>
      <c r="H45" s="84">
        <f t="shared" si="44"/>
        <v>0</v>
      </c>
      <c r="I45" s="84">
        <f t="shared" si="45"/>
        <v>0</v>
      </c>
      <c r="J45" s="84">
        <f t="shared" si="46"/>
        <v>0</v>
      </c>
      <c r="K45" s="84">
        <f t="shared" si="47"/>
        <v>0</v>
      </c>
      <c r="L45" s="84">
        <f t="shared" si="48"/>
        <v>0</v>
      </c>
      <c r="M45" s="84">
        <f t="shared" si="49"/>
        <v>4775661.905927198</v>
      </c>
      <c r="N45" s="84">
        <f t="shared" si="50"/>
        <v>0</v>
      </c>
      <c r="O45" s="84">
        <f t="shared" si="51"/>
        <v>4775661.905927198</v>
      </c>
      <c r="P45" s="84">
        <f t="shared" si="61"/>
        <v>0</v>
      </c>
      <c r="Q45" s="84"/>
      <c r="R45" s="84">
        <v>0</v>
      </c>
      <c r="S45" s="84">
        <f t="shared" si="52"/>
        <v>6578724.3703450449</v>
      </c>
      <c r="T45" s="84">
        <f t="shared" si="53"/>
        <v>0</v>
      </c>
      <c r="U45" s="84">
        <f t="shared" si="54"/>
        <v>0</v>
      </c>
      <c r="V45" s="84">
        <f t="shared" si="55"/>
        <v>0</v>
      </c>
      <c r="W45" s="84"/>
      <c r="X45" s="84"/>
      <c r="Y45" s="84"/>
      <c r="Z45" s="84"/>
      <c r="AA45" s="84">
        <f t="shared" si="56"/>
        <v>33182684.418456241</v>
      </c>
      <c r="AB45" s="84">
        <f t="shared" si="57"/>
        <v>0</v>
      </c>
      <c r="AC45" s="84">
        <f t="shared" si="58"/>
        <v>33182684.418456241</v>
      </c>
      <c r="AD45" s="84">
        <f t="shared" si="59"/>
        <v>0</v>
      </c>
      <c r="AE45" s="84">
        <f t="shared" si="60"/>
        <v>33182684.418456241</v>
      </c>
      <c r="AF45" s="84">
        <f t="shared" si="62"/>
        <v>4606562.9052692913</v>
      </c>
    </row>
    <row r="46" spans="1:103" x14ac:dyDescent="0.25">
      <c r="A46" s="66">
        <v>3</v>
      </c>
      <c r="B46" s="68" t="s">
        <v>121</v>
      </c>
      <c r="C46" s="84">
        <v>1935807.5931226127</v>
      </c>
      <c r="D46" s="134">
        <f>SUM($C$42:C46)</f>
        <v>8514531.9634676576</v>
      </c>
      <c r="E46" s="84"/>
      <c r="F46" s="84">
        <f t="shared" si="42"/>
        <v>8514531.9634676576</v>
      </c>
      <c r="G46" s="84">
        <f t="shared" si="43"/>
        <v>0</v>
      </c>
      <c r="H46" s="84">
        <f t="shared" si="44"/>
        <v>0</v>
      </c>
      <c r="I46" s="84">
        <f t="shared" si="45"/>
        <v>0</v>
      </c>
      <c r="J46" s="84">
        <f t="shared" si="46"/>
        <v>0</v>
      </c>
      <c r="K46" s="84">
        <f t="shared" si="47"/>
        <v>0</v>
      </c>
      <c r="L46" s="84">
        <f t="shared" si="48"/>
        <v>0</v>
      </c>
      <c r="M46" s="84">
        <f t="shared" si="49"/>
        <v>4775661.905927198</v>
      </c>
      <c r="N46" s="84">
        <f t="shared" si="50"/>
        <v>0</v>
      </c>
      <c r="O46" s="84">
        <f t="shared" si="51"/>
        <v>4775661.905927198</v>
      </c>
      <c r="P46" s="84">
        <f t="shared" si="61"/>
        <v>0</v>
      </c>
      <c r="Q46" s="84"/>
      <c r="R46" s="84">
        <v>0</v>
      </c>
      <c r="S46" s="84">
        <f t="shared" si="52"/>
        <v>8514531.9634676576</v>
      </c>
      <c r="T46" s="84">
        <f t="shared" si="53"/>
        <v>0</v>
      </c>
      <c r="U46" s="84">
        <f t="shared" si="54"/>
        <v>0</v>
      </c>
      <c r="V46" s="84">
        <f t="shared" si="55"/>
        <v>0</v>
      </c>
      <c r="W46" s="84"/>
      <c r="X46" s="84"/>
      <c r="Y46" s="84"/>
      <c r="Z46" s="84"/>
      <c r="AA46" s="84">
        <f t="shared" si="56"/>
        <v>35118492.011578858</v>
      </c>
      <c r="AB46" s="84">
        <f t="shared" si="57"/>
        <v>0</v>
      </c>
      <c r="AC46" s="84">
        <f t="shared" si="58"/>
        <v>35118492.011578858</v>
      </c>
      <c r="AD46" s="84">
        <f t="shared" si="59"/>
        <v>0</v>
      </c>
      <c r="AE46" s="84">
        <f t="shared" si="60"/>
        <v>35118492.011578858</v>
      </c>
      <c r="AF46" s="84">
        <f t="shared" si="62"/>
        <v>1935807.5931226164</v>
      </c>
    </row>
    <row r="47" spans="1:103" x14ac:dyDescent="0.25">
      <c r="A47" s="66">
        <v>3</v>
      </c>
      <c r="B47" s="68" t="s">
        <v>120</v>
      </c>
      <c r="C47" s="84">
        <v>2014635.2162598781</v>
      </c>
      <c r="D47" s="134">
        <f>SUM($C$42:C47)</f>
        <v>10529167.179727536</v>
      </c>
      <c r="E47" s="84"/>
      <c r="F47" s="84">
        <f t="shared" si="42"/>
        <v>10529167.179727536</v>
      </c>
      <c r="G47" s="84">
        <f t="shared" si="43"/>
        <v>0</v>
      </c>
      <c r="H47" s="84">
        <f t="shared" si="44"/>
        <v>0</v>
      </c>
      <c r="I47" s="84">
        <f t="shared" si="45"/>
        <v>0</v>
      </c>
      <c r="J47" s="84">
        <f t="shared" si="46"/>
        <v>0</v>
      </c>
      <c r="K47" s="84">
        <f t="shared" si="47"/>
        <v>0</v>
      </c>
      <c r="L47" s="84">
        <f t="shared" si="48"/>
        <v>0</v>
      </c>
      <c r="M47" s="84">
        <f t="shared" si="49"/>
        <v>4775661.905927198</v>
      </c>
      <c r="N47" s="84">
        <f t="shared" si="50"/>
        <v>0</v>
      </c>
      <c r="O47" s="84">
        <f t="shared" si="51"/>
        <v>4775661.905927198</v>
      </c>
      <c r="P47" s="84">
        <f t="shared" si="61"/>
        <v>0</v>
      </c>
      <c r="Q47" s="84"/>
      <c r="R47" s="84">
        <v>0</v>
      </c>
      <c r="S47" s="84">
        <f t="shared" si="52"/>
        <v>10529167.179727536</v>
      </c>
      <c r="T47" s="84">
        <f t="shared" si="53"/>
        <v>0</v>
      </c>
      <c r="U47" s="84">
        <f t="shared" si="54"/>
        <v>0</v>
      </c>
      <c r="V47" s="84">
        <f t="shared" si="55"/>
        <v>0</v>
      </c>
      <c r="W47" s="84"/>
      <c r="X47" s="84"/>
      <c r="Y47" s="84"/>
      <c r="Z47" s="84"/>
      <c r="AA47" s="84">
        <f t="shared" si="56"/>
        <v>37133127.227838732</v>
      </c>
      <c r="AB47" s="84">
        <f t="shared" si="57"/>
        <v>0</v>
      </c>
      <c r="AC47" s="84">
        <f t="shared" si="58"/>
        <v>37133127.227838732</v>
      </c>
      <c r="AD47" s="84">
        <f t="shared" si="59"/>
        <v>0</v>
      </c>
      <c r="AE47" s="84">
        <f t="shared" si="60"/>
        <v>37133127.227838732</v>
      </c>
      <c r="AF47" s="84">
        <f t="shared" si="62"/>
        <v>2014635.2162598744</v>
      </c>
    </row>
    <row r="48" spans="1:103" x14ac:dyDescent="0.25">
      <c r="A48" s="66">
        <v>3</v>
      </c>
      <c r="B48" s="68" t="s">
        <v>131</v>
      </c>
      <c r="C48" s="84">
        <v>3088732.0221586456</v>
      </c>
      <c r="D48" s="134">
        <f>SUM($C$42:C48)</f>
        <v>13617899.201886181</v>
      </c>
      <c r="E48" s="84"/>
      <c r="F48" s="84">
        <f t="shared" si="42"/>
        <v>13617899.201886181</v>
      </c>
      <c r="G48" s="84">
        <f t="shared" si="43"/>
        <v>0</v>
      </c>
      <c r="H48" s="84">
        <f t="shared" si="44"/>
        <v>0</v>
      </c>
      <c r="I48" s="84">
        <f t="shared" si="45"/>
        <v>0</v>
      </c>
      <c r="J48" s="84">
        <f t="shared" si="46"/>
        <v>0</v>
      </c>
      <c r="K48" s="84">
        <f t="shared" si="47"/>
        <v>0</v>
      </c>
      <c r="L48" s="84">
        <f t="shared" si="48"/>
        <v>0</v>
      </c>
      <c r="M48" s="84">
        <f t="shared" si="49"/>
        <v>4775661.905927198</v>
      </c>
      <c r="N48" s="84">
        <f t="shared" si="50"/>
        <v>219640.65749740362</v>
      </c>
      <c r="O48" s="84">
        <f t="shared" si="51"/>
        <v>4995302.5634246012</v>
      </c>
      <c r="P48" s="84">
        <f t="shared" si="61"/>
        <v>219640.65749740321</v>
      </c>
      <c r="Q48" s="84"/>
      <c r="R48" s="84">
        <v>0</v>
      </c>
      <c r="S48" s="84">
        <f t="shared" si="52"/>
        <v>13617899.201886181</v>
      </c>
      <c r="T48" s="84">
        <f t="shared" si="53"/>
        <v>0</v>
      </c>
      <c r="U48" s="84">
        <f t="shared" si="54"/>
        <v>0</v>
      </c>
      <c r="V48" s="84">
        <f t="shared" si="55"/>
        <v>0</v>
      </c>
      <c r="W48" s="84"/>
      <c r="X48" s="84"/>
      <c r="Y48" s="84"/>
      <c r="Z48" s="84"/>
      <c r="AA48" s="84">
        <f t="shared" si="56"/>
        <v>40221859.249997377</v>
      </c>
      <c r="AB48" s="84">
        <f t="shared" si="57"/>
        <v>221859.2499973774</v>
      </c>
      <c r="AC48" s="84">
        <f t="shared" si="58"/>
        <v>40000000</v>
      </c>
      <c r="AD48" s="84">
        <f t="shared" si="59"/>
        <v>2218.592499973774</v>
      </c>
      <c r="AE48" s="84">
        <f t="shared" si="60"/>
        <v>40002218.592499971</v>
      </c>
      <c r="AF48" s="84">
        <f t="shared" si="62"/>
        <v>2869091.3646612391</v>
      </c>
    </row>
    <row r="49" spans="1:103" x14ac:dyDescent="0.25">
      <c r="A49" s="66">
        <v>3</v>
      </c>
      <c r="B49" s="68" t="s">
        <v>130</v>
      </c>
      <c r="C49" s="84">
        <v>5124333.8313205205</v>
      </c>
      <c r="D49" s="134">
        <f>SUM($C$42:C49)</f>
        <v>18742233.033206701</v>
      </c>
      <c r="E49" s="84"/>
      <c r="F49" s="84">
        <f t="shared" si="42"/>
        <v>18742233.033206701</v>
      </c>
      <c r="G49" s="84">
        <f t="shared" si="43"/>
        <v>0</v>
      </c>
      <c r="H49" s="84">
        <f t="shared" si="44"/>
        <v>0</v>
      </c>
      <c r="I49" s="84">
        <f t="shared" si="45"/>
        <v>0</v>
      </c>
      <c r="J49" s="84">
        <f t="shared" si="46"/>
        <v>0</v>
      </c>
      <c r="K49" s="84">
        <f t="shared" si="47"/>
        <v>0</v>
      </c>
      <c r="L49" s="84">
        <f t="shared" si="48"/>
        <v>0</v>
      </c>
      <c r="M49" s="84">
        <f t="shared" si="49"/>
        <v>4775661.905927198</v>
      </c>
      <c r="N49" s="84">
        <f t="shared" si="50"/>
        <v>5292731.1505047223</v>
      </c>
      <c r="O49" s="84">
        <f t="shared" si="51"/>
        <v>10068393.056431919</v>
      </c>
      <c r="P49" s="84">
        <f t="shared" si="61"/>
        <v>5073090.4930073181</v>
      </c>
      <c r="Q49" s="84"/>
      <c r="R49" s="84">
        <v>0</v>
      </c>
      <c r="S49" s="84">
        <f t="shared" si="52"/>
        <v>18742233.033206701</v>
      </c>
      <c r="T49" s="84">
        <f t="shared" si="53"/>
        <v>0</v>
      </c>
      <c r="U49" s="84">
        <f t="shared" si="54"/>
        <v>0</v>
      </c>
      <c r="V49" s="84">
        <f t="shared" si="55"/>
        <v>0</v>
      </c>
      <c r="W49" s="84"/>
      <c r="X49" s="84"/>
      <c r="Y49" s="84"/>
      <c r="Z49" s="84"/>
      <c r="AA49" s="84">
        <f t="shared" si="56"/>
        <v>45346193.081317902</v>
      </c>
      <c r="AB49" s="84">
        <f t="shared" si="57"/>
        <v>5346193.0813179016</v>
      </c>
      <c r="AC49" s="84">
        <f t="shared" si="58"/>
        <v>40000000</v>
      </c>
      <c r="AD49" s="84">
        <f t="shared" si="59"/>
        <v>53461.930813179017</v>
      </c>
      <c r="AE49" s="84">
        <f t="shared" si="60"/>
        <v>40053461.930813178</v>
      </c>
      <c r="AF49" s="84">
        <f t="shared" si="62"/>
        <v>51243.33831320703</v>
      </c>
    </row>
    <row r="50" spans="1:103" x14ac:dyDescent="0.25">
      <c r="A50" s="66">
        <v>3</v>
      </c>
      <c r="B50" s="68" t="s">
        <v>129</v>
      </c>
      <c r="C50" s="84">
        <v>3039462.6711870255</v>
      </c>
      <c r="D50" s="134">
        <f>SUM($C$42:C50)</f>
        <v>21781695.704393726</v>
      </c>
      <c r="E50" s="84"/>
      <c r="F50" s="84">
        <f t="shared" si="42"/>
        <v>20000000</v>
      </c>
      <c r="G50" s="84">
        <f t="shared" si="43"/>
        <v>1781695.7043937258</v>
      </c>
      <c r="H50" s="84">
        <f t="shared" si="44"/>
        <v>0</v>
      </c>
      <c r="I50" s="84">
        <f t="shared" si="45"/>
        <v>0</v>
      </c>
      <c r="J50" s="84">
        <f t="shared" si="46"/>
        <v>890847.85219686292</v>
      </c>
      <c r="K50" s="84">
        <f t="shared" si="47"/>
        <v>0</v>
      </c>
      <c r="L50" s="84">
        <f t="shared" si="48"/>
        <v>0</v>
      </c>
      <c r="M50" s="84">
        <f t="shared" si="49"/>
        <v>5666509.7581240609</v>
      </c>
      <c r="N50" s="84">
        <f t="shared" si="50"/>
        <v>7419859.8213049769</v>
      </c>
      <c r="O50" s="84">
        <f t="shared" si="51"/>
        <v>13086369.579429038</v>
      </c>
      <c r="P50" s="84">
        <f t="shared" si="61"/>
        <v>3017976.5229971185</v>
      </c>
      <c r="Q50" s="84"/>
      <c r="R50" s="84">
        <v>0</v>
      </c>
      <c r="S50" s="84">
        <f t="shared" si="52"/>
        <v>20000000</v>
      </c>
      <c r="T50" s="84">
        <f t="shared" si="53"/>
        <v>890847.85219686292</v>
      </c>
      <c r="U50" s="84">
        <f t="shared" si="54"/>
        <v>0</v>
      </c>
      <c r="V50" s="84">
        <f t="shared" si="55"/>
        <v>0</v>
      </c>
      <c r="W50" s="84"/>
      <c r="X50" s="84"/>
      <c r="Y50" s="84"/>
      <c r="Z50" s="84"/>
      <c r="AA50" s="84">
        <f t="shared" si="56"/>
        <v>47494807.900308058</v>
      </c>
      <c r="AB50" s="84">
        <f t="shared" si="57"/>
        <v>7494807.9003080577</v>
      </c>
      <c r="AC50" s="84">
        <f t="shared" si="58"/>
        <v>40000000</v>
      </c>
      <c r="AD50" s="84">
        <f t="shared" si="59"/>
        <v>74948.07900308058</v>
      </c>
      <c r="AE50" s="84">
        <f t="shared" si="60"/>
        <v>40074948.079003081</v>
      </c>
      <c r="AF50" s="84">
        <f t="shared" si="62"/>
        <v>21486.148189902306</v>
      </c>
    </row>
    <row r="51" spans="1:103" x14ac:dyDescent="0.25">
      <c r="A51" s="66">
        <v>3</v>
      </c>
      <c r="B51" s="68" t="s">
        <v>128</v>
      </c>
      <c r="C51" s="84">
        <v>532418.53234764596</v>
      </c>
      <c r="D51" s="134">
        <f>SUM($C$42:C51)</f>
        <v>22314114.236741371</v>
      </c>
      <c r="E51" s="84"/>
      <c r="F51" s="84">
        <f t="shared" si="42"/>
        <v>20000000</v>
      </c>
      <c r="G51" s="84">
        <f t="shared" si="43"/>
        <v>2314114.2367413715</v>
      </c>
      <c r="H51" s="84">
        <f t="shared" si="44"/>
        <v>0</v>
      </c>
      <c r="I51" s="84">
        <f t="shared" si="45"/>
        <v>0</v>
      </c>
      <c r="J51" s="84">
        <f t="shared" si="46"/>
        <v>1157057.1183706857</v>
      </c>
      <c r="K51" s="84">
        <f t="shared" si="47"/>
        <v>0</v>
      </c>
      <c r="L51" s="84">
        <f t="shared" si="48"/>
        <v>0</v>
      </c>
      <c r="M51" s="84">
        <f t="shared" si="49"/>
        <v>5932719.0242978837</v>
      </c>
      <c r="N51" s="84">
        <f t="shared" si="50"/>
        <v>7683406.9948170632</v>
      </c>
      <c r="O51" s="84">
        <f t="shared" si="51"/>
        <v>13616126.019114947</v>
      </c>
      <c r="P51" s="84">
        <f t="shared" si="61"/>
        <v>529756.43968590908</v>
      </c>
      <c r="Q51" s="84"/>
      <c r="R51" s="84">
        <v>0</v>
      </c>
      <c r="S51" s="84">
        <f t="shared" si="52"/>
        <v>20000000</v>
      </c>
      <c r="T51" s="84">
        <f t="shared" si="53"/>
        <v>1157057.1183706857</v>
      </c>
      <c r="U51" s="84">
        <f t="shared" si="54"/>
        <v>0</v>
      </c>
      <c r="V51" s="84">
        <f t="shared" si="55"/>
        <v>0</v>
      </c>
      <c r="W51" s="84"/>
      <c r="X51" s="84"/>
      <c r="Y51" s="84"/>
      <c r="Z51" s="84"/>
      <c r="AA51" s="84">
        <f t="shared" si="56"/>
        <v>47761017.166481882</v>
      </c>
      <c r="AB51" s="84">
        <f t="shared" si="57"/>
        <v>7761017.1664818823</v>
      </c>
      <c r="AC51" s="84">
        <f t="shared" si="58"/>
        <v>40000000</v>
      </c>
      <c r="AD51" s="84">
        <f t="shared" si="59"/>
        <v>77610.17166481883</v>
      </c>
      <c r="AE51" s="84">
        <f t="shared" si="60"/>
        <v>40077610.171664819</v>
      </c>
      <c r="AF51" s="84">
        <f t="shared" si="62"/>
        <v>2662.0926617383957</v>
      </c>
    </row>
    <row r="52" spans="1:103" s="167" customFormat="1" x14ac:dyDescent="0.25">
      <c r="A52" s="168">
        <v>3</v>
      </c>
      <c r="B52" s="167" t="s">
        <v>127</v>
      </c>
      <c r="C52" s="84">
        <v>-13174394.520265171</v>
      </c>
      <c r="D52" s="134">
        <f>SUM($C$42:C52)</f>
        <v>9139719.7164762001</v>
      </c>
      <c r="E52" s="84"/>
      <c r="F52" s="84">
        <f t="shared" si="42"/>
        <v>9139719.7164762001</v>
      </c>
      <c r="G52" s="84">
        <f t="shared" si="43"/>
        <v>0</v>
      </c>
      <c r="H52" s="84">
        <f t="shared" si="44"/>
        <v>0</v>
      </c>
      <c r="I52" s="84">
        <f t="shared" si="45"/>
        <v>0</v>
      </c>
      <c r="J52" s="84">
        <f t="shared" si="46"/>
        <v>0</v>
      </c>
      <c r="K52" s="84">
        <f t="shared" si="47"/>
        <v>0</v>
      </c>
      <c r="L52" s="84">
        <f t="shared" si="48"/>
        <v>0</v>
      </c>
      <c r="M52" s="84">
        <f t="shared" si="49"/>
        <v>4775661.905927198</v>
      </c>
      <c r="N52" s="84">
        <f t="shared" si="50"/>
        <v>0</v>
      </c>
      <c r="O52" s="84">
        <f t="shared" si="51"/>
        <v>4775661.905927198</v>
      </c>
      <c r="P52" s="84">
        <f t="shared" si="61"/>
        <v>-8840464.1131877489</v>
      </c>
      <c r="Q52" s="84"/>
      <c r="R52" s="84">
        <v>0</v>
      </c>
      <c r="S52" s="84">
        <f t="shared" si="52"/>
        <v>9139719.7164762001</v>
      </c>
      <c r="T52" s="84">
        <f t="shared" si="53"/>
        <v>0</v>
      </c>
      <c r="U52" s="84">
        <f t="shared" si="54"/>
        <v>0</v>
      </c>
      <c r="V52" s="84">
        <f t="shared" si="55"/>
        <v>0</v>
      </c>
      <c r="W52" s="84"/>
      <c r="X52" s="84"/>
      <c r="Y52" s="84"/>
      <c r="Z52" s="84"/>
      <c r="AA52" s="84">
        <f t="shared" si="56"/>
        <v>35743679.764587395</v>
      </c>
      <c r="AB52" s="84">
        <f t="shared" si="57"/>
        <v>0</v>
      </c>
      <c r="AC52" s="84">
        <f t="shared" si="58"/>
        <v>35743679.764587395</v>
      </c>
      <c r="AD52" s="84">
        <f t="shared" si="59"/>
        <v>0</v>
      </c>
      <c r="AE52" s="84">
        <f t="shared" si="60"/>
        <v>35743679.764587395</v>
      </c>
      <c r="AF52" s="84">
        <f t="shared" si="62"/>
        <v>-4333930.4070774242</v>
      </c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</row>
    <row r="53" spans="1:103" x14ac:dyDescent="0.25">
      <c r="A53" s="66">
        <v>3</v>
      </c>
      <c r="B53" s="68" t="s">
        <v>126</v>
      </c>
      <c r="C53" s="84">
        <v>817840.89653750486</v>
      </c>
      <c r="D53" s="134">
        <f>SUM($C$42:C53)</f>
        <v>9957560.6130137052</v>
      </c>
      <c r="E53" s="84"/>
      <c r="F53" s="84">
        <f t="shared" si="42"/>
        <v>9957560.6130137052</v>
      </c>
      <c r="G53" s="84">
        <f t="shared" si="43"/>
        <v>0</v>
      </c>
      <c r="H53" s="84">
        <f t="shared" si="44"/>
        <v>0</v>
      </c>
      <c r="I53" s="84">
        <f t="shared" si="45"/>
        <v>0</v>
      </c>
      <c r="J53" s="84">
        <f t="shared" si="46"/>
        <v>0</v>
      </c>
      <c r="K53" s="84">
        <f t="shared" si="47"/>
        <v>0</v>
      </c>
      <c r="L53" s="84">
        <f t="shared" si="48"/>
        <v>0</v>
      </c>
      <c r="M53" s="84">
        <f t="shared" si="49"/>
        <v>4775661.905927198</v>
      </c>
      <c r="N53" s="84">
        <f t="shared" si="50"/>
        <v>0</v>
      </c>
      <c r="O53" s="84">
        <f t="shared" si="51"/>
        <v>4775661.905927198</v>
      </c>
      <c r="P53" s="84">
        <f t="shared" si="61"/>
        <v>0</v>
      </c>
      <c r="Q53" s="84"/>
      <c r="R53" s="101">
        <v>0</v>
      </c>
      <c r="S53" s="84">
        <f t="shared" si="52"/>
        <v>9957560.6130137052</v>
      </c>
      <c r="T53" s="84">
        <f t="shared" si="53"/>
        <v>0</v>
      </c>
      <c r="U53" s="84">
        <f t="shared" si="54"/>
        <v>0</v>
      </c>
      <c r="V53" s="84">
        <f t="shared" si="55"/>
        <v>0</v>
      </c>
      <c r="W53" s="84"/>
      <c r="X53" s="84"/>
      <c r="Y53" s="84"/>
      <c r="Z53" s="84"/>
      <c r="AA53" s="84">
        <f t="shared" si="56"/>
        <v>36561520.6611249</v>
      </c>
      <c r="AB53" s="84">
        <f t="shared" si="57"/>
        <v>0</v>
      </c>
      <c r="AC53" s="84">
        <f t="shared" si="58"/>
        <v>36561520.6611249</v>
      </c>
      <c r="AD53" s="84">
        <f t="shared" si="59"/>
        <v>0</v>
      </c>
      <c r="AE53" s="84">
        <f t="shared" si="60"/>
        <v>36561520.6611249</v>
      </c>
      <c r="AF53" s="84">
        <f t="shared" si="62"/>
        <v>817840.89653750509</v>
      </c>
    </row>
    <row r="54" spans="1:103" x14ac:dyDescent="0.25">
      <c r="C54" s="84"/>
      <c r="AE54" s="84"/>
      <c r="AF54" s="84"/>
    </row>
    <row r="55" spans="1:103" x14ac:dyDescent="0.25">
      <c r="A55" s="66">
        <v>4</v>
      </c>
      <c r="B55" s="68" t="s">
        <v>125</v>
      </c>
      <c r="C55" s="84">
        <v>-5656190.5310666747</v>
      </c>
      <c r="D55" s="134">
        <f>C55</f>
        <v>-5656190.5310666747</v>
      </c>
      <c r="E55" s="84"/>
      <c r="F55" s="84">
        <f t="shared" ref="F55:F66" si="63">IF(ABS(D55)&gt;+$F$10,IF(D55&lt;0,-$F$10,+$F$10),+D55)</f>
        <v>-5656190.5310666747</v>
      </c>
      <c r="G55" s="84">
        <f t="shared" ref="G55:G66" si="64">IF(ABS(D55)-ABS(F55)&gt;=$G$10,IF(D55&lt;=0,-$G$10,+$G$10),+D55-F55)</f>
        <v>0</v>
      </c>
      <c r="H55" s="84">
        <f t="shared" ref="H55:H66" si="65">IF(ABS(+D55)-ABS(SUM(F55:G55))&gt;=$H$10,IF(D55&lt;=0,-$H$10,+$H$10),+D55-SUM(F55:G55))</f>
        <v>0</v>
      </c>
      <c r="I55" s="84">
        <f t="shared" ref="I55:I66" si="66">IF(ABS(+D55)-ABS(SUM(F55:H55))&gt;=$I$10,IF(D55&lt;=0,$D55-SUM($F55:$H55),$D55-SUM($F55:$H55)),D55-SUM(F55:H55))</f>
        <v>0</v>
      </c>
      <c r="J55" s="84">
        <f t="shared" ref="J55:J66" si="67">+G55*$C$278</f>
        <v>0</v>
      </c>
      <c r="K55" s="84">
        <f t="shared" ref="K55:K66" si="68">+H55*$C$279</f>
        <v>0</v>
      </c>
      <c r="L55" s="84">
        <f t="shared" ref="L55:L66" si="69">+I55*$C$280</f>
        <v>0</v>
      </c>
      <c r="M55" s="84">
        <f t="shared" ref="M55:M66" si="70">SUM(J55:L55)+$M$53</f>
        <v>4775661.905927198</v>
      </c>
      <c r="N55" s="84">
        <f t="shared" ref="N55:N66" si="71">AB55*$C$282</f>
        <v>0</v>
      </c>
      <c r="O55" s="84">
        <f t="shared" ref="O55:O66" si="72">M55+N55</f>
        <v>4775661.905927198</v>
      </c>
      <c r="P55" s="84">
        <f>O55-O53</f>
        <v>0</v>
      </c>
      <c r="Q55" s="92"/>
      <c r="R55" s="84">
        <v>0</v>
      </c>
      <c r="S55" s="84">
        <f t="shared" ref="S55:S66" si="73">+F55</f>
        <v>-5656190.5310666747</v>
      </c>
      <c r="T55" s="84">
        <f t="shared" ref="T55:T66" si="74">+G55-J55</f>
        <v>0</v>
      </c>
      <c r="U55" s="84">
        <f t="shared" ref="U55:U66" si="75">+H55-K55</f>
        <v>0</v>
      </c>
      <c r="V55" s="84">
        <f t="shared" ref="V55:V66" si="76">+I55-L55</f>
        <v>0</v>
      </c>
      <c r="W55" s="84"/>
      <c r="X55" s="84"/>
      <c r="Y55" s="84"/>
      <c r="Z55" s="84"/>
      <c r="AA55" s="84">
        <f t="shared" ref="AA55:AA66" si="77">SUM(S55:V55)+$AA$53</f>
        <v>30905330.130058225</v>
      </c>
      <c r="AB55" s="84">
        <f t="shared" ref="AB55:AB66" si="78">IF(AA55&gt;40000000,AA55-40000000,0)</f>
        <v>0</v>
      </c>
      <c r="AC55" s="84">
        <f t="shared" ref="AC55:AC66" si="79">AA55-AB55</f>
        <v>30905330.130058225</v>
      </c>
      <c r="AD55" s="84">
        <f t="shared" ref="AD55:AD66" si="80">AB55*$D$282</f>
        <v>0</v>
      </c>
      <c r="AE55" s="84">
        <f t="shared" ref="AE55:AE66" si="81">AA55-AB55+AD55</f>
        <v>30905330.130058225</v>
      </c>
      <c r="AF55" s="84">
        <f>AE55-AE53</f>
        <v>-5656190.5310666747</v>
      </c>
    </row>
    <row r="56" spans="1:103" x14ac:dyDescent="0.25">
      <c r="A56" s="66">
        <v>4</v>
      </c>
      <c r="B56" s="68" t="s">
        <v>124</v>
      </c>
      <c r="C56" s="84">
        <v>-778804.94292375247</v>
      </c>
      <c r="D56" s="134">
        <f>SUM($C$55:C56)</f>
        <v>-6434995.4739904273</v>
      </c>
      <c r="E56" s="84"/>
      <c r="F56" s="84">
        <f t="shared" si="63"/>
        <v>-6434995.4739904273</v>
      </c>
      <c r="G56" s="84">
        <f t="shared" si="64"/>
        <v>0</v>
      </c>
      <c r="H56" s="84">
        <f t="shared" si="65"/>
        <v>0</v>
      </c>
      <c r="I56" s="84">
        <f t="shared" si="66"/>
        <v>0</v>
      </c>
      <c r="J56" s="84">
        <f t="shared" si="67"/>
        <v>0</v>
      </c>
      <c r="K56" s="84">
        <f t="shared" si="68"/>
        <v>0</v>
      </c>
      <c r="L56" s="84">
        <f t="shared" si="69"/>
        <v>0</v>
      </c>
      <c r="M56" s="84">
        <f t="shared" si="70"/>
        <v>4775661.905927198</v>
      </c>
      <c r="N56" s="84">
        <f t="shared" si="71"/>
        <v>0</v>
      </c>
      <c r="O56" s="84">
        <f t="shared" si="72"/>
        <v>4775661.905927198</v>
      </c>
      <c r="P56" s="84">
        <f t="shared" ref="P56:P66" si="82">O56-O55</f>
        <v>0</v>
      </c>
      <c r="Q56" s="84"/>
      <c r="R56" s="84">
        <v>0</v>
      </c>
      <c r="S56" s="84">
        <f t="shared" si="73"/>
        <v>-6434995.4739904273</v>
      </c>
      <c r="T56" s="84">
        <f t="shared" si="74"/>
        <v>0</v>
      </c>
      <c r="U56" s="84">
        <f t="shared" si="75"/>
        <v>0</v>
      </c>
      <c r="V56" s="84">
        <f t="shared" si="76"/>
        <v>0</v>
      </c>
      <c r="W56" s="84"/>
      <c r="X56" s="84"/>
      <c r="Y56" s="84"/>
      <c r="Z56" s="84"/>
      <c r="AA56" s="84">
        <f t="shared" si="77"/>
        <v>30126525.187134475</v>
      </c>
      <c r="AB56" s="84">
        <f t="shared" si="78"/>
        <v>0</v>
      </c>
      <c r="AC56" s="84">
        <f t="shared" si="79"/>
        <v>30126525.187134475</v>
      </c>
      <c r="AD56" s="84">
        <f t="shared" si="80"/>
        <v>0</v>
      </c>
      <c r="AE56" s="84">
        <f t="shared" si="81"/>
        <v>30126525.187134475</v>
      </c>
      <c r="AF56" s="84">
        <f t="shared" ref="AF56:AF66" si="83">AE56-AE55</f>
        <v>-778804.94292375073</v>
      </c>
    </row>
    <row r="57" spans="1:103" x14ac:dyDescent="0.25">
      <c r="A57" s="66">
        <v>4</v>
      </c>
      <c r="B57" s="68" t="s">
        <v>123</v>
      </c>
      <c r="C57" s="84">
        <v>5337270.9880430838</v>
      </c>
      <c r="D57" s="134">
        <f>SUM($C$55:C57)</f>
        <v>-1097724.4859473435</v>
      </c>
      <c r="E57" s="84"/>
      <c r="F57" s="84">
        <f t="shared" si="63"/>
        <v>-1097724.4859473435</v>
      </c>
      <c r="G57" s="84">
        <f t="shared" si="64"/>
        <v>0</v>
      </c>
      <c r="H57" s="84">
        <f t="shared" si="65"/>
        <v>0</v>
      </c>
      <c r="I57" s="84">
        <f t="shared" si="66"/>
        <v>0</v>
      </c>
      <c r="J57" s="84">
        <f t="shared" si="67"/>
        <v>0</v>
      </c>
      <c r="K57" s="84">
        <f t="shared" si="68"/>
        <v>0</v>
      </c>
      <c r="L57" s="84">
        <f t="shared" si="69"/>
        <v>0</v>
      </c>
      <c r="M57" s="84">
        <f t="shared" si="70"/>
        <v>4775661.905927198</v>
      </c>
      <c r="N57" s="84">
        <f t="shared" si="71"/>
        <v>0</v>
      </c>
      <c r="O57" s="84">
        <f t="shared" si="72"/>
        <v>4775661.905927198</v>
      </c>
      <c r="P57" s="84">
        <f t="shared" si="82"/>
        <v>0</v>
      </c>
      <c r="Q57" s="84"/>
      <c r="R57" s="84">
        <v>0</v>
      </c>
      <c r="S57" s="84">
        <f t="shared" si="73"/>
        <v>-1097724.4859473435</v>
      </c>
      <c r="T57" s="84">
        <f t="shared" si="74"/>
        <v>0</v>
      </c>
      <c r="U57" s="84">
        <f t="shared" si="75"/>
        <v>0</v>
      </c>
      <c r="V57" s="84">
        <f t="shared" si="76"/>
        <v>0</v>
      </c>
      <c r="W57" s="84"/>
      <c r="X57" s="84"/>
      <c r="Y57" s="84"/>
      <c r="Z57" s="84"/>
      <c r="AA57" s="84">
        <f t="shared" si="77"/>
        <v>35463796.175177559</v>
      </c>
      <c r="AB57" s="84">
        <f t="shared" si="78"/>
        <v>0</v>
      </c>
      <c r="AC57" s="84">
        <f t="shared" si="79"/>
        <v>35463796.175177559</v>
      </c>
      <c r="AD57" s="84">
        <f t="shared" si="80"/>
        <v>0</v>
      </c>
      <c r="AE57" s="84">
        <f t="shared" si="81"/>
        <v>35463796.175177559</v>
      </c>
      <c r="AF57" s="84">
        <f t="shared" si="83"/>
        <v>5337270.9880430847</v>
      </c>
    </row>
    <row r="58" spans="1:103" x14ac:dyDescent="0.25">
      <c r="A58" s="66">
        <v>4</v>
      </c>
      <c r="B58" s="68" t="s">
        <v>122</v>
      </c>
      <c r="C58" s="84">
        <v>5581770.5660699019</v>
      </c>
      <c r="D58" s="134">
        <f>SUM($C$55:C58)</f>
        <v>4484046.0801225584</v>
      </c>
      <c r="E58" s="84"/>
      <c r="F58" s="84">
        <f t="shared" si="63"/>
        <v>4484046.0801225584</v>
      </c>
      <c r="G58" s="84">
        <f t="shared" si="64"/>
        <v>0</v>
      </c>
      <c r="H58" s="84">
        <f t="shared" si="65"/>
        <v>0</v>
      </c>
      <c r="I58" s="84">
        <f t="shared" si="66"/>
        <v>0</v>
      </c>
      <c r="J58" s="84">
        <f t="shared" si="67"/>
        <v>0</v>
      </c>
      <c r="K58" s="84">
        <f t="shared" si="68"/>
        <v>0</v>
      </c>
      <c r="L58" s="84">
        <f t="shared" si="69"/>
        <v>0</v>
      </c>
      <c r="M58" s="84">
        <f t="shared" si="70"/>
        <v>4775661.905927198</v>
      </c>
      <c r="N58" s="84">
        <f t="shared" si="71"/>
        <v>1035111.0738349856</v>
      </c>
      <c r="O58" s="84">
        <f t="shared" si="72"/>
        <v>5810772.9797621835</v>
      </c>
      <c r="P58" s="84">
        <f t="shared" si="82"/>
        <v>1035111.0738349855</v>
      </c>
      <c r="Q58" s="84"/>
      <c r="R58" s="84">
        <v>0</v>
      </c>
      <c r="S58" s="84">
        <f t="shared" si="73"/>
        <v>4484046.0801225584</v>
      </c>
      <c r="T58" s="84">
        <f t="shared" si="74"/>
        <v>0</v>
      </c>
      <c r="U58" s="84">
        <f t="shared" si="75"/>
        <v>0</v>
      </c>
      <c r="V58" s="84">
        <f t="shared" si="76"/>
        <v>0</v>
      </c>
      <c r="W58" s="84"/>
      <c r="X58" s="84"/>
      <c r="Y58" s="84"/>
      <c r="Z58" s="84"/>
      <c r="AA58" s="84">
        <f t="shared" si="77"/>
        <v>41045566.74124746</v>
      </c>
      <c r="AB58" s="84">
        <f t="shared" si="78"/>
        <v>1045566.7412474602</v>
      </c>
      <c r="AC58" s="84">
        <f t="shared" si="79"/>
        <v>40000000</v>
      </c>
      <c r="AD58" s="84">
        <f t="shared" si="80"/>
        <v>10455.667412474602</v>
      </c>
      <c r="AE58" s="84">
        <f t="shared" si="81"/>
        <v>40010455.667412475</v>
      </c>
      <c r="AF58" s="84">
        <f t="shared" si="83"/>
        <v>4546659.4922349155</v>
      </c>
    </row>
    <row r="59" spans="1:103" x14ac:dyDescent="0.25">
      <c r="A59" s="66">
        <v>4</v>
      </c>
      <c r="B59" s="68" t="s">
        <v>121</v>
      </c>
      <c r="C59" s="84">
        <v>-490502.43228308752</v>
      </c>
      <c r="D59" s="134">
        <f>SUM($C$55:C59)</f>
        <v>3993543.6478394708</v>
      </c>
      <c r="E59" s="84"/>
      <c r="F59" s="84">
        <f t="shared" si="63"/>
        <v>3993543.6478394708</v>
      </c>
      <c r="G59" s="84">
        <f t="shared" si="64"/>
        <v>0</v>
      </c>
      <c r="H59" s="84">
        <f t="shared" si="65"/>
        <v>0</v>
      </c>
      <c r="I59" s="84">
        <f t="shared" si="66"/>
        <v>0</v>
      </c>
      <c r="J59" s="84">
        <f t="shared" si="67"/>
        <v>0</v>
      </c>
      <c r="K59" s="84">
        <f t="shared" si="68"/>
        <v>0</v>
      </c>
      <c r="L59" s="84">
        <f t="shared" si="69"/>
        <v>0</v>
      </c>
      <c r="M59" s="84">
        <f t="shared" si="70"/>
        <v>4775661.905927198</v>
      </c>
      <c r="N59" s="84">
        <f t="shared" si="71"/>
        <v>549513.665874728</v>
      </c>
      <c r="O59" s="84">
        <f t="shared" si="72"/>
        <v>5325175.571801926</v>
      </c>
      <c r="P59" s="84">
        <f t="shared" si="82"/>
        <v>-485597.40796025749</v>
      </c>
      <c r="Q59" s="84"/>
      <c r="R59" s="84">
        <v>0</v>
      </c>
      <c r="S59" s="84">
        <f t="shared" si="73"/>
        <v>3993543.6478394708</v>
      </c>
      <c r="T59" s="84">
        <f t="shared" si="74"/>
        <v>0</v>
      </c>
      <c r="U59" s="84">
        <f t="shared" si="75"/>
        <v>0</v>
      </c>
      <c r="V59" s="84">
        <f t="shared" si="76"/>
        <v>0</v>
      </c>
      <c r="W59" s="84"/>
      <c r="X59" s="84"/>
      <c r="Y59" s="84"/>
      <c r="Z59" s="84"/>
      <c r="AA59" s="84">
        <f t="shared" si="77"/>
        <v>40555064.308964372</v>
      </c>
      <c r="AB59" s="84">
        <f t="shared" si="78"/>
        <v>555064.30896437168</v>
      </c>
      <c r="AC59" s="84">
        <f t="shared" si="79"/>
        <v>40000000</v>
      </c>
      <c r="AD59" s="84">
        <f t="shared" si="80"/>
        <v>5550.6430896437168</v>
      </c>
      <c r="AE59" s="84">
        <f t="shared" si="81"/>
        <v>40005550.643089645</v>
      </c>
      <c r="AF59" s="84">
        <f t="shared" si="83"/>
        <v>-4905.0243228301406</v>
      </c>
    </row>
    <row r="60" spans="1:103" x14ac:dyDescent="0.25">
      <c r="A60" s="66">
        <v>4</v>
      </c>
      <c r="B60" s="68" t="s">
        <v>120</v>
      </c>
      <c r="C60" s="84">
        <v>10426247.006528493</v>
      </c>
      <c r="D60" s="134">
        <f>SUM($C$55:C60)</f>
        <v>14419790.654367965</v>
      </c>
      <c r="E60" s="84"/>
      <c r="F60" s="84">
        <f t="shared" si="63"/>
        <v>14419790.654367965</v>
      </c>
      <c r="G60" s="84">
        <f t="shared" si="64"/>
        <v>0</v>
      </c>
      <c r="H60" s="84">
        <f t="shared" si="65"/>
        <v>0</v>
      </c>
      <c r="I60" s="84">
        <f t="shared" si="66"/>
        <v>0</v>
      </c>
      <c r="J60" s="84">
        <f t="shared" si="67"/>
        <v>0</v>
      </c>
      <c r="K60" s="84">
        <f t="shared" si="68"/>
        <v>0</v>
      </c>
      <c r="L60" s="84">
        <f t="shared" si="69"/>
        <v>0</v>
      </c>
      <c r="M60" s="84">
        <f t="shared" si="70"/>
        <v>4775661.905927198</v>
      </c>
      <c r="N60" s="84">
        <f t="shared" si="71"/>
        <v>10871498.202337939</v>
      </c>
      <c r="O60" s="84">
        <f t="shared" si="72"/>
        <v>15647160.108265137</v>
      </c>
      <c r="P60" s="84">
        <f t="shared" si="82"/>
        <v>10321984.536463212</v>
      </c>
      <c r="Q60" s="84"/>
      <c r="R60" s="84">
        <v>0</v>
      </c>
      <c r="S60" s="84">
        <f t="shared" si="73"/>
        <v>14419790.654367965</v>
      </c>
      <c r="T60" s="84">
        <f t="shared" si="74"/>
        <v>0</v>
      </c>
      <c r="U60" s="84">
        <f t="shared" si="75"/>
        <v>0</v>
      </c>
      <c r="V60" s="84">
        <f t="shared" si="76"/>
        <v>0</v>
      </c>
      <c r="W60" s="84"/>
      <c r="X60" s="84"/>
      <c r="Y60" s="84"/>
      <c r="Z60" s="84"/>
      <c r="AA60" s="84">
        <f t="shared" si="77"/>
        <v>50981311.315492868</v>
      </c>
      <c r="AB60" s="84">
        <f t="shared" si="78"/>
        <v>10981311.315492868</v>
      </c>
      <c r="AC60" s="84">
        <f t="shared" si="79"/>
        <v>40000000</v>
      </c>
      <c r="AD60" s="84">
        <f t="shared" si="80"/>
        <v>109813.11315492868</v>
      </c>
      <c r="AE60" s="84">
        <f t="shared" si="81"/>
        <v>40109813.113154925</v>
      </c>
      <c r="AF60" s="84">
        <f t="shared" si="83"/>
        <v>104262.4700652808</v>
      </c>
    </row>
    <row r="61" spans="1:103" x14ac:dyDescent="0.25">
      <c r="A61" s="66">
        <v>4</v>
      </c>
      <c r="B61" s="68" t="s">
        <v>131</v>
      </c>
      <c r="C61" s="84">
        <v>-2659903.0297946916</v>
      </c>
      <c r="D61" s="134">
        <f>SUM($C$55:C61)</f>
        <v>11759887.624573274</v>
      </c>
      <c r="E61" s="84"/>
      <c r="F61" s="84">
        <f t="shared" si="63"/>
        <v>11759887.624573274</v>
      </c>
      <c r="G61" s="84">
        <f t="shared" si="64"/>
        <v>0</v>
      </c>
      <c r="H61" s="84">
        <f t="shared" si="65"/>
        <v>0</v>
      </c>
      <c r="I61" s="84">
        <f t="shared" si="66"/>
        <v>0</v>
      </c>
      <c r="J61" s="84">
        <f t="shared" si="67"/>
        <v>0</v>
      </c>
      <c r="K61" s="84">
        <f t="shared" si="68"/>
        <v>0</v>
      </c>
      <c r="L61" s="84">
        <f t="shared" si="69"/>
        <v>0</v>
      </c>
      <c r="M61" s="84">
        <f t="shared" si="70"/>
        <v>4775661.905927198</v>
      </c>
      <c r="N61" s="84">
        <f t="shared" si="71"/>
        <v>8238194.2028411934</v>
      </c>
      <c r="O61" s="84">
        <f t="shared" si="72"/>
        <v>13013856.108768392</v>
      </c>
      <c r="P61" s="84">
        <f t="shared" si="82"/>
        <v>-2633303.9994967449</v>
      </c>
      <c r="Q61" s="84"/>
      <c r="R61" s="84">
        <v>0</v>
      </c>
      <c r="S61" s="84">
        <f t="shared" si="73"/>
        <v>11759887.624573274</v>
      </c>
      <c r="T61" s="84">
        <f t="shared" si="74"/>
        <v>0</v>
      </c>
      <c r="U61" s="84">
        <f t="shared" si="75"/>
        <v>0</v>
      </c>
      <c r="V61" s="84">
        <f t="shared" si="76"/>
        <v>0</v>
      </c>
      <c r="W61" s="84"/>
      <c r="X61" s="84"/>
      <c r="Y61" s="84"/>
      <c r="Z61" s="84"/>
      <c r="AA61" s="84">
        <f t="shared" si="77"/>
        <v>48321408.285698175</v>
      </c>
      <c r="AB61" s="84">
        <f t="shared" si="78"/>
        <v>8321408.2856981754</v>
      </c>
      <c r="AC61" s="84">
        <f t="shared" si="79"/>
        <v>40000000</v>
      </c>
      <c r="AD61" s="84">
        <f t="shared" si="80"/>
        <v>83214.082856981753</v>
      </c>
      <c r="AE61" s="84">
        <f t="shared" si="81"/>
        <v>40083214.082856983</v>
      </c>
      <c r="AF61" s="84">
        <f t="shared" si="83"/>
        <v>-26599.03029794246</v>
      </c>
    </row>
    <row r="62" spans="1:103" x14ac:dyDescent="0.25">
      <c r="A62" s="66">
        <v>4</v>
      </c>
      <c r="B62" s="68" t="s">
        <v>130</v>
      </c>
      <c r="C62" s="84">
        <v>2217731.9573790641</v>
      </c>
      <c r="D62" s="134">
        <f>SUM($C$55:C62)</f>
        <v>13977619.581952337</v>
      </c>
      <c r="E62" s="84"/>
      <c r="F62" s="84">
        <f t="shared" si="63"/>
        <v>13977619.581952337</v>
      </c>
      <c r="G62" s="84">
        <f t="shared" si="64"/>
        <v>0</v>
      </c>
      <c r="H62" s="84">
        <f t="shared" si="65"/>
        <v>0</v>
      </c>
      <c r="I62" s="84">
        <f t="shared" si="66"/>
        <v>0</v>
      </c>
      <c r="J62" s="84">
        <f t="shared" si="67"/>
        <v>0</v>
      </c>
      <c r="K62" s="84">
        <f t="shared" si="68"/>
        <v>0</v>
      </c>
      <c r="L62" s="84">
        <f t="shared" si="69"/>
        <v>0</v>
      </c>
      <c r="M62" s="84">
        <f t="shared" si="70"/>
        <v>4775661.905927198</v>
      </c>
      <c r="N62" s="84">
        <f t="shared" si="71"/>
        <v>10433748.840646461</v>
      </c>
      <c r="O62" s="84">
        <f t="shared" si="72"/>
        <v>15209410.746573659</v>
      </c>
      <c r="P62" s="84">
        <f t="shared" si="82"/>
        <v>2195554.6378052663</v>
      </c>
      <c r="Q62" s="84"/>
      <c r="R62" s="84">
        <v>0</v>
      </c>
      <c r="S62" s="84">
        <f t="shared" si="73"/>
        <v>13977619.581952337</v>
      </c>
      <c r="T62" s="84">
        <f t="shared" si="74"/>
        <v>0</v>
      </c>
      <c r="U62" s="84">
        <f t="shared" si="75"/>
        <v>0</v>
      </c>
      <c r="V62" s="84">
        <f t="shared" si="76"/>
        <v>0</v>
      </c>
      <c r="W62" s="84"/>
      <c r="X62" s="84"/>
      <c r="Y62" s="84"/>
      <c r="Z62" s="84"/>
      <c r="AA62" s="84">
        <f t="shared" si="77"/>
        <v>50539140.243077233</v>
      </c>
      <c r="AB62" s="84">
        <f t="shared" si="78"/>
        <v>10539140.243077233</v>
      </c>
      <c r="AC62" s="84">
        <f t="shared" si="79"/>
        <v>40000000</v>
      </c>
      <c r="AD62" s="84">
        <f t="shared" si="80"/>
        <v>105391.40243077233</v>
      </c>
      <c r="AE62" s="84">
        <f t="shared" si="81"/>
        <v>40105391.402430773</v>
      </c>
      <c r="AF62" s="84">
        <f t="shared" si="83"/>
        <v>22177.319573789835</v>
      </c>
    </row>
    <row r="63" spans="1:103" x14ac:dyDescent="0.25">
      <c r="A63" s="66">
        <v>4</v>
      </c>
      <c r="B63" s="68" t="s">
        <v>129</v>
      </c>
      <c r="C63" s="84">
        <v>7042848.0479315566</v>
      </c>
      <c r="D63" s="134">
        <f>SUM($C$55:C63)</f>
        <v>21020467.629883893</v>
      </c>
      <c r="E63" s="84"/>
      <c r="F63" s="84">
        <f t="shared" si="63"/>
        <v>20000000</v>
      </c>
      <c r="G63" s="84">
        <f t="shared" si="64"/>
        <v>1020467.6298838928</v>
      </c>
      <c r="H63" s="84">
        <f t="shared" si="65"/>
        <v>0</v>
      </c>
      <c r="I63" s="84">
        <f t="shared" si="66"/>
        <v>0</v>
      </c>
      <c r="J63" s="84">
        <f t="shared" si="67"/>
        <v>510233.81494194642</v>
      </c>
      <c r="K63" s="84">
        <f t="shared" si="68"/>
        <v>0</v>
      </c>
      <c r="L63" s="84">
        <f t="shared" si="69"/>
        <v>0</v>
      </c>
      <c r="M63" s="84">
        <f t="shared" si="70"/>
        <v>5285895.7208691444</v>
      </c>
      <c r="N63" s="84">
        <f t="shared" si="71"/>
        <v>16901036.931306176</v>
      </c>
      <c r="O63" s="84">
        <f t="shared" si="72"/>
        <v>22186932.652175322</v>
      </c>
      <c r="P63" s="84">
        <f t="shared" si="82"/>
        <v>6977521.9056016635</v>
      </c>
      <c r="Q63" s="84"/>
      <c r="R63" s="84">
        <v>0</v>
      </c>
      <c r="S63" s="84">
        <f t="shared" si="73"/>
        <v>20000000</v>
      </c>
      <c r="T63" s="84">
        <f t="shared" si="74"/>
        <v>510233.81494194642</v>
      </c>
      <c r="U63" s="84">
        <f t="shared" si="75"/>
        <v>0</v>
      </c>
      <c r="V63" s="84">
        <f t="shared" si="76"/>
        <v>0</v>
      </c>
      <c r="W63" s="84"/>
      <c r="X63" s="84"/>
      <c r="Y63" s="84"/>
      <c r="Z63" s="84"/>
      <c r="AA63" s="84">
        <f t="shared" si="77"/>
        <v>57071754.476066843</v>
      </c>
      <c r="AB63" s="84">
        <f t="shared" si="78"/>
        <v>17071754.476066843</v>
      </c>
      <c r="AC63" s="84">
        <f t="shared" si="79"/>
        <v>40000000</v>
      </c>
      <c r="AD63" s="84">
        <f t="shared" si="80"/>
        <v>170717.54476066842</v>
      </c>
      <c r="AE63" s="84">
        <f t="shared" si="81"/>
        <v>40170717.544760667</v>
      </c>
      <c r="AF63" s="84">
        <f t="shared" si="83"/>
        <v>65326.142329894006</v>
      </c>
    </row>
    <row r="64" spans="1:103" x14ac:dyDescent="0.25">
      <c r="A64" s="66">
        <v>4</v>
      </c>
      <c r="B64" s="68" t="s">
        <v>128</v>
      </c>
      <c r="C64" s="84">
        <v>-9517288.6772128306</v>
      </c>
      <c r="D64" s="134">
        <f>SUM($C$55:C64)</f>
        <v>11503178.952671062</v>
      </c>
      <c r="E64" s="84"/>
      <c r="F64" s="84">
        <f t="shared" si="63"/>
        <v>11503178.952671062</v>
      </c>
      <c r="G64" s="84">
        <f t="shared" si="64"/>
        <v>0</v>
      </c>
      <c r="H64" s="84">
        <f t="shared" si="65"/>
        <v>0</v>
      </c>
      <c r="I64" s="84">
        <f t="shared" si="66"/>
        <v>0</v>
      </c>
      <c r="J64" s="84">
        <f t="shared" si="67"/>
        <v>0</v>
      </c>
      <c r="K64" s="84">
        <f t="shared" si="68"/>
        <v>0</v>
      </c>
      <c r="L64" s="84">
        <f t="shared" si="69"/>
        <v>0</v>
      </c>
      <c r="M64" s="84">
        <f t="shared" si="70"/>
        <v>4775661.905927198</v>
      </c>
      <c r="N64" s="84">
        <f t="shared" si="71"/>
        <v>7984052.617658006</v>
      </c>
      <c r="O64" s="84">
        <f t="shared" si="72"/>
        <v>12759714.523585204</v>
      </c>
      <c r="P64" s="84">
        <f t="shared" si="82"/>
        <v>-9427218.1285901181</v>
      </c>
      <c r="Q64" s="84"/>
      <c r="R64" s="84">
        <v>0</v>
      </c>
      <c r="S64" s="84">
        <f t="shared" si="73"/>
        <v>11503178.952671062</v>
      </c>
      <c r="T64" s="84">
        <f t="shared" si="74"/>
        <v>0</v>
      </c>
      <c r="U64" s="84">
        <f t="shared" si="75"/>
        <v>0</v>
      </c>
      <c r="V64" s="84">
        <f t="shared" si="76"/>
        <v>0</v>
      </c>
      <c r="W64" s="84"/>
      <c r="X64" s="84"/>
      <c r="Y64" s="84"/>
      <c r="Z64" s="84"/>
      <c r="AA64" s="84">
        <f t="shared" si="77"/>
        <v>48064699.613795966</v>
      </c>
      <c r="AB64" s="84">
        <f t="shared" si="78"/>
        <v>8064699.6137959659</v>
      </c>
      <c r="AC64" s="84">
        <f t="shared" si="79"/>
        <v>40000000</v>
      </c>
      <c r="AD64" s="84">
        <f t="shared" si="80"/>
        <v>80646.996137959664</v>
      </c>
      <c r="AE64" s="84">
        <f t="shared" si="81"/>
        <v>40080646.996137962</v>
      </c>
      <c r="AF64" s="84">
        <f t="shared" si="83"/>
        <v>-90070.548622705042</v>
      </c>
    </row>
    <row r="65" spans="1:103" s="167" customFormat="1" x14ac:dyDescent="0.25">
      <c r="A65" s="168">
        <v>4</v>
      </c>
      <c r="B65" s="167" t="s">
        <v>127</v>
      </c>
      <c r="C65" s="84">
        <v>-18817955.459180169</v>
      </c>
      <c r="D65" s="134">
        <f>SUM($C$55:C65)</f>
        <v>-7314776.5065091066</v>
      </c>
      <c r="E65" s="84"/>
      <c r="F65" s="84">
        <f t="shared" si="63"/>
        <v>-7314776.5065091066</v>
      </c>
      <c r="G65" s="84">
        <f t="shared" si="64"/>
        <v>0</v>
      </c>
      <c r="H65" s="84">
        <f t="shared" si="65"/>
        <v>0</v>
      </c>
      <c r="I65" s="84">
        <f t="shared" si="66"/>
        <v>0</v>
      </c>
      <c r="J65" s="84">
        <f t="shared" si="67"/>
        <v>0</v>
      </c>
      <c r="K65" s="84">
        <f t="shared" si="68"/>
        <v>0</v>
      </c>
      <c r="L65" s="84">
        <f t="shared" si="69"/>
        <v>0</v>
      </c>
      <c r="M65" s="84">
        <f t="shared" si="70"/>
        <v>4775661.905927198</v>
      </c>
      <c r="N65" s="84">
        <f t="shared" si="71"/>
        <v>0</v>
      </c>
      <c r="O65" s="84">
        <f t="shared" si="72"/>
        <v>4775661.905927198</v>
      </c>
      <c r="P65" s="84">
        <f t="shared" si="82"/>
        <v>-7984052.617658006</v>
      </c>
      <c r="Q65" s="84"/>
      <c r="R65" s="84">
        <v>0</v>
      </c>
      <c r="S65" s="84">
        <f t="shared" si="73"/>
        <v>-7314776.5065091066</v>
      </c>
      <c r="T65" s="84">
        <f t="shared" si="74"/>
        <v>0</v>
      </c>
      <c r="U65" s="84">
        <f t="shared" si="75"/>
        <v>0</v>
      </c>
      <c r="V65" s="84">
        <f t="shared" si="76"/>
        <v>0</v>
      </c>
      <c r="W65" s="84"/>
      <c r="X65" s="84"/>
      <c r="Y65" s="84"/>
      <c r="Z65" s="84"/>
      <c r="AA65" s="84">
        <f t="shared" si="77"/>
        <v>29246744.154615793</v>
      </c>
      <c r="AB65" s="84">
        <f t="shared" si="78"/>
        <v>0</v>
      </c>
      <c r="AC65" s="84">
        <f t="shared" si="79"/>
        <v>29246744.154615793</v>
      </c>
      <c r="AD65" s="84">
        <f t="shared" si="80"/>
        <v>0</v>
      </c>
      <c r="AE65" s="84">
        <f t="shared" si="81"/>
        <v>29246744.154615793</v>
      </c>
      <c r="AF65" s="84">
        <f t="shared" si="83"/>
        <v>-10833902.841522168</v>
      </c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</row>
    <row r="66" spans="1:103" x14ac:dyDescent="0.25">
      <c r="A66" s="66">
        <v>4</v>
      </c>
      <c r="B66" s="68" t="s">
        <v>126</v>
      </c>
      <c r="C66" s="84">
        <v>-5060711.3535394911</v>
      </c>
      <c r="D66" s="134">
        <f>SUM($C$55:C66)</f>
        <v>-12375487.860048598</v>
      </c>
      <c r="E66" s="84"/>
      <c r="F66" s="84">
        <f t="shared" si="63"/>
        <v>-12375487.860048598</v>
      </c>
      <c r="G66" s="84">
        <f t="shared" si="64"/>
        <v>0</v>
      </c>
      <c r="H66" s="84">
        <f t="shared" si="65"/>
        <v>0</v>
      </c>
      <c r="I66" s="84">
        <f t="shared" si="66"/>
        <v>0</v>
      </c>
      <c r="J66" s="84">
        <f t="shared" si="67"/>
        <v>0</v>
      </c>
      <c r="K66" s="84">
        <f t="shared" si="68"/>
        <v>0</v>
      </c>
      <c r="L66" s="84">
        <f t="shared" si="69"/>
        <v>0</v>
      </c>
      <c r="M66" s="84">
        <f t="shared" si="70"/>
        <v>4775661.905927198</v>
      </c>
      <c r="N66" s="84">
        <f t="shared" si="71"/>
        <v>0</v>
      </c>
      <c r="O66" s="84">
        <f t="shared" si="72"/>
        <v>4775661.905927198</v>
      </c>
      <c r="P66" s="84">
        <f t="shared" si="82"/>
        <v>0</v>
      </c>
      <c r="Q66" s="84"/>
      <c r="R66" s="101">
        <v>0</v>
      </c>
      <c r="S66" s="84">
        <f t="shared" si="73"/>
        <v>-12375487.860048598</v>
      </c>
      <c r="T66" s="84">
        <f t="shared" si="74"/>
        <v>0</v>
      </c>
      <c r="U66" s="84">
        <f t="shared" si="75"/>
        <v>0</v>
      </c>
      <c r="V66" s="84">
        <f t="shared" si="76"/>
        <v>0</v>
      </c>
      <c r="W66" s="84"/>
      <c r="X66" s="84"/>
      <c r="Y66" s="84"/>
      <c r="Z66" s="84"/>
      <c r="AA66" s="84">
        <f t="shared" si="77"/>
        <v>24186032.8010763</v>
      </c>
      <c r="AB66" s="84">
        <f t="shared" si="78"/>
        <v>0</v>
      </c>
      <c r="AC66" s="84">
        <f t="shared" si="79"/>
        <v>24186032.8010763</v>
      </c>
      <c r="AD66" s="84">
        <f t="shared" si="80"/>
        <v>0</v>
      </c>
      <c r="AE66" s="84">
        <f t="shared" si="81"/>
        <v>24186032.8010763</v>
      </c>
      <c r="AF66" s="84">
        <f t="shared" si="83"/>
        <v>-5060711.3535394929</v>
      </c>
    </row>
    <row r="67" spans="1:103" x14ac:dyDescent="0.25">
      <c r="A67" s="66"/>
      <c r="C67" s="84"/>
      <c r="D67" s="13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101"/>
      <c r="S67" s="84"/>
      <c r="T67" s="84"/>
      <c r="U67" s="84"/>
      <c r="V67" s="84"/>
      <c r="W67" s="84"/>
      <c r="X67" s="84"/>
      <c r="Y67" s="84"/>
      <c r="Z67" s="84"/>
      <c r="AA67" s="84"/>
      <c r="AB67" s="92"/>
      <c r="AC67" s="92"/>
      <c r="AD67" s="92"/>
      <c r="AE67" s="84"/>
      <c r="AF67" s="84"/>
    </row>
    <row r="68" spans="1:103" x14ac:dyDescent="0.25">
      <c r="A68" s="66">
        <v>5</v>
      </c>
      <c r="B68" s="68" t="s">
        <v>125</v>
      </c>
      <c r="C68" s="84">
        <v>-15760896.525959512</v>
      </c>
      <c r="D68" s="134">
        <f>C68</f>
        <v>-15760896.525959512</v>
      </c>
      <c r="E68" s="84"/>
      <c r="F68" s="84">
        <f t="shared" ref="F68:F73" si="84">IF(ABS(D68)&gt;+$F$11,IF(D68&lt;0,-$F$11,+$F$11),+D68)</f>
        <v>-10000000</v>
      </c>
      <c r="G68" s="84">
        <f t="shared" ref="G68:G73" si="85">IF(ABS(D68)-ABS(F68)&gt;=$G$11,IF(D68&lt;=0,-$G$11,+$G$11),+D68-F68)</f>
        <v>-5760896.5259595122</v>
      </c>
      <c r="H68" s="84">
        <f t="shared" ref="H68:H73" si="86">IF(ABS(+D68)-ABS(SUM(F68:G68))&gt;=$H$11,IF(D68&lt;=0,-$H$11,+$H$11),+D68-SUM(F68:G68))</f>
        <v>0</v>
      </c>
      <c r="I68" s="84">
        <f t="shared" ref="I68:I73" si="87">IF(ABS(+D68)-ABS(SUM(F68:H68))&gt;=$I$11,IF(D68&lt;=0,$D68-SUM($F68:$H68),$D68-SUM($F68:$H68)),D68-SUM(F68:H68))</f>
        <v>0</v>
      </c>
      <c r="J68" s="84">
        <f t="shared" ref="J68:J73" si="88">+G68*$C$278</f>
        <v>-2880448.2629797561</v>
      </c>
      <c r="K68" s="84">
        <f t="shared" ref="K68:K73" si="89">+H68*$C$279</f>
        <v>0</v>
      </c>
      <c r="L68" s="84">
        <f t="shared" ref="L68:L73" si="90">+I68*$C$280</f>
        <v>0</v>
      </c>
      <c r="M68" s="84">
        <f t="shared" ref="M68:M73" si="91">SUM(J68:L68)+$M$66</f>
        <v>1895213.6429474419</v>
      </c>
      <c r="N68" s="92">
        <v>0</v>
      </c>
      <c r="O68" s="84">
        <f t="shared" ref="O68:O73" si="92">M68+N68</f>
        <v>1895213.6429474419</v>
      </c>
      <c r="P68" s="84">
        <f>O68-O66</f>
        <v>-2880448.2629797561</v>
      </c>
      <c r="Q68" s="92"/>
      <c r="R68" s="84">
        <v>0</v>
      </c>
      <c r="S68" s="84">
        <f t="shared" ref="S68:S73" si="93">+F68</f>
        <v>-10000000</v>
      </c>
      <c r="T68" s="84">
        <f t="shared" ref="T68:V73" si="94">+G68-J68</f>
        <v>-2880448.2629797561</v>
      </c>
      <c r="U68" s="84">
        <f t="shared" si="94"/>
        <v>0</v>
      </c>
      <c r="V68" s="84">
        <f t="shared" si="94"/>
        <v>0</v>
      </c>
      <c r="W68" s="84"/>
      <c r="X68" s="84"/>
      <c r="Y68" s="84"/>
      <c r="Z68" s="84"/>
      <c r="AA68" s="84">
        <f t="shared" ref="AA68:AA73" si="95">SUM(S68:V68)+$AA$66</f>
        <v>11305584.538096543</v>
      </c>
      <c r="AB68" s="92">
        <v>0</v>
      </c>
      <c r="AC68" s="92">
        <f t="shared" ref="AC68:AC73" si="96">AA68-AB68</f>
        <v>11305584.538096543</v>
      </c>
      <c r="AD68" s="92">
        <v>0</v>
      </c>
      <c r="AE68" s="84">
        <f t="shared" ref="AE68:AE73" si="97">AA68-AB68+AD68</f>
        <v>11305584.538096543</v>
      </c>
      <c r="AF68" s="84">
        <f>AE68-AE66</f>
        <v>-12880448.262979757</v>
      </c>
    </row>
    <row r="69" spans="1:103" x14ac:dyDescent="0.25">
      <c r="A69" s="66">
        <v>5</v>
      </c>
      <c r="B69" s="68" t="s">
        <v>124</v>
      </c>
      <c r="C69" s="84">
        <v>-7081098.7945827385</v>
      </c>
      <c r="D69" s="134">
        <f>SUM($C$68:C69)</f>
        <v>-22841995.32054225</v>
      </c>
      <c r="E69" s="84"/>
      <c r="F69" s="84">
        <f t="shared" si="84"/>
        <v>-10000000</v>
      </c>
      <c r="G69" s="84">
        <f t="shared" si="85"/>
        <v>-10000000</v>
      </c>
      <c r="H69" s="157">
        <f t="shared" si="86"/>
        <v>-2841995.3205422498</v>
      </c>
      <c r="I69" s="84">
        <f t="shared" si="87"/>
        <v>0</v>
      </c>
      <c r="J69" s="84">
        <f t="shared" si="88"/>
        <v>-5000000</v>
      </c>
      <c r="K69" s="84">
        <f t="shared" si="89"/>
        <v>-2557795.7884880248</v>
      </c>
      <c r="L69" s="84">
        <f t="shared" si="90"/>
        <v>0</v>
      </c>
      <c r="M69" s="84">
        <f t="shared" si="91"/>
        <v>-2782133.8825608268</v>
      </c>
      <c r="N69" s="92">
        <v>0</v>
      </c>
      <c r="O69" s="84">
        <f t="shared" si="92"/>
        <v>-2782133.8825608268</v>
      </c>
      <c r="P69" s="84">
        <f>O69-O68</f>
        <v>-4677347.5255082687</v>
      </c>
      <c r="Q69" s="84"/>
      <c r="R69" s="84">
        <v>0</v>
      </c>
      <c r="S69" s="84">
        <f t="shared" si="93"/>
        <v>-10000000</v>
      </c>
      <c r="T69" s="84">
        <f t="shared" si="94"/>
        <v>-5000000</v>
      </c>
      <c r="U69" s="157">
        <f t="shared" si="94"/>
        <v>-284199.53205422498</v>
      </c>
      <c r="V69" s="157">
        <f t="shared" si="94"/>
        <v>0</v>
      </c>
      <c r="W69" s="84"/>
      <c r="X69" s="84"/>
      <c r="Y69" s="84"/>
      <c r="Z69" s="84"/>
      <c r="AA69" s="84">
        <f t="shared" si="95"/>
        <v>8901833.2690220755</v>
      </c>
      <c r="AB69" s="92">
        <v>0</v>
      </c>
      <c r="AC69" s="92">
        <f t="shared" si="96"/>
        <v>8901833.2690220755</v>
      </c>
      <c r="AD69" s="92">
        <v>0</v>
      </c>
      <c r="AE69" s="84">
        <f t="shared" si="97"/>
        <v>8901833.2690220755</v>
      </c>
      <c r="AF69" s="84">
        <f>AE69-AE68</f>
        <v>-2403751.2690744679</v>
      </c>
    </row>
    <row r="70" spans="1:103" x14ac:dyDescent="0.25">
      <c r="A70" s="66">
        <v>5</v>
      </c>
      <c r="B70" s="68" t="s">
        <v>123</v>
      </c>
      <c r="C70" s="84">
        <v>5061245.4925772585</v>
      </c>
      <c r="D70" s="134">
        <f>SUM($C$68:C70)</f>
        <v>-17780749.827964991</v>
      </c>
      <c r="E70" s="84"/>
      <c r="F70" s="84">
        <f t="shared" si="84"/>
        <v>-10000000</v>
      </c>
      <c r="G70" s="84">
        <f t="shared" si="85"/>
        <v>-7780749.8279649913</v>
      </c>
      <c r="H70" s="84">
        <f t="shared" si="86"/>
        <v>0</v>
      </c>
      <c r="I70" s="84">
        <f t="shared" si="87"/>
        <v>0</v>
      </c>
      <c r="J70" s="84">
        <f t="shared" si="88"/>
        <v>-3890374.9139824957</v>
      </c>
      <c r="K70" s="84">
        <f t="shared" si="89"/>
        <v>0</v>
      </c>
      <c r="L70" s="84">
        <f t="shared" si="90"/>
        <v>0</v>
      </c>
      <c r="M70" s="84">
        <f t="shared" si="91"/>
        <v>885286.99194470234</v>
      </c>
      <c r="N70" s="92">
        <v>0</v>
      </c>
      <c r="O70" s="84">
        <f t="shared" si="92"/>
        <v>885286.99194470234</v>
      </c>
      <c r="P70" s="84">
        <f>O70-O69</f>
        <v>3667420.8745055292</v>
      </c>
      <c r="Q70" s="84"/>
      <c r="R70" s="84">
        <v>0</v>
      </c>
      <c r="S70" s="84">
        <f t="shared" si="93"/>
        <v>-10000000</v>
      </c>
      <c r="T70" s="84">
        <f t="shared" si="94"/>
        <v>-3890374.9139824957</v>
      </c>
      <c r="U70" s="157">
        <f t="shared" si="94"/>
        <v>0</v>
      </c>
      <c r="V70" s="157">
        <f t="shared" si="94"/>
        <v>0</v>
      </c>
      <c r="W70" s="84"/>
      <c r="X70" s="84"/>
      <c r="Y70" s="84"/>
      <c r="Z70" s="84"/>
      <c r="AA70" s="84">
        <f t="shared" si="95"/>
        <v>10295657.887093805</v>
      </c>
      <c r="AB70" s="92">
        <v>0</v>
      </c>
      <c r="AC70" s="92">
        <f t="shared" si="96"/>
        <v>10295657.887093805</v>
      </c>
      <c r="AD70" s="92">
        <v>0</v>
      </c>
      <c r="AE70" s="84">
        <f t="shared" si="97"/>
        <v>10295657.887093805</v>
      </c>
      <c r="AF70" s="84">
        <f>AE70-AE69</f>
        <v>1393824.6180717293</v>
      </c>
    </row>
    <row r="71" spans="1:103" x14ac:dyDescent="0.25">
      <c r="A71" s="66">
        <v>5</v>
      </c>
      <c r="B71" s="68" t="s">
        <v>122</v>
      </c>
      <c r="C71" s="84">
        <v>11276164.681656158</v>
      </c>
      <c r="D71" s="134">
        <f>SUM($C$68:C71)</f>
        <v>-6504585.1463088337</v>
      </c>
      <c r="E71" s="84"/>
      <c r="F71" s="84">
        <f t="shared" si="84"/>
        <v>-6504585.1463088337</v>
      </c>
      <c r="G71" s="84">
        <f t="shared" si="85"/>
        <v>0</v>
      </c>
      <c r="H71" s="84">
        <f t="shared" si="86"/>
        <v>0</v>
      </c>
      <c r="I71" s="84">
        <f t="shared" si="87"/>
        <v>0</v>
      </c>
      <c r="J71" s="84">
        <f t="shared" si="88"/>
        <v>0</v>
      </c>
      <c r="K71" s="84">
        <f t="shared" si="89"/>
        <v>0</v>
      </c>
      <c r="L71" s="84">
        <f t="shared" si="90"/>
        <v>0</v>
      </c>
      <c r="M71" s="84">
        <f t="shared" si="91"/>
        <v>4775661.905927198</v>
      </c>
      <c r="N71" s="92">
        <v>0</v>
      </c>
      <c r="O71" s="84">
        <f t="shared" si="92"/>
        <v>4775661.905927198</v>
      </c>
      <c r="P71" s="84">
        <f>O71-O70</f>
        <v>3890374.9139824957</v>
      </c>
      <c r="Q71" s="84"/>
      <c r="R71" s="84">
        <v>0</v>
      </c>
      <c r="S71" s="84">
        <f t="shared" si="93"/>
        <v>-6504585.1463088337</v>
      </c>
      <c r="T71" s="84">
        <f t="shared" si="94"/>
        <v>0</v>
      </c>
      <c r="U71" s="157">
        <f t="shared" si="94"/>
        <v>0</v>
      </c>
      <c r="V71" s="157">
        <f t="shared" si="94"/>
        <v>0</v>
      </c>
      <c r="W71" s="84"/>
      <c r="X71" s="84"/>
      <c r="Y71" s="84"/>
      <c r="Z71" s="84"/>
      <c r="AA71" s="84">
        <f t="shared" si="95"/>
        <v>17681447.654767469</v>
      </c>
      <c r="AB71" s="92">
        <v>0</v>
      </c>
      <c r="AC71" s="92">
        <f t="shared" si="96"/>
        <v>17681447.654767469</v>
      </c>
      <c r="AD71" s="92">
        <v>0</v>
      </c>
      <c r="AE71" s="84">
        <f t="shared" si="97"/>
        <v>17681447.654767469</v>
      </c>
      <c r="AF71" s="84">
        <f>AE71-AE70</f>
        <v>7385789.7676736638</v>
      </c>
    </row>
    <row r="72" spans="1:103" x14ac:dyDescent="0.25">
      <c r="A72" s="66">
        <v>5</v>
      </c>
      <c r="B72" s="68" t="s">
        <v>121</v>
      </c>
      <c r="C72" s="84">
        <v>-1082060.8672728234</v>
      </c>
      <c r="D72" s="134">
        <f>SUM($C$68:C72)</f>
        <v>-7586646.0135816569</v>
      </c>
      <c r="E72" s="84"/>
      <c r="F72" s="84">
        <f t="shared" si="84"/>
        <v>-7586646.0135816569</v>
      </c>
      <c r="G72" s="84">
        <f t="shared" si="85"/>
        <v>0</v>
      </c>
      <c r="H72" s="84">
        <f t="shared" si="86"/>
        <v>0</v>
      </c>
      <c r="I72" s="84">
        <f t="shared" si="87"/>
        <v>0</v>
      </c>
      <c r="J72" s="84">
        <f t="shared" si="88"/>
        <v>0</v>
      </c>
      <c r="K72" s="84">
        <f t="shared" si="89"/>
        <v>0</v>
      </c>
      <c r="L72" s="84">
        <f t="shared" si="90"/>
        <v>0</v>
      </c>
      <c r="M72" s="84">
        <f t="shared" si="91"/>
        <v>4775661.905927198</v>
      </c>
      <c r="N72" s="92">
        <v>0</v>
      </c>
      <c r="O72" s="84">
        <f t="shared" si="92"/>
        <v>4775661.905927198</v>
      </c>
      <c r="P72" s="84">
        <f>O72-O71</f>
        <v>0</v>
      </c>
      <c r="Q72" s="84"/>
      <c r="R72" s="84">
        <v>0</v>
      </c>
      <c r="S72" s="84">
        <f t="shared" si="93"/>
        <v>-7586646.0135816569</v>
      </c>
      <c r="T72" s="84">
        <f t="shared" si="94"/>
        <v>0</v>
      </c>
      <c r="U72" s="157">
        <f t="shared" si="94"/>
        <v>0</v>
      </c>
      <c r="V72" s="157">
        <f t="shared" si="94"/>
        <v>0</v>
      </c>
      <c r="W72" s="84"/>
      <c r="X72" s="84"/>
      <c r="Y72" s="84"/>
      <c r="Z72" s="84"/>
      <c r="AA72" s="84">
        <f t="shared" si="95"/>
        <v>16599386.787494645</v>
      </c>
      <c r="AB72" s="92">
        <v>0</v>
      </c>
      <c r="AC72" s="92">
        <f t="shared" si="96"/>
        <v>16599386.787494645</v>
      </c>
      <c r="AD72" s="92">
        <v>0</v>
      </c>
      <c r="AE72" s="84">
        <f t="shared" si="97"/>
        <v>16599386.787494645</v>
      </c>
      <c r="AF72" s="84">
        <f>AE72-AE71</f>
        <v>-1082060.867272824</v>
      </c>
    </row>
    <row r="73" spans="1:103" x14ac:dyDescent="0.25">
      <c r="A73" s="66">
        <v>5</v>
      </c>
      <c r="B73" s="68" t="s">
        <v>120</v>
      </c>
      <c r="C73" s="84">
        <v>6915612.8421609094</v>
      </c>
      <c r="D73" s="134">
        <f>SUM($C$68:C73)</f>
        <v>-671033.17142074741</v>
      </c>
      <c r="E73" s="84"/>
      <c r="F73" s="84">
        <f t="shared" si="84"/>
        <v>-671033.17142074741</v>
      </c>
      <c r="G73" s="84">
        <f t="shared" si="85"/>
        <v>0</v>
      </c>
      <c r="H73" s="84">
        <f t="shared" si="86"/>
        <v>0</v>
      </c>
      <c r="I73" s="84">
        <f t="shared" si="87"/>
        <v>0</v>
      </c>
      <c r="J73" s="84">
        <f t="shared" si="88"/>
        <v>0</v>
      </c>
      <c r="K73" s="84">
        <f t="shared" si="89"/>
        <v>0</v>
      </c>
      <c r="L73" s="84">
        <f t="shared" si="90"/>
        <v>0</v>
      </c>
      <c r="M73" s="84">
        <f t="shared" si="91"/>
        <v>4775661.905927198</v>
      </c>
      <c r="N73" s="92">
        <v>0</v>
      </c>
      <c r="O73" s="84">
        <f t="shared" si="92"/>
        <v>4775661.905927198</v>
      </c>
      <c r="P73" s="84">
        <f>O73-O72</f>
        <v>0</v>
      </c>
      <c r="Q73" s="84"/>
      <c r="R73" s="84">
        <v>0</v>
      </c>
      <c r="S73" s="84">
        <f t="shared" si="93"/>
        <v>-671033.17142074741</v>
      </c>
      <c r="T73" s="84">
        <f t="shared" si="94"/>
        <v>0</v>
      </c>
      <c r="U73" s="157">
        <f t="shared" si="94"/>
        <v>0</v>
      </c>
      <c r="V73" s="157">
        <f t="shared" si="94"/>
        <v>0</v>
      </c>
      <c r="W73" s="84"/>
      <c r="X73" s="84"/>
      <c r="Y73" s="84"/>
      <c r="Z73" s="84"/>
      <c r="AA73" s="84">
        <f t="shared" si="95"/>
        <v>23514999.629655555</v>
      </c>
      <c r="AB73" s="92">
        <v>0</v>
      </c>
      <c r="AC73" s="92">
        <f t="shared" si="96"/>
        <v>23514999.629655555</v>
      </c>
      <c r="AD73" s="92">
        <v>0</v>
      </c>
      <c r="AE73" s="84">
        <f t="shared" si="97"/>
        <v>23514999.629655555</v>
      </c>
      <c r="AF73" s="84">
        <f>AE73-AE72</f>
        <v>6915612.8421609104</v>
      </c>
    </row>
    <row r="74" spans="1:103" x14ac:dyDescent="0.25">
      <c r="A74" s="66"/>
      <c r="C74" s="84"/>
      <c r="D74" s="134"/>
      <c r="E74" s="84"/>
      <c r="F74" s="84"/>
      <c r="G74" s="84"/>
      <c r="H74" s="84"/>
      <c r="I74" s="84"/>
      <c r="J74" s="84"/>
      <c r="K74" s="84"/>
      <c r="L74" s="84"/>
      <c r="M74" s="84"/>
      <c r="N74" s="92"/>
      <c r="O74" s="84"/>
      <c r="P74" s="84"/>
      <c r="Q74" s="84"/>
      <c r="R74" s="101"/>
      <c r="S74" s="84"/>
      <c r="T74" s="84"/>
      <c r="U74" s="84"/>
      <c r="V74" s="84"/>
      <c r="W74" s="84"/>
      <c r="X74" s="84"/>
      <c r="Y74" s="84"/>
      <c r="Z74" s="84"/>
      <c r="AA74" s="84"/>
      <c r="AB74" s="92"/>
      <c r="AC74" s="92"/>
      <c r="AD74" s="92"/>
      <c r="AE74" s="84"/>
      <c r="AF74" s="84"/>
    </row>
    <row r="75" spans="1:103" x14ac:dyDescent="0.25">
      <c r="A75" s="66">
        <v>6</v>
      </c>
      <c r="B75" s="68" t="s">
        <v>131</v>
      </c>
      <c r="C75" s="84">
        <v>139631.83641762889</v>
      </c>
      <c r="D75" s="134">
        <f>C75</f>
        <v>139631.83641762889</v>
      </c>
      <c r="E75" s="84"/>
      <c r="F75" s="84">
        <f t="shared" ref="F75:F86" si="98">IF(ABS(D75)&gt;+$F$10,IF(D75&lt;0,-$F$10,+$F$10),+D75)</f>
        <v>139631.83641762889</v>
      </c>
      <c r="G75" s="84">
        <f t="shared" ref="G75:G86" si="99">IF(ABS(D75)-ABS(F75)&gt;=$G$10,IF(D75&lt;=0,-$G$10,+$G$10),+D75-F75)</f>
        <v>0</v>
      </c>
      <c r="H75" s="84">
        <f t="shared" ref="H75:H86" si="100">IF(ABS(+D75)-ABS(SUM(F75:G75))&gt;=$H$10,IF(D75&lt;=0,-$H$10,+$H$10),+D75-SUM(F75:G75))</f>
        <v>0</v>
      </c>
      <c r="I75" s="84">
        <f t="shared" ref="I75:I86" si="101">IF(ABS(+D75)-ABS(SUM(F75:H75))&gt;=$I$10,IF(D75&lt;=0,$D75-SUM($F75:$H75),$D75-SUM($F75:$H75)),D75-SUM(F75:H75))</f>
        <v>0</v>
      </c>
      <c r="J75" s="84">
        <f t="shared" ref="J75:J86" si="102">+G75*$C$278</f>
        <v>0</v>
      </c>
      <c r="K75" s="84">
        <f t="shared" ref="K75:K86" si="103">+H75*$C$279</f>
        <v>0</v>
      </c>
      <c r="L75" s="84">
        <f t="shared" ref="L75:L86" si="104">+I75*$C$280</f>
        <v>0</v>
      </c>
      <c r="M75" s="84">
        <f t="shared" ref="M75:M86" si="105">SUM(J75:L75)+$M$73</f>
        <v>4775661.905927198</v>
      </c>
      <c r="N75" s="92">
        <v>0</v>
      </c>
      <c r="O75" s="84">
        <f t="shared" ref="O75:O86" si="106">M75+N75</f>
        <v>4775661.905927198</v>
      </c>
      <c r="P75" s="84">
        <f>O75-O73</f>
        <v>0</v>
      </c>
      <c r="Q75" s="84"/>
      <c r="R75" s="101"/>
      <c r="S75" s="84">
        <f t="shared" ref="S75:S86" si="107">+F75</f>
        <v>139631.83641762889</v>
      </c>
      <c r="T75" s="84">
        <f t="shared" ref="T75:T86" si="108">+G75-J75</f>
        <v>0</v>
      </c>
      <c r="U75" s="157">
        <f t="shared" ref="U75:U86" si="109">+H75-K75</f>
        <v>0</v>
      </c>
      <c r="V75" s="157">
        <f t="shared" ref="V75:V86" si="110">+I75-L75</f>
        <v>0</v>
      </c>
      <c r="W75" s="84"/>
      <c r="X75" s="84"/>
      <c r="Y75" s="84"/>
      <c r="Z75" s="84"/>
      <c r="AA75" s="84">
        <f t="shared" ref="AA75:AA86" si="111">SUM(S75:V75)+$AA$73</f>
        <v>23654631.466073185</v>
      </c>
      <c r="AB75" s="92">
        <v>0</v>
      </c>
      <c r="AC75" s="92">
        <f t="shared" ref="AC75:AC86" si="112">AA75-AB75</f>
        <v>23654631.466073185</v>
      </c>
      <c r="AD75" s="92">
        <v>0</v>
      </c>
      <c r="AE75" s="84">
        <f t="shared" ref="AE75:AE86" si="113">AA75-AB75+AD75</f>
        <v>23654631.466073185</v>
      </c>
      <c r="AF75" s="84">
        <f>AE75-AE73</f>
        <v>139631.83641763031</v>
      </c>
    </row>
    <row r="76" spans="1:103" x14ac:dyDescent="0.25">
      <c r="A76" s="66">
        <v>6</v>
      </c>
      <c r="B76" s="68" t="s">
        <v>130</v>
      </c>
      <c r="C76" s="84">
        <v>11880521.198698398</v>
      </c>
      <c r="D76" s="134">
        <f>SUM($C$75:C76)</f>
        <v>12020153.035116026</v>
      </c>
      <c r="E76" s="84"/>
      <c r="F76" s="84">
        <f t="shared" si="98"/>
        <v>12020153.035116026</v>
      </c>
      <c r="G76" s="84">
        <f t="shared" si="99"/>
        <v>0</v>
      </c>
      <c r="H76" s="84">
        <f t="shared" si="100"/>
        <v>0</v>
      </c>
      <c r="I76" s="84">
        <f t="shared" si="101"/>
        <v>0</v>
      </c>
      <c r="J76" s="84">
        <f t="shared" si="102"/>
        <v>0</v>
      </c>
      <c r="K76" s="84">
        <f t="shared" si="103"/>
        <v>0</v>
      </c>
      <c r="L76" s="84">
        <f t="shared" si="104"/>
        <v>0</v>
      </c>
      <c r="M76" s="84">
        <f t="shared" si="105"/>
        <v>4775661.905927198</v>
      </c>
      <c r="N76" s="92">
        <v>0</v>
      </c>
      <c r="O76" s="84">
        <f t="shared" si="106"/>
        <v>4775661.905927198</v>
      </c>
      <c r="P76" s="84">
        <f t="shared" ref="P76:P86" si="114">O76-O75</f>
        <v>0</v>
      </c>
      <c r="Q76" s="84"/>
      <c r="R76" s="101"/>
      <c r="S76" s="84">
        <f t="shared" si="107"/>
        <v>12020153.035116026</v>
      </c>
      <c r="T76" s="84">
        <f t="shared" si="108"/>
        <v>0</v>
      </c>
      <c r="U76" s="157">
        <f t="shared" si="109"/>
        <v>0</v>
      </c>
      <c r="V76" s="157">
        <f t="shared" si="110"/>
        <v>0</v>
      </c>
      <c r="W76" s="84"/>
      <c r="X76" s="84"/>
      <c r="Y76" s="84"/>
      <c r="Z76" s="84"/>
      <c r="AA76" s="84">
        <f t="shared" si="111"/>
        <v>35535152.664771579</v>
      </c>
      <c r="AB76" s="92">
        <v>0</v>
      </c>
      <c r="AC76" s="92">
        <f t="shared" si="112"/>
        <v>35535152.664771579</v>
      </c>
      <c r="AD76" s="92">
        <v>0</v>
      </c>
      <c r="AE76" s="84">
        <f t="shared" si="113"/>
        <v>35535152.664771579</v>
      </c>
      <c r="AF76" s="84">
        <f t="shared" ref="AF76:AF86" si="115">AE76-AE75</f>
        <v>11880521.198698394</v>
      </c>
    </row>
    <row r="77" spans="1:103" x14ac:dyDescent="0.25">
      <c r="A77" s="66">
        <v>6</v>
      </c>
      <c r="B77" s="68" t="s">
        <v>129</v>
      </c>
      <c r="C77" s="84">
        <v>571161.02817829431</v>
      </c>
      <c r="D77" s="134">
        <f>SUM($C$75:C77)</f>
        <v>12591314.063294321</v>
      </c>
      <c r="E77" s="84"/>
      <c r="F77" s="84">
        <f t="shared" si="98"/>
        <v>12591314.063294321</v>
      </c>
      <c r="G77" s="84">
        <f t="shared" si="99"/>
        <v>0</v>
      </c>
      <c r="H77" s="84">
        <f t="shared" si="100"/>
        <v>0</v>
      </c>
      <c r="I77" s="84">
        <f t="shared" si="101"/>
        <v>0</v>
      </c>
      <c r="J77" s="84">
        <f t="shared" si="102"/>
        <v>0</v>
      </c>
      <c r="K77" s="84">
        <f t="shared" si="103"/>
        <v>0</v>
      </c>
      <c r="L77" s="84">
        <f t="shared" si="104"/>
        <v>0</v>
      </c>
      <c r="M77" s="84">
        <f t="shared" si="105"/>
        <v>4775661.905927198</v>
      </c>
      <c r="N77" s="92">
        <v>0</v>
      </c>
      <c r="O77" s="84">
        <f t="shared" si="106"/>
        <v>4775661.905927198</v>
      </c>
      <c r="P77" s="84">
        <f t="shared" si="114"/>
        <v>0</v>
      </c>
      <c r="Q77" s="84"/>
      <c r="R77" s="101"/>
      <c r="S77" s="84">
        <f t="shared" si="107"/>
        <v>12591314.063294321</v>
      </c>
      <c r="T77" s="84">
        <f t="shared" si="108"/>
        <v>0</v>
      </c>
      <c r="U77" s="157">
        <f t="shared" si="109"/>
        <v>0</v>
      </c>
      <c r="V77" s="157">
        <f t="shared" si="110"/>
        <v>0</v>
      </c>
      <c r="W77" s="84"/>
      <c r="X77" s="84"/>
      <c r="Y77" s="84"/>
      <c r="Z77" s="84"/>
      <c r="AA77" s="84">
        <f t="shared" si="111"/>
        <v>36106313.692949876</v>
      </c>
      <c r="AB77" s="92">
        <v>0</v>
      </c>
      <c r="AC77" s="92">
        <f t="shared" si="112"/>
        <v>36106313.692949876</v>
      </c>
      <c r="AD77" s="92">
        <v>0</v>
      </c>
      <c r="AE77" s="84">
        <f t="shared" si="113"/>
        <v>36106313.692949876</v>
      </c>
      <c r="AF77" s="84">
        <f t="shared" si="115"/>
        <v>571161.02817829698</v>
      </c>
    </row>
    <row r="78" spans="1:103" x14ac:dyDescent="0.25">
      <c r="A78" s="66">
        <v>6</v>
      </c>
      <c r="B78" s="68" t="s">
        <v>128</v>
      </c>
      <c r="C78" s="84">
        <v>-15673222.735583702</v>
      </c>
      <c r="D78" s="134">
        <f>SUM($C$75:C78)</f>
        <v>-3081908.6722893808</v>
      </c>
      <c r="E78" s="84"/>
      <c r="F78" s="84">
        <f t="shared" si="98"/>
        <v>-3081908.6722893808</v>
      </c>
      <c r="G78" s="84">
        <f t="shared" si="99"/>
        <v>0</v>
      </c>
      <c r="H78" s="84">
        <f t="shared" si="100"/>
        <v>0</v>
      </c>
      <c r="I78" s="84">
        <f t="shared" si="101"/>
        <v>0</v>
      </c>
      <c r="J78" s="84">
        <f t="shared" si="102"/>
        <v>0</v>
      </c>
      <c r="K78" s="84">
        <f t="shared" si="103"/>
        <v>0</v>
      </c>
      <c r="L78" s="84">
        <f t="shared" si="104"/>
        <v>0</v>
      </c>
      <c r="M78" s="84">
        <f t="shared" si="105"/>
        <v>4775661.905927198</v>
      </c>
      <c r="N78" s="92">
        <v>0</v>
      </c>
      <c r="O78" s="84">
        <f t="shared" si="106"/>
        <v>4775661.905927198</v>
      </c>
      <c r="P78" s="84">
        <f t="shared" si="114"/>
        <v>0</v>
      </c>
      <c r="Q78" s="84"/>
      <c r="R78" s="101"/>
      <c r="S78" s="84">
        <f t="shared" si="107"/>
        <v>-3081908.6722893808</v>
      </c>
      <c r="T78" s="84">
        <f t="shared" si="108"/>
        <v>0</v>
      </c>
      <c r="U78" s="157">
        <f t="shared" si="109"/>
        <v>0</v>
      </c>
      <c r="V78" s="157">
        <f t="shared" si="110"/>
        <v>0</v>
      </c>
      <c r="W78" s="84"/>
      <c r="X78" s="84"/>
      <c r="Y78" s="84"/>
      <c r="Z78" s="84"/>
      <c r="AA78" s="84">
        <f t="shared" si="111"/>
        <v>20433090.957366176</v>
      </c>
      <c r="AB78" s="92">
        <v>0</v>
      </c>
      <c r="AC78" s="92">
        <f t="shared" si="112"/>
        <v>20433090.957366176</v>
      </c>
      <c r="AD78" s="92">
        <v>0</v>
      </c>
      <c r="AE78" s="84">
        <f t="shared" si="113"/>
        <v>20433090.957366176</v>
      </c>
      <c r="AF78" s="84">
        <f t="shared" si="115"/>
        <v>-15673222.7355837</v>
      </c>
    </row>
    <row r="79" spans="1:103" x14ac:dyDescent="0.25">
      <c r="A79" s="66">
        <v>6</v>
      </c>
      <c r="B79" s="167" t="s">
        <v>127</v>
      </c>
      <c r="C79" s="84">
        <v>-17880969.313913051</v>
      </c>
      <c r="D79" s="134">
        <f>SUM($C$75:C79)</f>
        <v>-20962877.986202434</v>
      </c>
      <c r="E79" s="84"/>
      <c r="F79" s="84">
        <f t="shared" si="98"/>
        <v>-20000000</v>
      </c>
      <c r="G79" s="84">
        <f t="shared" si="99"/>
        <v>-962877.98620243371</v>
      </c>
      <c r="H79" s="84">
        <f t="shared" si="100"/>
        <v>0</v>
      </c>
      <c r="I79" s="84">
        <f t="shared" si="101"/>
        <v>0</v>
      </c>
      <c r="J79" s="84">
        <f t="shared" si="102"/>
        <v>-481438.99310121685</v>
      </c>
      <c r="K79" s="84">
        <f t="shared" si="103"/>
        <v>0</v>
      </c>
      <c r="L79" s="84">
        <f t="shared" si="104"/>
        <v>0</v>
      </c>
      <c r="M79" s="84">
        <f t="shared" si="105"/>
        <v>4294222.9128259812</v>
      </c>
      <c r="N79" s="92">
        <v>0</v>
      </c>
      <c r="O79" s="84">
        <f t="shared" si="106"/>
        <v>4294222.9128259812</v>
      </c>
      <c r="P79" s="84">
        <f t="shared" si="114"/>
        <v>-481438.99310121685</v>
      </c>
      <c r="Q79" s="84"/>
      <c r="R79" s="101"/>
      <c r="S79" s="84">
        <f t="shared" si="107"/>
        <v>-20000000</v>
      </c>
      <c r="T79" s="84">
        <f t="shared" si="108"/>
        <v>-481438.99310121685</v>
      </c>
      <c r="U79" s="157">
        <f t="shared" si="109"/>
        <v>0</v>
      </c>
      <c r="V79" s="157">
        <f t="shared" si="110"/>
        <v>0</v>
      </c>
      <c r="W79" s="84"/>
      <c r="X79" s="84"/>
      <c r="Y79" s="84"/>
      <c r="Z79" s="84"/>
      <c r="AA79" s="84">
        <f t="shared" si="111"/>
        <v>3033560.636554338</v>
      </c>
      <c r="AB79" s="92">
        <v>0</v>
      </c>
      <c r="AC79" s="92">
        <f t="shared" si="112"/>
        <v>3033560.636554338</v>
      </c>
      <c r="AD79" s="92">
        <v>0</v>
      </c>
      <c r="AE79" s="84">
        <f t="shared" si="113"/>
        <v>3033560.636554338</v>
      </c>
      <c r="AF79" s="84">
        <f t="shared" si="115"/>
        <v>-17399530.320811838</v>
      </c>
    </row>
    <row r="80" spans="1:103" x14ac:dyDescent="0.25">
      <c r="A80" s="66">
        <v>6</v>
      </c>
      <c r="B80" s="68" t="s">
        <v>126</v>
      </c>
      <c r="C80" s="84">
        <v>-7125454.3360827817</v>
      </c>
      <c r="D80" s="134">
        <f>SUM($C$75:C80)</f>
        <v>-28088332.322285216</v>
      </c>
      <c r="E80" s="84"/>
      <c r="F80" s="84">
        <f t="shared" si="98"/>
        <v>-20000000</v>
      </c>
      <c r="G80" s="84">
        <f t="shared" si="99"/>
        <v>-8088332.3222852163</v>
      </c>
      <c r="H80" s="84">
        <f t="shared" si="100"/>
        <v>0</v>
      </c>
      <c r="I80" s="84">
        <f t="shared" si="101"/>
        <v>0</v>
      </c>
      <c r="J80" s="84">
        <f t="shared" si="102"/>
        <v>-4044166.1611426082</v>
      </c>
      <c r="K80" s="84">
        <f t="shared" si="103"/>
        <v>0</v>
      </c>
      <c r="L80" s="84">
        <f t="shared" si="104"/>
        <v>0</v>
      </c>
      <c r="M80" s="84">
        <f t="shared" si="105"/>
        <v>731495.74478458986</v>
      </c>
      <c r="N80" s="92">
        <v>0</v>
      </c>
      <c r="O80" s="84">
        <f t="shared" si="106"/>
        <v>731495.74478458986</v>
      </c>
      <c r="P80" s="84">
        <f t="shared" si="114"/>
        <v>-3562727.1680413913</v>
      </c>
      <c r="Q80" s="84"/>
      <c r="R80" s="101"/>
      <c r="S80" s="84">
        <f t="shared" si="107"/>
        <v>-20000000</v>
      </c>
      <c r="T80" s="84">
        <f t="shared" si="108"/>
        <v>-4044166.1611426082</v>
      </c>
      <c r="U80" s="157">
        <f t="shared" si="109"/>
        <v>0</v>
      </c>
      <c r="V80" s="157">
        <f t="shared" si="110"/>
        <v>0</v>
      </c>
      <c r="W80" s="84"/>
      <c r="X80" s="84"/>
      <c r="Y80" s="84"/>
      <c r="Z80" s="84"/>
      <c r="AA80" s="84">
        <f t="shared" si="111"/>
        <v>-529166.53148705512</v>
      </c>
      <c r="AB80" s="92">
        <v>0</v>
      </c>
      <c r="AC80" s="92">
        <f t="shared" si="112"/>
        <v>-529166.53148705512</v>
      </c>
      <c r="AD80" s="92">
        <v>0</v>
      </c>
      <c r="AE80" s="84">
        <f t="shared" si="113"/>
        <v>-529166.53148705512</v>
      </c>
      <c r="AF80" s="84">
        <f t="shared" si="115"/>
        <v>-3562727.1680413932</v>
      </c>
    </row>
    <row r="81" spans="1:32" x14ac:dyDescent="0.25">
      <c r="A81" s="66">
        <v>6</v>
      </c>
      <c r="B81" s="68" t="s">
        <v>125</v>
      </c>
      <c r="C81" s="84">
        <v>-14825247.013503078</v>
      </c>
      <c r="D81" s="134">
        <f>SUM($C$75:C81)</f>
        <v>-42913579.335788295</v>
      </c>
      <c r="E81" s="84"/>
      <c r="F81" s="84">
        <f t="shared" si="98"/>
        <v>-20000000</v>
      </c>
      <c r="G81" s="84">
        <f t="shared" si="99"/>
        <v>-20000000</v>
      </c>
      <c r="H81" s="84">
        <f t="shared" si="100"/>
        <v>-2913579.3357882947</v>
      </c>
      <c r="I81" s="84">
        <f t="shared" si="101"/>
        <v>0</v>
      </c>
      <c r="J81" s="84">
        <f t="shared" si="102"/>
        <v>-10000000</v>
      </c>
      <c r="K81" s="84">
        <f t="shared" si="103"/>
        <v>-2622221.4022094654</v>
      </c>
      <c r="L81" s="84">
        <f t="shared" si="104"/>
        <v>0</v>
      </c>
      <c r="M81" s="84">
        <f t="shared" si="105"/>
        <v>-7846559.4962822665</v>
      </c>
      <c r="N81" s="92">
        <v>0</v>
      </c>
      <c r="O81" s="84">
        <f t="shared" si="106"/>
        <v>-7846559.4962822665</v>
      </c>
      <c r="P81" s="84">
        <f t="shared" si="114"/>
        <v>-8578055.2410668563</v>
      </c>
      <c r="Q81" s="84"/>
      <c r="R81" s="101"/>
      <c r="S81" s="84">
        <f t="shared" si="107"/>
        <v>-20000000</v>
      </c>
      <c r="T81" s="84">
        <f t="shared" si="108"/>
        <v>-10000000</v>
      </c>
      <c r="U81" s="157">
        <f t="shared" si="109"/>
        <v>-291357.93357882928</v>
      </c>
      <c r="V81" s="157">
        <f t="shared" si="110"/>
        <v>0</v>
      </c>
      <c r="W81" s="84"/>
      <c r="X81" s="84"/>
      <c r="Y81" s="84"/>
      <c r="Z81" s="84"/>
      <c r="AA81" s="84">
        <f t="shared" si="111"/>
        <v>-6776358.3039232753</v>
      </c>
      <c r="AB81" s="92">
        <v>0</v>
      </c>
      <c r="AC81" s="92">
        <f t="shared" si="112"/>
        <v>-6776358.3039232753</v>
      </c>
      <c r="AD81" s="92">
        <v>0</v>
      </c>
      <c r="AE81" s="84">
        <f t="shared" si="113"/>
        <v>-6776358.3039232753</v>
      </c>
      <c r="AF81" s="84">
        <f t="shared" si="115"/>
        <v>-6247191.7724362202</v>
      </c>
    </row>
    <row r="82" spans="1:32" x14ac:dyDescent="0.25">
      <c r="A82" s="66">
        <v>6</v>
      </c>
      <c r="B82" s="68" t="s">
        <v>124</v>
      </c>
      <c r="C82" s="84">
        <v>-3458217.1356520057</v>
      </c>
      <c r="D82" s="134">
        <f>SUM($C$75:C82)</f>
        <v>-46371796.4714403</v>
      </c>
      <c r="E82" s="84"/>
      <c r="F82" s="84">
        <f t="shared" si="98"/>
        <v>-20000000</v>
      </c>
      <c r="G82" s="84">
        <f t="shared" si="99"/>
        <v>-20000000</v>
      </c>
      <c r="H82" s="157">
        <f t="shared" si="100"/>
        <v>-6371796.4714403003</v>
      </c>
      <c r="I82" s="84">
        <f t="shared" si="101"/>
        <v>0</v>
      </c>
      <c r="J82" s="84">
        <f t="shared" si="102"/>
        <v>-10000000</v>
      </c>
      <c r="K82" s="84">
        <f t="shared" si="103"/>
        <v>-5734616.8242962705</v>
      </c>
      <c r="L82" s="84">
        <f t="shared" si="104"/>
        <v>0</v>
      </c>
      <c r="M82" s="84">
        <f t="shared" si="105"/>
        <v>-10958954.918369072</v>
      </c>
      <c r="N82" s="92">
        <v>0</v>
      </c>
      <c r="O82" s="84">
        <f t="shared" si="106"/>
        <v>-10958954.918369072</v>
      </c>
      <c r="P82" s="84">
        <f t="shared" si="114"/>
        <v>-3112395.4220868051</v>
      </c>
      <c r="Q82" s="84"/>
      <c r="R82" s="101"/>
      <c r="S82" s="84">
        <f t="shared" si="107"/>
        <v>-20000000</v>
      </c>
      <c r="T82" s="84">
        <f t="shared" si="108"/>
        <v>-10000000</v>
      </c>
      <c r="U82" s="157">
        <f t="shared" si="109"/>
        <v>-637179.64714402985</v>
      </c>
      <c r="V82" s="157">
        <f t="shared" si="110"/>
        <v>0</v>
      </c>
      <c r="W82" s="84"/>
      <c r="X82" s="84"/>
      <c r="Y82" s="84"/>
      <c r="Z82" s="84"/>
      <c r="AA82" s="84">
        <f t="shared" si="111"/>
        <v>-7122180.0174884759</v>
      </c>
      <c r="AB82" s="92">
        <v>0</v>
      </c>
      <c r="AC82" s="92">
        <f t="shared" si="112"/>
        <v>-7122180.0174884759</v>
      </c>
      <c r="AD82" s="92">
        <v>0</v>
      </c>
      <c r="AE82" s="84">
        <f t="shared" si="113"/>
        <v>-7122180.0174884759</v>
      </c>
      <c r="AF82" s="84">
        <f t="shared" si="115"/>
        <v>-345821.71356520057</v>
      </c>
    </row>
    <row r="83" spans="1:32" x14ac:dyDescent="0.25">
      <c r="A83" s="66">
        <v>6</v>
      </c>
      <c r="B83" s="68" t="s">
        <v>123</v>
      </c>
      <c r="C83" s="84">
        <v>1893210.8992787059</v>
      </c>
      <c r="D83" s="134">
        <f>SUM($C$75:C83)</f>
        <v>-44478585.572161593</v>
      </c>
      <c r="E83" s="84"/>
      <c r="F83" s="84">
        <f t="shared" si="98"/>
        <v>-20000000</v>
      </c>
      <c r="G83" s="84">
        <f t="shared" si="99"/>
        <v>-20000000</v>
      </c>
      <c r="H83" s="157">
        <f t="shared" si="100"/>
        <v>-4478585.5721615925</v>
      </c>
      <c r="I83" s="84">
        <f t="shared" si="101"/>
        <v>0</v>
      </c>
      <c r="J83" s="84">
        <f t="shared" si="102"/>
        <v>-10000000</v>
      </c>
      <c r="K83" s="84">
        <f t="shared" si="103"/>
        <v>-4030727.0149454335</v>
      </c>
      <c r="L83" s="84">
        <f t="shared" si="104"/>
        <v>0</v>
      </c>
      <c r="M83" s="84">
        <f t="shared" si="105"/>
        <v>-9255065.1090182345</v>
      </c>
      <c r="N83" s="92">
        <v>0</v>
      </c>
      <c r="O83" s="84">
        <f t="shared" si="106"/>
        <v>-9255065.1090182345</v>
      </c>
      <c r="P83" s="84">
        <f t="shared" si="114"/>
        <v>1703889.809350837</v>
      </c>
      <c r="Q83" s="84"/>
      <c r="R83" s="101"/>
      <c r="S83" s="84">
        <f t="shared" si="107"/>
        <v>-20000000</v>
      </c>
      <c r="T83" s="84">
        <f t="shared" si="108"/>
        <v>-10000000</v>
      </c>
      <c r="U83" s="157">
        <f t="shared" si="109"/>
        <v>-447858.55721615907</v>
      </c>
      <c r="V83" s="157">
        <f t="shared" si="110"/>
        <v>0</v>
      </c>
      <c r="W83" s="84"/>
      <c r="X83" s="84"/>
      <c r="Y83" s="84"/>
      <c r="Z83" s="84"/>
      <c r="AA83" s="84">
        <f t="shared" si="111"/>
        <v>-6932858.9275606051</v>
      </c>
      <c r="AB83" s="92">
        <v>0</v>
      </c>
      <c r="AC83" s="92">
        <f t="shared" si="112"/>
        <v>-6932858.9275606051</v>
      </c>
      <c r="AD83" s="92">
        <v>0</v>
      </c>
      <c r="AE83" s="84">
        <f t="shared" si="113"/>
        <v>-6932858.9275606051</v>
      </c>
      <c r="AF83" s="84">
        <f t="shared" si="115"/>
        <v>189321.08992787078</v>
      </c>
    </row>
    <row r="84" spans="1:32" x14ac:dyDescent="0.25">
      <c r="A84" s="66">
        <v>6</v>
      </c>
      <c r="B84" s="68" t="s">
        <v>122</v>
      </c>
      <c r="C84" s="84">
        <v>4376547.2021575877</v>
      </c>
      <c r="D84" s="134">
        <f>SUM($C$75:C84)</f>
        <v>-40102038.370004006</v>
      </c>
      <c r="E84" s="84"/>
      <c r="F84" s="84">
        <f t="shared" si="98"/>
        <v>-20000000</v>
      </c>
      <c r="G84" s="84">
        <f t="shared" si="99"/>
        <v>-20000000</v>
      </c>
      <c r="H84" s="84">
        <f t="shared" si="100"/>
        <v>-102038.37000400573</v>
      </c>
      <c r="I84" s="84">
        <f t="shared" si="101"/>
        <v>0</v>
      </c>
      <c r="J84" s="84">
        <f t="shared" si="102"/>
        <v>-10000000</v>
      </c>
      <c r="K84" s="84">
        <f t="shared" si="103"/>
        <v>-91834.53300360516</v>
      </c>
      <c r="L84" s="84">
        <f t="shared" si="104"/>
        <v>0</v>
      </c>
      <c r="M84" s="84">
        <f t="shared" si="105"/>
        <v>-5316172.6270764079</v>
      </c>
      <c r="N84" s="92">
        <v>0</v>
      </c>
      <c r="O84" s="84">
        <f t="shared" si="106"/>
        <v>-5316172.6270764079</v>
      </c>
      <c r="P84" s="84">
        <f t="shared" si="114"/>
        <v>3938892.4819418266</v>
      </c>
      <c r="Q84" s="84"/>
      <c r="R84" s="101"/>
      <c r="S84" s="84">
        <f t="shared" si="107"/>
        <v>-20000000</v>
      </c>
      <c r="T84" s="84">
        <f t="shared" si="108"/>
        <v>-10000000</v>
      </c>
      <c r="U84" s="157">
        <f t="shared" si="109"/>
        <v>-10203.83700040057</v>
      </c>
      <c r="V84" s="157">
        <f t="shared" si="110"/>
        <v>0</v>
      </c>
      <c r="W84" s="84"/>
      <c r="X84" s="84"/>
      <c r="Y84" s="84"/>
      <c r="Z84" s="84"/>
      <c r="AA84" s="84">
        <f t="shared" si="111"/>
        <v>-6495204.2073448449</v>
      </c>
      <c r="AB84" s="92">
        <v>0</v>
      </c>
      <c r="AC84" s="92">
        <f t="shared" si="112"/>
        <v>-6495204.2073448449</v>
      </c>
      <c r="AD84" s="92">
        <v>0</v>
      </c>
      <c r="AE84" s="84">
        <f t="shared" si="113"/>
        <v>-6495204.2073448449</v>
      </c>
      <c r="AF84" s="84">
        <f t="shared" si="115"/>
        <v>437654.72021576017</v>
      </c>
    </row>
    <row r="85" spans="1:32" x14ac:dyDescent="0.25">
      <c r="A85" s="66">
        <v>6</v>
      </c>
      <c r="B85" s="68" t="s">
        <v>121</v>
      </c>
      <c r="C85" s="84">
        <v>3852514.9568052981</v>
      </c>
      <c r="D85" s="134">
        <f>SUM($C$75:C85)</f>
        <v>-36249523.413198709</v>
      </c>
      <c r="E85" s="84"/>
      <c r="F85" s="84">
        <f t="shared" si="98"/>
        <v>-20000000</v>
      </c>
      <c r="G85" s="84">
        <f t="shared" si="99"/>
        <v>-16249523.413198709</v>
      </c>
      <c r="H85" s="84">
        <f t="shared" si="100"/>
        <v>0</v>
      </c>
      <c r="I85" s="84">
        <f t="shared" si="101"/>
        <v>0</v>
      </c>
      <c r="J85" s="84">
        <f t="shared" si="102"/>
        <v>-8124761.7065993547</v>
      </c>
      <c r="K85" s="84">
        <f t="shared" si="103"/>
        <v>0</v>
      </c>
      <c r="L85" s="84">
        <f t="shared" si="104"/>
        <v>0</v>
      </c>
      <c r="M85" s="84">
        <f t="shared" si="105"/>
        <v>-3349099.8006721567</v>
      </c>
      <c r="N85" s="92">
        <v>0</v>
      </c>
      <c r="O85" s="84">
        <f t="shared" si="106"/>
        <v>-3349099.8006721567</v>
      </c>
      <c r="P85" s="84">
        <f t="shared" si="114"/>
        <v>1967072.8264042512</v>
      </c>
      <c r="Q85" s="84"/>
      <c r="R85" s="101"/>
      <c r="S85" s="84">
        <f t="shared" si="107"/>
        <v>-20000000</v>
      </c>
      <c r="T85" s="84">
        <f t="shared" si="108"/>
        <v>-8124761.7065993547</v>
      </c>
      <c r="U85" s="157">
        <f t="shared" si="109"/>
        <v>0</v>
      </c>
      <c r="V85" s="157">
        <f t="shared" si="110"/>
        <v>0</v>
      </c>
      <c r="W85" s="84"/>
      <c r="X85" s="84"/>
      <c r="Y85" s="84"/>
      <c r="Z85" s="84"/>
      <c r="AA85" s="84">
        <f t="shared" si="111"/>
        <v>-4609762.0769437999</v>
      </c>
      <c r="AB85" s="92">
        <v>0</v>
      </c>
      <c r="AC85" s="92">
        <f t="shared" si="112"/>
        <v>-4609762.0769437999</v>
      </c>
      <c r="AD85" s="92">
        <v>0</v>
      </c>
      <c r="AE85" s="84">
        <f t="shared" si="113"/>
        <v>-4609762.0769437999</v>
      </c>
      <c r="AF85" s="84">
        <f t="shared" si="115"/>
        <v>1885442.1304010451</v>
      </c>
    </row>
    <row r="86" spans="1:32" x14ac:dyDescent="0.25">
      <c r="A86" s="66">
        <v>6</v>
      </c>
      <c r="B86" s="68" t="s">
        <v>120</v>
      </c>
      <c r="C86" s="84">
        <v>6036852.9216528442</v>
      </c>
      <c r="D86" s="134">
        <f>SUM($C$75:C86)</f>
        <v>-30212670.491545863</v>
      </c>
      <c r="E86" s="84"/>
      <c r="F86" s="84">
        <f t="shared" si="98"/>
        <v>-20000000</v>
      </c>
      <c r="G86" s="84">
        <f t="shared" si="99"/>
        <v>-10212670.491545863</v>
      </c>
      <c r="H86" s="84">
        <f t="shared" si="100"/>
        <v>0</v>
      </c>
      <c r="I86" s="84">
        <f t="shared" si="101"/>
        <v>0</v>
      </c>
      <c r="J86" s="84">
        <f t="shared" si="102"/>
        <v>-5106335.2457729317</v>
      </c>
      <c r="K86" s="84">
        <f t="shared" si="103"/>
        <v>0</v>
      </c>
      <c r="L86" s="84">
        <f t="shared" si="104"/>
        <v>0</v>
      </c>
      <c r="M86" s="84">
        <f t="shared" si="105"/>
        <v>-330673.33984573372</v>
      </c>
      <c r="N86" s="92">
        <v>0</v>
      </c>
      <c r="O86" s="84">
        <f t="shared" si="106"/>
        <v>-330673.33984573372</v>
      </c>
      <c r="P86" s="84">
        <f t="shared" si="114"/>
        <v>3018426.460826423</v>
      </c>
      <c r="Q86" s="84"/>
      <c r="R86" s="101"/>
      <c r="S86" s="84">
        <f t="shared" si="107"/>
        <v>-20000000</v>
      </c>
      <c r="T86" s="84">
        <f t="shared" si="108"/>
        <v>-5106335.2457729317</v>
      </c>
      <c r="U86" s="157">
        <f t="shared" si="109"/>
        <v>0</v>
      </c>
      <c r="V86" s="157">
        <f t="shared" si="110"/>
        <v>0</v>
      </c>
      <c r="W86" s="84"/>
      <c r="X86" s="84"/>
      <c r="Y86" s="84"/>
      <c r="Z86" s="84"/>
      <c r="AA86" s="84">
        <f t="shared" si="111"/>
        <v>-1591335.6161173768</v>
      </c>
      <c r="AB86" s="92">
        <v>0</v>
      </c>
      <c r="AC86" s="92">
        <f t="shared" si="112"/>
        <v>-1591335.6161173768</v>
      </c>
      <c r="AD86" s="92">
        <v>0</v>
      </c>
      <c r="AE86" s="84">
        <f t="shared" si="113"/>
        <v>-1591335.6161173768</v>
      </c>
      <c r="AF86" s="84">
        <f t="shared" si="115"/>
        <v>3018426.460826423</v>
      </c>
    </row>
    <row r="87" spans="1:32" x14ac:dyDescent="0.25">
      <c r="A87" s="66"/>
      <c r="C87" s="84"/>
      <c r="D87" s="134"/>
      <c r="E87" s="84"/>
      <c r="F87" s="84"/>
      <c r="G87" s="84"/>
      <c r="H87" s="84"/>
      <c r="I87" s="84"/>
      <c r="J87" s="84"/>
      <c r="K87" s="84"/>
      <c r="L87" s="84"/>
      <c r="M87" s="84"/>
      <c r="N87" s="92"/>
      <c r="O87" s="84"/>
      <c r="P87" s="84"/>
      <c r="Q87" s="84"/>
      <c r="R87" s="101"/>
      <c r="S87" s="84"/>
      <c r="T87" s="84"/>
      <c r="U87" s="84"/>
      <c r="V87" s="84"/>
      <c r="W87" s="84"/>
      <c r="X87" s="84"/>
      <c r="Y87" s="84"/>
      <c r="Z87" s="84"/>
      <c r="AA87" s="84"/>
      <c r="AB87" s="92"/>
      <c r="AC87" s="92"/>
      <c r="AD87" s="92"/>
      <c r="AE87" s="84"/>
      <c r="AF87" s="84"/>
    </row>
    <row r="88" spans="1:32" x14ac:dyDescent="0.25">
      <c r="A88" s="66">
        <v>7</v>
      </c>
      <c r="B88" s="158">
        <v>39448</v>
      </c>
      <c r="C88" s="84">
        <v>-2275392.0149463164</v>
      </c>
      <c r="D88" s="134">
        <f>C88</f>
        <v>-2275392.0149463164</v>
      </c>
      <c r="E88" s="84"/>
      <c r="F88" s="84">
        <f t="shared" ref="F88:F99" si="116">IF(ABS(D88)&gt;+$F$10,IF(D88&lt;0,-$F$10,+$F$10),+D88)</f>
        <v>-2275392.0149463164</v>
      </c>
      <c r="G88" s="84">
        <f t="shared" ref="G88:G99" si="117">IF(ABS(D88)-ABS(F88)&gt;=$G$10,IF(D88&lt;=0,-$G$10,+$G$10),+D88-F88)</f>
        <v>0</v>
      </c>
      <c r="H88" s="84">
        <f t="shared" ref="H88:H99" si="118">IF(ABS(+D88)-ABS(SUM(F88:G88))&gt;=$H$10,IF(D88&lt;=0,-$H$10,+$H$10),+D88-SUM(F88:G88))</f>
        <v>0</v>
      </c>
      <c r="I88" s="84">
        <f t="shared" ref="I88:I99" si="119">IF(ABS(+D88)-ABS(SUM(F88:H88))&gt;=$I$10,IF(D88&lt;=0,$D88-SUM($F88:$H88),$D88-SUM($F88:$H88)),D88-SUM(F88:H88))</f>
        <v>0</v>
      </c>
      <c r="J88" s="84">
        <f t="shared" ref="J88:J99" si="120">+G88*$C$278</f>
        <v>0</v>
      </c>
      <c r="K88" s="84">
        <f t="shared" ref="K88:K99" si="121">+H88*$C$279</f>
        <v>0</v>
      </c>
      <c r="L88" s="84">
        <f t="shared" ref="L88:L99" si="122">+I88*$C$280</f>
        <v>0</v>
      </c>
      <c r="M88" s="92">
        <f t="shared" ref="M88:M99" si="123">SUM(J88:L88)+$M$86</f>
        <v>-330673.33984573372</v>
      </c>
      <c r="N88" s="92">
        <v>0</v>
      </c>
      <c r="O88" s="84">
        <f t="shared" ref="O88:O99" si="124">M88+N88</f>
        <v>-330673.33984573372</v>
      </c>
      <c r="P88" s="84">
        <f>O88-O86</f>
        <v>0</v>
      </c>
      <c r="Q88" s="84"/>
      <c r="R88" s="101"/>
      <c r="S88" s="84">
        <f t="shared" ref="S88:S99" si="125">+F88</f>
        <v>-2275392.0149463164</v>
      </c>
      <c r="T88" s="84">
        <f t="shared" ref="T88:T99" si="126">+G88-J88</f>
        <v>0</v>
      </c>
      <c r="U88" s="157">
        <f t="shared" ref="U88:U99" si="127">+H88-K88</f>
        <v>0</v>
      </c>
      <c r="V88" s="157">
        <f t="shared" ref="V88:V99" si="128">+I88-L88</f>
        <v>0</v>
      </c>
      <c r="W88" s="84"/>
      <c r="X88" s="84"/>
      <c r="Y88" s="84"/>
      <c r="Z88" s="84"/>
      <c r="AA88" s="84">
        <f t="shared" ref="AA88:AA99" si="129">SUM(S88:V88)+$AA$86</f>
        <v>-3866727.6310636932</v>
      </c>
      <c r="AB88" s="92">
        <v>0</v>
      </c>
      <c r="AC88" s="92">
        <f t="shared" ref="AC88:AC99" si="130">AA88-AB88</f>
        <v>-3866727.6310636932</v>
      </c>
      <c r="AD88" s="92">
        <v>0</v>
      </c>
      <c r="AE88" s="84">
        <f t="shared" ref="AE88:AE99" si="131">AA88-AB88+AD88</f>
        <v>-3866727.6310636932</v>
      </c>
      <c r="AF88" s="84">
        <f>AE88-AE86</f>
        <v>-2275392.0149463164</v>
      </c>
    </row>
    <row r="89" spans="1:32" x14ac:dyDescent="0.25">
      <c r="A89" s="66">
        <v>7</v>
      </c>
      <c r="B89" s="158">
        <v>39479</v>
      </c>
      <c r="C89" s="84">
        <v>2459425.7192307333</v>
      </c>
      <c r="D89" s="134">
        <f>SUM($C$88:C89)</f>
        <v>184033.70428441698</v>
      </c>
      <c r="E89" s="84"/>
      <c r="F89" s="84">
        <f t="shared" si="116"/>
        <v>184033.70428441698</v>
      </c>
      <c r="G89" s="84">
        <f t="shared" si="117"/>
        <v>0</v>
      </c>
      <c r="H89" s="84">
        <f t="shared" si="118"/>
        <v>0</v>
      </c>
      <c r="I89" s="84">
        <f t="shared" si="119"/>
        <v>0</v>
      </c>
      <c r="J89" s="84">
        <f t="shared" si="120"/>
        <v>0</v>
      </c>
      <c r="K89" s="84">
        <f t="shared" si="121"/>
        <v>0</v>
      </c>
      <c r="L89" s="84">
        <f t="shared" si="122"/>
        <v>0</v>
      </c>
      <c r="M89" s="92">
        <f t="shared" si="123"/>
        <v>-330673.33984573372</v>
      </c>
      <c r="N89" s="92">
        <v>0</v>
      </c>
      <c r="O89" s="84">
        <f t="shared" si="124"/>
        <v>-330673.33984573372</v>
      </c>
      <c r="P89" s="84">
        <f t="shared" ref="P89:P99" si="132">O89-O88</f>
        <v>0</v>
      </c>
      <c r="Q89" s="84"/>
      <c r="R89" s="101"/>
      <c r="S89" s="84">
        <f t="shared" si="125"/>
        <v>184033.70428441698</v>
      </c>
      <c r="T89" s="84">
        <f t="shared" si="126"/>
        <v>0</v>
      </c>
      <c r="U89" s="157">
        <f t="shared" si="127"/>
        <v>0</v>
      </c>
      <c r="V89" s="157">
        <f t="shared" si="128"/>
        <v>0</v>
      </c>
      <c r="W89" s="84"/>
      <c r="X89" s="84"/>
      <c r="Y89" s="84"/>
      <c r="Z89" s="84"/>
      <c r="AA89" s="84">
        <f t="shared" si="129"/>
        <v>-1407301.9118329599</v>
      </c>
      <c r="AB89" s="92">
        <v>0</v>
      </c>
      <c r="AC89" s="92">
        <f t="shared" si="130"/>
        <v>-1407301.9118329599</v>
      </c>
      <c r="AD89" s="92">
        <v>0</v>
      </c>
      <c r="AE89" s="84">
        <f t="shared" si="131"/>
        <v>-1407301.9118329599</v>
      </c>
      <c r="AF89" s="84">
        <f t="shared" ref="AF89:AF99" si="133">AE89-AE88</f>
        <v>2459425.7192307333</v>
      </c>
    </row>
    <row r="90" spans="1:32" x14ac:dyDescent="0.25">
      <c r="A90" s="66">
        <v>7</v>
      </c>
      <c r="B90" s="158">
        <v>39508</v>
      </c>
      <c r="C90" s="84">
        <v>1372851.1955058365</v>
      </c>
      <c r="D90" s="134">
        <f>SUM($C$88:C90)</f>
        <v>1556884.8997902535</v>
      </c>
      <c r="E90" s="84"/>
      <c r="F90" s="84">
        <f t="shared" si="116"/>
        <v>1556884.8997902535</v>
      </c>
      <c r="G90" s="84">
        <f t="shared" si="117"/>
        <v>0</v>
      </c>
      <c r="H90" s="84">
        <f t="shared" si="118"/>
        <v>0</v>
      </c>
      <c r="I90" s="84">
        <f t="shared" si="119"/>
        <v>0</v>
      </c>
      <c r="J90" s="84">
        <f t="shared" si="120"/>
        <v>0</v>
      </c>
      <c r="K90" s="84">
        <f t="shared" si="121"/>
        <v>0</v>
      </c>
      <c r="L90" s="84">
        <f t="shared" si="122"/>
        <v>0</v>
      </c>
      <c r="M90" s="92">
        <f t="shared" si="123"/>
        <v>-330673.33984573372</v>
      </c>
      <c r="N90" s="92">
        <v>0</v>
      </c>
      <c r="O90" s="84">
        <f t="shared" si="124"/>
        <v>-330673.33984573372</v>
      </c>
      <c r="P90" s="84">
        <f t="shared" si="132"/>
        <v>0</v>
      </c>
      <c r="Q90" s="84"/>
      <c r="R90" s="101"/>
      <c r="S90" s="84">
        <f t="shared" si="125"/>
        <v>1556884.8997902535</v>
      </c>
      <c r="T90" s="84">
        <f t="shared" si="126"/>
        <v>0</v>
      </c>
      <c r="U90" s="157">
        <f t="shared" si="127"/>
        <v>0</v>
      </c>
      <c r="V90" s="157">
        <f t="shared" si="128"/>
        <v>0</v>
      </c>
      <c r="W90" s="84"/>
      <c r="X90" s="84"/>
      <c r="Y90" s="84"/>
      <c r="Z90" s="84"/>
      <c r="AA90" s="84">
        <f t="shared" si="129"/>
        <v>-34450.716327123344</v>
      </c>
      <c r="AB90" s="92">
        <v>0</v>
      </c>
      <c r="AC90" s="92">
        <f t="shared" si="130"/>
        <v>-34450.716327123344</v>
      </c>
      <c r="AD90" s="92">
        <v>0</v>
      </c>
      <c r="AE90" s="84">
        <f t="shared" si="131"/>
        <v>-34450.716327123344</v>
      </c>
      <c r="AF90" s="84">
        <f t="shared" si="133"/>
        <v>1372851.1955058365</v>
      </c>
    </row>
    <row r="91" spans="1:32" x14ac:dyDescent="0.25">
      <c r="A91" s="66">
        <v>7</v>
      </c>
      <c r="B91" s="158">
        <v>39539</v>
      </c>
      <c r="C91" s="84">
        <v>-2738636.7367859269</v>
      </c>
      <c r="D91" s="134">
        <f>SUM($C$88:C91)</f>
        <v>-1181751.8369956734</v>
      </c>
      <c r="E91" s="84"/>
      <c r="F91" s="84">
        <f t="shared" si="116"/>
        <v>-1181751.8369956734</v>
      </c>
      <c r="G91" s="84">
        <f t="shared" si="117"/>
        <v>0</v>
      </c>
      <c r="H91" s="84">
        <f t="shared" si="118"/>
        <v>0</v>
      </c>
      <c r="I91" s="84">
        <f t="shared" si="119"/>
        <v>0</v>
      </c>
      <c r="J91" s="84">
        <f t="shared" si="120"/>
        <v>0</v>
      </c>
      <c r="K91" s="84">
        <f t="shared" si="121"/>
        <v>0</v>
      </c>
      <c r="L91" s="84">
        <f t="shared" si="122"/>
        <v>0</v>
      </c>
      <c r="M91" s="92">
        <f t="shared" si="123"/>
        <v>-330673.33984573372</v>
      </c>
      <c r="N91" s="92">
        <v>0</v>
      </c>
      <c r="O91" s="84">
        <f t="shared" si="124"/>
        <v>-330673.33984573372</v>
      </c>
      <c r="P91" s="84">
        <f t="shared" si="132"/>
        <v>0</v>
      </c>
      <c r="Q91" s="84"/>
      <c r="R91" s="101"/>
      <c r="S91" s="84">
        <f t="shared" si="125"/>
        <v>-1181751.8369956734</v>
      </c>
      <c r="T91" s="84">
        <f t="shared" si="126"/>
        <v>0</v>
      </c>
      <c r="U91" s="157">
        <f t="shared" si="127"/>
        <v>0</v>
      </c>
      <c r="V91" s="157">
        <f t="shared" si="128"/>
        <v>0</v>
      </c>
      <c r="W91" s="84"/>
      <c r="X91" s="84"/>
      <c r="Y91" s="84"/>
      <c r="Z91" s="84"/>
      <c r="AA91" s="84">
        <f t="shared" si="129"/>
        <v>-2773087.4531130502</v>
      </c>
      <c r="AB91" s="92">
        <v>0</v>
      </c>
      <c r="AC91" s="92">
        <f t="shared" si="130"/>
        <v>-2773087.4531130502</v>
      </c>
      <c r="AD91" s="92">
        <v>0</v>
      </c>
      <c r="AE91" s="84">
        <f t="shared" si="131"/>
        <v>-2773087.4531130502</v>
      </c>
      <c r="AF91" s="84">
        <f t="shared" si="133"/>
        <v>-2738636.7367859269</v>
      </c>
    </row>
    <row r="92" spans="1:32" x14ac:dyDescent="0.25">
      <c r="A92" s="66">
        <v>7</v>
      </c>
      <c r="B92" s="158">
        <v>39569</v>
      </c>
      <c r="C92" s="84">
        <v>-21012746.218692351</v>
      </c>
      <c r="D92" s="134">
        <f>SUM($C$88:C92)</f>
        <v>-22194498.055688024</v>
      </c>
      <c r="E92" s="84"/>
      <c r="F92" s="84">
        <f t="shared" si="116"/>
        <v>-20000000</v>
      </c>
      <c r="G92" s="84">
        <f t="shared" si="117"/>
        <v>-2194498.0556880236</v>
      </c>
      <c r="H92" s="84">
        <f t="shared" si="118"/>
        <v>0</v>
      </c>
      <c r="I92" s="84">
        <f t="shared" si="119"/>
        <v>0</v>
      </c>
      <c r="J92" s="84">
        <f t="shared" si="120"/>
        <v>-1097249.0278440118</v>
      </c>
      <c r="K92" s="84">
        <f t="shared" si="121"/>
        <v>0</v>
      </c>
      <c r="L92" s="84">
        <f t="shared" si="122"/>
        <v>0</v>
      </c>
      <c r="M92" s="92">
        <f t="shared" si="123"/>
        <v>-1427922.3676897455</v>
      </c>
      <c r="N92" s="92">
        <v>0</v>
      </c>
      <c r="O92" s="84">
        <f t="shared" si="124"/>
        <v>-1427922.3676897455</v>
      </c>
      <c r="P92" s="84">
        <f t="shared" si="132"/>
        <v>-1097249.0278440118</v>
      </c>
      <c r="Q92" s="84"/>
      <c r="R92" s="101"/>
      <c r="S92" s="84">
        <f t="shared" si="125"/>
        <v>-20000000</v>
      </c>
      <c r="T92" s="84">
        <f t="shared" si="126"/>
        <v>-1097249.0278440118</v>
      </c>
      <c r="U92" s="157">
        <f t="shared" si="127"/>
        <v>0</v>
      </c>
      <c r="V92" s="157">
        <f t="shared" si="128"/>
        <v>0</v>
      </c>
      <c r="W92" s="84"/>
      <c r="X92" s="84"/>
      <c r="Y92" s="84"/>
      <c r="Z92" s="84"/>
      <c r="AA92" s="84">
        <f t="shared" si="129"/>
        <v>-22688584.643961389</v>
      </c>
      <c r="AB92" s="92">
        <v>0</v>
      </c>
      <c r="AC92" s="92">
        <f t="shared" si="130"/>
        <v>-22688584.643961389</v>
      </c>
      <c r="AD92" s="92">
        <v>0</v>
      </c>
      <c r="AE92" s="84">
        <f t="shared" si="131"/>
        <v>-22688584.643961389</v>
      </c>
      <c r="AF92" s="84">
        <f t="shared" si="133"/>
        <v>-19915497.190848339</v>
      </c>
    </row>
    <row r="93" spans="1:32" x14ac:dyDescent="0.25">
      <c r="A93" s="66">
        <v>7</v>
      </c>
      <c r="B93" s="158">
        <v>39600</v>
      </c>
      <c r="C93" s="84">
        <v>-8355825.0977022359</v>
      </c>
      <c r="D93" s="134">
        <f>SUM($C$88:C93)</f>
        <v>-30550323.153390259</v>
      </c>
      <c r="E93" s="84"/>
      <c r="F93" s="84">
        <f t="shared" si="116"/>
        <v>-20000000</v>
      </c>
      <c r="G93" s="84">
        <f t="shared" si="117"/>
        <v>-10550323.153390259</v>
      </c>
      <c r="H93" s="84">
        <f t="shared" si="118"/>
        <v>0</v>
      </c>
      <c r="I93" s="84">
        <f t="shared" si="119"/>
        <v>0</v>
      </c>
      <c r="J93" s="84">
        <f t="shared" si="120"/>
        <v>-5275161.5766951293</v>
      </c>
      <c r="K93" s="84">
        <f t="shared" si="121"/>
        <v>0</v>
      </c>
      <c r="L93" s="84">
        <f t="shared" si="122"/>
        <v>0</v>
      </c>
      <c r="M93" s="92">
        <f t="shared" si="123"/>
        <v>-5605834.916540863</v>
      </c>
      <c r="N93" s="92">
        <v>0</v>
      </c>
      <c r="O93" s="84">
        <f t="shared" si="124"/>
        <v>-5605834.916540863</v>
      </c>
      <c r="P93" s="84">
        <f t="shared" si="132"/>
        <v>-4177912.5488511175</v>
      </c>
      <c r="Q93" s="84"/>
      <c r="R93" s="101"/>
      <c r="S93" s="84">
        <f t="shared" si="125"/>
        <v>-20000000</v>
      </c>
      <c r="T93" s="84">
        <f t="shared" si="126"/>
        <v>-5275161.5766951293</v>
      </c>
      <c r="U93" s="157">
        <f t="shared" si="127"/>
        <v>0</v>
      </c>
      <c r="V93" s="157">
        <f t="shared" si="128"/>
        <v>0</v>
      </c>
      <c r="W93" s="84"/>
      <c r="X93" s="84"/>
      <c r="Y93" s="84"/>
      <c r="Z93" s="84"/>
      <c r="AA93" s="84">
        <f t="shared" si="129"/>
        <v>-26866497.192812506</v>
      </c>
      <c r="AB93" s="92">
        <v>0</v>
      </c>
      <c r="AC93" s="92">
        <f t="shared" si="130"/>
        <v>-26866497.192812506</v>
      </c>
      <c r="AD93" s="92">
        <v>0</v>
      </c>
      <c r="AE93" s="84">
        <f t="shared" si="131"/>
        <v>-26866497.192812506</v>
      </c>
      <c r="AF93" s="84">
        <f t="shared" si="133"/>
        <v>-4177912.5488511175</v>
      </c>
    </row>
    <row r="94" spans="1:32" x14ac:dyDescent="0.25">
      <c r="A94" s="66">
        <v>7</v>
      </c>
      <c r="B94" s="158">
        <v>39630</v>
      </c>
      <c r="C94" s="84">
        <v>-9228030.9396545701</v>
      </c>
      <c r="D94" s="134">
        <f>SUM($C$88:C94)</f>
        <v>-39778354.093044832</v>
      </c>
      <c r="E94" s="84"/>
      <c r="F94" s="84">
        <f t="shared" si="116"/>
        <v>-20000000</v>
      </c>
      <c r="G94" s="84">
        <f t="shared" si="117"/>
        <v>-19778354.093044832</v>
      </c>
      <c r="H94" s="84">
        <f t="shared" si="118"/>
        <v>0</v>
      </c>
      <c r="I94" s="84">
        <f t="shared" si="119"/>
        <v>0</v>
      </c>
      <c r="J94" s="84">
        <f t="shared" si="120"/>
        <v>-9889177.0465224162</v>
      </c>
      <c r="K94" s="84">
        <f t="shared" si="121"/>
        <v>0</v>
      </c>
      <c r="L94" s="84">
        <f t="shared" si="122"/>
        <v>0</v>
      </c>
      <c r="M94" s="92">
        <f t="shared" si="123"/>
        <v>-10219850.38636815</v>
      </c>
      <c r="N94" s="92">
        <v>0</v>
      </c>
      <c r="O94" s="84">
        <f t="shared" si="124"/>
        <v>-10219850.38636815</v>
      </c>
      <c r="P94" s="84">
        <f t="shared" si="132"/>
        <v>-4614015.4698272869</v>
      </c>
      <c r="Q94" s="84"/>
      <c r="R94" s="101"/>
      <c r="S94" s="84">
        <f t="shared" si="125"/>
        <v>-20000000</v>
      </c>
      <c r="T94" s="84">
        <f t="shared" si="126"/>
        <v>-9889177.0465224162</v>
      </c>
      <c r="U94" s="157">
        <f t="shared" si="127"/>
        <v>0</v>
      </c>
      <c r="V94" s="157">
        <f t="shared" si="128"/>
        <v>0</v>
      </c>
      <c r="W94" s="84"/>
      <c r="X94" s="84"/>
      <c r="Y94" s="84"/>
      <c r="Z94" s="84"/>
      <c r="AA94" s="84">
        <f t="shared" si="129"/>
        <v>-31480512.662639793</v>
      </c>
      <c r="AB94" s="92">
        <v>0</v>
      </c>
      <c r="AC94" s="92">
        <f t="shared" si="130"/>
        <v>-31480512.662639793</v>
      </c>
      <c r="AD94" s="92">
        <v>0</v>
      </c>
      <c r="AE94" s="84">
        <f t="shared" si="131"/>
        <v>-31480512.662639793</v>
      </c>
      <c r="AF94" s="84">
        <f t="shared" si="133"/>
        <v>-4614015.4698272869</v>
      </c>
    </row>
    <row r="95" spans="1:32" x14ac:dyDescent="0.25">
      <c r="A95" s="66">
        <v>7</v>
      </c>
      <c r="B95" s="158">
        <v>39661</v>
      </c>
      <c r="C95" s="84">
        <v>2852793.077118956</v>
      </c>
      <c r="D95" s="134">
        <f>SUM($C$88:C95)</f>
        <v>-36925561.015925877</v>
      </c>
      <c r="E95" s="84"/>
      <c r="F95" s="84">
        <f t="shared" si="116"/>
        <v>-20000000</v>
      </c>
      <c r="G95" s="84">
        <f t="shared" si="117"/>
        <v>-16925561.015925877</v>
      </c>
      <c r="H95" s="84">
        <f t="shared" si="118"/>
        <v>0</v>
      </c>
      <c r="I95" s="84">
        <f t="shared" si="119"/>
        <v>0</v>
      </c>
      <c r="J95" s="84">
        <f t="shared" si="120"/>
        <v>-8462780.5079629384</v>
      </c>
      <c r="K95" s="84">
        <f t="shared" si="121"/>
        <v>0</v>
      </c>
      <c r="L95" s="84">
        <f t="shared" si="122"/>
        <v>0</v>
      </c>
      <c r="M95" s="92">
        <f t="shared" si="123"/>
        <v>-8793453.8478086721</v>
      </c>
      <c r="N95" s="92">
        <v>0</v>
      </c>
      <c r="O95" s="84">
        <f t="shared" si="124"/>
        <v>-8793453.8478086721</v>
      </c>
      <c r="P95" s="84">
        <f t="shared" si="132"/>
        <v>1426396.5385594778</v>
      </c>
      <c r="Q95" s="84"/>
      <c r="R95" s="101"/>
      <c r="S95" s="84">
        <f t="shared" si="125"/>
        <v>-20000000</v>
      </c>
      <c r="T95" s="84">
        <f t="shared" si="126"/>
        <v>-8462780.5079629384</v>
      </c>
      <c r="U95" s="157">
        <f t="shared" si="127"/>
        <v>0</v>
      </c>
      <c r="V95" s="157">
        <f t="shared" si="128"/>
        <v>0</v>
      </c>
      <c r="W95" s="84"/>
      <c r="X95" s="84"/>
      <c r="Y95" s="84"/>
      <c r="Z95" s="84"/>
      <c r="AA95" s="84">
        <f t="shared" si="129"/>
        <v>-30054116.124080315</v>
      </c>
      <c r="AB95" s="92">
        <v>0</v>
      </c>
      <c r="AC95" s="92">
        <f t="shared" si="130"/>
        <v>-30054116.124080315</v>
      </c>
      <c r="AD95" s="92">
        <v>0</v>
      </c>
      <c r="AE95" s="84">
        <f t="shared" si="131"/>
        <v>-30054116.124080315</v>
      </c>
      <c r="AF95" s="84">
        <f t="shared" si="133"/>
        <v>1426396.5385594778</v>
      </c>
    </row>
    <row r="96" spans="1:32" x14ac:dyDescent="0.25">
      <c r="A96" s="66">
        <v>7</v>
      </c>
      <c r="B96" s="158">
        <v>39692</v>
      </c>
      <c r="C96" s="84">
        <v>12756569.902592195</v>
      </c>
      <c r="D96" s="134">
        <f>SUM($C$88:C96)</f>
        <v>-24168991.11333368</v>
      </c>
      <c r="E96" s="84"/>
      <c r="F96" s="84">
        <f t="shared" si="116"/>
        <v>-20000000</v>
      </c>
      <c r="G96" s="84">
        <f t="shared" si="117"/>
        <v>-4168991.1133336797</v>
      </c>
      <c r="H96" s="84">
        <f t="shared" si="118"/>
        <v>0</v>
      </c>
      <c r="I96" s="84">
        <f t="shared" si="119"/>
        <v>0</v>
      </c>
      <c r="J96" s="84">
        <f t="shared" si="120"/>
        <v>-2084495.5566668399</v>
      </c>
      <c r="K96" s="84">
        <f t="shared" si="121"/>
        <v>0</v>
      </c>
      <c r="L96" s="84">
        <f t="shared" si="122"/>
        <v>0</v>
      </c>
      <c r="M96" s="92">
        <f t="shared" si="123"/>
        <v>-2415168.8965125736</v>
      </c>
      <c r="N96" s="92">
        <v>0</v>
      </c>
      <c r="O96" s="84">
        <f t="shared" si="124"/>
        <v>-2415168.8965125736</v>
      </c>
      <c r="P96" s="84">
        <f t="shared" si="132"/>
        <v>6378284.9512960985</v>
      </c>
      <c r="Q96" s="84"/>
      <c r="R96" s="101"/>
      <c r="S96" s="84">
        <f t="shared" si="125"/>
        <v>-20000000</v>
      </c>
      <c r="T96" s="84">
        <f t="shared" si="126"/>
        <v>-2084495.5566668399</v>
      </c>
      <c r="U96" s="157">
        <f t="shared" si="127"/>
        <v>0</v>
      </c>
      <c r="V96" s="157">
        <f t="shared" si="128"/>
        <v>0</v>
      </c>
      <c r="W96" s="84"/>
      <c r="X96" s="84"/>
      <c r="Y96" s="84"/>
      <c r="Z96" s="84"/>
      <c r="AA96" s="84">
        <f t="shared" si="129"/>
        <v>-23675831.172784217</v>
      </c>
      <c r="AB96" s="92">
        <v>0</v>
      </c>
      <c r="AC96" s="92">
        <f t="shared" si="130"/>
        <v>-23675831.172784217</v>
      </c>
      <c r="AD96" s="92">
        <v>0</v>
      </c>
      <c r="AE96" s="84">
        <f t="shared" si="131"/>
        <v>-23675831.172784217</v>
      </c>
      <c r="AF96" s="84">
        <f t="shared" si="133"/>
        <v>6378284.9512960985</v>
      </c>
    </row>
    <row r="97" spans="1:32" x14ac:dyDescent="0.25">
      <c r="A97" s="66">
        <v>7</v>
      </c>
      <c r="B97" s="158">
        <v>39722</v>
      </c>
      <c r="C97" s="84">
        <v>7047062.5382787185</v>
      </c>
      <c r="D97" s="134">
        <f>SUM($C$88:C97)</f>
        <v>-17121928.575054962</v>
      </c>
      <c r="E97" s="84"/>
      <c r="F97" s="84">
        <f t="shared" si="116"/>
        <v>-17121928.575054962</v>
      </c>
      <c r="G97" s="84">
        <f t="shared" si="117"/>
        <v>0</v>
      </c>
      <c r="H97" s="84">
        <f t="shared" si="118"/>
        <v>0</v>
      </c>
      <c r="I97" s="84">
        <f t="shared" si="119"/>
        <v>0</v>
      </c>
      <c r="J97" s="84">
        <f t="shared" si="120"/>
        <v>0</v>
      </c>
      <c r="K97" s="84">
        <f t="shared" si="121"/>
        <v>0</v>
      </c>
      <c r="L97" s="84">
        <f t="shared" si="122"/>
        <v>0</v>
      </c>
      <c r="M97" s="92">
        <f t="shared" si="123"/>
        <v>-330673.33984573372</v>
      </c>
      <c r="N97" s="92">
        <v>0</v>
      </c>
      <c r="O97" s="84">
        <f t="shared" si="124"/>
        <v>-330673.33984573372</v>
      </c>
      <c r="P97" s="84">
        <f t="shared" si="132"/>
        <v>2084495.5566668399</v>
      </c>
      <c r="Q97" s="84"/>
      <c r="R97" s="101"/>
      <c r="S97" s="84">
        <f t="shared" si="125"/>
        <v>-17121928.575054962</v>
      </c>
      <c r="T97" s="84">
        <f t="shared" si="126"/>
        <v>0</v>
      </c>
      <c r="U97" s="157">
        <f t="shared" si="127"/>
        <v>0</v>
      </c>
      <c r="V97" s="157">
        <f t="shared" si="128"/>
        <v>0</v>
      </c>
      <c r="W97" s="84"/>
      <c r="X97" s="84"/>
      <c r="Y97" s="84"/>
      <c r="Z97" s="84"/>
      <c r="AA97" s="84">
        <f t="shared" si="129"/>
        <v>-18713264.191172339</v>
      </c>
      <c r="AB97" s="92">
        <v>0</v>
      </c>
      <c r="AC97" s="92">
        <f t="shared" si="130"/>
        <v>-18713264.191172339</v>
      </c>
      <c r="AD97" s="92">
        <v>0</v>
      </c>
      <c r="AE97" s="84">
        <f t="shared" si="131"/>
        <v>-18713264.191172339</v>
      </c>
      <c r="AF97" s="84">
        <f t="shared" si="133"/>
        <v>4962566.9816118777</v>
      </c>
    </row>
    <row r="98" spans="1:32" x14ac:dyDescent="0.25">
      <c r="A98" s="66">
        <v>7</v>
      </c>
      <c r="B98" s="158">
        <v>39753</v>
      </c>
      <c r="C98" s="84">
        <v>2898960.8820309481</v>
      </c>
      <c r="D98" s="134">
        <f>SUM($C$88:C98)</f>
        <v>-14222967.693024013</v>
      </c>
      <c r="E98" s="84"/>
      <c r="F98" s="84">
        <f t="shared" si="116"/>
        <v>-14222967.693024013</v>
      </c>
      <c r="G98" s="84">
        <f t="shared" si="117"/>
        <v>0</v>
      </c>
      <c r="H98" s="84">
        <f t="shared" si="118"/>
        <v>0</v>
      </c>
      <c r="I98" s="84">
        <f t="shared" si="119"/>
        <v>0</v>
      </c>
      <c r="J98" s="84">
        <f t="shared" si="120"/>
        <v>0</v>
      </c>
      <c r="K98" s="84">
        <f t="shared" si="121"/>
        <v>0</v>
      </c>
      <c r="L98" s="84">
        <f t="shared" si="122"/>
        <v>0</v>
      </c>
      <c r="M98" s="92">
        <f t="shared" si="123"/>
        <v>-330673.33984573372</v>
      </c>
      <c r="N98" s="92">
        <v>0</v>
      </c>
      <c r="O98" s="84">
        <f t="shared" si="124"/>
        <v>-330673.33984573372</v>
      </c>
      <c r="P98" s="84">
        <f t="shared" si="132"/>
        <v>0</v>
      </c>
      <c r="Q98" s="84"/>
      <c r="R98" s="101"/>
      <c r="S98" s="84">
        <f t="shared" si="125"/>
        <v>-14222967.693024013</v>
      </c>
      <c r="T98" s="84">
        <f t="shared" si="126"/>
        <v>0</v>
      </c>
      <c r="U98" s="157">
        <f t="shared" si="127"/>
        <v>0</v>
      </c>
      <c r="V98" s="157">
        <f t="shared" si="128"/>
        <v>0</v>
      </c>
      <c r="W98" s="84"/>
      <c r="X98" s="84"/>
      <c r="Y98" s="84"/>
      <c r="Z98" s="84"/>
      <c r="AA98" s="84">
        <f t="shared" si="129"/>
        <v>-15814303.30914139</v>
      </c>
      <c r="AB98" s="92">
        <v>0</v>
      </c>
      <c r="AC98" s="92">
        <f t="shared" si="130"/>
        <v>-15814303.30914139</v>
      </c>
      <c r="AD98" s="92">
        <v>0</v>
      </c>
      <c r="AE98" s="84">
        <f t="shared" si="131"/>
        <v>-15814303.30914139</v>
      </c>
      <c r="AF98" s="84">
        <f t="shared" si="133"/>
        <v>2898960.882030949</v>
      </c>
    </row>
    <row r="99" spans="1:32" x14ac:dyDescent="0.25">
      <c r="A99" s="66">
        <v>7</v>
      </c>
      <c r="B99" s="158">
        <v>39783</v>
      </c>
      <c r="C99" s="84">
        <v>12458043.31113358</v>
      </c>
      <c r="D99" s="134">
        <f>SUM($C$88:C99)</f>
        <v>-1764924.3818904329</v>
      </c>
      <c r="E99" s="84"/>
      <c r="F99" s="84">
        <f t="shared" si="116"/>
        <v>-1764924.3818904329</v>
      </c>
      <c r="G99" s="84">
        <f t="shared" si="117"/>
        <v>0</v>
      </c>
      <c r="H99" s="84">
        <f t="shared" si="118"/>
        <v>0</v>
      </c>
      <c r="I99" s="84">
        <f t="shared" si="119"/>
        <v>0</v>
      </c>
      <c r="J99" s="84">
        <f t="shared" si="120"/>
        <v>0</v>
      </c>
      <c r="K99" s="84">
        <f t="shared" si="121"/>
        <v>0</v>
      </c>
      <c r="L99" s="84">
        <f t="shared" si="122"/>
        <v>0</v>
      </c>
      <c r="M99" s="92">
        <f t="shared" si="123"/>
        <v>-330673.33984573372</v>
      </c>
      <c r="N99" s="92">
        <v>0</v>
      </c>
      <c r="O99" s="84">
        <f t="shared" si="124"/>
        <v>-330673.33984573372</v>
      </c>
      <c r="P99" s="84">
        <f t="shared" si="132"/>
        <v>0</v>
      </c>
      <c r="Q99" s="84"/>
      <c r="R99" s="101"/>
      <c r="S99" s="84">
        <f t="shared" si="125"/>
        <v>-1764924.3818904329</v>
      </c>
      <c r="T99" s="84">
        <f t="shared" si="126"/>
        <v>0</v>
      </c>
      <c r="U99" s="157">
        <f t="shared" si="127"/>
        <v>0</v>
      </c>
      <c r="V99" s="157">
        <f t="shared" si="128"/>
        <v>0</v>
      </c>
      <c r="W99" s="84"/>
      <c r="X99" s="84"/>
      <c r="Y99" s="84"/>
      <c r="Z99" s="84"/>
      <c r="AA99" s="84">
        <f t="shared" si="129"/>
        <v>-3356259.9980078097</v>
      </c>
      <c r="AB99" s="92">
        <v>0</v>
      </c>
      <c r="AC99" s="92">
        <f t="shared" si="130"/>
        <v>-3356259.9980078097</v>
      </c>
      <c r="AD99" s="92">
        <v>0</v>
      </c>
      <c r="AE99" s="84">
        <f t="shared" si="131"/>
        <v>-3356259.9980078097</v>
      </c>
      <c r="AF99" s="84">
        <f t="shared" si="133"/>
        <v>12458043.31113358</v>
      </c>
    </row>
    <row r="100" spans="1:32" x14ac:dyDescent="0.25">
      <c r="A100" s="66"/>
      <c r="B100" s="158"/>
      <c r="C100" s="84"/>
      <c r="D100" s="134"/>
      <c r="E100" s="84"/>
      <c r="F100" s="84"/>
      <c r="G100" s="84"/>
      <c r="H100" s="84"/>
      <c r="I100" s="84"/>
      <c r="J100" s="84"/>
      <c r="K100" s="84"/>
      <c r="L100" s="84"/>
      <c r="M100" s="92"/>
      <c r="N100" s="92"/>
      <c r="O100" s="84"/>
      <c r="P100" s="84"/>
      <c r="Q100" s="84"/>
      <c r="R100" s="101"/>
      <c r="S100" s="84"/>
      <c r="T100" s="84"/>
      <c r="U100" s="157"/>
      <c r="V100" s="157"/>
      <c r="W100" s="84"/>
      <c r="X100" s="84"/>
      <c r="Y100" s="84"/>
      <c r="Z100" s="84"/>
      <c r="AA100" s="84"/>
      <c r="AB100" s="92"/>
      <c r="AC100" s="92"/>
      <c r="AD100" s="92"/>
      <c r="AE100" s="84"/>
      <c r="AF100" s="84"/>
    </row>
    <row r="101" spans="1:32" x14ac:dyDescent="0.25">
      <c r="A101" s="66">
        <v>8</v>
      </c>
      <c r="B101" s="158">
        <v>39814</v>
      </c>
      <c r="C101" s="84">
        <v>-10251511.093003815</v>
      </c>
      <c r="D101" s="134">
        <f>C101</f>
        <v>-10251511.093003815</v>
      </c>
      <c r="E101" s="84"/>
      <c r="F101" s="84">
        <f t="shared" ref="F101:F112" si="134">IF(ABS(D101)&gt;+$F$10,IF(D101&lt;0,-$F$10,+$F$10),+D101)</f>
        <v>-10251511.093003815</v>
      </c>
      <c r="G101" s="84">
        <f t="shared" ref="G101:G112" si="135">IF(ABS(D101)-ABS(F101)&gt;=$G$10,IF(D101&lt;=0,-$G$10,+$G$10),+D101-F101)</f>
        <v>0</v>
      </c>
      <c r="H101" s="84">
        <f t="shared" ref="H101:H112" si="136">IF(ABS(+D101)-ABS(SUM(F101:G101))&gt;=$H$10,IF(D101&lt;=0,-$H$10,+$H$10),+D101-SUM(F101:G101))</f>
        <v>0</v>
      </c>
      <c r="I101" s="84">
        <f t="shared" ref="I101:I112" si="137">IF(ABS(+D101)-ABS(SUM(F101:H101))&gt;=$I$10,IF(D101&lt;=0,$D101-SUM($F101:$H101),$D101-SUM($F101:$H101)),D101-SUM(F101:H101))</f>
        <v>0</v>
      </c>
      <c r="J101" s="84">
        <f t="shared" ref="J101:J112" si="138">+G101*$C$278</f>
        <v>0</v>
      </c>
      <c r="K101" s="84">
        <f t="shared" ref="K101:K112" si="139">+H101*$C$279</f>
        <v>0</v>
      </c>
      <c r="L101" s="84">
        <f t="shared" ref="L101:L112" si="140">+I101*$C$280</f>
        <v>0</v>
      </c>
      <c r="M101" s="92">
        <f t="shared" ref="M101:M112" si="141">SUM(J101:L101)+$M$99</f>
        <v>-330673.33984573372</v>
      </c>
      <c r="N101" s="92">
        <v>0</v>
      </c>
      <c r="O101" s="84">
        <f t="shared" ref="O101:O112" si="142">M101+N101</f>
        <v>-330673.33984573372</v>
      </c>
      <c r="P101" s="84">
        <f>O101-O99</f>
        <v>0</v>
      </c>
      <c r="Q101" s="84"/>
      <c r="R101" s="101"/>
      <c r="S101" s="84">
        <f t="shared" ref="S101:S112" si="143">+F101</f>
        <v>-10251511.093003815</v>
      </c>
      <c r="T101" s="84">
        <f t="shared" ref="T101:T112" si="144">+G101-J101</f>
        <v>0</v>
      </c>
      <c r="U101" s="157">
        <f t="shared" ref="U101:U112" si="145">+H101-K101</f>
        <v>0</v>
      </c>
      <c r="V101" s="157">
        <f t="shared" ref="V101:V112" si="146">+I101-L101</f>
        <v>0</v>
      </c>
      <c r="W101" s="84"/>
      <c r="X101" s="84"/>
      <c r="Y101" s="84"/>
      <c r="Z101" s="84"/>
      <c r="AA101" s="84">
        <f t="shared" ref="AA101:AA112" si="147">SUM(S101:V101)+$AA$99</f>
        <v>-13607771.091011625</v>
      </c>
      <c r="AB101" s="92">
        <v>0</v>
      </c>
      <c r="AC101" s="92">
        <f t="shared" ref="AC101:AC112" si="148">AA101-AB101</f>
        <v>-13607771.091011625</v>
      </c>
      <c r="AD101" s="92">
        <v>0</v>
      </c>
      <c r="AE101" s="84">
        <f t="shared" ref="AE101:AE112" si="149">AA101-AB101+AD101</f>
        <v>-13607771.091011625</v>
      </c>
      <c r="AF101" s="84">
        <f>AE101-AE99</f>
        <v>-10251511.093003815</v>
      </c>
    </row>
    <row r="102" spans="1:32" x14ac:dyDescent="0.25">
      <c r="A102" s="66">
        <v>8</v>
      </c>
      <c r="B102" s="158">
        <v>39845</v>
      </c>
      <c r="C102" s="84">
        <v>5192188.8631332237</v>
      </c>
      <c r="D102" s="134">
        <f>SUM($C$101:C102)</f>
        <v>-5059322.2298705913</v>
      </c>
      <c r="E102" s="84"/>
      <c r="F102" s="84">
        <f t="shared" si="134"/>
        <v>-5059322.2298705913</v>
      </c>
      <c r="G102" s="84">
        <f t="shared" si="135"/>
        <v>0</v>
      </c>
      <c r="H102" s="84">
        <f t="shared" si="136"/>
        <v>0</v>
      </c>
      <c r="I102" s="84">
        <f t="shared" si="137"/>
        <v>0</v>
      </c>
      <c r="J102" s="84">
        <f t="shared" si="138"/>
        <v>0</v>
      </c>
      <c r="K102" s="84">
        <f t="shared" si="139"/>
        <v>0</v>
      </c>
      <c r="L102" s="84">
        <f t="shared" si="140"/>
        <v>0</v>
      </c>
      <c r="M102" s="92">
        <f t="shared" si="141"/>
        <v>-330673.33984573372</v>
      </c>
      <c r="N102" s="92">
        <v>0</v>
      </c>
      <c r="O102" s="84">
        <f t="shared" si="142"/>
        <v>-330673.33984573372</v>
      </c>
      <c r="P102" s="84">
        <f t="shared" ref="P102:P112" si="150">O102-O101</f>
        <v>0</v>
      </c>
      <c r="Q102" s="84"/>
      <c r="R102" s="101"/>
      <c r="S102" s="84">
        <f t="shared" si="143"/>
        <v>-5059322.2298705913</v>
      </c>
      <c r="T102" s="84">
        <f t="shared" si="144"/>
        <v>0</v>
      </c>
      <c r="U102" s="157">
        <f t="shared" si="145"/>
        <v>0</v>
      </c>
      <c r="V102" s="157">
        <f t="shared" si="146"/>
        <v>0</v>
      </c>
      <c r="W102" s="84"/>
      <c r="X102" s="84"/>
      <c r="Y102" s="84"/>
      <c r="Z102" s="84"/>
      <c r="AA102" s="84">
        <f t="shared" si="147"/>
        <v>-8415582.2278784011</v>
      </c>
      <c r="AB102" s="92">
        <v>0</v>
      </c>
      <c r="AC102" s="92">
        <f t="shared" si="148"/>
        <v>-8415582.2278784011</v>
      </c>
      <c r="AD102" s="92">
        <v>0</v>
      </c>
      <c r="AE102" s="84">
        <f t="shared" si="149"/>
        <v>-8415582.2278784011</v>
      </c>
      <c r="AF102" s="84">
        <f t="shared" ref="AF102:AF112" si="151">AE102-AE101</f>
        <v>5192188.8631332237</v>
      </c>
    </row>
    <row r="103" spans="1:32" x14ac:dyDescent="0.25">
      <c r="A103" s="66">
        <v>8</v>
      </c>
      <c r="B103" s="158">
        <v>39873</v>
      </c>
      <c r="C103" s="84">
        <v>9025.1023387498481</v>
      </c>
      <c r="D103" s="134">
        <f>SUM($C$101:C103)</f>
        <v>-5050297.1275318414</v>
      </c>
      <c r="E103" s="84"/>
      <c r="F103" s="84">
        <f t="shared" si="134"/>
        <v>-5050297.1275318414</v>
      </c>
      <c r="G103" s="84">
        <f t="shared" si="135"/>
        <v>0</v>
      </c>
      <c r="H103" s="84">
        <f t="shared" si="136"/>
        <v>0</v>
      </c>
      <c r="I103" s="84">
        <f t="shared" si="137"/>
        <v>0</v>
      </c>
      <c r="J103" s="84">
        <f t="shared" si="138"/>
        <v>0</v>
      </c>
      <c r="K103" s="84">
        <f t="shared" si="139"/>
        <v>0</v>
      </c>
      <c r="L103" s="84">
        <f t="shared" si="140"/>
        <v>0</v>
      </c>
      <c r="M103" s="92">
        <f t="shared" si="141"/>
        <v>-330673.33984573372</v>
      </c>
      <c r="N103" s="92">
        <v>0</v>
      </c>
      <c r="O103" s="84">
        <f t="shared" si="142"/>
        <v>-330673.33984573372</v>
      </c>
      <c r="P103" s="84">
        <f t="shared" si="150"/>
        <v>0</v>
      </c>
      <c r="Q103" s="84"/>
      <c r="R103" s="101"/>
      <c r="S103" s="84">
        <f t="shared" si="143"/>
        <v>-5050297.1275318414</v>
      </c>
      <c r="T103" s="84">
        <f t="shared" si="144"/>
        <v>0</v>
      </c>
      <c r="U103" s="157">
        <f t="shared" si="145"/>
        <v>0</v>
      </c>
      <c r="V103" s="157">
        <f t="shared" si="146"/>
        <v>0</v>
      </c>
      <c r="W103" s="84"/>
      <c r="X103" s="84"/>
      <c r="Y103" s="84"/>
      <c r="Z103" s="84"/>
      <c r="AA103" s="84">
        <f t="shared" si="147"/>
        <v>-8406557.1255396511</v>
      </c>
      <c r="AB103" s="92">
        <v>0</v>
      </c>
      <c r="AC103" s="92">
        <f t="shared" si="148"/>
        <v>-8406557.1255396511</v>
      </c>
      <c r="AD103" s="92">
        <v>0</v>
      </c>
      <c r="AE103" s="84">
        <f t="shared" si="149"/>
        <v>-8406557.1255396511</v>
      </c>
      <c r="AF103" s="84">
        <f t="shared" si="151"/>
        <v>9025.1023387499154</v>
      </c>
    </row>
    <row r="104" spans="1:32" x14ac:dyDescent="0.25">
      <c r="A104" s="66">
        <v>8</v>
      </c>
      <c r="B104" s="158">
        <v>39904</v>
      </c>
      <c r="C104" s="84">
        <v>-3492891.5926520452</v>
      </c>
      <c r="D104" s="134">
        <f>SUM($C$101:C104)</f>
        <v>-8543188.7201838866</v>
      </c>
      <c r="E104" s="84"/>
      <c r="F104" s="84">
        <f t="shared" si="134"/>
        <v>-8543188.7201838866</v>
      </c>
      <c r="G104" s="84">
        <f t="shared" si="135"/>
        <v>0</v>
      </c>
      <c r="H104" s="84">
        <f t="shared" si="136"/>
        <v>0</v>
      </c>
      <c r="I104" s="84">
        <f t="shared" si="137"/>
        <v>0</v>
      </c>
      <c r="J104" s="84">
        <f t="shared" si="138"/>
        <v>0</v>
      </c>
      <c r="K104" s="84">
        <f t="shared" si="139"/>
        <v>0</v>
      </c>
      <c r="L104" s="84">
        <f t="shared" si="140"/>
        <v>0</v>
      </c>
      <c r="M104" s="92">
        <f t="shared" si="141"/>
        <v>-330673.33984573372</v>
      </c>
      <c r="N104" s="92">
        <v>0</v>
      </c>
      <c r="O104" s="84">
        <f t="shared" si="142"/>
        <v>-330673.33984573372</v>
      </c>
      <c r="P104" s="84">
        <f t="shared" si="150"/>
        <v>0</v>
      </c>
      <c r="Q104" s="84"/>
      <c r="R104" s="101"/>
      <c r="S104" s="84">
        <f t="shared" si="143"/>
        <v>-8543188.7201838866</v>
      </c>
      <c r="T104" s="84">
        <f t="shared" si="144"/>
        <v>0</v>
      </c>
      <c r="U104" s="157">
        <f t="shared" si="145"/>
        <v>0</v>
      </c>
      <c r="V104" s="157">
        <f t="shared" si="146"/>
        <v>0</v>
      </c>
      <c r="W104" s="84"/>
      <c r="X104" s="84"/>
      <c r="Y104" s="84"/>
      <c r="Z104" s="84"/>
      <c r="AA104" s="84">
        <f t="shared" si="147"/>
        <v>-11899448.718191696</v>
      </c>
      <c r="AB104" s="92">
        <v>0</v>
      </c>
      <c r="AC104" s="92">
        <f t="shared" si="148"/>
        <v>-11899448.718191696</v>
      </c>
      <c r="AD104" s="92">
        <v>0</v>
      </c>
      <c r="AE104" s="84">
        <f t="shared" si="149"/>
        <v>-11899448.718191696</v>
      </c>
      <c r="AF104" s="84">
        <f t="shared" si="151"/>
        <v>-3492891.5926520452</v>
      </c>
    </row>
    <row r="105" spans="1:32" x14ac:dyDescent="0.25">
      <c r="A105" s="66">
        <v>8</v>
      </c>
      <c r="B105" s="158">
        <v>39934</v>
      </c>
      <c r="C105" s="84">
        <v>-12728679.461994592</v>
      </c>
      <c r="D105" s="134">
        <f>SUM($C$101:C105)</f>
        <v>-21271868.182178479</v>
      </c>
      <c r="E105" s="84"/>
      <c r="F105" s="84">
        <f t="shared" si="134"/>
        <v>-20000000</v>
      </c>
      <c r="G105" s="84">
        <f t="shared" si="135"/>
        <v>-1271868.1821784787</v>
      </c>
      <c r="H105" s="84">
        <f t="shared" si="136"/>
        <v>0</v>
      </c>
      <c r="I105" s="84">
        <f t="shared" si="137"/>
        <v>0</v>
      </c>
      <c r="J105" s="84">
        <f t="shared" si="138"/>
        <v>-635934.09108923934</v>
      </c>
      <c r="K105" s="84">
        <f t="shared" si="139"/>
        <v>0</v>
      </c>
      <c r="L105" s="84">
        <f t="shared" si="140"/>
        <v>0</v>
      </c>
      <c r="M105" s="92">
        <f t="shared" si="141"/>
        <v>-966607.43093497306</v>
      </c>
      <c r="N105" s="92">
        <v>0</v>
      </c>
      <c r="O105" s="84">
        <f t="shared" si="142"/>
        <v>-966607.43093497306</v>
      </c>
      <c r="P105" s="84">
        <f t="shared" si="150"/>
        <v>-635934.09108923934</v>
      </c>
      <c r="Q105" s="84"/>
      <c r="R105" s="101"/>
      <c r="S105" s="84">
        <f t="shared" si="143"/>
        <v>-20000000</v>
      </c>
      <c r="T105" s="84">
        <f t="shared" si="144"/>
        <v>-635934.09108923934</v>
      </c>
      <c r="U105" s="157">
        <f t="shared" si="145"/>
        <v>0</v>
      </c>
      <c r="V105" s="157">
        <f t="shared" si="146"/>
        <v>0</v>
      </c>
      <c r="W105" s="84"/>
      <c r="X105" s="84"/>
      <c r="Y105" s="84"/>
      <c r="Z105" s="84"/>
      <c r="AA105" s="84">
        <f t="shared" si="147"/>
        <v>-23992194.089097053</v>
      </c>
      <c r="AB105" s="92">
        <v>0</v>
      </c>
      <c r="AC105" s="92">
        <f t="shared" si="148"/>
        <v>-23992194.089097053</v>
      </c>
      <c r="AD105" s="92">
        <v>0</v>
      </c>
      <c r="AE105" s="84">
        <f t="shared" si="149"/>
        <v>-23992194.089097053</v>
      </c>
      <c r="AF105" s="84">
        <f t="shared" si="151"/>
        <v>-12092745.370905356</v>
      </c>
    </row>
    <row r="106" spans="1:32" x14ac:dyDescent="0.25">
      <c r="A106" s="66">
        <v>8</v>
      </c>
      <c r="B106" s="158">
        <v>39965</v>
      </c>
      <c r="C106" s="84">
        <v>-1097047.3955632483</v>
      </c>
      <c r="D106" s="134">
        <f>SUM($C$101:C106)</f>
        <v>-22368915.577741727</v>
      </c>
      <c r="E106" s="84"/>
      <c r="F106" s="84">
        <f t="shared" si="134"/>
        <v>-20000000</v>
      </c>
      <c r="G106" s="84">
        <f t="shared" si="135"/>
        <v>-2368915.5777417272</v>
      </c>
      <c r="H106" s="84">
        <f t="shared" si="136"/>
        <v>0</v>
      </c>
      <c r="I106" s="84">
        <f t="shared" si="137"/>
        <v>0</v>
      </c>
      <c r="J106" s="84">
        <f t="shared" si="138"/>
        <v>-1184457.7888708636</v>
      </c>
      <c r="K106" s="84">
        <f t="shared" si="139"/>
        <v>0</v>
      </c>
      <c r="L106" s="84">
        <f t="shared" si="140"/>
        <v>0</v>
      </c>
      <c r="M106" s="92">
        <f t="shared" si="141"/>
        <v>-1515131.1287165973</v>
      </c>
      <c r="N106" s="92">
        <v>0</v>
      </c>
      <c r="O106" s="84">
        <f t="shared" si="142"/>
        <v>-1515131.1287165973</v>
      </c>
      <c r="P106" s="84">
        <f t="shared" si="150"/>
        <v>-548523.69778162427</v>
      </c>
      <c r="Q106" s="84"/>
      <c r="R106" s="101"/>
      <c r="S106" s="84">
        <f t="shared" si="143"/>
        <v>-20000000</v>
      </c>
      <c r="T106" s="84">
        <f t="shared" si="144"/>
        <v>-1184457.7888708636</v>
      </c>
      <c r="U106" s="157">
        <f t="shared" si="145"/>
        <v>0</v>
      </c>
      <c r="V106" s="157">
        <f t="shared" si="146"/>
        <v>0</v>
      </c>
      <c r="W106" s="84"/>
      <c r="X106" s="84"/>
      <c r="Y106" s="84"/>
      <c r="Z106" s="84"/>
      <c r="AA106" s="84">
        <f t="shared" si="147"/>
        <v>-24540717.786878675</v>
      </c>
      <c r="AB106" s="92">
        <v>0</v>
      </c>
      <c r="AC106" s="92">
        <f t="shared" si="148"/>
        <v>-24540717.786878675</v>
      </c>
      <c r="AD106" s="92">
        <v>0</v>
      </c>
      <c r="AE106" s="84">
        <f t="shared" si="149"/>
        <v>-24540717.786878675</v>
      </c>
      <c r="AF106" s="84">
        <f t="shared" si="151"/>
        <v>-548523.69778162241</v>
      </c>
    </row>
    <row r="107" spans="1:32" x14ac:dyDescent="0.25">
      <c r="A107" s="66">
        <v>8</v>
      </c>
      <c r="B107" s="158">
        <v>39995</v>
      </c>
      <c r="C107" s="84">
        <v>-2806492.002611307</v>
      </c>
      <c r="D107" s="134">
        <f>SUM($C$101:C107)</f>
        <v>-25175407.580353033</v>
      </c>
      <c r="E107" s="84"/>
      <c r="F107" s="84">
        <f t="shared" si="134"/>
        <v>-20000000</v>
      </c>
      <c r="G107" s="84">
        <f t="shared" si="135"/>
        <v>-5175407.5803530328</v>
      </c>
      <c r="H107" s="84">
        <f t="shared" si="136"/>
        <v>0</v>
      </c>
      <c r="I107" s="84">
        <f t="shared" si="137"/>
        <v>0</v>
      </c>
      <c r="J107" s="84">
        <f t="shared" si="138"/>
        <v>-2587703.7901765164</v>
      </c>
      <c r="K107" s="84">
        <f t="shared" si="139"/>
        <v>0</v>
      </c>
      <c r="L107" s="84">
        <f t="shared" si="140"/>
        <v>0</v>
      </c>
      <c r="M107" s="92">
        <f t="shared" si="141"/>
        <v>-2918377.1300222501</v>
      </c>
      <c r="N107" s="92">
        <v>0</v>
      </c>
      <c r="O107" s="84">
        <f t="shared" si="142"/>
        <v>-2918377.1300222501</v>
      </c>
      <c r="P107" s="84">
        <f t="shared" si="150"/>
        <v>-1403246.0013056528</v>
      </c>
      <c r="Q107" s="84"/>
      <c r="R107" s="101"/>
      <c r="S107" s="84">
        <f t="shared" si="143"/>
        <v>-20000000</v>
      </c>
      <c r="T107" s="84">
        <f t="shared" si="144"/>
        <v>-2587703.7901765164</v>
      </c>
      <c r="U107" s="157">
        <f t="shared" si="145"/>
        <v>0</v>
      </c>
      <c r="V107" s="157">
        <f t="shared" si="146"/>
        <v>0</v>
      </c>
      <c r="W107" s="84"/>
      <c r="X107" s="84"/>
      <c r="Y107" s="84"/>
      <c r="Z107" s="84"/>
      <c r="AA107" s="84">
        <f t="shared" si="147"/>
        <v>-25943963.78818433</v>
      </c>
      <c r="AB107" s="92">
        <v>0</v>
      </c>
      <c r="AC107" s="92">
        <f t="shared" si="148"/>
        <v>-25943963.78818433</v>
      </c>
      <c r="AD107" s="92">
        <v>0</v>
      </c>
      <c r="AE107" s="84">
        <f t="shared" si="149"/>
        <v>-25943963.78818433</v>
      </c>
      <c r="AF107" s="84">
        <f t="shared" si="151"/>
        <v>-1403246.0013056546</v>
      </c>
    </row>
    <row r="108" spans="1:32" x14ac:dyDescent="0.25">
      <c r="A108" s="66">
        <v>8</v>
      </c>
      <c r="B108" s="158">
        <v>40026</v>
      </c>
      <c r="C108" s="84">
        <v>1217249.026898301</v>
      </c>
      <c r="D108" s="134">
        <f>SUM($C$101:C108)</f>
        <v>-23958158.553454731</v>
      </c>
      <c r="E108" s="84"/>
      <c r="F108" s="84">
        <f t="shared" si="134"/>
        <v>-20000000</v>
      </c>
      <c r="G108" s="84">
        <f t="shared" si="135"/>
        <v>-3958158.5534547307</v>
      </c>
      <c r="H108" s="84">
        <f t="shared" si="136"/>
        <v>0</v>
      </c>
      <c r="I108" s="84">
        <f t="shared" si="137"/>
        <v>0</v>
      </c>
      <c r="J108" s="84">
        <f t="shared" si="138"/>
        <v>-1979079.2767273653</v>
      </c>
      <c r="K108" s="84">
        <f t="shared" si="139"/>
        <v>0</v>
      </c>
      <c r="L108" s="84">
        <f t="shared" si="140"/>
        <v>0</v>
      </c>
      <c r="M108" s="92">
        <f t="shared" si="141"/>
        <v>-2309752.616573099</v>
      </c>
      <c r="N108" s="92">
        <v>0</v>
      </c>
      <c r="O108" s="84">
        <f t="shared" si="142"/>
        <v>-2309752.616573099</v>
      </c>
      <c r="P108" s="84">
        <f t="shared" si="150"/>
        <v>608624.51344915107</v>
      </c>
      <c r="Q108" s="84"/>
      <c r="R108" s="101"/>
      <c r="S108" s="84">
        <f t="shared" si="143"/>
        <v>-20000000</v>
      </c>
      <c r="T108" s="84">
        <f t="shared" si="144"/>
        <v>-1979079.2767273653</v>
      </c>
      <c r="U108" s="157">
        <f t="shared" si="145"/>
        <v>0</v>
      </c>
      <c r="V108" s="157">
        <f t="shared" si="146"/>
        <v>0</v>
      </c>
      <c r="W108" s="84"/>
      <c r="X108" s="84"/>
      <c r="Y108" s="84"/>
      <c r="Z108" s="84"/>
      <c r="AA108" s="84">
        <f t="shared" si="147"/>
        <v>-25335339.274735175</v>
      </c>
      <c r="AB108" s="92">
        <v>0</v>
      </c>
      <c r="AC108" s="92">
        <f t="shared" si="148"/>
        <v>-25335339.274735175</v>
      </c>
      <c r="AD108" s="92">
        <v>0</v>
      </c>
      <c r="AE108" s="84">
        <f t="shared" si="149"/>
        <v>-25335339.274735175</v>
      </c>
      <c r="AF108" s="84">
        <f t="shared" si="151"/>
        <v>608624.51344915479</v>
      </c>
    </row>
    <row r="109" spans="1:32" x14ac:dyDescent="0.25">
      <c r="A109" s="66">
        <v>8</v>
      </c>
      <c r="B109" s="158">
        <v>40057</v>
      </c>
      <c r="C109" s="84">
        <v>12487091.094145533</v>
      </c>
      <c r="D109" s="134">
        <f>SUM($C$101:C109)</f>
        <v>-11471067.459309198</v>
      </c>
      <c r="E109" s="84"/>
      <c r="F109" s="84">
        <f t="shared" si="134"/>
        <v>-11471067.459309198</v>
      </c>
      <c r="G109" s="84">
        <f t="shared" si="135"/>
        <v>0</v>
      </c>
      <c r="H109" s="84">
        <f t="shared" si="136"/>
        <v>0</v>
      </c>
      <c r="I109" s="84">
        <f t="shared" si="137"/>
        <v>0</v>
      </c>
      <c r="J109" s="84">
        <f t="shared" si="138"/>
        <v>0</v>
      </c>
      <c r="K109" s="84">
        <f t="shared" si="139"/>
        <v>0</v>
      </c>
      <c r="L109" s="84">
        <f t="shared" si="140"/>
        <v>0</v>
      </c>
      <c r="M109" s="92">
        <f t="shared" si="141"/>
        <v>-330673.33984573372</v>
      </c>
      <c r="N109" s="92">
        <v>0</v>
      </c>
      <c r="O109" s="84">
        <f t="shared" si="142"/>
        <v>-330673.33984573372</v>
      </c>
      <c r="P109" s="84">
        <f t="shared" si="150"/>
        <v>1979079.2767273653</v>
      </c>
      <c r="Q109" s="84"/>
      <c r="R109" s="101"/>
      <c r="S109" s="84">
        <f t="shared" si="143"/>
        <v>-11471067.459309198</v>
      </c>
      <c r="T109" s="84">
        <f t="shared" si="144"/>
        <v>0</v>
      </c>
      <c r="U109" s="157">
        <f t="shared" si="145"/>
        <v>0</v>
      </c>
      <c r="V109" s="157">
        <f t="shared" si="146"/>
        <v>0</v>
      </c>
      <c r="W109" s="84"/>
      <c r="X109" s="84"/>
      <c r="Y109" s="84"/>
      <c r="Z109" s="84"/>
      <c r="AA109" s="84">
        <f t="shared" si="147"/>
        <v>-14827327.457317008</v>
      </c>
      <c r="AB109" s="92">
        <v>0</v>
      </c>
      <c r="AC109" s="92">
        <f t="shared" si="148"/>
        <v>-14827327.457317008</v>
      </c>
      <c r="AD109" s="92">
        <v>0</v>
      </c>
      <c r="AE109" s="84">
        <f t="shared" si="149"/>
        <v>-14827327.457317008</v>
      </c>
      <c r="AF109" s="84">
        <f t="shared" si="151"/>
        <v>10508011.817418167</v>
      </c>
    </row>
    <row r="110" spans="1:32" ht="14.25" customHeight="1" x14ac:dyDescent="0.25">
      <c r="A110" s="66">
        <v>8</v>
      </c>
      <c r="B110" s="158">
        <v>40087</v>
      </c>
      <c r="C110" s="84">
        <v>18562455.954273306</v>
      </c>
      <c r="D110" s="134">
        <f>SUM($C$101:C110)</f>
        <v>7091388.4949641079</v>
      </c>
      <c r="E110" s="84"/>
      <c r="F110" s="84">
        <f t="shared" si="134"/>
        <v>7091388.4949641079</v>
      </c>
      <c r="G110" s="84">
        <f t="shared" si="135"/>
        <v>0</v>
      </c>
      <c r="H110" s="84">
        <f t="shared" si="136"/>
        <v>0</v>
      </c>
      <c r="I110" s="84">
        <f t="shared" si="137"/>
        <v>0</v>
      </c>
      <c r="J110" s="84">
        <f t="shared" si="138"/>
        <v>0</v>
      </c>
      <c r="K110" s="84">
        <f t="shared" si="139"/>
        <v>0</v>
      </c>
      <c r="L110" s="84">
        <f t="shared" si="140"/>
        <v>0</v>
      </c>
      <c r="M110" s="92">
        <f t="shared" si="141"/>
        <v>-330673.33984573372</v>
      </c>
      <c r="N110" s="92">
        <v>0</v>
      </c>
      <c r="O110" s="84">
        <f t="shared" si="142"/>
        <v>-330673.33984573372</v>
      </c>
      <c r="P110" s="84">
        <f t="shared" si="150"/>
        <v>0</v>
      </c>
      <c r="Q110" s="84"/>
      <c r="R110" s="101"/>
      <c r="S110" s="84">
        <f t="shared" si="143"/>
        <v>7091388.4949641079</v>
      </c>
      <c r="T110" s="84">
        <f t="shared" si="144"/>
        <v>0</v>
      </c>
      <c r="U110" s="157">
        <f t="shared" si="145"/>
        <v>0</v>
      </c>
      <c r="V110" s="157">
        <f t="shared" si="146"/>
        <v>0</v>
      </c>
      <c r="W110" s="84"/>
      <c r="X110" s="84"/>
      <c r="Y110" s="84"/>
      <c r="Z110" s="84"/>
      <c r="AA110" s="84">
        <f t="shared" si="147"/>
        <v>3735128.4969562981</v>
      </c>
      <c r="AB110" s="92">
        <v>0</v>
      </c>
      <c r="AC110" s="92">
        <f t="shared" si="148"/>
        <v>3735128.4969562981</v>
      </c>
      <c r="AD110" s="92">
        <v>0</v>
      </c>
      <c r="AE110" s="84">
        <f t="shared" si="149"/>
        <v>3735128.4969562981</v>
      </c>
      <c r="AF110" s="84">
        <f t="shared" si="151"/>
        <v>18562455.954273306</v>
      </c>
    </row>
    <row r="111" spans="1:32" x14ac:dyDescent="0.25">
      <c r="A111" s="66">
        <v>8</v>
      </c>
      <c r="B111" s="158">
        <v>40118</v>
      </c>
      <c r="C111" s="84">
        <v>8332666.5253994651</v>
      </c>
      <c r="D111" s="134">
        <f>SUM($C$101:C111)</f>
        <v>15424055.020363573</v>
      </c>
      <c r="E111" s="84"/>
      <c r="F111" s="84">
        <f t="shared" si="134"/>
        <v>15424055.020363573</v>
      </c>
      <c r="G111" s="84">
        <f t="shared" si="135"/>
        <v>0</v>
      </c>
      <c r="H111" s="84">
        <f t="shared" si="136"/>
        <v>0</v>
      </c>
      <c r="I111" s="84">
        <f t="shared" si="137"/>
        <v>0</v>
      </c>
      <c r="J111" s="84">
        <f t="shared" si="138"/>
        <v>0</v>
      </c>
      <c r="K111" s="84">
        <f t="shared" si="139"/>
        <v>0</v>
      </c>
      <c r="L111" s="84">
        <f t="shared" si="140"/>
        <v>0</v>
      </c>
      <c r="M111" s="92">
        <f t="shared" si="141"/>
        <v>-330673.33984573372</v>
      </c>
      <c r="N111" s="92">
        <v>0</v>
      </c>
      <c r="O111" s="84">
        <f t="shared" si="142"/>
        <v>-330673.33984573372</v>
      </c>
      <c r="P111" s="84">
        <f t="shared" si="150"/>
        <v>0</v>
      </c>
      <c r="Q111" s="84"/>
      <c r="R111" s="101"/>
      <c r="S111" s="84">
        <f t="shared" si="143"/>
        <v>15424055.020363573</v>
      </c>
      <c r="T111" s="84">
        <f t="shared" si="144"/>
        <v>0</v>
      </c>
      <c r="U111" s="157">
        <f t="shared" si="145"/>
        <v>0</v>
      </c>
      <c r="V111" s="157">
        <f t="shared" si="146"/>
        <v>0</v>
      </c>
      <c r="W111" s="84"/>
      <c r="X111" s="84"/>
      <c r="Y111" s="84"/>
      <c r="Z111" s="84"/>
      <c r="AA111" s="84">
        <f t="shared" si="147"/>
        <v>12067795.022355763</v>
      </c>
      <c r="AB111" s="92">
        <v>0</v>
      </c>
      <c r="AC111" s="92">
        <f t="shared" si="148"/>
        <v>12067795.022355763</v>
      </c>
      <c r="AD111" s="92">
        <v>0</v>
      </c>
      <c r="AE111" s="84">
        <f t="shared" si="149"/>
        <v>12067795.022355763</v>
      </c>
      <c r="AF111" s="84">
        <f t="shared" si="151"/>
        <v>8332666.5253994651</v>
      </c>
    </row>
    <row r="112" spans="1:32" x14ac:dyDescent="0.25">
      <c r="A112" s="66">
        <v>8</v>
      </c>
      <c r="B112" s="158">
        <v>40148</v>
      </c>
      <c r="C112" s="84">
        <v>14846042.436704425</v>
      </c>
      <c r="D112" s="134">
        <f>SUM($C$101:C112)</f>
        <v>30270097.457067996</v>
      </c>
      <c r="E112" s="84"/>
      <c r="F112" s="84">
        <f t="shared" si="134"/>
        <v>20000000</v>
      </c>
      <c r="G112" s="84">
        <f t="shared" si="135"/>
        <v>10270097.457067996</v>
      </c>
      <c r="H112" s="84">
        <f t="shared" si="136"/>
        <v>0</v>
      </c>
      <c r="I112" s="84">
        <f t="shared" si="137"/>
        <v>0</v>
      </c>
      <c r="J112" s="84">
        <f t="shared" si="138"/>
        <v>5135048.7285339981</v>
      </c>
      <c r="K112" s="84">
        <f t="shared" si="139"/>
        <v>0</v>
      </c>
      <c r="L112" s="84">
        <f t="shared" si="140"/>
        <v>0</v>
      </c>
      <c r="M112" s="92">
        <f t="shared" si="141"/>
        <v>4804375.3886882644</v>
      </c>
      <c r="N112" s="92">
        <v>0</v>
      </c>
      <c r="O112" s="84">
        <f t="shared" si="142"/>
        <v>4804375.3886882644</v>
      </c>
      <c r="P112" s="84">
        <f t="shared" si="150"/>
        <v>5135048.7285339981</v>
      </c>
      <c r="Q112" s="84"/>
      <c r="R112" s="101"/>
      <c r="S112" s="84">
        <f t="shared" si="143"/>
        <v>20000000</v>
      </c>
      <c r="T112" s="84">
        <f t="shared" si="144"/>
        <v>5135048.7285339981</v>
      </c>
      <c r="U112" s="157">
        <f t="shared" si="145"/>
        <v>0</v>
      </c>
      <c r="V112" s="157">
        <f t="shared" si="146"/>
        <v>0</v>
      </c>
      <c r="W112" s="84"/>
      <c r="X112" s="84"/>
      <c r="Y112" s="84"/>
      <c r="Z112" s="84"/>
      <c r="AA112" s="84">
        <f t="shared" si="147"/>
        <v>21778788.730526187</v>
      </c>
      <c r="AB112" s="92">
        <v>0</v>
      </c>
      <c r="AC112" s="92">
        <f t="shared" si="148"/>
        <v>21778788.730526187</v>
      </c>
      <c r="AD112" s="92">
        <v>0</v>
      </c>
      <c r="AE112" s="84">
        <f t="shared" si="149"/>
        <v>21778788.730526187</v>
      </c>
      <c r="AF112" s="84">
        <f t="shared" si="151"/>
        <v>9710993.7081704233</v>
      </c>
    </row>
    <row r="113" spans="1:32" x14ac:dyDescent="0.25">
      <c r="A113" s="66"/>
      <c r="B113" s="158"/>
      <c r="C113" s="84"/>
      <c r="D113" s="134"/>
      <c r="E113" s="84"/>
      <c r="F113" s="84"/>
      <c r="G113" s="84"/>
      <c r="H113" s="84"/>
      <c r="I113" s="84"/>
      <c r="J113" s="84"/>
      <c r="K113" s="84"/>
      <c r="L113" s="84"/>
      <c r="M113" s="92"/>
      <c r="N113" s="92"/>
      <c r="O113" s="84"/>
      <c r="P113" s="84"/>
      <c r="Q113" s="84"/>
      <c r="R113" s="101"/>
      <c r="S113" s="84"/>
      <c r="T113" s="84"/>
      <c r="U113" s="157"/>
      <c r="V113" s="157"/>
      <c r="W113" s="84"/>
      <c r="X113" s="84"/>
      <c r="Y113" s="84"/>
      <c r="Z113" s="84"/>
      <c r="AA113" s="84"/>
      <c r="AB113" s="92"/>
      <c r="AC113" s="92"/>
      <c r="AD113" s="92"/>
      <c r="AE113" s="84"/>
      <c r="AF113" s="84"/>
    </row>
    <row r="114" spans="1:32" x14ac:dyDescent="0.25">
      <c r="A114" s="66">
        <v>9</v>
      </c>
      <c r="B114" s="158">
        <v>40179</v>
      </c>
      <c r="C114" s="84">
        <v>8652353.5995881222</v>
      </c>
      <c r="D114" s="134">
        <f>C114</f>
        <v>8652353.5995881222</v>
      </c>
      <c r="E114" s="84"/>
      <c r="F114" s="84">
        <f t="shared" ref="F114:F125" si="152">IF(ABS(D114)&gt;+$F$10,IF(D114&lt;0,-$F$10,+$F$10),+D114)</f>
        <v>8652353.5995881222</v>
      </c>
      <c r="G114" s="84">
        <f t="shared" ref="G114:G125" si="153">IF(ABS(D114)-ABS(F114)&gt;=$G$10,IF(D114&lt;=0,-$G$10,+$G$10),+D114-F114)</f>
        <v>0</v>
      </c>
      <c r="H114" s="84">
        <f t="shared" ref="H114:H125" si="154">IF(ABS(+D114)-ABS(SUM(F114:G114))&gt;=$H$10,IF(D114&lt;=0,-$H$10,+$H$10),+D114-SUM(F114:G114))</f>
        <v>0</v>
      </c>
      <c r="I114" s="84">
        <f t="shared" ref="I114:I125" si="155">IF(ABS(+D114)-ABS(SUM(F114:H114))&gt;=$I$10,IF(D114&lt;=0,$D114-SUM($F114:$H114),$D114-SUM($F114:$H114)),D114-SUM(F114:H114))</f>
        <v>0</v>
      </c>
      <c r="J114" s="84">
        <f t="shared" ref="J114:J125" si="156">+G114*$C$278</f>
        <v>0</v>
      </c>
      <c r="K114" s="84">
        <f t="shared" ref="K114:K125" si="157">+H114*$C$279</f>
        <v>0</v>
      </c>
      <c r="L114" s="84">
        <f t="shared" ref="L114:L125" si="158">+I114*$C$280</f>
        <v>0</v>
      </c>
      <c r="M114" s="92">
        <f t="shared" ref="M114:M125" si="159">SUM(J114:L114)+$M$112</f>
        <v>4804375.3886882644</v>
      </c>
      <c r="N114" s="92">
        <v>0</v>
      </c>
      <c r="O114" s="84">
        <f t="shared" ref="O114:O125" si="160">M114+N114</f>
        <v>4804375.3886882644</v>
      </c>
      <c r="P114" s="84">
        <f>O114-O112</f>
        <v>0</v>
      </c>
      <c r="Q114" s="84"/>
      <c r="R114" s="101"/>
      <c r="S114" s="84">
        <f t="shared" ref="S114:S125" si="161">+F114</f>
        <v>8652353.5995881222</v>
      </c>
      <c r="T114" s="84">
        <f t="shared" ref="T114:T125" si="162">+G114-J114</f>
        <v>0</v>
      </c>
      <c r="U114" s="157">
        <f t="shared" ref="U114:U125" si="163">+H114-K114</f>
        <v>0</v>
      </c>
      <c r="V114" s="157">
        <f t="shared" ref="V114:V125" si="164">+I114-L114</f>
        <v>0</v>
      </c>
      <c r="W114" s="84"/>
      <c r="X114" s="84"/>
      <c r="Y114" s="84"/>
      <c r="Z114" s="84"/>
      <c r="AA114" s="84">
        <f t="shared" ref="AA114:AA125" si="165">SUM(S114:V114)+$AA$112</f>
        <v>30431142.330114309</v>
      </c>
      <c r="AB114" s="92">
        <v>0</v>
      </c>
      <c r="AC114" s="92">
        <f t="shared" ref="AC114:AC125" si="166">AA114-AB114</f>
        <v>30431142.330114309</v>
      </c>
      <c r="AD114" s="92">
        <v>0</v>
      </c>
      <c r="AE114" s="84">
        <f t="shared" ref="AE114:AE125" si="167">AA114-AB114+AD114</f>
        <v>30431142.330114309</v>
      </c>
      <c r="AF114" s="84">
        <f>AE114-AE112</f>
        <v>8652353.5995881222</v>
      </c>
    </row>
    <row r="115" spans="1:32" x14ac:dyDescent="0.25">
      <c r="A115" s="66">
        <v>9</v>
      </c>
      <c r="B115" s="158">
        <v>40210</v>
      </c>
      <c r="C115" s="84">
        <v>16194910.002552642</v>
      </c>
      <c r="D115" s="134">
        <f>SUM($C$114:C115)</f>
        <v>24847263.602140762</v>
      </c>
      <c r="E115" s="84"/>
      <c r="F115" s="84">
        <f t="shared" si="152"/>
        <v>20000000</v>
      </c>
      <c r="G115" s="84">
        <f t="shared" si="153"/>
        <v>4847263.6021407619</v>
      </c>
      <c r="H115" s="84">
        <f t="shared" si="154"/>
        <v>0</v>
      </c>
      <c r="I115" s="84">
        <f t="shared" si="155"/>
        <v>0</v>
      </c>
      <c r="J115" s="84">
        <f t="shared" si="156"/>
        <v>2423631.801070381</v>
      </c>
      <c r="K115" s="84">
        <f t="shared" si="157"/>
        <v>0</v>
      </c>
      <c r="L115" s="84">
        <f t="shared" si="158"/>
        <v>0</v>
      </c>
      <c r="M115" s="92">
        <f t="shared" si="159"/>
        <v>7228007.1897586454</v>
      </c>
      <c r="N115" s="92">
        <v>0</v>
      </c>
      <c r="O115" s="84">
        <f t="shared" si="160"/>
        <v>7228007.1897586454</v>
      </c>
      <c r="P115" s="84">
        <f t="shared" ref="P115:P125" si="168">O115-O114</f>
        <v>2423631.801070381</v>
      </c>
      <c r="Q115" s="84"/>
      <c r="R115" s="101"/>
      <c r="S115" s="84">
        <f t="shared" si="161"/>
        <v>20000000</v>
      </c>
      <c r="T115" s="84">
        <f t="shared" si="162"/>
        <v>2423631.801070381</v>
      </c>
      <c r="U115" s="157">
        <f t="shared" si="163"/>
        <v>0</v>
      </c>
      <c r="V115" s="157">
        <f t="shared" si="164"/>
        <v>0</v>
      </c>
      <c r="W115" s="84"/>
      <c r="X115" s="84"/>
      <c r="Y115" s="84"/>
      <c r="Z115" s="84"/>
      <c r="AA115" s="84">
        <f t="shared" si="165"/>
        <v>44202420.531596571</v>
      </c>
      <c r="AB115" s="92">
        <v>0</v>
      </c>
      <c r="AC115" s="92">
        <f t="shared" si="166"/>
        <v>44202420.531596571</v>
      </c>
      <c r="AD115" s="92">
        <v>0</v>
      </c>
      <c r="AE115" s="84">
        <f t="shared" si="167"/>
        <v>44202420.531596571</v>
      </c>
      <c r="AF115" s="84">
        <f t="shared" ref="AF115:AF125" si="169">AE115-AE114</f>
        <v>13771278.201482262</v>
      </c>
    </row>
    <row r="116" spans="1:32" x14ac:dyDescent="0.25">
      <c r="A116" s="66">
        <v>9</v>
      </c>
      <c r="B116" s="158">
        <v>40238</v>
      </c>
      <c r="C116" s="84">
        <v>10996059.306214416</v>
      </c>
      <c r="D116" s="134">
        <f>SUM($C$114:C116)</f>
        <v>35843322.908355176</v>
      </c>
      <c r="E116" s="84"/>
      <c r="F116" s="84">
        <f t="shared" si="152"/>
        <v>20000000</v>
      </c>
      <c r="G116" s="84">
        <f t="shared" si="153"/>
        <v>15843322.908355176</v>
      </c>
      <c r="H116" s="84">
        <f t="shared" si="154"/>
        <v>0</v>
      </c>
      <c r="I116" s="84">
        <f t="shared" si="155"/>
        <v>0</v>
      </c>
      <c r="J116" s="84">
        <f t="shared" si="156"/>
        <v>7921661.4541775882</v>
      </c>
      <c r="K116" s="84">
        <f t="shared" si="157"/>
        <v>0</v>
      </c>
      <c r="L116" s="84">
        <f t="shared" si="158"/>
        <v>0</v>
      </c>
      <c r="M116" s="92">
        <f t="shared" si="159"/>
        <v>12726036.842865853</v>
      </c>
      <c r="N116" s="92">
        <v>0</v>
      </c>
      <c r="O116" s="84">
        <f t="shared" si="160"/>
        <v>12726036.842865853</v>
      </c>
      <c r="P116" s="84">
        <f t="shared" si="168"/>
        <v>5498029.6531072073</v>
      </c>
      <c r="Q116" s="84"/>
      <c r="R116" s="101"/>
      <c r="S116" s="84">
        <f t="shared" si="161"/>
        <v>20000000</v>
      </c>
      <c r="T116" s="84">
        <f t="shared" si="162"/>
        <v>7921661.4541775882</v>
      </c>
      <c r="U116" s="157">
        <f t="shared" si="163"/>
        <v>0</v>
      </c>
      <c r="V116" s="157">
        <f t="shared" si="164"/>
        <v>0</v>
      </c>
      <c r="W116" s="84"/>
      <c r="X116" s="84"/>
      <c r="Y116" s="84"/>
      <c r="Z116" s="84"/>
      <c r="AA116" s="84">
        <f t="shared" si="165"/>
        <v>49700450.184703775</v>
      </c>
      <c r="AB116" s="92">
        <v>0</v>
      </c>
      <c r="AC116" s="92">
        <f t="shared" si="166"/>
        <v>49700450.184703775</v>
      </c>
      <c r="AD116" s="92">
        <v>0</v>
      </c>
      <c r="AE116" s="84">
        <f t="shared" si="167"/>
        <v>49700450.184703775</v>
      </c>
      <c r="AF116" s="84">
        <f t="shared" si="169"/>
        <v>5498029.6531072035</v>
      </c>
    </row>
    <row r="117" spans="1:32" x14ac:dyDescent="0.25">
      <c r="A117" s="66">
        <v>9</v>
      </c>
      <c r="B117" s="158">
        <v>40269</v>
      </c>
      <c r="C117" s="84">
        <v>-5814026.2394584548</v>
      </c>
      <c r="D117" s="134">
        <f>SUM($C$114:C117)</f>
        <v>30029296.66889672</v>
      </c>
      <c r="E117" s="84"/>
      <c r="F117" s="84">
        <f t="shared" si="152"/>
        <v>20000000</v>
      </c>
      <c r="G117" s="84">
        <f t="shared" si="153"/>
        <v>10029296.66889672</v>
      </c>
      <c r="H117" s="84">
        <f t="shared" si="154"/>
        <v>0</v>
      </c>
      <c r="I117" s="84">
        <f t="shared" si="155"/>
        <v>0</v>
      </c>
      <c r="J117" s="84">
        <f t="shared" si="156"/>
        <v>5014648.3344483599</v>
      </c>
      <c r="K117" s="84">
        <f t="shared" si="157"/>
        <v>0</v>
      </c>
      <c r="L117" s="84">
        <f t="shared" si="158"/>
        <v>0</v>
      </c>
      <c r="M117" s="92">
        <f t="shared" si="159"/>
        <v>9819023.7231366243</v>
      </c>
      <c r="N117" s="92">
        <v>0</v>
      </c>
      <c r="O117" s="84">
        <f t="shared" si="160"/>
        <v>9819023.7231366243</v>
      </c>
      <c r="P117" s="84">
        <f t="shared" si="168"/>
        <v>-2907013.1197292283</v>
      </c>
      <c r="Q117" s="84"/>
      <c r="R117" s="101"/>
      <c r="S117" s="84">
        <f t="shared" si="161"/>
        <v>20000000</v>
      </c>
      <c r="T117" s="84">
        <f t="shared" si="162"/>
        <v>5014648.3344483599</v>
      </c>
      <c r="U117" s="157">
        <f t="shared" si="163"/>
        <v>0</v>
      </c>
      <c r="V117" s="157">
        <f t="shared" si="164"/>
        <v>0</v>
      </c>
      <c r="W117" s="84"/>
      <c r="X117" s="84"/>
      <c r="Y117" s="84"/>
      <c r="Z117" s="84"/>
      <c r="AA117" s="84">
        <f t="shared" si="165"/>
        <v>46793437.064974546</v>
      </c>
      <c r="AB117" s="92">
        <v>0</v>
      </c>
      <c r="AC117" s="92">
        <f t="shared" si="166"/>
        <v>46793437.064974546</v>
      </c>
      <c r="AD117" s="92">
        <v>0</v>
      </c>
      <c r="AE117" s="84">
        <f t="shared" si="167"/>
        <v>46793437.064974546</v>
      </c>
      <c r="AF117" s="84">
        <f t="shared" si="169"/>
        <v>-2907013.1197292283</v>
      </c>
    </row>
    <row r="118" spans="1:32" x14ac:dyDescent="0.25">
      <c r="A118" s="66">
        <v>9</v>
      </c>
      <c r="B118" s="158">
        <v>40299</v>
      </c>
      <c r="C118" s="84">
        <v>-13553770.782869298</v>
      </c>
      <c r="D118" s="134">
        <f>SUM($C$114:C118)</f>
        <v>16475525.886027422</v>
      </c>
      <c r="E118" s="84"/>
      <c r="F118" s="84">
        <f t="shared" si="152"/>
        <v>16475525.886027422</v>
      </c>
      <c r="G118" s="84">
        <f t="shared" si="153"/>
        <v>0</v>
      </c>
      <c r="H118" s="84">
        <f t="shared" si="154"/>
        <v>0</v>
      </c>
      <c r="I118" s="84">
        <f t="shared" si="155"/>
        <v>0</v>
      </c>
      <c r="J118" s="84">
        <f t="shared" si="156"/>
        <v>0</v>
      </c>
      <c r="K118" s="84">
        <f t="shared" si="157"/>
        <v>0</v>
      </c>
      <c r="L118" s="84">
        <f t="shared" si="158"/>
        <v>0</v>
      </c>
      <c r="M118" s="92">
        <f t="shared" si="159"/>
        <v>4804375.3886882644</v>
      </c>
      <c r="N118" s="92">
        <v>0</v>
      </c>
      <c r="O118" s="84">
        <f t="shared" si="160"/>
        <v>4804375.3886882644</v>
      </c>
      <c r="P118" s="84">
        <f t="shared" si="168"/>
        <v>-5014648.3344483599</v>
      </c>
      <c r="Q118" s="84"/>
      <c r="R118" s="101"/>
      <c r="S118" s="84">
        <f t="shared" si="161"/>
        <v>16475525.886027422</v>
      </c>
      <c r="T118" s="84">
        <f t="shared" si="162"/>
        <v>0</v>
      </c>
      <c r="U118" s="157">
        <f t="shared" si="163"/>
        <v>0</v>
      </c>
      <c r="V118" s="157">
        <f t="shared" si="164"/>
        <v>0</v>
      </c>
      <c r="W118" s="84"/>
      <c r="X118" s="84"/>
      <c r="Y118" s="84"/>
      <c r="Z118" s="84"/>
      <c r="AA118" s="84">
        <f t="shared" si="165"/>
        <v>38254314.616553605</v>
      </c>
      <c r="AB118" s="92">
        <v>0</v>
      </c>
      <c r="AC118" s="92">
        <f t="shared" si="166"/>
        <v>38254314.616553605</v>
      </c>
      <c r="AD118" s="92">
        <v>0</v>
      </c>
      <c r="AE118" s="84">
        <f t="shared" si="167"/>
        <v>38254314.616553605</v>
      </c>
      <c r="AF118" s="84">
        <f t="shared" si="169"/>
        <v>-8539122.4484209418</v>
      </c>
    </row>
    <row r="119" spans="1:32" x14ac:dyDescent="0.25">
      <c r="A119" s="66">
        <v>9</v>
      </c>
      <c r="B119" s="158">
        <v>40330</v>
      </c>
      <c r="C119" s="84">
        <v>9339227.6278569438</v>
      </c>
      <c r="D119" s="134">
        <f>SUM($C$114:C119)</f>
        <v>25814753.513884366</v>
      </c>
      <c r="E119" s="84"/>
      <c r="F119" s="84">
        <f t="shared" si="152"/>
        <v>20000000</v>
      </c>
      <c r="G119" s="84">
        <f t="shared" si="153"/>
        <v>5814753.5138843656</v>
      </c>
      <c r="H119" s="84">
        <f t="shared" si="154"/>
        <v>0</v>
      </c>
      <c r="I119" s="84">
        <f t="shared" si="155"/>
        <v>0</v>
      </c>
      <c r="J119" s="84">
        <f t="shared" si="156"/>
        <v>2907376.7569421828</v>
      </c>
      <c r="K119" s="84">
        <f t="shared" si="157"/>
        <v>0</v>
      </c>
      <c r="L119" s="84">
        <f t="shared" si="158"/>
        <v>0</v>
      </c>
      <c r="M119" s="92">
        <f t="shared" si="159"/>
        <v>7711752.1456304472</v>
      </c>
      <c r="N119" s="92">
        <v>0</v>
      </c>
      <c r="O119" s="84">
        <f t="shared" si="160"/>
        <v>7711752.1456304472</v>
      </c>
      <c r="P119" s="84">
        <f t="shared" si="168"/>
        <v>2907376.7569421828</v>
      </c>
      <c r="Q119" s="84"/>
      <c r="R119" s="101"/>
      <c r="S119" s="84">
        <f t="shared" si="161"/>
        <v>20000000</v>
      </c>
      <c r="T119" s="84">
        <f t="shared" si="162"/>
        <v>2907376.7569421828</v>
      </c>
      <c r="U119" s="157">
        <f t="shared" si="163"/>
        <v>0</v>
      </c>
      <c r="V119" s="157">
        <f t="shared" si="164"/>
        <v>0</v>
      </c>
      <c r="W119" s="84"/>
      <c r="X119" s="84"/>
      <c r="Y119" s="84"/>
      <c r="Z119" s="84"/>
      <c r="AA119" s="84">
        <f t="shared" si="165"/>
        <v>44686165.487468369</v>
      </c>
      <c r="AB119" s="92">
        <v>0</v>
      </c>
      <c r="AC119" s="92">
        <f t="shared" si="166"/>
        <v>44686165.487468369</v>
      </c>
      <c r="AD119" s="92">
        <v>0</v>
      </c>
      <c r="AE119" s="84">
        <f t="shared" si="167"/>
        <v>44686165.487468369</v>
      </c>
      <c r="AF119" s="84">
        <f t="shared" si="169"/>
        <v>6431850.8709147647</v>
      </c>
    </row>
    <row r="120" spans="1:32" x14ac:dyDescent="0.25">
      <c r="A120" s="66">
        <v>9</v>
      </c>
      <c r="B120" s="158">
        <v>40360</v>
      </c>
      <c r="C120" s="84">
        <v>-7773526.8634425737</v>
      </c>
      <c r="D120" s="134">
        <f>SUM($C$114:C120)</f>
        <v>18041226.650441792</v>
      </c>
      <c r="E120" s="84"/>
      <c r="F120" s="84">
        <f t="shared" si="152"/>
        <v>18041226.650441792</v>
      </c>
      <c r="G120" s="84">
        <f t="shared" si="153"/>
        <v>0</v>
      </c>
      <c r="H120" s="84">
        <f t="shared" si="154"/>
        <v>0</v>
      </c>
      <c r="I120" s="84">
        <f t="shared" si="155"/>
        <v>0</v>
      </c>
      <c r="J120" s="84">
        <f t="shared" si="156"/>
        <v>0</v>
      </c>
      <c r="K120" s="84">
        <f t="shared" si="157"/>
        <v>0</v>
      </c>
      <c r="L120" s="84">
        <f t="shared" si="158"/>
        <v>0</v>
      </c>
      <c r="M120" s="92">
        <f t="shared" si="159"/>
        <v>4804375.3886882644</v>
      </c>
      <c r="N120" s="92">
        <v>0</v>
      </c>
      <c r="O120" s="84">
        <f t="shared" si="160"/>
        <v>4804375.3886882644</v>
      </c>
      <c r="P120" s="84">
        <f t="shared" si="168"/>
        <v>-2907376.7569421828</v>
      </c>
      <c r="Q120" s="84"/>
      <c r="R120" s="101"/>
      <c r="S120" s="84">
        <f t="shared" si="161"/>
        <v>18041226.650441792</v>
      </c>
      <c r="T120" s="84">
        <f t="shared" si="162"/>
        <v>0</v>
      </c>
      <c r="U120" s="157">
        <f t="shared" si="163"/>
        <v>0</v>
      </c>
      <c r="V120" s="157">
        <f t="shared" si="164"/>
        <v>0</v>
      </c>
      <c r="W120" s="84"/>
      <c r="X120" s="84"/>
      <c r="Y120" s="84"/>
      <c r="Z120" s="84"/>
      <c r="AA120" s="84">
        <f t="shared" si="165"/>
        <v>39820015.380967975</v>
      </c>
      <c r="AB120" s="92">
        <v>0</v>
      </c>
      <c r="AC120" s="92">
        <f t="shared" si="166"/>
        <v>39820015.380967975</v>
      </c>
      <c r="AD120" s="92">
        <v>0</v>
      </c>
      <c r="AE120" s="84">
        <f t="shared" si="167"/>
        <v>39820015.380967975</v>
      </c>
      <c r="AF120" s="84">
        <f t="shared" si="169"/>
        <v>-4866150.1065003946</v>
      </c>
    </row>
    <row r="121" spans="1:32" x14ac:dyDescent="0.25">
      <c r="A121" s="66">
        <v>9</v>
      </c>
      <c r="B121" s="158">
        <v>40391</v>
      </c>
      <c r="C121" s="84">
        <v>-4247056.8503729794</v>
      </c>
      <c r="D121" s="134">
        <f>SUM($C$114:C121)</f>
        <v>13794169.800068812</v>
      </c>
      <c r="E121" s="84"/>
      <c r="F121" s="84">
        <f t="shared" si="152"/>
        <v>13794169.800068812</v>
      </c>
      <c r="G121" s="84">
        <f t="shared" si="153"/>
        <v>0</v>
      </c>
      <c r="H121" s="84">
        <f t="shared" si="154"/>
        <v>0</v>
      </c>
      <c r="I121" s="84">
        <f t="shared" si="155"/>
        <v>0</v>
      </c>
      <c r="J121" s="84">
        <f t="shared" si="156"/>
        <v>0</v>
      </c>
      <c r="K121" s="84">
        <f t="shared" si="157"/>
        <v>0</v>
      </c>
      <c r="L121" s="84">
        <f t="shared" si="158"/>
        <v>0</v>
      </c>
      <c r="M121" s="92">
        <f t="shared" si="159"/>
        <v>4804375.3886882644</v>
      </c>
      <c r="N121" s="92">
        <v>0</v>
      </c>
      <c r="O121" s="84">
        <f t="shared" si="160"/>
        <v>4804375.3886882644</v>
      </c>
      <c r="P121" s="84">
        <f t="shared" si="168"/>
        <v>0</v>
      </c>
      <c r="Q121" s="84"/>
      <c r="R121" s="101"/>
      <c r="S121" s="84">
        <f t="shared" si="161"/>
        <v>13794169.800068812</v>
      </c>
      <c r="T121" s="84">
        <f t="shared" si="162"/>
        <v>0</v>
      </c>
      <c r="U121" s="157">
        <f t="shared" si="163"/>
        <v>0</v>
      </c>
      <c r="V121" s="157">
        <f t="shared" si="164"/>
        <v>0</v>
      </c>
      <c r="W121" s="84"/>
      <c r="X121" s="84"/>
      <c r="Y121" s="84"/>
      <c r="Z121" s="84"/>
      <c r="AA121" s="84">
        <f t="shared" si="165"/>
        <v>35572958.530594997</v>
      </c>
      <c r="AB121" s="92">
        <v>0</v>
      </c>
      <c r="AC121" s="92">
        <f t="shared" si="166"/>
        <v>35572958.530594997</v>
      </c>
      <c r="AD121" s="92">
        <v>0</v>
      </c>
      <c r="AE121" s="84">
        <f t="shared" si="167"/>
        <v>35572958.530594997</v>
      </c>
      <c r="AF121" s="84">
        <f t="shared" si="169"/>
        <v>-4247056.8503729776</v>
      </c>
    </row>
    <row r="122" spans="1:32" x14ac:dyDescent="0.25">
      <c r="A122" s="66">
        <v>9</v>
      </c>
      <c r="B122" s="158">
        <v>40422</v>
      </c>
      <c r="C122" s="84">
        <v>8087357.7169645177</v>
      </c>
      <c r="D122" s="134">
        <f>SUM($C$114:C122)</f>
        <v>21881527.517033331</v>
      </c>
      <c r="E122" s="84"/>
      <c r="F122" s="84">
        <f t="shared" si="152"/>
        <v>20000000</v>
      </c>
      <c r="G122" s="84">
        <f t="shared" si="153"/>
        <v>1881527.5170333311</v>
      </c>
      <c r="H122" s="84">
        <f t="shared" si="154"/>
        <v>0</v>
      </c>
      <c r="I122" s="84">
        <f t="shared" si="155"/>
        <v>0</v>
      </c>
      <c r="J122" s="84">
        <f t="shared" si="156"/>
        <v>940763.75851666555</v>
      </c>
      <c r="K122" s="84">
        <f t="shared" si="157"/>
        <v>0</v>
      </c>
      <c r="L122" s="84">
        <f t="shared" si="158"/>
        <v>0</v>
      </c>
      <c r="M122" s="92">
        <f t="shared" si="159"/>
        <v>5745139.14720493</v>
      </c>
      <c r="N122" s="92">
        <v>0</v>
      </c>
      <c r="O122" s="84">
        <f t="shared" si="160"/>
        <v>5745139.14720493</v>
      </c>
      <c r="P122" s="84">
        <f t="shared" si="168"/>
        <v>940763.75851666555</v>
      </c>
      <c r="Q122" s="84"/>
      <c r="R122" s="101"/>
      <c r="S122" s="84">
        <f t="shared" si="161"/>
        <v>20000000</v>
      </c>
      <c r="T122" s="84">
        <f t="shared" si="162"/>
        <v>940763.75851666555</v>
      </c>
      <c r="U122" s="157">
        <f t="shared" si="163"/>
        <v>0</v>
      </c>
      <c r="V122" s="157">
        <f t="shared" si="164"/>
        <v>0</v>
      </c>
      <c r="W122" s="84"/>
      <c r="X122" s="84"/>
      <c r="Y122" s="84"/>
      <c r="Z122" s="84"/>
      <c r="AA122" s="84">
        <f t="shared" si="165"/>
        <v>42719552.489042848</v>
      </c>
      <c r="AB122" s="92">
        <v>0</v>
      </c>
      <c r="AC122" s="92">
        <f t="shared" si="166"/>
        <v>42719552.489042848</v>
      </c>
      <c r="AD122" s="92">
        <v>0</v>
      </c>
      <c r="AE122" s="84">
        <f t="shared" si="167"/>
        <v>42719552.489042848</v>
      </c>
      <c r="AF122" s="84">
        <f t="shared" si="169"/>
        <v>7146593.9584478512</v>
      </c>
    </row>
    <row r="123" spans="1:32" ht="14.25" customHeight="1" x14ac:dyDescent="0.25">
      <c r="A123" s="66">
        <v>9</v>
      </c>
      <c r="B123" s="158">
        <v>40452</v>
      </c>
      <c r="C123" s="84">
        <v>4942260.6620297767</v>
      </c>
      <c r="D123" s="134">
        <f>SUM($C$114:C123)</f>
        <v>26823788.179063108</v>
      </c>
      <c r="E123" s="84"/>
      <c r="F123" s="84">
        <f t="shared" si="152"/>
        <v>20000000</v>
      </c>
      <c r="G123" s="84">
        <f t="shared" si="153"/>
        <v>6823788.1790631078</v>
      </c>
      <c r="H123" s="84">
        <f t="shared" si="154"/>
        <v>0</v>
      </c>
      <c r="I123" s="84">
        <f t="shared" si="155"/>
        <v>0</v>
      </c>
      <c r="J123" s="84">
        <f t="shared" si="156"/>
        <v>3411894.0895315539</v>
      </c>
      <c r="K123" s="84">
        <f t="shared" si="157"/>
        <v>0</v>
      </c>
      <c r="L123" s="84">
        <f t="shared" si="158"/>
        <v>0</v>
      </c>
      <c r="M123" s="92">
        <f t="shared" si="159"/>
        <v>8216269.4782198183</v>
      </c>
      <c r="N123" s="92">
        <v>0</v>
      </c>
      <c r="O123" s="84">
        <f t="shared" si="160"/>
        <v>8216269.4782198183</v>
      </c>
      <c r="P123" s="84">
        <f t="shared" si="168"/>
        <v>2471130.3310148884</v>
      </c>
      <c r="Q123" s="84"/>
      <c r="R123" s="101"/>
      <c r="S123" s="84">
        <f t="shared" si="161"/>
        <v>20000000</v>
      </c>
      <c r="T123" s="84">
        <f t="shared" si="162"/>
        <v>3411894.0895315539</v>
      </c>
      <c r="U123" s="157">
        <f t="shared" si="163"/>
        <v>0</v>
      </c>
      <c r="V123" s="157">
        <f t="shared" si="164"/>
        <v>0</v>
      </c>
      <c r="W123" s="84"/>
      <c r="X123" s="84"/>
      <c r="Y123" s="84"/>
      <c r="Z123" s="84"/>
      <c r="AA123" s="84">
        <f t="shared" si="165"/>
        <v>45190682.820057742</v>
      </c>
      <c r="AB123" s="92">
        <v>0</v>
      </c>
      <c r="AC123" s="92">
        <f t="shared" si="166"/>
        <v>45190682.820057742</v>
      </c>
      <c r="AD123" s="92">
        <v>0</v>
      </c>
      <c r="AE123" s="84">
        <f t="shared" si="167"/>
        <v>45190682.820057742</v>
      </c>
      <c r="AF123" s="84">
        <f t="shared" si="169"/>
        <v>2471130.3310148939</v>
      </c>
    </row>
    <row r="124" spans="1:32" x14ac:dyDescent="0.25">
      <c r="A124" s="66">
        <v>9</v>
      </c>
      <c r="B124" s="158">
        <v>40483</v>
      </c>
      <c r="C124" s="84">
        <v>519173.19141825574</v>
      </c>
      <c r="D124" s="134">
        <f>SUM($C$114:C124)</f>
        <v>27342961.370481364</v>
      </c>
      <c r="E124" s="84"/>
      <c r="F124" s="84">
        <f t="shared" si="152"/>
        <v>20000000</v>
      </c>
      <c r="G124" s="84">
        <f t="shared" si="153"/>
        <v>7342961.3704813644</v>
      </c>
      <c r="H124" s="84">
        <f t="shared" si="154"/>
        <v>0</v>
      </c>
      <c r="I124" s="84">
        <f t="shared" si="155"/>
        <v>0</v>
      </c>
      <c r="J124" s="84">
        <f t="shared" si="156"/>
        <v>3671480.6852406822</v>
      </c>
      <c r="K124" s="84">
        <f t="shared" si="157"/>
        <v>0</v>
      </c>
      <c r="L124" s="84">
        <f t="shared" si="158"/>
        <v>0</v>
      </c>
      <c r="M124" s="92">
        <f t="shared" si="159"/>
        <v>8475856.0739289466</v>
      </c>
      <c r="N124" s="92">
        <v>0</v>
      </c>
      <c r="O124" s="84">
        <f t="shared" si="160"/>
        <v>8475856.0739289466</v>
      </c>
      <c r="P124" s="84">
        <f t="shared" si="168"/>
        <v>259586.59570912831</v>
      </c>
      <c r="Q124" s="84"/>
      <c r="R124" s="101"/>
      <c r="S124" s="84">
        <f t="shared" si="161"/>
        <v>20000000</v>
      </c>
      <c r="T124" s="84">
        <f t="shared" si="162"/>
        <v>3671480.6852406822</v>
      </c>
      <c r="U124" s="157">
        <f t="shared" si="163"/>
        <v>0</v>
      </c>
      <c r="V124" s="157">
        <f t="shared" si="164"/>
        <v>0</v>
      </c>
      <c r="W124" s="84"/>
      <c r="X124" s="84"/>
      <c r="Y124" s="84"/>
      <c r="Z124" s="84"/>
      <c r="AA124" s="84">
        <f t="shared" si="165"/>
        <v>45450269.415766865</v>
      </c>
      <c r="AB124" s="92">
        <v>0</v>
      </c>
      <c r="AC124" s="92">
        <f t="shared" si="166"/>
        <v>45450269.415766865</v>
      </c>
      <c r="AD124" s="92">
        <v>0</v>
      </c>
      <c r="AE124" s="84">
        <f t="shared" si="167"/>
        <v>45450269.415766865</v>
      </c>
      <c r="AF124" s="84">
        <f t="shared" si="169"/>
        <v>259586.59570912272</v>
      </c>
    </row>
    <row r="125" spans="1:32" x14ac:dyDescent="0.25">
      <c r="A125" s="66">
        <v>9</v>
      </c>
      <c r="B125" s="158">
        <v>40513</v>
      </c>
      <c r="C125" s="84">
        <v>8820566.8622858953</v>
      </c>
      <c r="D125" s="134">
        <f>SUM($C$114:C125)</f>
        <v>36163528.232767262</v>
      </c>
      <c r="E125" s="84"/>
      <c r="F125" s="84">
        <f t="shared" si="152"/>
        <v>20000000</v>
      </c>
      <c r="G125" s="84">
        <f t="shared" si="153"/>
        <v>16163528.232767262</v>
      </c>
      <c r="H125" s="84">
        <f t="shared" si="154"/>
        <v>0</v>
      </c>
      <c r="I125" s="84">
        <f t="shared" si="155"/>
        <v>0</v>
      </c>
      <c r="J125" s="84">
        <f t="shared" si="156"/>
        <v>8081764.1163836308</v>
      </c>
      <c r="K125" s="84">
        <f t="shared" si="157"/>
        <v>0</v>
      </c>
      <c r="L125" s="84">
        <f t="shared" si="158"/>
        <v>0</v>
      </c>
      <c r="M125" s="92">
        <f t="shared" si="159"/>
        <v>12886139.505071895</v>
      </c>
      <c r="N125" s="92">
        <v>0</v>
      </c>
      <c r="O125" s="84">
        <f t="shared" si="160"/>
        <v>12886139.505071895</v>
      </c>
      <c r="P125" s="84">
        <f t="shared" si="168"/>
        <v>4410283.4311429486</v>
      </c>
      <c r="Q125" s="84"/>
      <c r="R125" s="101"/>
      <c r="S125" s="84">
        <f t="shared" si="161"/>
        <v>20000000</v>
      </c>
      <c r="T125" s="84">
        <f t="shared" si="162"/>
        <v>8081764.1163836308</v>
      </c>
      <c r="U125" s="157">
        <f t="shared" si="163"/>
        <v>0</v>
      </c>
      <c r="V125" s="157">
        <f t="shared" si="164"/>
        <v>0</v>
      </c>
      <c r="W125" s="84"/>
      <c r="X125" s="84"/>
      <c r="Y125" s="84"/>
      <c r="Z125" s="84"/>
      <c r="AA125" s="84">
        <f t="shared" si="165"/>
        <v>49860552.846909821</v>
      </c>
      <c r="AB125" s="92">
        <v>0</v>
      </c>
      <c r="AC125" s="92">
        <f t="shared" si="166"/>
        <v>49860552.846909821</v>
      </c>
      <c r="AD125" s="92">
        <v>0</v>
      </c>
      <c r="AE125" s="84">
        <f t="shared" si="167"/>
        <v>49860552.846909821</v>
      </c>
      <c r="AF125" s="84">
        <f t="shared" si="169"/>
        <v>4410283.431142956</v>
      </c>
    </row>
    <row r="126" spans="1:32" s="94" customFormat="1" x14ac:dyDescent="0.25">
      <c r="A126" s="166"/>
      <c r="B126" s="165"/>
      <c r="C126" s="92"/>
      <c r="D126" s="164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146"/>
      <c r="S126" s="92"/>
      <c r="T126" s="92"/>
      <c r="U126" s="163"/>
      <c r="V126" s="163"/>
      <c r="W126" s="92"/>
      <c r="X126" s="92"/>
      <c r="Y126" s="92"/>
      <c r="Z126" s="92"/>
      <c r="AA126" s="92"/>
      <c r="AB126" s="92"/>
      <c r="AC126" s="92"/>
      <c r="AD126" s="92"/>
      <c r="AE126" s="84"/>
      <c r="AF126" s="84"/>
    </row>
    <row r="127" spans="1:32" x14ac:dyDescent="0.25">
      <c r="A127" s="66">
        <v>10</v>
      </c>
      <c r="B127" s="158">
        <v>40544</v>
      </c>
      <c r="C127" s="84">
        <v>-3646875.6518824827</v>
      </c>
      <c r="D127" s="134">
        <f>C127</f>
        <v>-3646875.6518824827</v>
      </c>
      <c r="E127" s="84"/>
      <c r="F127" s="84">
        <f t="shared" ref="F127:F138" si="170">IF(ABS(D127)&gt;+$F$10,IF(D127&lt;0,-$F$10,+$F$10),+D127)</f>
        <v>-3646875.6518824827</v>
      </c>
      <c r="G127" s="84">
        <f t="shared" ref="G127:G138" si="171">IF(ABS(D127)-ABS(F127)&gt;=$G$10,IF(D127&lt;=0,-$G$10,+$G$10),+D127-F127)</f>
        <v>0</v>
      </c>
      <c r="H127" s="84">
        <f t="shared" ref="H127:H138" si="172">IF(ABS(+D127)-ABS(SUM(F127:G127))&gt;=$H$10,IF(D127&lt;=0,-$H$10,+$H$10),+D127-SUM(F127:G127))</f>
        <v>0</v>
      </c>
      <c r="I127" s="84">
        <f t="shared" ref="I127:I138" si="173">IF(ABS(+D127)-ABS(SUM(F127:H127))&gt;=$I$10,IF(D127&lt;=0,$D127-SUM($F127:$H127),$D127-SUM($F127:$H127)),D127-SUM(F127:H127))</f>
        <v>0</v>
      </c>
      <c r="J127" s="84">
        <f t="shared" ref="J127:J138" si="174">+G127*$C$278</f>
        <v>0</v>
      </c>
      <c r="K127" s="84">
        <f t="shared" ref="K127:K138" si="175">+H127*$C$279</f>
        <v>0</v>
      </c>
      <c r="L127" s="84">
        <f t="shared" ref="L127:L138" si="176">+I127*$C$280</f>
        <v>0</v>
      </c>
      <c r="M127" s="92">
        <f t="shared" ref="M127:M138" si="177">SUM(J127:L127)+$M$125</f>
        <v>12886139.505071895</v>
      </c>
      <c r="N127" s="92">
        <v>0</v>
      </c>
      <c r="O127" s="84">
        <f t="shared" ref="O127:O138" si="178">M127+N127</f>
        <v>12886139.505071895</v>
      </c>
      <c r="P127" s="84">
        <f>O127-O125</f>
        <v>0</v>
      </c>
      <c r="Q127" s="84"/>
      <c r="R127" s="101"/>
      <c r="S127" s="84">
        <f t="shared" ref="S127:S138" si="179">+F127</f>
        <v>-3646875.6518824827</v>
      </c>
      <c r="T127" s="84">
        <f t="shared" ref="T127:T138" si="180">+G127-J127</f>
        <v>0</v>
      </c>
      <c r="U127" s="157">
        <f t="shared" ref="U127:U138" si="181">+H127-K127</f>
        <v>0</v>
      </c>
      <c r="V127" s="157">
        <f t="shared" ref="V127:V138" si="182">+I127-L127</f>
        <v>0</v>
      </c>
      <c r="W127" s="84"/>
      <c r="X127" s="84"/>
      <c r="Y127" s="84"/>
      <c r="Z127" s="84"/>
      <c r="AA127" s="84">
        <f t="shared" ref="AA127:AA138" si="183">SUM(S127:V127)+$AA$125</f>
        <v>46213677.195027336</v>
      </c>
      <c r="AB127" s="92">
        <v>0</v>
      </c>
      <c r="AC127" s="92">
        <f t="shared" ref="AC127:AC138" si="184">AA127-AB127</f>
        <v>46213677.195027336</v>
      </c>
      <c r="AD127" s="92">
        <v>0</v>
      </c>
      <c r="AE127" s="84">
        <f t="shared" ref="AE127:AE138" si="185">AA127-AB127+AD127</f>
        <v>46213677.195027336</v>
      </c>
      <c r="AF127" s="84">
        <f>AE127-AE125</f>
        <v>-3646875.6518824846</v>
      </c>
    </row>
    <row r="128" spans="1:32" x14ac:dyDescent="0.25">
      <c r="A128" s="66">
        <v>10</v>
      </c>
      <c r="B128" s="158">
        <v>40575</v>
      </c>
      <c r="C128" s="84">
        <v>3127854.0477792346</v>
      </c>
      <c r="D128" s="134">
        <f>SUM($C$127:C128)</f>
        <v>-519021.6041032481</v>
      </c>
      <c r="E128" s="84"/>
      <c r="F128" s="84">
        <f t="shared" si="170"/>
        <v>-519021.6041032481</v>
      </c>
      <c r="G128" s="84">
        <f t="shared" si="171"/>
        <v>0</v>
      </c>
      <c r="H128" s="84">
        <f t="shared" si="172"/>
        <v>0</v>
      </c>
      <c r="I128" s="84">
        <f t="shared" si="173"/>
        <v>0</v>
      </c>
      <c r="J128" s="84">
        <f t="shared" si="174"/>
        <v>0</v>
      </c>
      <c r="K128" s="84">
        <f t="shared" si="175"/>
        <v>0</v>
      </c>
      <c r="L128" s="84">
        <f t="shared" si="176"/>
        <v>0</v>
      </c>
      <c r="M128" s="92">
        <f t="shared" si="177"/>
        <v>12886139.505071895</v>
      </c>
      <c r="N128" s="92">
        <v>0</v>
      </c>
      <c r="O128" s="84">
        <f t="shared" si="178"/>
        <v>12886139.505071895</v>
      </c>
      <c r="P128" s="84">
        <f t="shared" ref="P128:P138" si="186">O128-O127</f>
        <v>0</v>
      </c>
      <c r="Q128" s="84"/>
      <c r="R128" s="101"/>
      <c r="S128" s="84">
        <f t="shared" si="179"/>
        <v>-519021.6041032481</v>
      </c>
      <c r="T128" s="84">
        <f t="shared" si="180"/>
        <v>0</v>
      </c>
      <c r="U128" s="157">
        <f t="shared" si="181"/>
        <v>0</v>
      </c>
      <c r="V128" s="157">
        <f t="shared" si="182"/>
        <v>0</v>
      </c>
      <c r="W128" s="84"/>
      <c r="X128" s="84"/>
      <c r="Y128" s="84"/>
      <c r="Z128" s="84"/>
      <c r="AA128" s="84">
        <f t="shared" si="183"/>
        <v>49341531.242806576</v>
      </c>
      <c r="AB128" s="92">
        <v>0</v>
      </c>
      <c r="AC128" s="92">
        <f t="shared" si="184"/>
        <v>49341531.242806576</v>
      </c>
      <c r="AD128" s="92">
        <v>0</v>
      </c>
      <c r="AE128" s="84">
        <f t="shared" si="185"/>
        <v>49341531.242806576</v>
      </c>
      <c r="AF128" s="84">
        <f t="shared" ref="AF128:AF138" si="187">AE128-AE127</f>
        <v>3127854.0477792397</v>
      </c>
    </row>
    <row r="129" spans="1:32" x14ac:dyDescent="0.25">
      <c r="A129" s="66">
        <v>10</v>
      </c>
      <c r="B129" s="158">
        <v>40603</v>
      </c>
      <c r="C129" s="84">
        <v>-4262363.1151829083</v>
      </c>
      <c r="D129" s="134">
        <f>SUM($C$127:C129)</f>
        <v>-4781384.7192861568</v>
      </c>
      <c r="E129" s="84"/>
      <c r="F129" s="84">
        <f t="shared" si="170"/>
        <v>-4781384.7192861568</v>
      </c>
      <c r="G129" s="84">
        <f t="shared" si="171"/>
        <v>0</v>
      </c>
      <c r="H129" s="84">
        <f t="shared" si="172"/>
        <v>0</v>
      </c>
      <c r="I129" s="84">
        <f t="shared" si="173"/>
        <v>0</v>
      </c>
      <c r="J129" s="84">
        <f t="shared" si="174"/>
        <v>0</v>
      </c>
      <c r="K129" s="84">
        <f t="shared" si="175"/>
        <v>0</v>
      </c>
      <c r="L129" s="84">
        <f t="shared" si="176"/>
        <v>0</v>
      </c>
      <c r="M129" s="92">
        <f t="shared" si="177"/>
        <v>12886139.505071895</v>
      </c>
      <c r="N129" s="92">
        <v>0</v>
      </c>
      <c r="O129" s="84">
        <f t="shared" si="178"/>
        <v>12886139.505071895</v>
      </c>
      <c r="P129" s="84">
        <f t="shared" si="186"/>
        <v>0</v>
      </c>
      <c r="Q129" s="84"/>
      <c r="R129" s="101"/>
      <c r="S129" s="84">
        <f t="shared" si="179"/>
        <v>-4781384.7192861568</v>
      </c>
      <c r="T129" s="84">
        <f t="shared" si="180"/>
        <v>0</v>
      </c>
      <c r="U129" s="157">
        <f t="shared" si="181"/>
        <v>0</v>
      </c>
      <c r="V129" s="157">
        <f t="shared" si="182"/>
        <v>0</v>
      </c>
      <c r="W129" s="84"/>
      <c r="X129" s="84"/>
      <c r="Y129" s="84"/>
      <c r="Z129" s="84"/>
      <c r="AA129" s="84">
        <f t="shared" si="183"/>
        <v>45079168.127623662</v>
      </c>
      <c r="AB129" s="92">
        <v>0</v>
      </c>
      <c r="AC129" s="92">
        <f t="shared" si="184"/>
        <v>45079168.127623662</v>
      </c>
      <c r="AD129" s="92">
        <v>0</v>
      </c>
      <c r="AE129" s="84">
        <f t="shared" si="185"/>
        <v>45079168.127623662</v>
      </c>
      <c r="AF129" s="84">
        <f t="shared" si="187"/>
        <v>-4262363.1151829138</v>
      </c>
    </row>
    <row r="130" spans="1:32" x14ac:dyDescent="0.25">
      <c r="A130" s="66">
        <v>10</v>
      </c>
      <c r="B130" s="158">
        <v>40634</v>
      </c>
      <c r="C130" s="84">
        <v>-11327560.84356386</v>
      </c>
      <c r="D130" s="134">
        <f>SUM($C$127:C130)</f>
        <v>-16108945.562850017</v>
      </c>
      <c r="E130" s="84"/>
      <c r="F130" s="84">
        <f t="shared" si="170"/>
        <v>-16108945.562850017</v>
      </c>
      <c r="G130" s="84">
        <f t="shared" si="171"/>
        <v>0</v>
      </c>
      <c r="H130" s="84">
        <f t="shared" si="172"/>
        <v>0</v>
      </c>
      <c r="I130" s="84">
        <f t="shared" si="173"/>
        <v>0</v>
      </c>
      <c r="J130" s="84">
        <f t="shared" si="174"/>
        <v>0</v>
      </c>
      <c r="K130" s="84">
        <f t="shared" si="175"/>
        <v>0</v>
      </c>
      <c r="L130" s="84">
        <f t="shared" si="176"/>
        <v>0</v>
      </c>
      <c r="M130" s="92">
        <f t="shared" si="177"/>
        <v>12886139.505071895</v>
      </c>
      <c r="N130" s="92">
        <v>0</v>
      </c>
      <c r="O130" s="84">
        <f t="shared" si="178"/>
        <v>12886139.505071895</v>
      </c>
      <c r="P130" s="84">
        <f t="shared" si="186"/>
        <v>0</v>
      </c>
      <c r="Q130" s="84"/>
      <c r="R130" s="101"/>
      <c r="S130" s="84">
        <f t="shared" si="179"/>
        <v>-16108945.562850017</v>
      </c>
      <c r="T130" s="84">
        <f t="shared" si="180"/>
        <v>0</v>
      </c>
      <c r="U130" s="157">
        <f t="shared" si="181"/>
        <v>0</v>
      </c>
      <c r="V130" s="157">
        <f t="shared" si="182"/>
        <v>0</v>
      </c>
      <c r="W130" s="84"/>
      <c r="X130" s="84"/>
      <c r="Y130" s="84"/>
      <c r="Z130" s="84"/>
      <c r="AA130" s="84">
        <f t="shared" si="183"/>
        <v>33751607.284059808</v>
      </c>
      <c r="AB130" s="92">
        <v>0</v>
      </c>
      <c r="AC130" s="92">
        <f t="shared" si="184"/>
        <v>33751607.284059808</v>
      </c>
      <c r="AD130" s="92">
        <v>0</v>
      </c>
      <c r="AE130" s="84">
        <f t="shared" si="185"/>
        <v>33751607.284059808</v>
      </c>
      <c r="AF130" s="84">
        <f t="shared" si="187"/>
        <v>-11327560.843563855</v>
      </c>
    </row>
    <row r="131" spans="1:32" x14ac:dyDescent="0.25">
      <c r="A131" s="66">
        <v>10</v>
      </c>
      <c r="B131" s="158">
        <v>40664</v>
      </c>
      <c r="C131" s="84">
        <v>-16003697.440462315</v>
      </c>
      <c r="D131" s="134">
        <f>SUM($C$127:C131)</f>
        <v>-32112643.003312334</v>
      </c>
      <c r="E131" s="84"/>
      <c r="F131" s="84">
        <f t="shared" si="170"/>
        <v>-20000000</v>
      </c>
      <c r="G131" s="84">
        <f t="shared" si="171"/>
        <v>-12112643.003312334</v>
      </c>
      <c r="H131" s="84">
        <f t="shared" si="172"/>
        <v>0</v>
      </c>
      <c r="I131" s="84">
        <f t="shared" si="173"/>
        <v>0</v>
      </c>
      <c r="J131" s="84">
        <f t="shared" si="174"/>
        <v>-6056321.5016561672</v>
      </c>
      <c r="K131" s="84">
        <f t="shared" si="175"/>
        <v>0</v>
      </c>
      <c r="L131" s="84">
        <f t="shared" si="176"/>
        <v>0</v>
      </c>
      <c r="M131" s="92">
        <f t="shared" si="177"/>
        <v>6829818.003415728</v>
      </c>
      <c r="N131" s="92">
        <v>0</v>
      </c>
      <c r="O131" s="84">
        <f t="shared" si="178"/>
        <v>6829818.003415728</v>
      </c>
      <c r="P131" s="84">
        <f t="shared" si="186"/>
        <v>-6056321.5016561672</v>
      </c>
      <c r="Q131" s="84"/>
      <c r="R131" s="101"/>
      <c r="S131" s="84">
        <f t="shared" si="179"/>
        <v>-20000000</v>
      </c>
      <c r="T131" s="84">
        <f t="shared" si="180"/>
        <v>-6056321.5016561672</v>
      </c>
      <c r="U131" s="157">
        <f t="shared" si="181"/>
        <v>0</v>
      </c>
      <c r="V131" s="157">
        <f t="shared" si="182"/>
        <v>0</v>
      </c>
      <c r="W131" s="84"/>
      <c r="X131" s="84"/>
      <c r="Y131" s="84"/>
      <c r="Z131" s="84"/>
      <c r="AA131" s="84">
        <f t="shared" si="183"/>
        <v>23804231.345253654</v>
      </c>
      <c r="AB131" s="92">
        <v>0</v>
      </c>
      <c r="AC131" s="92">
        <f t="shared" si="184"/>
        <v>23804231.345253654</v>
      </c>
      <c r="AD131" s="92">
        <v>0</v>
      </c>
      <c r="AE131" s="84">
        <f t="shared" si="185"/>
        <v>23804231.345253654</v>
      </c>
      <c r="AF131" s="84">
        <f t="shared" si="187"/>
        <v>-9947375.9388061538</v>
      </c>
    </row>
    <row r="132" spans="1:32" x14ac:dyDescent="0.25">
      <c r="A132" s="66">
        <v>10</v>
      </c>
      <c r="B132" s="158">
        <v>40695</v>
      </c>
      <c r="C132" s="84">
        <v>3379066.4482540702</v>
      </c>
      <c r="D132" s="134">
        <f>SUM($C$127:C132)</f>
        <v>-28733576.555058263</v>
      </c>
      <c r="E132" s="84"/>
      <c r="F132" s="84">
        <f t="shared" si="170"/>
        <v>-20000000</v>
      </c>
      <c r="G132" s="84">
        <f t="shared" si="171"/>
        <v>-8733576.5550582632</v>
      </c>
      <c r="H132" s="84">
        <f t="shared" si="172"/>
        <v>0</v>
      </c>
      <c r="I132" s="84">
        <f t="shared" si="173"/>
        <v>0</v>
      </c>
      <c r="J132" s="84">
        <f t="shared" si="174"/>
        <v>-4366788.2775291316</v>
      </c>
      <c r="K132" s="84">
        <f t="shared" si="175"/>
        <v>0</v>
      </c>
      <c r="L132" s="84">
        <f t="shared" si="176"/>
        <v>0</v>
      </c>
      <c r="M132" s="92">
        <f t="shared" si="177"/>
        <v>8519351.2275427636</v>
      </c>
      <c r="N132" s="92">
        <v>0</v>
      </c>
      <c r="O132" s="84">
        <f t="shared" si="178"/>
        <v>8519351.2275427636</v>
      </c>
      <c r="P132" s="84">
        <f t="shared" si="186"/>
        <v>1689533.2241270356</v>
      </c>
      <c r="Q132" s="84"/>
      <c r="R132" s="101"/>
      <c r="S132" s="84">
        <f t="shared" si="179"/>
        <v>-20000000</v>
      </c>
      <c r="T132" s="84">
        <f t="shared" si="180"/>
        <v>-4366788.2775291316</v>
      </c>
      <c r="U132" s="157">
        <f t="shared" si="181"/>
        <v>0</v>
      </c>
      <c r="V132" s="157">
        <f t="shared" si="182"/>
        <v>0</v>
      </c>
      <c r="W132" s="84"/>
      <c r="X132" s="84"/>
      <c r="Y132" s="84"/>
      <c r="Z132" s="84"/>
      <c r="AA132" s="84">
        <f t="shared" si="183"/>
        <v>25493764.569380689</v>
      </c>
      <c r="AB132" s="92">
        <v>0</v>
      </c>
      <c r="AC132" s="92">
        <f t="shared" si="184"/>
        <v>25493764.569380689</v>
      </c>
      <c r="AD132" s="92">
        <v>0</v>
      </c>
      <c r="AE132" s="84">
        <f t="shared" si="185"/>
        <v>25493764.569380689</v>
      </c>
      <c r="AF132" s="84">
        <f t="shared" si="187"/>
        <v>1689533.2241270356</v>
      </c>
    </row>
    <row r="133" spans="1:32" x14ac:dyDescent="0.25">
      <c r="A133" s="66">
        <v>10</v>
      </c>
      <c r="B133" s="158">
        <v>40725</v>
      </c>
      <c r="C133" s="84">
        <v>-9934075.0795786176</v>
      </c>
      <c r="D133" s="134">
        <f>SUM($C$127:C133)</f>
        <v>-38667651.634636879</v>
      </c>
      <c r="E133" s="84"/>
      <c r="F133" s="84">
        <f t="shared" si="170"/>
        <v>-20000000</v>
      </c>
      <c r="G133" s="84">
        <f t="shared" si="171"/>
        <v>-18667651.634636879</v>
      </c>
      <c r="H133" s="84">
        <f t="shared" si="172"/>
        <v>0</v>
      </c>
      <c r="I133" s="84">
        <f t="shared" si="173"/>
        <v>0</v>
      </c>
      <c r="J133" s="84">
        <f t="shared" si="174"/>
        <v>-9333825.8173184395</v>
      </c>
      <c r="K133" s="84">
        <f t="shared" si="175"/>
        <v>0</v>
      </c>
      <c r="L133" s="84">
        <f t="shared" si="176"/>
        <v>0</v>
      </c>
      <c r="M133" s="92">
        <f t="shared" si="177"/>
        <v>3552313.6877534557</v>
      </c>
      <c r="N133" s="92">
        <v>0</v>
      </c>
      <c r="O133" s="84">
        <f t="shared" si="178"/>
        <v>3552313.6877534557</v>
      </c>
      <c r="P133" s="84">
        <f t="shared" si="186"/>
        <v>-4967037.5397893079</v>
      </c>
      <c r="Q133" s="84"/>
      <c r="R133" s="101"/>
      <c r="S133" s="84">
        <f t="shared" si="179"/>
        <v>-20000000</v>
      </c>
      <c r="T133" s="84">
        <f t="shared" si="180"/>
        <v>-9333825.8173184395</v>
      </c>
      <c r="U133" s="157">
        <f t="shared" si="181"/>
        <v>0</v>
      </c>
      <c r="V133" s="157">
        <f t="shared" si="182"/>
        <v>0</v>
      </c>
      <c r="W133" s="84"/>
      <c r="X133" s="84"/>
      <c r="Y133" s="84"/>
      <c r="Z133" s="84"/>
      <c r="AA133" s="84">
        <f t="shared" si="183"/>
        <v>20526727.029591382</v>
      </c>
      <c r="AB133" s="92">
        <v>0</v>
      </c>
      <c r="AC133" s="92">
        <f t="shared" si="184"/>
        <v>20526727.029591382</v>
      </c>
      <c r="AD133" s="92">
        <v>0</v>
      </c>
      <c r="AE133" s="84">
        <f t="shared" si="185"/>
        <v>20526727.029591382</v>
      </c>
      <c r="AF133" s="84">
        <f t="shared" si="187"/>
        <v>-4967037.5397893079</v>
      </c>
    </row>
    <row r="134" spans="1:32" x14ac:dyDescent="0.25">
      <c r="A134" s="66">
        <v>10</v>
      </c>
      <c r="B134" s="158">
        <v>40756</v>
      </c>
      <c r="C134" s="84">
        <v>-7724488.0817047693</v>
      </c>
      <c r="D134" s="134">
        <f>SUM($C$127:C134)</f>
        <v>-46392139.716341645</v>
      </c>
      <c r="E134" s="84"/>
      <c r="F134" s="84">
        <f t="shared" si="170"/>
        <v>-20000000</v>
      </c>
      <c r="G134" s="84">
        <f t="shared" si="171"/>
        <v>-20000000</v>
      </c>
      <c r="H134" s="84">
        <f t="shared" si="172"/>
        <v>-6392139.7163416445</v>
      </c>
      <c r="I134" s="84">
        <f t="shared" si="173"/>
        <v>0</v>
      </c>
      <c r="J134" s="84">
        <f t="shared" si="174"/>
        <v>-10000000</v>
      </c>
      <c r="K134" s="84">
        <f t="shared" si="175"/>
        <v>-5752925.7447074801</v>
      </c>
      <c r="L134" s="84">
        <f t="shared" si="176"/>
        <v>0</v>
      </c>
      <c r="M134" s="92">
        <f t="shared" si="177"/>
        <v>-2866786.2396355849</v>
      </c>
      <c r="N134" s="92">
        <v>0</v>
      </c>
      <c r="O134" s="84">
        <f t="shared" si="178"/>
        <v>-2866786.2396355849</v>
      </c>
      <c r="P134" s="84">
        <f t="shared" si="186"/>
        <v>-6419099.9273890406</v>
      </c>
      <c r="Q134" s="84"/>
      <c r="R134" s="101"/>
      <c r="S134" s="84">
        <f t="shared" si="179"/>
        <v>-20000000</v>
      </c>
      <c r="T134" s="84">
        <f t="shared" si="180"/>
        <v>-10000000</v>
      </c>
      <c r="U134" s="157">
        <f t="shared" si="181"/>
        <v>-639213.97163416445</v>
      </c>
      <c r="V134" s="157">
        <f t="shared" si="182"/>
        <v>0</v>
      </c>
      <c r="W134" s="84"/>
      <c r="X134" s="84"/>
      <c r="Y134" s="84"/>
      <c r="Z134" s="84"/>
      <c r="AA134" s="84">
        <f t="shared" si="183"/>
        <v>19221338.875275657</v>
      </c>
      <c r="AB134" s="92">
        <v>0</v>
      </c>
      <c r="AC134" s="92">
        <f t="shared" si="184"/>
        <v>19221338.875275657</v>
      </c>
      <c r="AD134" s="92">
        <v>0</v>
      </c>
      <c r="AE134" s="84">
        <f t="shared" si="185"/>
        <v>19221338.875275657</v>
      </c>
      <c r="AF134" s="84">
        <f t="shared" si="187"/>
        <v>-1305388.154315725</v>
      </c>
    </row>
    <row r="135" spans="1:32" x14ac:dyDescent="0.25">
      <c r="A135" s="66">
        <v>10</v>
      </c>
      <c r="B135" s="158">
        <v>40787</v>
      </c>
      <c r="C135" s="84">
        <v>2940843.2647706862</v>
      </c>
      <c r="D135" s="134">
        <f>SUM($C$127:C135)</f>
        <v>-43451296.451570958</v>
      </c>
      <c r="E135" s="84"/>
      <c r="F135" s="84">
        <f t="shared" si="170"/>
        <v>-20000000</v>
      </c>
      <c r="G135" s="84">
        <f t="shared" si="171"/>
        <v>-20000000</v>
      </c>
      <c r="H135" s="84">
        <f t="shared" si="172"/>
        <v>-3451296.4515709579</v>
      </c>
      <c r="I135" s="84">
        <f t="shared" si="173"/>
        <v>0</v>
      </c>
      <c r="J135" s="84">
        <f t="shared" si="174"/>
        <v>-10000000</v>
      </c>
      <c r="K135" s="84">
        <f t="shared" si="175"/>
        <v>-3106166.8064138624</v>
      </c>
      <c r="L135" s="84">
        <f t="shared" si="176"/>
        <v>0</v>
      </c>
      <c r="M135" s="92">
        <f t="shared" si="177"/>
        <v>-220027.30134196766</v>
      </c>
      <c r="N135" s="92">
        <v>0</v>
      </c>
      <c r="O135" s="84">
        <f t="shared" si="178"/>
        <v>-220027.30134196766</v>
      </c>
      <c r="P135" s="84">
        <f t="shared" si="186"/>
        <v>2646758.9382936172</v>
      </c>
      <c r="Q135" s="84"/>
      <c r="R135" s="101"/>
      <c r="S135" s="84">
        <f t="shared" si="179"/>
        <v>-20000000</v>
      </c>
      <c r="T135" s="84">
        <f t="shared" si="180"/>
        <v>-10000000</v>
      </c>
      <c r="U135" s="157">
        <f t="shared" si="181"/>
        <v>-345129.64515709551</v>
      </c>
      <c r="V135" s="157">
        <f t="shared" si="182"/>
        <v>0</v>
      </c>
      <c r="W135" s="84"/>
      <c r="X135" s="84"/>
      <c r="Y135" s="84"/>
      <c r="Z135" s="84"/>
      <c r="AA135" s="84">
        <f t="shared" si="183"/>
        <v>19515423.201752726</v>
      </c>
      <c r="AB135" s="92">
        <v>0</v>
      </c>
      <c r="AC135" s="92">
        <f t="shared" si="184"/>
        <v>19515423.201752726</v>
      </c>
      <c r="AD135" s="92">
        <v>0</v>
      </c>
      <c r="AE135" s="84">
        <f t="shared" si="185"/>
        <v>19515423.201752726</v>
      </c>
      <c r="AF135" s="84">
        <f t="shared" si="187"/>
        <v>294084.32647706941</v>
      </c>
    </row>
    <row r="136" spans="1:32" ht="14.25" customHeight="1" x14ac:dyDescent="0.25">
      <c r="A136" s="66">
        <v>10</v>
      </c>
      <c r="B136" s="158">
        <v>40817</v>
      </c>
      <c r="C136" s="84">
        <v>3838086.6803433434</v>
      </c>
      <c r="D136" s="134">
        <f>SUM($C$127:C136)</f>
        <v>-39613209.771227613</v>
      </c>
      <c r="E136" s="84"/>
      <c r="F136" s="84">
        <f t="shared" si="170"/>
        <v>-20000000</v>
      </c>
      <c r="G136" s="84">
        <f t="shared" si="171"/>
        <v>-19613209.771227613</v>
      </c>
      <c r="H136" s="84">
        <f t="shared" si="172"/>
        <v>0</v>
      </c>
      <c r="I136" s="84">
        <f t="shared" si="173"/>
        <v>0</v>
      </c>
      <c r="J136" s="84">
        <f t="shared" si="174"/>
        <v>-9806604.8856138065</v>
      </c>
      <c r="K136" s="84">
        <f t="shared" si="175"/>
        <v>0</v>
      </c>
      <c r="L136" s="84">
        <f t="shared" si="176"/>
        <v>0</v>
      </c>
      <c r="M136" s="92">
        <f t="shared" si="177"/>
        <v>3079534.6194580887</v>
      </c>
      <c r="N136" s="92">
        <v>0</v>
      </c>
      <c r="O136" s="84">
        <f t="shared" si="178"/>
        <v>3079534.6194580887</v>
      </c>
      <c r="P136" s="84">
        <f t="shared" si="186"/>
        <v>3299561.9208000563</v>
      </c>
      <c r="Q136" s="84"/>
      <c r="R136" s="101"/>
      <c r="S136" s="84">
        <f t="shared" si="179"/>
        <v>-20000000</v>
      </c>
      <c r="T136" s="84">
        <f t="shared" si="180"/>
        <v>-9806604.8856138065</v>
      </c>
      <c r="U136" s="157">
        <f t="shared" si="181"/>
        <v>0</v>
      </c>
      <c r="V136" s="157">
        <f t="shared" si="182"/>
        <v>0</v>
      </c>
      <c r="W136" s="84"/>
      <c r="X136" s="84"/>
      <c r="Y136" s="84"/>
      <c r="Z136" s="84"/>
      <c r="AA136" s="84">
        <f t="shared" si="183"/>
        <v>20053947.961296014</v>
      </c>
      <c r="AB136" s="92">
        <v>0</v>
      </c>
      <c r="AC136" s="92">
        <f t="shared" si="184"/>
        <v>20053947.961296014</v>
      </c>
      <c r="AD136" s="92">
        <v>0</v>
      </c>
      <c r="AE136" s="84">
        <f t="shared" si="185"/>
        <v>20053947.961296014</v>
      </c>
      <c r="AF136" s="84">
        <f t="shared" si="187"/>
        <v>538524.7595432885</v>
      </c>
    </row>
    <row r="137" spans="1:32" x14ac:dyDescent="0.25">
      <c r="A137" s="66">
        <v>10</v>
      </c>
      <c r="B137" s="158">
        <v>40848</v>
      </c>
      <c r="C137" s="84">
        <v>2326854.5861168317</v>
      </c>
      <c r="D137" s="134">
        <f>SUM($C$127:C137)</f>
        <v>-37286355.185110778</v>
      </c>
      <c r="E137" s="84"/>
      <c r="F137" s="84">
        <f t="shared" si="170"/>
        <v>-20000000</v>
      </c>
      <c r="G137" s="84">
        <f t="shared" si="171"/>
        <v>-17286355.185110778</v>
      </c>
      <c r="H137" s="84">
        <f t="shared" si="172"/>
        <v>0</v>
      </c>
      <c r="I137" s="84">
        <f t="shared" si="173"/>
        <v>0</v>
      </c>
      <c r="J137" s="84">
        <f t="shared" si="174"/>
        <v>-8643177.5925553888</v>
      </c>
      <c r="K137" s="84">
        <f t="shared" si="175"/>
        <v>0</v>
      </c>
      <c r="L137" s="84">
        <f t="shared" si="176"/>
        <v>0</v>
      </c>
      <c r="M137" s="92">
        <f t="shared" si="177"/>
        <v>4242961.9125165064</v>
      </c>
      <c r="N137" s="92">
        <v>0</v>
      </c>
      <c r="O137" s="84">
        <f t="shared" si="178"/>
        <v>4242961.9125165064</v>
      </c>
      <c r="P137" s="84">
        <f t="shared" si="186"/>
        <v>1163427.2930584177</v>
      </c>
      <c r="Q137" s="84"/>
      <c r="R137" s="101"/>
      <c r="S137" s="84">
        <f t="shared" si="179"/>
        <v>-20000000</v>
      </c>
      <c r="T137" s="84">
        <f t="shared" si="180"/>
        <v>-8643177.5925553888</v>
      </c>
      <c r="U137" s="157">
        <f t="shared" si="181"/>
        <v>0</v>
      </c>
      <c r="V137" s="157">
        <f t="shared" si="182"/>
        <v>0</v>
      </c>
      <c r="W137" s="84"/>
      <c r="X137" s="84"/>
      <c r="Y137" s="84"/>
      <c r="Z137" s="84"/>
      <c r="AA137" s="84">
        <f t="shared" si="183"/>
        <v>21217375.254354432</v>
      </c>
      <c r="AB137" s="92">
        <v>0</v>
      </c>
      <c r="AC137" s="92">
        <f t="shared" si="184"/>
        <v>21217375.254354432</v>
      </c>
      <c r="AD137" s="92">
        <v>0</v>
      </c>
      <c r="AE137" s="84">
        <f t="shared" si="185"/>
        <v>21217375.254354432</v>
      </c>
      <c r="AF137" s="84">
        <f t="shared" si="187"/>
        <v>1163427.2930584177</v>
      </c>
    </row>
    <row r="138" spans="1:32" x14ac:dyDescent="0.25">
      <c r="A138" s="66">
        <v>10</v>
      </c>
      <c r="B138" s="158">
        <v>40878</v>
      </c>
      <c r="C138" s="84">
        <v>2458537.6636045738</v>
      </c>
      <c r="D138" s="134">
        <f>SUM($C$127:C138)</f>
        <v>-34827817.521506205</v>
      </c>
      <c r="E138" s="84"/>
      <c r="F138" s="84">
        <f t="shared" si="170"/>
        <v>-20000000</v>
      </c>
      <c r="G138" s="84">
        <f t="shared" si="171"/>
        <v>-14827817.521506205</v>
      </c>
      <c r="H138" s="84">
        <f t="shared" si="172"/>
        <v>0</v>
      </c>
      <c r="I138" s="84">
        <f t="shared" si="173"/>
        <v>0</v>
      </c>
      <c r="J138" s="84">
        <f t="shared" si="174"/>
        <v>-7413908.7607531026</v>
      </c>
      <c r="K138" s="84">
        <f t="shared" si="175"/>
        <v>0</v>
      </c>
      <c r="L138" s="84">
        <f t="shared" si="176"/>
        <v>0</v>
      </c>
      <c r="M138" s="92">
        <f t="shared" si="177"/>
        <v>5472230.7443187926</v>
      </c>
      <c r="N138" s="92">
        <v>0</v>
      </c>
      <c r="O138" s="84">
        <f t="shared" si="178"/>
        <v>5472230.7443187926</v>
      </c>
      <c r="P138" s="84">
        <f t="shared" si="186"/>
        <v>1229268.8318022862</v>
      </c>
      <c r="Q138" s="84"/>
      <c r="R138" s="101"/>
      <c r="S138" s="84">
        <f t="shared" si="179"/>
        <v>-20000000</v>
      </c>
      <c r="T138" s="84">
        <f t="shared" si="180"/>
        <v>-7413908.7607531026</v>
      </c>
      <c r="U138" s="157">
        <f t="shared" si="181"/>
        <v>0</v>
      </c>
      <c r="V138" s="157">
        <f t="shared" si="182"/>
        <v>0</v>
      </c>
      <c r="W138" s="84"/>
      <c r="X138" s="84"/>
      <c r="Y138" s="84"/>
      <c r="Z138" s="84"/>
      <c r="AA138" s="84">
        <f t="shared" si="183"/>
        <v>22446644.086156718</v>
      </c>
      <c r="AB138" s="92">
        <v>0</v>
      </c>
      <c r="AC138" s="92">
        <f t="shared" si="184"/>
        <v>22446644.086156718</v>
      </c>
      <c r="AD138" s="92">
        <v>0</v>
      </c>
      <c r="AE138" s="84">
        <f t="shared" si="185"/>
        <v>22446644.086156718</v>
      </c>
      <c r="AF138" s="84">
        <f t="shared" si="187"/>
        <v>1229268.8318022862</v>
      </c>
    </row>
    <row r="139" spans="1:32" x14ac:dyDescent="0.25">
      <c r="A139" s="66"/>
      <c r="B139" s="158"/>
      <c r="C139" s="84"/>
      <c r="D139" s="134"/>
      <c r="E139" s="84"/>
      <c r="F139" s="84"/>
      <c r="G139" s="84"/>
      <c r="H139" s="84"/>
      <c r="I139" s="84"/>
      <c r="J139" s="84"/>
      <c r="K139" s="84"/>
      <c r="L139" s="84"/>
      <c r="M139" s="92"/>
      <c r="N139" s="92"/>
      <c r="O139" s="84"/>
      <c r="P139" s="84"/>
      <c r="Q139" s="84"/>
      <c r="R139" s="101"/>
      <c r="S139" s="84"/>
      <c r="T139" s="84"/>
      <c r="U139" s="157"/>
      <c r="V139" s="157"/>
      <c r="W139" s="84"/>
      <c r="X139" s="84"/>
      <c r="Y139" s="84"/>
      <c r="Z139" s="84"/>
      <c r="AA139" s="84"/>
      <c r="AB139" s="92"/>
      <c r="AC139" s="92"/>
      <c r="AD139" s="92"/>
      <c r="AE139" s="84"/>
      <c r="AF139" s="84"/>
    </row>
    <row r="140" spans="1:32" x14ac:dyDescent="0.25">
      <c r="A140" s="66">
        <v>11</v>
      </c>
      <c r="B140" s="158">
        <v>40909</v>
      </c>
      <c r="C140" s="84">
        <v>-12523878.031727405</v>
      </c>
      <c r="D140" s="134">
        <f>C140</f>
        <v>-12523878.031727405</v>
      </c>
      <c r="E140" s="84"/>
      <c r="F140" s="84">
        <f t="shared" ref="F140:F151" si="188">IF(ABS(D140)&gt;+$F$10,IF(D140&lt;0,-$F$10,+$F$10),+D140)</f>
        <v>-12523878.031727405</v>
      </c>
      <c r="G140" s="84">
        <f t="shared" ref="G140:G151" si="189">IF(ABS(D140)-ABS(F140)&gt;=$G$10,IF(D140&lt;=0,-$G$10,+$G$10),+D140-F140)</f>
        <v>0</v>
      </c>
      <c r="H140" s="84">
        <f t="shared" ref="H140:H151" si="190">IF(ABS(+D140)-ABS(SUM(F140:G140))&gt;=$H$10,IF(D140&lt;=0,-$H$10,+$H$10),+D140-SUM(F140:G140))</f>
        <v>0</v>
      </c>
      <c r="I140" s="84">
        <f t="shared" ref="I140:I151" si="191">IF(ABS(+D140)-ABS(SUM(F140:H140))&gt;=$I$10,IF(D140&lt;=0,$D140-SUM($F140:$H140),$D140-SUM($F140:$H140)),D140-SUM(F140:H140))</f>
        <v>0</v>
      </c>
      <c r="J140" s="84">
        <f t="shared" ref="J140:J151" si="192">+G140*$C$278</f>
        <v>0</v>
      </c>
      <c r="K140" s="84">
        <f t="shared" ref="K140:K151" si="193">+H140*$C$279</f>
        <v>0</v>
      </c>
      <c r="L140" s="84">
        <f t="shared" ref="L140:L151" si="194">+I140*$C$280</f>
        <v>0</v>
      </c>
      <c r="M140" s="92">
        <f t="shared" ref="M140:M151" si="195">SUM(J140:L140)+$M$138</f>
        <v>5472230.7443187926</v>
      </c>
      <c r="N140" s="92">
        <v>0</v>
      </c>
      <c r="O140" s="84">
        <f t="shared" ref="O140:O151" si="196">M140+N140</f>
        <v>5472230.7443187926</v>
      </c>
      <c r="P140" s="84">
        <f>O140-O138</f>
        <v>0</v>
      </c>
      <c r="Q140" s="84"/>
      <c r="R140" s="101"/>
      <c r="S140" s="84">
        <f t="shared" ref="S140:S151" si="197">+F140</f>
        <v>-12523878.031727405</v>
      </c>
      <c r="T140" s="84">
        <f t="shared" ref="T140:T151" si="198">+G140-J140</f>
        <v>0</v>
      </c>
      <c r="U140" s="157">
        <f t="shared" ref="U140:U151" si="199">+H140-K140</f>
        <v>0</v>
      </c>
      <c r="V140" s="157">
        <f t="shared" ref="V140:V151" si="200">+I140-L140</f>
        <v>0</v>
      </c>
      <c r="W140" s="84"/>
      <c r="X140" s="84"/>
      <c r="Y140" s="84"/>
      <c r="Z140" s="84"/>
      <c r="AA140" s="84">
        <f t="shared" ref="AA140:AA151" si="201">SUM(S140:V140)+$AA$138</f>
        <v>9922766.0544293132</v>
      </c>
      <c r="AB140" s="92">
        <v>0</v>
      </c>
      <c r="AC140" s="92">
        <f t="shared" ref="AC140:AC151" si="202">AA140-AB140</f>
        <v>9922766.0544293132</v>
      </c>
      <c r="AD140" s="92">
        <v>0</v>
      </c>
      <c r="AE140" s="84">
        <f t="shared" ref="AE140:AE151" si="203">AA140-AB140+AD140</f>
        <v>9922766.0544293132</v>
      </c>
      <c r="AF140" s="84">
        <f>AE140-AE138</f>
        <v>-12523878.031727405</v>
      </c>
    </row>
    <row r="141" spans="1:32" x14ac:dyDescent="0.25">
      <c r="A141" s="66">
        <v>11</v>
      </c>
      <c r="B141" s="158">
        <v>40940</v>
      </c>
      <c r="C141" s="84">
        <v>-2428869.4056522851</v>
      </c>
      <c r="D141" s="134">
        <f>SUM($C$140:C141)</f>
        <v>-14952747.43737969</v>
      </c>
      <c r="E141" s="84"/>
      <c r="F141" s="84">
        <f t="shared" si="188"/>
        <v>-14952747.43737969</v>
      </c>
      <c r="G141" s="84">
        <f t="shared" si="189"/>
        <v>0</v>
      </c>
      <c r="H141" s="84">
        <f t="shared" si="190"/>
        <v>0</v>
      </c>
      <c r="I141" s="84">
        <f t="shared" si="191"/>
        <v>0</v>
      </c>
      <c r="J141" s="84">
        <f t="shared" si="192"/>
        <v>0</v>
      </c>
      <c r="K141" s="84">
        <f t="shared" si="193"/>
        <v>0</v>
      </c>
      <c r="L141" s="84">
        <f t="shared" si="194"/>
        <v>0</v>
      </c>
      <c r="M141" s="92">
        <f t="shared" si="195"/>
        <v>5472230.7443187926</v>
      </c>
      <c r="N141" s="92">
        <v>0</v>
      </c>
      <c r="O141" s="84">
        <f t="shared" si="196"/>
        <v>5472230.7443187926</v>
      </c>
      <c r="P141" s="84">
        <f t="shared" ref="P141:P151" si="204">O141-O140</f>
        <v>0</v>
      </c>
      <c r="Q141" s="84"/>
      <c r="R141" s="101"/>
      <c r="S141" s="84">
        <f t="shared" si="197"/>
        <v>-14952747.43737969</v>
      </c>
      <c r="T141" s="84">
        <f t="shared" si="198"/>
        <v>0</v>
      </c>
      <c r="U141" s="157">
        <f t="shared" si="199"/>
        <v>0</v>
      </c>
      <c r="V141" s="157">
        <f t="shared" si="200"/>
        <v>0</v>
      </c>
      <c r="W141" s="84"/>
      <c r="X141" s="84"/>
      <c r="Y141" s="84"/>
      <c r="Z141" s="84"/>
      <c r="AA141" s="84">
        <f t="shared" si="201"/>
        <v>7493896.6487770285</v>
      </c>
      <c r="AB141" s="92">
        <v>0</v>
      </c>
      <c r="AC141" s="92">
        <f t="shared" si="202"/>
        <v>7493896.6487770285</v>
      </c>
      <c r="AD141" s="92">
        <v>0</v>
      </c>
      <c r="AE141" s="84">
        <f t="shared" si="203"/>
        <v>7493896.6487770285</v>
      </c>
      <c r="AF141" s="84">
        <f t="shared" ref="AF141:AF151" si="205">AE141-AE140</f>
        <v>-2428869.4056522846</v>
      </c>
    </row>
    <row r="142" spans="1:32" x14ac:dyDescent="0.25">
      <c r="A142" s="66">
        <v>11</v>
      </c>
      <c r="B142" s="158">
        <v>40969</v>
      </c>
      <c r="C142" s="84">
        <v>-16624940.980474589</v>
      </c>
      <c r="D142" s="134">
        <f>SUM($C$140:C142)</f>
        <v>-31577688.417854279</v>
      </c>
      <c r="E142" s="84"/>
      <c r="F142" s="84">
        <f t="shared" si="188"/>
        <v>-20000000</v>
      </c>
      <c r="G142" s="84">
        <f t="shared" si="189"/>
        <v>-11577688.417854279</v>
      </c>
      <c r="H142" s="84">
        <f t="shared" si="190"/>
        <v>0</v>
      </c>
      <c r="I142" s="84">
        <f t="shared" si="191"/>
        <v>0</v>
      </c>
      <c r="J142" s="92">
        <f t="shared" si="192"/>
        <v>-5788844.2089271396</v>
      </c>
      <c r="K142" s="84">
        <f t="shared" si="193"/>
        <v>0</v>
      </c>
      <c r="L142" s="84">
        <f t="shared" si="194"/>
        <v>0</v>
      </c>
      <c r="M142" s="92">
        <f t="shared" si="195"/>
        <v>-316613.46460834704</v>
      </c>
      <c r="N142" s="92">
        <v>0</v>
      </c>
      <c r="O142" s="84">
        <f t="shared" si="196"/>
        <v>-316613.46460834704</v>
      </c>
      <c r="P142" s="84">
        <f t="shared" si="204"/>
        <v>-5788844.2089271396</v>
      </c>
      <c r="Q142" s="84"/>
      <c r="R142" s="101"/>
      <c r="S142" s="84">
        <f t="shared" si="197"/>
        <v>-20000000</v>
      </c>
      <c r="T142" s="84">
        <f t="shared" si="198"/>
        <v>-5788844.2089271396</v>
      </c>
      <c r="U142" s="157">
        <f t="shared" si="199"/>
        <v>0</v>
      </c>
      <c r="V142" s="157">
        <f t="shared" si="200"/>
        <v>0</v>
      </c>
      <c r="W142" s="84"/>
      <c r="X142" s="84"/>
      <c r="Y142" s="84"/>
      <c r="Z142" s="84"/>
      <c r="AA142" s="84">
        <f t="shared" si="201"/>
        <v>-3342200.1227704212</v>
      </c>
      <c r="AB142" s="92">
        <v>0</v>
      </c>
      <c r="AC142" s="92">
        <f t="shared" si="202"/>
        <v>-3342200.1227704212</v>
      </c>
      <c r="AD142" s="92">
        <v>0</v>
      </c>
      <c r="AE142" s="84">
        <f t="shared" si="203"/>
        <v>-3342200.1227704212</v>
      </c>
      <c r="AF142" s="84">
        <f t="shared" si="205"/>
        <v>-10836096.77154745</v>
      </c>
    </row>
    <row r="143" spans="1:32" x14ac:dyDescent="0.25">
      <c r="A143" s="66">
        <v>11</v>
      </c>
      <c r="B143" s="158">
        <v>41000</v>
      </c>
      <c r="C143" s="84">
        <v>-19154588.963708736</v>
      </c>
      <c r="D143" s="134">
        <f>SUM($C$140:C143)</f>
        <v>-50732277.381563015</v>
      </c>
      <c r="E143" s="84"/>
      <c r="F143" s="84">
        <f t="shared" si="188"/>
        <v>-20000000</v>
      </c>
      <c r="G143" s="84">
        <f t="shared" si="189"/>
        <v>-20000000</v>
      </c>
      <c r="H143" s="84">
        <f t="shared" si="190"/>
        <v>-10732277.381563015</v>
      </c>
      <c r="I143" s="84">
        <f t="shared" si="191"/>
        <v>0</v>
      </c>
      <c r="J143" s="84">
        <f t="shared" si="192"/>
        <v>-10000000</v>
      </c>
      <c r="K143" s="84">
        <f t="shared" si="193"/>
        <v>-9659049.6434067134</v>
      </c>
      <c r="L143" s="84">
        <f t="shared" si="194"/>
        <v>0</v>
      </c>
      <c r="M143" s="92">
        <f t="shared" si="195"/>
        <v>-14186818.899087919</v>
      </c>
      <c r="N143" s="92">
        <v>0</v>
      </c>
      <c r="O143" s="84">
        <f t="shared" si="196"/>
        <v>-14186818.899087919</v>
      </c>
      <c r="P143" s="84">
        <f t="shared" si="204"/>
        <v>-13870205.434479572</v>
      </c>
      <c r="Q143" s="84"/>
      <c r="R143" s="101"/>
      <c r="S143" s="84">
        <f t="shared" si="197"/>
        <v>-20000000</v>
      </c>
      <c r="T143" s="84">
        <f t="shared" si="198"/>
        <v>-10000000</v>
      </c>
      <c r="U143" s="157">
        <f t="shared" si="199"/>
        <v>-1073227.7381563019</v>
      </c>
      <c r="V143" s="157">
        <f t="shared" si="200"/>
        <v>0</v>
      </c>
      <c r="W143" s="84"/>
      <c r="X143" s="84"/>
      <c r="Y143" s="84"/>
      <c r="Z143" s="84"/>
      <c r="AA143" s="84">
        <f t="shared" si="201"/>
        <v>-8626583.6519995853</v>
      </c>
      <c r="AB143" s="92">
        <v>0</v>
      </c>
      <c r="AC143" s="92">
        <f t="shared" si="202"/>
        <v>-8626583.6519995853</v>
      </c>
      <c r="AD143" s="92">
        <v>0</v>
      </c>
      <c r="AE143" s="84">
        <f t="shared" si="203"/>
        <v>-8626583.6519995853</v>
      </c>
      <c r="AF143" s="84">
        <f t="shared" si="205"/>
        <v>-5284383.5292291641</v>
      </c>
    </row>
    <row r="144" spans="1:32" x14ac:dyDescent="0.25">
      <c r="A144" s="66">
        <v>11</v>
      </c>
      <c r="B144" s="158">
        <v>41030</v>
      </c>
      <c r="C144" s="84">
        <v>-9579536.4025071263</v>
      </c>
      <c r="D144" s="134">
        <f>SUM($C$140:C144)</f>
        <v>-60311813.784070142</v>
      </c>
      <c r="E144" s="84"/>
      <c r="F144" s="84">
        <f t="shared" si="188"/>
        <v>-20000000</v>
      </c>
      <c r="G144" s="84">
        <f t="shared" si="189"/>
        <v>-20000000</v>
      </c>
      <c r="H144" s="84">
        <f t="shared" si="190"/>
        <v>-20311813.784070142</v>
      </c>
      <c r="I144" s="84">
        <f t="shared" si="191"/>
        <v>0</v>
      </c>
      <c r="J144" s="84">
        <f t="shared" si="192"/>
        <v>-10000000</v>
      </c>
      <c r="K144" s="84">
        <f t="shared" si="193"/>
        <v>-18280632.405663129</v>
      </c>
      <c r="L144" s="84">
        <f t="shared" si="194"/>
        <v>0</v>
      </c>
      <c r="M144" s="92">
        <f t="shared" si="195"/>
        <v>-22808401.661344334</v>
      </c>
      <c r="N144" s="92">
        <v>0</v>
      </c>
      <c r="O144" s="84">
        <f t="shared" si="196"/>
        <v>-22808401.661344334</v>
      </c>
      <c r="P144" s="84">
        <f t="shared" si="204"/>
        <v>-8621582.7622564156</v>
      </c>
      <c r="Q144" s="84"/>
      <c r="R144" s="101"/>
      <c r="S144" s="84">
        <f t="shared" si="197"/>
        <v>-20000000</v>
      </c>
      <c r="T144" s="84">
        <f t="shared" si="198"/>
        <v>-10000000</v>
      </c>
      <c r="U144" s="157">
        <f t="shared" si="199"/>
        <v>-2031181.3784070127</v>
      </c>
      <c r="V144" s="157">
        <f t="shared" si="200"/>
        <v>0</v>
      </c>
      <c r="W144" s="84"/>
      <c r="X144" s="84"/>
      <c r="Y144" s="84"/>
      <c r="Z144" s="84"/>
      <c r="AA144" s="84">
        <f t="shared" si="201"/>
        <v>-9584537.2922502942</v>
      </c>
      <c r="AB144" s="92">
        <v>0</v>
      </c>
      <c r="AC144" s="92">
        <f t="shared" si="202"/>
        <v>-9584537.2922502942</v>
      </c>
      <c r="AD144" s="92">
        <v>0</v>
      </c>
      <c r="AE144" s="84">
        <f t="shared" si="203"/>
        <v>-9584537.2922502942</v>
      </c>
      <c r="AF144" s="84">
        <f t="shared" si="205"/>
        <v>-957953.64025070891</v>
      </c>
    </row>
    <row r="145" spans="1:32" x14ac:dyDescent="0.25">
      <c r="A145" s="66">
        <v>11</v>
      </c>
      <c r="B145" s="158">
        <v>41061</v>
      </c>
      <c r="C145" s="84">
        <v>2320484.3383544767</v>
      </c>
      <c r="D145" s="134">
        <f>SUM($C$140:C145)</f>
        <v>-57991329.445715666</v>
      </c>
      <c r="E145" s="84"/>
      <c r="F145" s="84">
        <f t="shared" si="188"/>
        <v>-20000000</v>
      </c>
      <c r="G145" s="84">
        <f t="shared" si="189"/>
        <v>-20000000</v>
      </c>
      <c r="H145" s="84">
        <f t="shared" si="190"/>
        <v>-17991329.445715666</v>
      </c>
      <c r="I145" s="84">
        <f t="shared" si="191"/>
        <v>0</v>
      </c>
      <c r="J145" s="84">
        <f t="shared" si="192"/>
        <v>-10000000</v>
      </c>
      <c r="K145" s="84">
        <f t="shared" si="193"/>
        <v>-16192196.5011441</v>
      </c>
      <c r="L145" s="84">
        <f t="shared" si="194"/>
        <v>0</v>
      </c>
      <c r="M145" s="92">
        <f t="shared" si="195"/>
        <v>-20719965.756825306</v>
      </c>
      <c r="N145" s="92">
        <v>0</v>
      </c>
      <c r="O145" s="84">
        <f t="shared" si="196"/>
        <v>-20719965.756825306</v>
      </c>
      <c r="P145" s="84">
        <f t="shared" si="204"/>
        <v>2088435.904519029</v>
      </c>
      <c r="Q145" s="84"/>
      <c r="R145" s="101"/>
      <c r="S145" s="84">
        <f t="shared" si="197"/>
        <v>-20000000</v>
      </c>
      <c r="T145" s="84">
        <f t="shared" si="198"/>
        <v>-10000000</v>
      </c>
      <c r="U145" s="157">
        <f t="shared" si="199"/>
        <v>-1799132.9445715658</v>
      </c>
      <c r="V145" s="157">
        <f t="shared" si="200"/>
        <v>0</v>
      </c>
      <c r="W145" s="84"/>
      <c r="X145" s="84"/>
      <c r="Y145" s="84"/>
      <c r="Z145" s="84"/>
      <c r="AA145" s="84">
        <f t="shared" si="201"/>
        <v>-9352488.8584148474</v>
      </c>
      <c r="AB145" s="92">
        <v>0</v>
      </c>
      <c r="AC145" s="92">
        <f t="shared" si="202"/>
        <v>-9352488.8584148474</v>
      </c>
      <c r="AD145" s="92">
        <v>0</v>
      </c>
      <c r="AE145" s="84">
        <f t="shared" si="203"/>
        <v>-9352488.8584148474</v>
      </c>
      <c r="AF145" s="84">
        <f t="shared" si="205"/>
        <v>232048.43383544683</v>
      </c>
    </row>
    <row r="146" spans="1:32" x14ac:dyDescent="0.25">
      <c r="A146" s="66">
        <v>11</v>
      </c>
      <c r="B146" s="158">
        <v>41091</v>
      </c>
      <c r="C146" s="84">
        <v>2134948.4248224832</v>
      </c>
      <c r="D146" s="134">
        <f>SUM($C$140:C146)</f>
        <v>-55856381.020893186</v>
      </c>
      <c r="E146" s="84"/>
      <c r="F146" s="84">
        <f t="shared" si="188"/>
        <v>-20000000</v>
      </c>
      <c r="G146" s="84">
        <f t="shared" si="189"/>
        <v>-20000000</v>
      </c>
      <c r="H146" s="84">
        <f t="shared" si="190"/>
        <v>-15856381.020893186</v>
      </c>
      <c r="I146" s="84">
        <f t="shared" si="191"/>
        <v>0</v>
      </c>
      <c r="J146" s="84">
        <f t="shared" si="192"/>
        <v>-10000000</v>
      </c>
      <c r="K146" s="84">
        <f t="shared" si="193"/>
        <v>-14270742.918803869</v>
      </c>
      <c r="L146" s="84">
        <f t="shared" si="194"/>
        <v>0</v>
      </c>
      <c r="M146" s="92">
        <f t="shared" si="195"/>
        <v>-18798512.17448508</v>
      </c>
      <c r="N146" s="92">
        <v>0</v>
      </c>
      <c r="O146" s="84">
        <f t="shared" si="196"/>
        <v>-18798512.17448508</v>
      </c>
      <c r="P146" s="84">
        <f t="shared" si="204"/>
        <v>1921453.5823402256</v>
      </c>
      <c r="Q146" s="84"/>
      <c r="R146" s="101"/>
      <c r="S146" s="84">
        <f t="shared" si="197"/>
        <v>-20000000</v>
      </c>
      <c r="T146" s="84">
        <f t="shared" si="198"/>
        <v>-10000000</v>
      </c>
      <c r="U146" s="157">
        <f t="shared" si="199"/>
        <v>-1585638.1020893175</v>
      </c>
      <c r="V146" s="157">
        <f t="shared" si="200"/>
        <v>0</v>
      </c>
      <c r="W146" s="84"/>
      <c r="X146" s="84"/>
      <c r="Y146" s="84"/>
      <c r="Z146" s="84"/>
      <c r="AA146" s="84">
        <f t="shared" si="201"/>
        <v>-9138994.0159325972</v>
      </c>
      <c r="AB146" s="92">
        <v>0</v>
      </c>
      <c r="AC146" s="92">
        <f t="shared" si="202"/>
        <v>-9138994.0159325972</v>
      </c>
      <c r="AD146" s="92">
        <v>0</v>
      </c>
      <c r="AE146" s="84">
        <f t="shared" si="203"/>
        <v>-9138994.0159325972</v>
      </c>
      <c r="AF146" s="84">
        <f t="shared" si="205"/>
        <v>213494.84248225018</v>
      </c>
    </row>
    <row r="147" spans="1:32" x14ac:dyDescent="0.25">
      <c r="A147" s="66">
        <v>11</v>
      </c>
      <c r="B147" s="158">
        <v>41122</v>
      </c>
      <c r="C147" s="84">
        <v>2099877.7457494172</v>
      </c>
      <c r="D147" s="134">
        <f>SUM($C$140:C147)</f>
        <v>-53756503.275143772</v>
      </c>
      <c r="E147" s="84"/>
      <c r="F147" s="84">
        <f t="shared" si="188"/>
        <v>-20000000</v>
      </c>
      <c r="G147" s="84">
        <f t="shared" si="189"/>
        <v>-20000000</v>
      </c>
      <c r="H147" s="84">
        <f t="shared" si="190"/>
        <v>-13756503.275143772</v>
      </c>
      <c r="I147" s="84">
        <f t="shared" si="191"/>
        <v>0</v>
      </c>
      <c r="J147" s="84">
        <f t="shared" si="192"/>
        <v>-10000000</v>
      </c>
      <c r="K147" s="84">
        <f t="shared" si="193"/>
        <v>-12380852.947629396</v>
      </c>
      <c r="L147" s="84">
        <f t="shared" si="194"/>
        <v>0</v>
      </c>
      <c r="M147" s="92">
        <f t="shared" si="195"/>
        <v>-16908622.203310601</v>
      </c>
      <c r="N147" s="92">
        <v>0</v>
      </c>
      <c r="O147" s="84">
        <f t="shared" si="196"/>
        <v>-16908622.203310601</v>
      </c>
      <c r="P147" s="84">
        <f t="shared" si="204"/>
        <v>1889889.9711744785</v>
      </c>
      <c r="Q147" s="84"/>
      <c r="R147" s="101"/>
      <c r="S147" s="84">
        <f t="shared" si="197"/>
        <v>-20000000</v>
      </c>
      <c r="T147" s="84">
        <f t="shared" si="198"/>
        <v>-10000000</v>
      </c>
      <c r="U147" s="157">
        <f t="shared" si="199"/>
        <v>-1375650.3275143765</v>
      </c>
      <c r="V147" s="157">
        <f t="shared" si="200"/>
        <v>0</v>
      </c>
      <c r="W147" s="84"/>
      <c r="X147" s="84"/>
      <c r="Y147" s="84"/>
      <c r="Z147" s="84"/>
      <c r="AA147" s="84">
        <f t="shared" si="201"/>
        <v>-8929006.2413576581</v>
      </c>
      <c r="AB147" s="92">
        <v>0</v>
      </c>
      <c r="AC147" s="92">
        <f t="shared" si="202"/>
        <v>-8929006.2413576581</v>
      </c>
      <c r="AD147" s="92">
        <v>0</v>
      </c>
      <c r="AE147" s="84">
        <f t="shared" si="203"/>
        <v>-8929006.2413576581</v>
      </c>
      <c r="AF147" s="84">
        <f t="shared" si="205"/>
        <v>209987.77457493916</v>
      </c>
    </row>
    <row r="148" spans="1:32" x14ac:dyDescent="0.25">
      <c r="A148" s="66">
        <v>11</v>
      </c>
      <c r="B148" s="158">
        <v>41153</v>
      </c>
      <c r="C148" s="84">
        <v>13880058.17172304</v>
      </c>
      <c r="D148" s="134">
        <f>SUM($C$140:C148)</f>
        <v>-39876445.103420734</v>
      </c>
      <c r="E148" s="84"/>
      <c r="F148" s="84">
        <f t="shared" si="188"/>
        <v>-20000000</v>
      </c>
      <c r="G148" s="84">
        <f t="shared" si="189"/>
        <v>-19876445.103420734</v>
      </c>
      <c r="H148" s="84">
        <f t="shared" si="190"/>
        <v>0</v>
      </c>
      <c r="I148" s="84">
        <f t="shared" si="191"/>
        <v>0</v>
      </c>
      <c r="J148" s="84">
        <f t="shared" si="192"/>
        <v>-9938222.5517103672</v>
      </c>
      <c r="K148" s="84">
        <f t="shared" si="193"/>
        <v>0</v>
      </c>
      <c r="L148" s="84">
        <f t="shared" si="194"/>
        <v>0</v>
      </c>
      <c r="M148" s="92">
        <f t="shared" si="195"/>
        <v>-4465991.8073915746</v>
      </c>
      <c r="N148" s="92">
        <v>0</v>
      </c>
      <c r="O148" s="84">
        <f t="shared" si="196"/>
        <v>-4465991.8073915746</v>
      </c>
      <c r="P148" s="84">
        <f t="shared" si="204"/>
        <v>12442630.395919027</v>
      </c>
      <c r="Q148" s="84"/>
      <c r="R148" s="101"/>
      <c r="S148" s="84">
        <f t="shared" si="197"/>
        <v>-20000000</v>
      </c>
      <c r="T148" s="84">
        <f t="shared" si="198"/>
        <v>-9938222.5517103672</v>
      </c>
      <c r="U148" s="157">
        <f t="shared" si="199"/>
        <v>0</v>
      </c>
      <c r="V148" s="157">
        <f t="shared" si="200"/>
        <v>0</v>
      </c>
      <c r="W148" s="84"/>
      <c r="X148" s="84"/>
      <c r="Y148" s="84"/>
      <c r="Z148" s="84"/>
      <c r="AA148" s="84">
        <f t="shared" si="201"/>
        <v>-7491578.4655536488</v>
      </c>
      <c r="AB148" s="92">
        <v>0</v>
      </c>
      <c r="AC148" s="92">
        <f t="shared" si="202"/>
        <v>-7491578.4655536488</v>
      </c>
      <c r="AD148" s="92">
        <v>0</v>
      </c>
      <c r="AE148" s="84">
        <f t="shared" si="203"/>
        <v>-7491578.4655536488</v>
      </c>
      <c r="AF148" s="84">
        <f t="shared" si="205"/>
        <v>1437427.7758040093</v>
      </c>
    </row>
    <row r="149" spans="1:32" ht="14.25" customHeight="1" x14ac:dyDescent="0.25">
      <c r="A149" s="66">
        <v>11</v>
      </c>
      <c r="B149" s="158">
        <v>41183</v>
      </c>
      <c r="C149" s="84">
        <v>4972296.4063995704</v>
      </c>
      <c r="D149" s="134">
        <f>SUM($C$140:C149)</f>
        <v>-34904148.697021164</v>
      </c>
      <c r="E149" s="84"/>
      <c r="F149" s="84">
        <f t="shared" si="188"/>
        <v>-20000000</v>
      </c>
      <c r="G149" s="84">
        <f t="shared" si="189"/>
        <v>-14904148.697021164</v>
      </c>
      <c r="H149" s="84">
        <f t="shared" si="190"/>
        <v>0</v>
      </c>
      <c r="I149" s="84">
        <f t="shared" si="191"/>
        <v>0</v>
      </c>
      <c r="J149" s="84">
        <f t="shared" si="192"/>
        <v>-7452074.348510582</v>
      </c>
      <c r="K149" s="84">
        <f t="shared" si="193"/>
        <v>0</v>
      </c>
      <c r="L149" s="84">
        <f t="shared" si="194"/>
        <v>0</v>
      </c>
      <c r="M149" s="92">
        <f t="shared" si="195"/>
        <v>-1979843.6041917894</v>
      </c>
      <c r="N149" s="92">
        <v>0</v>
      </c>
      <c r="O149" s="84">
        <f t="shared" si="196"/>
        <v>-1979843.6041917894</v>
      </c>
      <c r="P149" s="84">
        <f t="shared" si="204"/>
        <v>2486148.2031997852</v>
      </c>
      <c r="Q149" s="84"/>
      <c r="R149" s="101"/>
      <c r="S149" s="84">
        <f t="shared" si="197"/>
        <v>-20000000</v>
      </c>
      <c r="T149" s="84">
        <f t="shared" si="198"/>
        <v>-7452074.348510582</v>
      </c>
      <c r="U149" s="157">
        <f t="shared" si="199"/>
        <v>0</v>
      </c>
      <c r="V149" s="157">
        <f t="shared" si="200"/>
        <v>0</v>
      </c>
      <c r="W149" s="84"/>
      <c r="X149" s="84"/>
      <c r="Y149" s="84"/>
      <c r="Z149" s="84"/>
      <c r="AA149" s="84">
        <f t="shared" si="201"/>
        <v>-5005430.2623538636</v>
      </c>
      <c r="AB149" s="92">
        <v>0</v>
      </c>
      <c r="AC149" s="92">
        <f t="shared" si="202"/>
        <v>-5005430.2623538636</v>
      </c>
      <c r="AD149" s="92">
        <v>0</v>
      </c>
      <c r="AE149" s="84">
        <f t="shared" si="203"/>
        <v>-5005430.2623538636</v>
      </c>
      <c r="AF149" s="84">
        <f t="shared" si="205"/>
        <v>2486148.2031997852</v>
      </c>
    </row>
    <row r="150" spans="1:32" x14ac:dyDescent="0.25">
      <c r="A150" s="66">
        <v>11</v>
      </c>
      <c r="B150" s="158">
        <v>41214</v>
      </c>
      <c r="C150" s="84">
        <v>8586722.0462580062</v>
      </c>
      <c r="D150" s="134">
        <f>SUM($C$140:C150)</f>
        <v>-26317426.650763158</v>
      </c>
      <c r="E150" s="84"/>
      <c r="F150" s="84">
        <f t="shared" si="188"/>
        <v>-20000000</v>
      </c>
      <c r="G150" s="84">
        <f t="shared" si="189"/>
        <v>-6317426.6507631578</v>
      </c>
      <c r="H150" s="84">
        <f t="shared" si="190"/>
        <v>0</v>
      </c>
      <c r="I150" s="84">
        <f t="shared" si="191"/>
        <v>0</v>
      </c>
      <c r="J150" s="84">
        <f t="shared" si="192"/>
        <v>-3158713.3253815789</v>
      </c>
      <c r="K150" s="84">
        <f t="shared" si="193"/>
        <v>0</v>
      </c>
      <c r="L150" s="84">
        <f t="shared" si="194"/>
        <v>0</v>
      </c>
      <c r="M150" s="92">
        <f t="shared" si="195"/>
        <v>2313517.4189372137</v>
      </c>
      <c r="N150" s="92">
        <v>0</v>
      </c>
      <c r="O150" s="84">
        <f t="shared" si="196"/>
        <v>2313517.4189372137</v>
      </c>
      <c r="P150" s="84">
        <f t="shared" si="204"/>
        <v>4293361.0231290031</v>
      </c>
      <c r="Q150" s="84"/>
      <c r="R150" s="101"/>
      <c r="S150" s="84">
        <f t="shared" si="197"/>
        <v>-20000000</v>
      </c>
      <c r="T150" s="84">
        <f t="shared" si="198"/>
        <v>-3158713.3253815789</v>
      </c>
      <c r="U150" s="157">
        <f t="shared" si="199"/>
        <v>0</v>
      </c>
      <c r="V150" s="157">
        <f t="shared" si="200"/>
        <v>0</v>
      </c>
      <c r="W150" s="84"/>
      <c r="X150" s="84"/>
      <c r="Y150" s="84"/>
      <c r="Z150" s="84"/>
      <c r="AA150" s="84">
        <f t="shared" si="201"/>
        <v>-712069.23922485858</v>
      </c>
      <c r="AB150" s="92">
        <v>0</v>
      </c>
      <c r="AC150" s="92">
        <f t="shared" si="202"/>
        <v>-712069.23922485858</v>
      </c>
      <c r="AD150" s="92">
        <v>0</v>
      </c>
      <c r="AE150" s="84">
        <f t="shared" si="203"/>
        <v>-712069.23922485858</v>
      </c>
      <c r="AF150" s="84">
        <f t="shared" si="205"/>
        <v>4293361.023129005</v>
      </c>
    </row>
    <row r="151" spans="1:32" x14ac:dyDescent="0.25">
      <c r="A151" s="66">
        <v>11</v>
      </c>
      <c r="B151" s="158">
        <v>41244</v>
      </c>
      <c r="C151" s="84">
        <v>672862.69376042718</v>
      </c>
      <c r="D151" s="134">
        <f>SUM($C$140:C151)</f>
        <v>-25644563.957002729</v>
      </c>
      <c r="E151" s="84"/>
      <c r="F151" s="84">
        <f t="shared" si="188"/>
        <v>-20000000</v>
      </c>
      <c r="G151" s="84">
        <f t="shared" si="189"/>
        <v>-5644563.9570027292</v>
      </c>
      <c r="H151" s="84">
        <f t="shared" si="190"/>
        <v>0</v>
      </c>
      <c r="I151" s="84">
        <f t="shared" si="191"/>
        <v>0</v>
      </c>
      <c r="J151" s="84">
        <f t="shared" si="192"/>
        <v>-2822281.9785013646</v>
      </c>
      <c r="K151" s="84">
        <f t="shared" si="193"/>
        <v>0</v>
      </c>
      <c r="L151" s="84">
        <f t="shared" si="194"/>
        <v>0</v>
      </c>
      <c r="M151" s="92">
        <f t="shared" si="195"/>
        <v>2649948.765817428</v>
      </c>
      <c r="N151" s="92">
        <v>0</v>
      </c>
      <c r="O151" s="84">
        <f t="shared" si="196"/>
        <v>2649948.765817428</v>
      </c>
      <c r="P151" s="84">
        <f t="shared" si="204"/>
        <v>336431.34688021429</v>
      </c>
      <c r="Q151" s="84"/>
      <c r="R151" s="101"/>
      <c r="S151" s="84">
        <f t="shared" si="197"/>
        <v>-20000000</v>
      </c>
      <c r="T151" s="84">
        <f t="shared" si="198"/>
        <v>-2822281.9785013646</v>
      </c>
      <c r="U151" s="157">
        <f t="shared" si="199"/>
        <v>0</v>
      </c>
      <c r="V151" s="157">
        <f t="shared" si="200"/>
        <v>0</v>
      </c>
      <c r="W151" s="84"/>
      <c r="X151" s="84"/>
      <c r="Y151" s="84"/>
      <c r="Z151" s="84"/>
      <c r="AA151" s="84">
        <f t="shared" si="201"/>
        <v>-375637.89234464616</v>
      </c>
      <c r="AB151" s="92">
        <v>0</v>
      </c>
      <c r="AC151" s="92">
        <f t="shared" si="202"/>
        <v>-375637.89234464616</v>
      </c>
      <c r="AD151" s="92">
        <v>0</v>
      </c>
      <c r="AE151" s="84">
        <f t="shared" si="203"/>
        <v>-375637.89234464616</v>
      </c>
      <c r="AF151" s="84">
        <f t="shared" si="205"/>
        <v>336431.34688021243</v>
      </c>
    </row>
    <row r="152" spans="1:32" ht="16.5" customHeight="1" x14ac:dyDescent="0.25">
      <c r="A152" s="66"/>
      <c r="B152" s="158"/>
      <c r="C152" s="84"/>
      <c r="D152" s="134"/>
      <c r="E152" s="84"/>
      <c r="F152" s="84"/>
      <c r="G152" s="84"/>
      <c r="H152" s="84"/>
      <c r="I152" s="84"/>
      <c r="J152" s="84"/>
      <c r="K152" s="84"/>
      <c r="L152" s="84"/>
      <c r="M152" s="92"/>
      <c r="N152" s="92"/>
      <c r="O152" s="84"/>
      <c r="P152" s="84"/>
      <c r="Q152" s="84"/>
      <c r="R152" s="101"/>
      <c r="S152" s="84"/>
      <c r="T152" s="84"/>
      <c r="U152" s="157"/>
      <c r="V152" s="157"/>
      <c r="W152" s="84"/>
      <c r="X152" s="84"/>
      <c r="Y152" s="84"/>
      <c r="Z152" s="84"/>
      <c r="AA152" s="84"/>
      <c r="AB152" s="92"/>
      <c r="AC152" s="92"/>
      <c r="AD152" s="92"/>
      <c r="AE152" s="84"/>
      <c r="AF152" s="84"/>
    </row>
    <row r="153" spans="1:32" x14ac:dyDescent="0.25">
      <c r="A153" s="66">
        <v>12</v>
      </c>
      <c r="B153" s="158">
        <v>41275</v>
      </c>
      <c r="C153" s="84">
        <v>-11528918.075071756</v>
      </c>
      <c r="D153" s="134">
        <f>C153</f>
        <v>-11528918.075071756</v>
      </c>
      <c r="E153" s="84"/>
      <c r="F153" s="84">
        <f t="shared" ref="F153:F164" si="206">IF(ABS(D153)&gt;+$F$10,IF(D153&lt;0,-$F$10,+$F$10),+D153)</f>
        <v>-11528918.075071756</v>
      </c>
      <c r="G153" s="84">
        <f t="shared" ref="G153:G164" si="207">IF(ABS(D153)-ABS(F153)&gt;=$G$10,IF(D153&lt;=0,-$G$10,+$G$10),+D153-F153)</f>
        <v>0</v>
      </c>
      <c r="H153" s="84">
        <f t="shared" ref="H153:H164" si="208">IF(ABS(+D153)-ABS(SUM(F153:G153))&gt;=$H$10,IF(D153&lt;=0,-$H$10,+$H$10),+D153-SUM(F153:G153))</f>
        <v>0</v>
      </c>
      <c r="I153" s="84">
        <f t="shared" ref="I153:I164" si="209">IF(ABS(+D153)-ABS(SUM(F153:H153))&gt;=$I$10,IF(D153&lt;=0,$D153-SUM($F153:$H153),$D153-SUM($F153:$H153)),D153-SUM(F153:H153))</f>
        <v>0</v>
      </c>
      <c r="J153" s="84">
        <f t="shared" ref="J153:J164" si="210">+G153*$C$278</f>
        <v>0</v>
      </c>
      <c r="K153" s="84">
        <f t="shared" ref="K153:K164" si="211">+H153*$C$279</f>
        <v>0</v>
      </c>
      <c r="L153" s="84">
        <f t="shared" ref="L153:L164" si="212">+I153*$C$280</f>
        <v>0</v>
      </c>
      <c r="M153" s="92">
        <f t="shared" ref="M153:M164" si="213">SUM(J153:L153)+$M$151</f>
        <v>2649948.765817428</v>
      </c>
      <c r="N153" s="92">
        <v>0</v>
      </c>
      <c r="O153" s="84">
        <f t="shared" ref="O153:O164" si="214">M153+N153</f>
        <v>2649948.765817428</v>
      </c>
      <c r="P153" s="84">
        <f>O153-O151</f>
        <v>0</v>
      </c>
      <c r="Q153" s="84"/>
      <c r="R153" s="101"/>
      <c r="S153" s="84">
        <f t="shared" ref="S153:S164" si="215">+F153</f>
        <v>-11528918.075071756</v>
      </c>
      <c r="T153" s="84">
        <f t="shared" ref="T153:T164" si="216">+G153-J153</f>
        <v>0</v>
      </c>
      <c r="U153" s="157">
        <f t="shared" ref="U153:U164" si="217">+H153-K153</f>
        <v>0</v>
      </c>
      <c r="V153" s="157">
        <f t="shared" ref="V153:V164" si="218">+I153-L153</f>
        <v>0</v>
      </c>
      <c r="W153" s="84"/>
      <c r="X153" s="84"/>
      <c r="Y153" s="84"/>
      <c r="Z153" s="84"/>
      <c r="AA153" s="84">
        <f t="shared" ref="AA153:AA164" si="219">SUM(S153:V153)+$AA$151</f>
        <v>-11904555.967416402</v>
      </c>
      <c r="AB153" s="92">
        <v>0</v>
      </c>
      <c r="AC153" s="92">
        <f t="shared" ref="AC153:AC164" si="220">AA153-AB153</f>
        <v>-11904555.967416402</v>
      </c>
      <c r="AD153" s="92">
        <v>0</v>
      </c>
      <c r="AE153" s="84">
        <f t="shared" ref="AE153:AE164" si="221">AA153-AB153+AD153</f>
        <v>-11904555.967416402</v>
      </c>
      <c r="AF153" s="84">
        <f>AE153-AE151</f>
        <v>-11528918.075071756</v>
      </c>
    </row>
    <row r="154" spans="1:32" x14ac:dyDescent="0.25">
      <c r="A154" s="66">
        <v>12</v>
      </c>
      <c r="B154" s="158">
        <v>41306</v>
      </c>
      <c r="C154" s="84">
        <v>-418330.36171436496</v>
      </c>
      <c r="D154" s="134">
        <f>SUM($C$153:C154)</f>
        <v>-11947248.436786121</v>
      </c>
      <c r="E154" s="84"/>
      <c r="F154" s="84">
        <f t="shared" si="206"/>
        <v>-11947248.436786121</v>
      </c>
      <c r="G154" s="84">
        <f t="shared" si="207"/>
        <v>0</v>
      </c>
      <c r="H154" s="84">
        <f t="shared" si="208"/>
        <v>0</v>
      </c>
      <c r="I154" s="84">
        <f t="shared" si="209"/>
        <v>0</v>
      </c>
      <c r="J154" s="84">
        <f t="shared" si="210"/>
        <v>0</v>
      </c>
      <c r="K154" s="84">
        <f t="shared" si="211"/>
        <v>0</v>
      </c>
      <c r="L154" s="84">
        <f t="shared" si="212"/>
        <v>0</v>
      </c>
      <c r="M154" s="92">
        <f t="shared" si="213"/>
        <v>2649948.765817428</v>
      </c>
      <c r="N154" s="92">
        <v>0</v>
      </c>
      <c r="O154" s="84">
        <f t="shared" si="214"/>
        <v>2649948.765817428</v>
      </c>
      <c r="P154" s="84">
        <f t="shared" ref="P154:P164" si="222">O154-O153</f>
        <v>0</v>
      </c>
      <c r="Q154" s="84"/>
      <c r="R154" s="101"/>
      <c r="S154" s="84">
        <f t="shared" si="215"/>
        <v>-11947248.436786121</v>
      </c>
      <c r="T154" s="84">
        <f t="shared" si="216"/>
        <v>0</v>
      </c>
      <c r="U154" s="157">
        <f t="shared" si="217"/>
        <v>0</v>
      </c>
      <c r="V154" s="157">
        <f t="shared" si="218"/>
        <v>0</v>
      </c>
      <c r="W154" s="84"/>
      <c r="X154" s="84"/>
      <c r="Y154" s="84"/>
      <c r="Z154" s="84"/>
      <c r="AA154" s="84">
        <f t="shared" si="219"/>
        <v>-12322886.329130767</v>
      </c>
      <c r="AB154" s="92">
        <v>0</v>
      </c>
      <c r="AC154" s="92">
        <f t="shared" si="220"/>
        <v>-12322886.329130767</v>
      </c>
      <c r="AD154" s="92">
        <v>0</v>
      </c>
      <c r="AE154" s="84">
        <f t="shared" si="221"/>
        <v>-12322886.329130767</v>
      </c>
      <c r="AF154" s="84">
        <f t="shared" ref="AF154:AF164" si="223">AE154-AE153</f>
        <v>-418330.36171436496</v>
      </c>
    </row>
    <row r="155" spans="1:32" x14ac:dyDescent="0.25">
      <c r="A155" s="66">
        <v>12</v>
      </c>
      <c r="B155" s="158">
        <v>41334</v>
      </c>
      <c r="C155" s="84">
        <v>-3351512.0859245509</v>
      </c>
      <c r="D155" s="134">
        <f>SUM($C$153:C155)</f>
        <v>-15298760.522710672</v>
      </c>
      <c r="E155" s="84"/>
      <c r="F155" s="84">
        <f t="shared" si="206"/>
        <v>-15298760.522710672</v>
      </c>
      <c r="G155" s="84">
        <f t="shared" si="207"/>
        <v>0</v>
      </c>
      <c r="H155" s="84">
        <f t="shared" si="208"/>
        <v>0</v>
      </c>
      <c r="I155" s="84">
        <f t="shared" si="209"/>
        <v>0</v>
      </c>
      <c r="J155" s="92">
        <f t="shared" si="210"/>
        <v>0</v>
      </c>
      <c r="K155" s="84">
        <f t="shared" si="211"/>
        <v>0</v>
      </c>
      <c r="L155" s="84">
        <f t="shared" si="212"/>
        <v>0</v>
      </c>
      <c r="M155" s="92">
        <f t="shared" si="213"/>
        <v>2649948.765817428</v>
      </c>
      <c r="N155" s="92">
        <v>0</v>
      </c>
      <c r="O155" s="84">
        <f t="shared" si="214"/>
        <v>2649948.765817428</v>
      </c>
      <c r="P155" s="84">
        <f t="shared" si="222"/>
        <v>0</v>
      </c>
      <c r="Q155" s="84"/>
      <c r="R155" s="101"/>
      <c r="S155" s="84">
        <f t="shared" si="215"/>
        <v>-15298760.522710672</v>
      </c>
      <c r="T155" s="84">
        <f t="shared" si="216"/>
        <v>0</v>
      </c>
      <c r="U155" s="157">
        <f t="shared" si="217"/>
        <v>0</v>
      </c>
      <c r="V155" s="157">
        <f t="shared" si="218"/>
        <v>0</v>
      </c>
      <c r="W155" s="84"/>
      <c r="X155" s="84"/>
      <c r="Y155" s="84"/>
      <c r="Z155" s="84"/>
      <c r="AA155" s="84">
        <f t="shared" si="219"/>
        <v>-15674398.415055318</v>
      </c>
      <c r="AB155" s="92">
        <v>0</v>
      </c>
      <c r="AC155" s="92">
        <f t="shared" si="220"/>
        <v>-15674398.415055318</v>
      </c>
      <c r="AD155" s="92">
        <v>0</v>
      </c>
      <c r="AE155" s="84">
        <f t="shared" si="221"/>
        <v>-15674398.415055318</v>
      </c>
      <c r="AF155" s="84">
        <f t="shared" si="223"/>
        <v>-3351512.0859245509</v>
      </c>
    </row>
    <row r="156" spans="1:32" x14ac:dyDescent="0.25">
      <c r="A156" s="66">
        <v>12</v>
      </c>
      <c r="B156" s="158">
        <v>41365</v>
      </c>
      <c r="C156" s="84">
        <v>-13196602.105187742</v>
      </c>
      <c r="D156" s="134">
        <f>SUM($C$153:C156)</f>
        <v>-28495362.627898414</v>
      </c>
      <c r="E156" s="84"/>
      <c r="F156" s="84">
        <f t="shared" si="206"/>
        <v>-20000000</v>
      </c>
      <c r="G156" s="84">
        <f t="shared" si="207"/>
        <v>-8495362.6278984137</v>
      </c>
      <c r="H156" s="84">
        <f t="shared" si="208"/>
        <v>0</v>
      </c>
      <c r="I156" s="84">
        <f t="shared" si="209"/>
        <v>0</v>
      </c>
      <c r="J156" s="84">
        <f t="shared" si="210"/>
        <v>-4247681.3139492068</v>
      </c>
      <c r="K156" s="84">
        <f t="shared" si="211"/>
        <v>0</v>
      </c>
      <c r="L156" s="84">
        <f t="shared" si="212"/>
        <v>0</v>
      </c>
      <c r="M156" s="92">
        <f t="shared" si="213"/>
        <v>-1597732.5481317788</v>
      </c>
      <c r="N156" s="92">
        <v>0</v>
      </c>
      <c r="O156" s="84">
        <f t="shared" si="214"/>
        <v>-1597732.5481317788</v>
      </c>
      <c r="P156" s="84">
        <f t="shared" si="222"/>
        <v>-4247681.3139492068</v>
      </c>
      <c r="Q156" s="84"/>
      <c r="R156" s="101"/>
      <c r="S156" s="84">
        <f t="shared" si="215"/>
        <v>-20000000</v>
      </c>
      <c r="T156" s="84">
        <f t="shared" si="216"/>
        <v>-4247681.3139492068</v>
      </c>
      <c r="U156" s="157">
        <f t="shared" si="217"/>
        <v>0</v>
      </c>
      <c r="V156" s="157">
        <f t="shared" si="218"/>
        <v>0</v>
      </c>
      <c r="W156" s="84"/>
      <c r="X156" s="84"/>
      <c r="Y156" s="84"/>
      <c r="Z156" s="84"/>
      <c r="AA156" s="84">
        <f t="shared" si="219"/>
        <v>-24623319.206293851</v>
      </c>
      <c r="AB156" s="92">
        <v>0</v>
      </c>
      <c r="AC156" s="92">
        <f t="shared" si="220"/>
        <v>-24623319.206293851</v>
      </c>
      <c r="AD156" s="92">
        <v>0</v>
      </c>
      <c r="AE156" s="84">
        <f t="shared" si="221"/>
        <v>-24623319.206293851</v>
      </c>
      <c r="AF156" s="84">
        <f t="shared" si="223"/>
        <v>-8948920.7912385333</v>
      </c>
    </row>
    <row r="157" spans="1:32" x14ac:dyDescent="0.25">
      <c r="A157" s="66">
        <v>12</v>
      </c>
      <c r="B157" s="158">
        <v>41395</v>
      </c>
      <c r="C157" s="84">
        <v>-8388166.41556725</v>
      </c>
      <c r="D157" s="134">
        <f>SUM($C$153:C157)</f>
        <v>-36883529.043465666</v>
      </c>
      <c r="E157" s="84"/>
      <c r="F157" s="84">
        <f t="shared" si="206"/>
        <v>-20000000</v>
      </c>
      <c r="G157" s="84">
        <f t="shared" si="207"/>
        <v>-16883529.043465666</v>
      </c>
      <c r="H157" s="84">
        <f t="shared" si="208"/>
        <v>0</v>
      </c>
      <c r="I157" s="84">
        <f t="shared" si="209"/>
        <v>0</v>
      </c>
      <c r="J157" s="84">
        <f t="shared" si="210"/>
        <v>-8441764.5217328332</v>
      </c>
      <c r="K157" s="84">
        <f t="shared" si="211"/>
        <v>0</v>
      </c>
      <c r="L157" s="84">
        <f t="shared" si="212"/>
        <v>0</v>
      </c>
      <c r="M157" s="92">
        <f t="shared" si="213"/>
        <v>-5791815.7559154052</v>
      </c>
      <c r="N157" s="92">
        <v>0</v>
      </c>
      <c r="O157" s="84">
        <f t="shared" si="214"/>
        <v>-5791815.7559154052</v>
      </c>
      <c r="P157" s="84">
        <f t="shared" si="222"/>
        <v>-4194083.2077836264</v>
      </c>
      <c r="Q157" s="84"/>
      <c r="R157" s="101"/>
      <c r="S157" s="84">
        <f t="shared" si="215"/>
        <v>-20000000</v>
      </c>
      <c r="T157" s="84">
        <f t="shared" si="216"/>
        <v>-8441764.5217328332</v>
      </c>
      <c r="U157" s="157">
        <f t="shared" si="217"/>
        <v>0</v>
      </c>
      <c r="V157" s="157">
        <f t="shared" si="218"/>
        <v>0</v>
      </c>
      <c r="W157" s="84"/>
      <c r="X157" s="84"/>
      <c r="Y157" s="84"/>
      <c r="Z157" s="84"/>
      <c r="AA157" s="84">
        <f t="shared" si="219"/>
        <v>-28817402.414077479</v>
      </c>
      <c r="AB157" s="92">
        <v>0</v>
      </c>
      <c r="AC157" s="92">
        <f t="shared" si="220"/>
        <v>-28817402.414077479</v>
      </c>
      <c r="AD157" s="92">
        <v>0</v>
      </c>
      <c r="AE157" s="84">
        <f t="shared" si="221"/>
        <v>-28817402.414077479</v>
      </c>
      <c r="AF157" s="84">
        <f t="shared" si="223"/>
        <v>-4194083.2077836283</v>
      </c>
    </row>
    <row r="158" spans="1:32" x14ac:dyDescent="0.25">
      <c r="A158" s="66">
        <v>12</v>
      </c>
      <c r="B158" s="158">
        <v>41426</v>
      </c>
      <c r="C158" s="84">
        <v>-2131025.8530082204</v>
      </c>
      <c r="D158" s="134">
        <f>SUM($C$153:C158)</f>
        <v>-39014554.896473885</v>
      </c>
      <c r="E158" s="84"/>
      <c r="F158" s="84">
        <f t="shared" si="206"/>
        <v>-20000000</v>
      </c>
      <c r="G158" s="84">
        <f t="shared" si="207"/>
        <v>-19014554.896473885</v>
      </c>
      <c r="H158" s="84">
        <f t="shared" si="208"/>
        <v>0</v>
      </c>
      <c r="I158" s="84">
        <f t="shared" si="209"/>
        <v>0</v>
      </c>
      <c r="J158" s="84">
        <f t="shared" si="210"/>
        <v>-9507277.4482369423</v>
      </c>
      <c r="K158" s="84">
        <f t="shared" si="211"/>
        <v>0</v>
      </c>
      <c r="L158" s="84">
        <f t="shared" si="212"/>
        <v>0</v>
      </c>
      <c r="M158" s="92">
        <f t="shared" si="213"/>
        <v>-6857328.6824195143</v>
      </c>
      <c r="N158" s="92">
        <v>0</v>
      </c>
      <c r="O158" s="84">
        <f t="shared" si="214"/>
        <v>-6857328.6824195143</v>
      </c>
      <c r="P158" s="84">
        <f t="shared" si="222"/>
        <v>-1065512.9265041091</v>
      </c>
      <c r="Q158" s="84"/>
      <c r="R158" s="101"/>
      <c r="S158" s="84">
        <f t="shared" si="215"/>
        <v>-20000000</v>
      </c>
      <c r="T158" s="84">
        <f t="shared" si="216"/>
        <v>-9507277.4482369423</v>
      </c>
      <c r="U158" s="157">
        <f t="shared" si="217"/>
        <v>0</v>
      </c>
      <c r="V158" s="157">
        <f t="shared" si="218"/>
        <v>0</v>
      </c>
      <c r="W158" s="84"/>
      <c r="X158" s="84"/>
      <c r="Y158" s="84"/>
      <c r="Z158" s="84"/>
      <c r="AA158" s="84">
        <f t="shared" si="219"/>
        <v>-29882915.340581588</v>
      </c>
      <c r="AB158" s="92">
        <v>0</v>
      </c>
      <c r="AC158" s="92">
        <f t="shared" si="220"/>
        <v>-29882915.340581588</v>
      </c>
      <c r="AD158" s="92">
        <v>0</v>
      </c>
      <c r="AE158" s="84">
        <f t="shared" si="221"/>
        <v>-29882915.340581588</v>
      </c>
      <c r="AF158" s="84">
        <f t="shared" si="223"/>
        <v>-1065512.9265041091</v>
      </c>
    </row>
    <row r="159" spans="1:32" x14ac:dyDescent="0.25">
      <c r="A159" s="66">
        <v>12</v>
      </c>
      <c r="B159" s="158">
        <v>41456</v>
      </c>
      <c r="C159" s="84">
        <v>-6475218.6061040862</v>
      </c>
      <c r="D159" s="134">
        <f>SUM($C$153:C159)</f>
        <v>-45489773.502577968</v>
      </c>
      <c r="E159" s="84"/>
      <c r="F159" s="84">
        <f t="shared" si="206"/>
        <v>-20000000</v>
      </c>
      <c r="G159" s="84">
        <f t="shared" si="207"/>
        <v>-20000000</v>
      </c>
      <c r="H159" s="84">
        <f t="shared" si="208"/>
        <v>-5489773.5025779679</v>
      </c>
      <c r="I159" s="84">
        <f t="shared" si="209"/>
        <v>0</v>
      </c>
      <c r="J159" s="84">
        <f t="shared" si="210"/>
        <v>-10000000</v>
      </c>
      <c r="K159" s="84">
        <f t="shared" si="211"/>
        <v>-4940796.1523201717</v>
      </c>
      <c r="L159" s="84">
        <f t="shared" si="212"/>
        <v>0</v>
      </c>
      <c r="M159" s="92">
        <f t="shared" si="213"/>
        <v>-12290847.386502745</v>
      </c>
      <c r="N159" s="92">
        <v>0</v>
      </c>
      <c r="O159" s="84">
        <f t="shared" si="214"/>
        <v>-12290847.386502745</v>
      </c>
      <c r="P159" s="84">
        <f t="shared" si="222"/>
        <v>-5433518.7040832303</v>
      </c>
      <c r="Q159" s="84"/>
      <c r="R159" s="101"/>
      <c r="S159" s="84">
        <f t="shared" si="215"/>
        <v>-20000000</v>
      </c>
      <c r="T159" s="84">
        <f t="shared" si="216"/>
        <v>-10000000</v>
      </c>
      <c r="U159" s="157">
        <f t="shared" si="217"/>
        <v>-548977.35025779624</v>
      </c>
      <c r="V159" s="157">
        <f t="shared" si="218"/>
        <v>0</v>
      </c>
      <c r="W159" s="84"/>
      <c r="X159" s="84"/>
      <c r="Y159" s="84"/>
      <c r="Z159" s="84"/>
      <c r="AA159" s="84">
        <f t="shared" si="219"/>
        <v>-30924615.242602441</v>
      </c>
      <c r="AB159" s="92">
        <v>0</v>
      </c>
      <c r="AC159" s="92">
        <f t="shared" si="220"/>
        <v>-30924615.242602441</v>
      </c>
      <c r="AD159" s="92">
        <v>0</v>
      </c>
      <c r="AE159" s="84">
        <f t="shared" si="221"/>
        <v>-30924615.242602441</v>
      </c>
      <c r="AF159" s="84">
        <f t="shared" si="223"/>
        <v>-1041699.902020853</v>
      </c>
    </row>
    <row r="160" spans="1:32" x14ac:dyDescent="0.25">
      <c r="A160" s="66">
        <v>12</v>
      </c>
      <c r="B160" s="158">
        <v>41487</v>
      </c>
      <c r="C160" s="84">
        <v>-3489189.3505129591</v>
      </c>
      <c r="D160" s="134">
        <f>SUM($C$153:C160)</f>
        <v>-48978962.853090927</v>
      </c>
      <c r="E160" s="84"/>
      <c r="F160" s="84">
        <f t="shared" si="206"/>
        <v>-20000000</v>
      </c>
      <c r="G160" s="84">
        <f t="shared" si="207"/>
        <v>-20000000</v>
      </c>
      <c r="H160" s="84">
        <f t="shared" si="208"/>
        <v>-8978962.853090927</v>
      </c>
      <c r="I160" s="84">
        <f t="shared" si="209"/>
        <v>0</v>
      </c>
      <c r="J160" s="84">
        <f t="shared" si="210"/>
        <v>-10000000</v>
      </c>
      <c r="K160" s="84">
        <f t="shared" si="211"/>
        <v>-8081066.5677818349</v>
      </c>
      <c r="L160" s="84">
        <f t="shared" si="212"/>
        <v>0</v>
      </c>
      <c r="M160" s="92">
        <f t="shared" si="213"/>
        <v>-15431117.801964408</v>
      </c>
      <c r="N160" s="92">
        <v>0</v>
      </c>
      <c r="O160" s="84">
        <f t="shared" si="214"/>
        <v>-15431117.801964408</v>
      </c>
      <c r="P160" s="84">
        <f t="shared" si="222"/>
        <v>-3140270.4154616632</v>
      </c>
      <c r="Q160" s="84"/>
      <c r="R160" s="101"/>
      <c r="S160" s="84">
        <f t="shared" si="215"/>
        <v>-20000000</v>
      </c>
      <c r="T160" s="84">
        <f t="shared" si="216"/>
        <v>-10000000</v>
      </c>
      <c r="U160" s="157">
        <f t="shared" si="217"/>
        <v>-897896.28530909214</v>
      </c>
      <c r="V160" s="157">
        <f t="shared" si="218"/>
        <v>0</v>
      </c>
      <c r="W160" s="84"/>
      <c r="X160" s="84"/>
      <c r="Y160" s="84"/>
      <c r="Z160" s="84"/>
      <c r="AA160" s="84">
        <f t="shared" si="219"/>
        <v>-31273534.177653737</v>
      </c>
      <c r="AB160" s="92">
        <v>0</v>
      </c>
      <c r="AC160" s="92">
        <f t="shared" si="220"/>
        <v>-31273534.177653737</v>
      </c>
      <c r="AD160" s="92">
        <v>0</v>
      </c>
      <c r="AE160" s="84">
        <f t="shared" si="221"/>
        <v>-31273534.177653737</v>
      </c>
      <c r="AF160" s="84">
        <f t="shared" si="223"/>
        <v>-348918.93505129591</v>
      </c>
    </row>
    <row r="161" spans="1:32" x14ac:dyDescent="0.25">
      <c r="A161" s="66">
        <v>12</v>
      </c>
      <c r="B161" s="158">
        <v>41518</v>
      </c>
      <c r="C161" s="84">
        <v>-2441642.1902236114</v>
      </c>
      <c r="D161" s="134">
        <f>SUM($C$153:C161)</f>
        <v>-51420605.043314539</v>
      </c>
      <c r="E161" s="84"/>
      <c r="F161" s="84">
        <f t="shared" si="206"/>
        <v>-20000000</v>
      </c>
      <c r="G161" s="84">
        <f t="shared" si="207"/>
        <v>-20000000</v>
      </c>
      <c r="H161" s="84">
        <f t="shared" si="208"/>
        <v>-11420605.043314539</v>
      </c>
      <c r="I161" s="84">
        <f t="shared" si="209"/>
        <v>0</v>
      </c>
      <c r="J161" s="84">
        <f t="shared" si="210"/>
        <v>-10000000</v>
      </c>
      <c r="K161" s="84">
        <f t="shared" si="211"/>
        <v>-10278544.538983086</v>
      </c>
      <c r="L161" s="84">
        <f t="shared" si="212"/>
        <v>0</v>
      </c>
      <c r="M161" s="92">
        <f t="shared" si="213"/>
        <v>-17628595.773165658</v>
      </c>
      <c r="N161" s="92">
        <v>0</v>
      </c>
      <c r="O161" s="84">
        <f t="shared" si="214"/>
        <v>-17628595.773165658</v>
      </c>
      <c r="P161" s="84">
        <f t="shared" si="222"/>
        <v>-2197477.9712012503</v>
      </c>
      <c r="Q161" s="84"/>
      <c r="R161" s="101"/>
      <c r="S161" s="84">
        <f t="shared" si="215"/>
        <v>-20000000</v>
      </c>
      <c r="T161" s="84">
        <f t="shared" si="216"/>
        <v>-10000000</v>
      </c>
      <c r="U161" s="157">
        <f t="shared" si="217"/>
        <v>-1142060.5043314528</v>
      </c>
      <c r="V161" s="157">
        <f t="shared" si="218"/>
        <v>0</v>
      </c>
      <c r="W161" s="84"/>
      <c r="X161" s="84"/>
      <c r="Y161" s="84"/>
      <c r="Z161" s="84"/>
      <c r="AA161" s="84">
        <f t="shared" si="219"/>
        <v>-31517698.396676101</v>
      </c>
      <c r="AB161" s="92">
        <v>0</v>
      </c>
      <c r="AC161" s="92">
        <f t="shared" si="220"/>
        <v>-31517698.396676101</v>
      </c>
      <c r="AD161" s="92">
        <v>0</v>
      </c>
      <c r="AE161" s="84">
        <f t="shared" si="221"/>
        <v>-31517698.396676101</v>
      </c>
      <c r="AF161" s="84">
        <f t="shared" si="223"/>
        <v>-244164.21902236342</v>
      </c>
    </row>
    <row r="162" spans="1:32" ht="14.25" customHeight="1" x14ac:dyDescent="0.25">
      <c r="A162" s="66">
        <v>12</v>
      </c>
      <c r="B162" s="158">
        <v>41548</v>
      </c>
      <c r="C162" s="84">
        <v>-2278910.1669179043</v>
      </c>
      <c r="D162" s="134">
        <f>SUM($C$153:C162)</f>
        <v>-53699515.210232444</v>
      </c>
      <c r="E162" s="84"/>
      <c r="F162" s="84">
        <f t="shared" si="206"/>
        <v>-20000000</v>
      </c>
      <c r="G162" s="84">
        <f t="shared" si="207"/>
        <v>-20000000</v>
      </c>
      <c r="H162" s="84">
        <f t="shared" si="208"/>
        <v>-13699515.210232444</v>
      </c>
      <c r="I162" s="84">
        <f t="shared" si="209"/>
        <v>0</v>
      </c>
      <c r="J162" s="84">
        <f t="shared" si="210"/>
        <v>-10000000</v>
      </c>
      <c r="K162" s="84">
        <f t="shared" si="211"/>
        <v>-12329563.6892092</v>
      </c>
      <c r="L162" s="84">
        <f t="shared" si="212"/>
        <v>0</v>
      </c>
      <c r="M162" s="92">
        <f t="shared" si="213"/>
        <v>-19679614.923391774</v>
      </c>
      <c r="N162" s="92">
        <v>0</v>
      </c>
      <c r="O162" s="84">
        <f t="shared" si="214"/>
        <v>-19679614.923391774</v>
      </c>
      <c r="P162" s="84">
        <f t="shared" si="222"/>
        <v>-2051019.1502261162</v>
      </c>
      <c r="Q162" s="84"/>
      <c r="R162" s="101"/>
      <c r="S162" s="84">
        <f t="shared" si="215"/>
        <v>-20000000</v>
      </c>
      <c r="T162" s="84">
        <f t="shared" si="216"/>
        <v>-10000000</v>
      </c>
      <c r="U162" s="157">
        <f t="shared" si="217"/>
        <v>-1369951.5210232437</v>
      </c>
      <c r="V162" s="157">
        <f t="shared" si="218"/>
        <v>0</v>
      </c>
      <c r="W162" s="84"/>
      <c r="X162" s="84"/>
      <c r="Y162" s="84"/>
      <c r="Z162" s="84"/>
      <c r="AA162" s="84">
        <f t="shared" si="219"/>
        <v>-31745589.41336789</v>
      </c>
      <c r="AB162" s="92">
        <v>0</v>
      </c>
      <c r="AC162" s="92">
        <f t="shared" si="220"/>
        <v>-31745589.41336789</v>
      </c>
      <c r="AD162" s="92">
        <v>0</v>
      </c>
      <c r="AE162" s="84">
        <f t="shared" si="221"/>
        <v>-31745589.41336789</v>
      </c>
      <c r="AF162" s="84">
        <f t="shared" si="223"/>
        <v>-227891.01669178903</v>
      </c>
    </row>
    <row r="163" spans="1:32" x14ac:dyDescent="0.25">
      <c r="A163" s="66">
        <v>12</v>
      </c>
      <c r="B163" s="158">
        <v>41579</v>
      </c>
      <c r="C163" s="84">
        <v>11501613.403174927</v>
      </c>
      <c r="D163" s="134">
        <f>SUM($C$153:C163)</f>
        <v>-42197901.807057515</v>
      </c>
      <c r="E163" s="84"/>
      <c r="F163" s="84">
        <f t="shared" si="206"/>
        <v>-20000000</v>
      </c>
      <c r="G163" s="84">
        <f t="shared" si="207"/>
        <v>-20000000</v>
      </c>
      <c r="H163" s="84">
        <f t="shared" si="208"/>
        <v>-2197901.8070575148</v>
      </c>
      <c r="I163" s="84">
        <f t="shared" si="209"/>
        <v>0</v>
      </c>
      <c r="J163" s="84">
        <f t="shared" si="210"/>
        <v>-10000000</v>
      </c>
      <c r="K163" s="84">
        <f t="shared" si="211"/>
        <v>-1978111.6263517633</v>
      </c>
      <c r="L163" s="84">
        <f t="shared" si="212"/>
        <v>0</v>
      </c>
      <c r="M163" s="92">
        <f t="shared" si="213"/>
        <v>-9328162.8605343346</v>
      </c>
      <c r="N163" s="92">
        <v>0</v>
      </c>
      <c r="O163" s="84">
        <f t="shared" si="214"/>
        <v>-9328162.8605343346</v>
      </c>
      <c r="P163" s="84">
        <f t="shared" si="222"/>
        <v>10351452.06285744</v>
      </c>
      <c r="Q163" s="84"/>
      <c r="R163" s="101"/>
      <c r="S163" s="84">
        <f t="shared" si="215"/>
        <v>-20000000</v>
      </c>
      <c r="T163" s="84">
        <f t="shared" si="216"/>
        <v>-10000000</v>
      </c>
      <c r="U163" s="157">
        <f t="shared" si="217"/>
        <v>-219790.18070575153</v>
      </c>
      <c r="V163" s="157">
        <f t="shared" si="218"/>
        <v>0</v>
      </c>
      <c r="W163" s="84"/>
      <c r="X163" s="84"/>
      <c r="Y163" s="84"/>
      <c r="Z163" s="84"/>
      <c r="AA163" s="84">
        <f t="shared" si="219"/>
        <v>-30595428.073050398</v>
      </c>
      <c r="AB163" s="92">
        <v>0</v>
      </c>
      <c r="AC163" s="92">
        <f t="shared" si="220"/>
        <v>-30595428.073050398</v>
      </c>
      <c r="AD163" s="92">
        <v>0</v>
      </c>
      <c r="AE163" s="84">
        <f t="shared" si="221"/>
        <v>-30595428.073050398</v>
      </c>
      <c r="AF163" s="84">
        <f t="shared" si="223"/>
        <v>1150161.3403174914</v>
      </c>
    </row>
    <row r="164" spans="1:32" x14ac:dyDescent="0.25">
      <c r="A164" s="66">
        <v>12</v>
      </c>
      <c r="B164" s="158">
        <v>41609</v>
      </c>
      <c r="C164" s="84">
        <v>4159019.151226785</v>
      </c>
      <c r="D164" s="134">
        <f>SUM($C$153:C164)</f>
        <v>-38038882.655830726</v>
      </c>
      <c r="E164" s="84"/>
      <c r="F164" s="84">
        <f t="shared" si="206"/>
        <v>-20000000</v>
      </c>
      <c r="G164" s="84">
        <f t="shared" si="207"/>
        <v>-18038882.655830726</v>
      </c>
      <c r="H164" s="84">
        <f t="shared" si="208"/>
        <v>0</v>
      </c>
      <c r="I164" s="84">
        <f t="shared" si="209"/>
        <v>0</v>
      </c>
      <c r="J164" s="84">
        <f t="shared" si="210"/>
        <v>-9019441.327915363</v>
      </c>
      <c r="K164" s="84">
        <f t="shared" si="211"/>
        <v>0</v>
      </c>
      <c r="L164" s="84">
        <f t="shared" si="212"/>
        <v>0</v>
      </c>
      <c r="M164" s="92">
        <f t="shared" si="213"/>
        <v>-6369492.562097935</v>
      </c>
      <c r="N164" s="92">
        <v>0</v>
      </c>
      <c r="O164" s="84">
        <f t="shared" si="214"/>
        <v>-6369492.562097935</v>
      </c>
      <c r="P164" s="84">
        <f t="shared" si="222"/>
        <v>2958670.2984363995</v>
      </c>
      <c r="Q164" s="84"/>
      <c r="R164" s="101"/>
      <c r="S164" s="84">
        <f t="shared" si="215"/>
        <v>-20000000</v>
      </c>
      <c r="T164" s="84">
        <f t="shared" si="216"/>
        <v>-9019441.327915363</v>
      </c>
      <c r="U164" s="157">
        <f t="shared" si="217"/>
        <v>0</v>
      </c>
      <c r="V164" s="157">
        <f t="shared" si="218"/>
        <v>0</v>
      </c>
      <c r="W164" s="84"/>
      <c r="X164" s="84"/>
      <c r="Y164" s="84"/>
      <c r="Z164" s="84"/>
      <c r="AA164" s="84">
        <f t="shared" si="219"/>
        <v>-29395079.220260009</v>
      </c>
      <c r="AB164" s="92">
        <v>0</v>
      </c>
      <c r="AC164" s="92">
        <f t="shared" si="220"/>
        <v>-29395079.220260009</v>
      </c>
      <c r="AD164" s="92">
        <v>0</v>
      </c>
      <c r="AE164" s="84">
        <f t="shared" si="221"/>
        <v>-29395079.220260009</v>
      </c>
      <c r="AF164" s="84">
        <f t="shared" si="223"/>
        <v>1200348.8527903892</v>
      </c>
    </row>
    <row r="165" spans="1:32" x14ac:dyDescent="0.25">
      <c r="A165" s="66"/>
      <c r="B165" s="158"/>
      <c r="C165" s="84"/>
      <c r="D165" s="134"/>
      <c r="E165" s="84"/>
      <c r="F165" s="84"/>
      <c r="G165" s="84"/>
      <c r="H165" s="84"/>
      <c r="I165" s="84"/>
      <c r="J165" s="84"/>
      <c r="K165" s="84"/>
      <c r="L165" s="84"/>
      <c r="M165" s="92"/>
      <c r="N165" s="92"/>
      <c r="O165" s="84"/>
      <c r="P165" s="84"/>
      <c r="Q165" s="84"/>
      <c r="R165" s="101"/>
      <c r="S165" s="84"/>
      <c r="T165" s="84"/>
      <c r="U165" s="157"/>
      <c r="V165" s="157"/>
      <c r="W165" s="84"/>
      <c r="X165" s="84"/>
      <c r="Y165" s="84"/>
      <c r="Z165" s="84"/>
      <c r="AA165" s="84"/>
      <c r="AB165" s="92"/>
      <c r="AC165" s="92"/>
      <c r="AD165" s="92"/>
      <c r="AE165" s="84"/>
      <c r="AF165" s="84"/>
    </row>
    <row r="166" spans="1:32" x14ac:dyDescent="0.25">
      <c r="A166" s="66">
        <v>13</v>
      </c>
      <c r="B166" s="158">
        <v>41640</v>
      </c>
      <c r="C166" s="84">
        <v>360305.75278959831</v>
      </c>
      <c r="D166" s="134">
        <f>C166</f>
        <v>360305.75278959831</v>
      </c>
      <c r="E166" s="84"/>
      <c r="F166" s="84">
        <f t="shared" ref="F166:F177" si="224">IF(ABS(D166)&gt;+$F$10,IF(D166&lt;0,-$F$10,+$F$10),+D166)</f>
        <v>360305.75278959831</v>
      </c>
      <c r="G166" s="84">
        <f t="shared" ref="G166:G177" si="225">IF(ABS(D166)-ABS(F166)&gt;=$G$10,IF(D166&lt;=0,-$G$10,+$G$10),+D166-F166)</f>
        <v>0</v>
      </c>
      <c r="H166" s="84">
        <f t="shared" ref="H166:H177" si="226">IF(ABS(+D166)-ABS(SUM(F166:G166))&gt;=$H$10,IF(D166&lt;=0,-$H$10,+$H$10),+D166-SUM(F166:G166))</f>
        <v>0</v>
      </c>
      <c r="I166" s="84">
        <f t="shared" ref="I166:I177" si="227">IF(ABS(+D166)-ABS(SUM(F166:H166))&gt;=$I$10,IF(D166&lt;=0,$D166-SUM($F166:$H166),$D166-SUM($F166:$H166)),D166-SUM(F166:H166))</f>
        <v>0</v>
      </c>
      <c r="J166" s="84">
        <f t="shared" ref="J166:J177" si="228">+G166*$C$278</f>
        <v>0</v>
      </c>
      <c r="K166" s="84">
        <f t="shared" ref="K166:K177" si="229">+H166*$C$279</f>
        <v>0</v>
      </c>
      <c r="L166" s="84">
        <f t="shared" ref="L166:L177" si="230">+I166*$C$280</f>
        <v>0</v>
      </c>
      <c r="M166" s="92">
        <f t="shared" ref="M166:M177" si="231">SUM(J166:L166)+$M$164</f>
        <v>-6369492.562097935</v>
      </c>
      <c r="N166" s="92">
        <v>0</v>
      </c>
      <c r="O166" s="84">
        <f t="shared" ref="O166:O177" si="232">M166+N166</f>
        <v>-6369492.562097935</v>
      </c>
      <c r="P166" s="84">
        <f>O166-O164</f>
        <v>0</v>
      </c>
      <c r="Q166" s="84"/>
      <c r="R166" s="101"/>
      <c r="S166" s="84">
        <f t="shared" ref="S166:S177" si="233">+F166</f>
        <v>360305.75278959831</v>
      </c>
      <c r="T166" s="84">
        <f t="shared" ref="T166:T177" si="234">+G166-J166</f>
        <v>0</v>
      </c>
      <c r="U166" s="157">
        <f t="shared" ref="U166:U177" si="235">+H166-K166</f>
        <v>0</v>
      </c>
      <c r="V166" s="157">
        <f t="shared" ref="V166:V177" si="236">+I166-L166</f>
        <v>0</v>
      </c>
      <c r="W166" s="84"/>
      <c r="X166" s="84"/>
      <c r="Y166" s="84"/>
      <c r="Z166" s="84"/>
      <c r="AA166" s="84">
        <f t="shared" ref="AA166:AA177" si="237">SUM(S166:V166)+$AA$164</f>
        <v>-29034773.467470411</v>
      </c>
      <c r="AB166" s="92">
        <v>0</v>
      </c>
      <c r="AC166" s="92">
        <f t="shared" ref="AC166:AC177" si="238">AA166-AB166</f>
        <v>-29034773.467470411</v>
      </c>
      <c r="AD166" s="92">
        <v>0</v>
      </c>
      <c r="AE166" s="84">
        <f t="shared" ref="AE166:AE177" si="239">AA166-AB166+AD166</f>
        <v>-29034773.467470411</v>
      </c>
      <c r="AF166" s="84">
        <f>AE166-AE164</f>
        <v>360305.75278959796</v>
      </c>
    </row>
    <row r="167" spans="1:32" x14ac:dyDescent="0.25">
      <c r="A167" s="66">
        <v>13</v>
      </c>
      <c r="B167" s="158">
        <v>41671</v>
      </c>
      <c r="C167" s="84">
        <v>20119592.062262286</v>
      </c>
      <c r="D167" s="134">
        <f>SUM($C$166:C167)</f>
        <v>20479897.815051883</v>
      </c>
      <c r="E167" s="84"/>
      <c r="F167" s="84">
        <f t="shared" si="224"/>
        <v>20000000</v>
      </c>
      <c r="G167" s="84">
        <f t="shared" si="225"/>
        <v>479897.81505188346</v>
      </c>
      <c r="H167" s="84">
        <f t="shared" si="226"/>
        <v>0</v>
      </c>
      <c r="I167" s="84">
        <f t="shared" si="227"/>
        <v>0</v>
      </c>
      <c r="J167" s="84">
        <f t="shared" si="228"/>
        <v>239948.90752594173</v>
      </c>
      <c r="K167" s="84">
        <f t="shared" si="229"/>
        <v>0</v>
      </c>
      <c r="L167" s="84">
        <f t="shared" si="230"/>
        <v>0</v>
      </c>
      <c r="M167" s="92">
        <f t="shared" si="231"/>
        <v>-6129543.6545719933</v>
      </c>
      <c r="N167" s="92">
        <v>0</v>
      </c>
      <c r="O167" s="84">
        <f t="shared" si="232"/>
        <v>-6129543.6545719933</v>
      </c>
      <c r="P167" s="84">
        <f t="shared" ref="P167:P177" si="240">O167-O166</f>
        <v>239948.90752594173</v>
      </c>
      <c r="Q167" s="84"/>
      <c r="R167" s="101"/>
      <c r="S167" s="84">
        <f t="shared" si="233"/>
        <v>20000000</v>
      </c>
      <c r="T167" s="84">
        <f t="shared" si="234"/>
        <v>239948.90752594173</v>
      </c>
      <c r="U167" s="157">
        <f t="shared" si="235"/>
        <v>0</v>
      </c>
      <c r="V167" s="157">
        <f t="shared" si="236"/>
        <v>0</v>
      </c>
      <c r="W167" s="84"/>
      <c r="X167" s="84"/>
      <c r="Y167" s="84"/>
      <c r="Z167" s="84"/>
      <c r="AA167" s="84">
        <f t="shared" si="237"/>
        <v>-9155130.3127340674</v>
      </c>
      <c r="AB167" s="92">
        <v>0</v>
      </c>
      <c r="AC167" s="92">
        <f t="shared" si="238"/>
        <v>-9155130.3127340674</v>
      </c>
      <c r="AD167" s="92">
        <v>0</v>
      </c>
      <c r="AE167" s="84">
        <f t="shared" si="239"/>
        <v>-9155130.3127340674</v>
      </c>
      <c r="AF167" s="84">
        <f t="shared" ref="AF167:AF177" si="241">AE167-AE166</f>
        <v>19879643.154736344</v>
      </c>
    </row>
    <row r="168" spans="1:32" x14ac:dyDescent="0.25">
      <c r="A168" s="66">
        <v>13</v>
      </c>
      <c r="B168" s="158">
        <v>41699</v>
      </c>
      <c r="C168" s="84">
        <v>-1581650.6015249803</v>
      </c>
      <c r="D168" s="134">
        <f>SUM($C$166:C168)</f>
        <v>18898247.213526905</v>
      </c>
      <c r="E168" s="84"/>
      <c r="F168" s="84">
        <f t="shared" si="224"/>
        <v>18898247.213526905</v>
      </c>
      <c r="G168" s="84">
        <f t="shared" si="225"/>
        <v>0</v>
      </c>
      <c r="H168" s="84">
        <f t="shared" si="226"/>
        <v>0</v>
      </c>
      <c r="I168" s="84">
        <f t="shared" si="227"/>
        <v>0</v>
      </c>
      <c r="J168" s="92">
        <f t="shared" si="228"/>
        <v>0</v>
      </c>
      <c r="K168" s="84">
        <f t="shared" si="229"/>
        <v>0</v>
      </c>
      <c r="L168" s="84">
        <f t="shared" si="230"/>
        <v>0</v>
      </c>
      <c r="M168" s="92">
        <f t="shared" si="231"/>
        <v>-6369492.562097935</v>
      </c>
      <c r="N168" s="92">
        <v>0</v>
      </c>
      <c r="O168" s="84">
        <f t="shared" si="232"/>
        <v>-6369492.562097935</v>
      </c>
      <c r="P168" s="84">
        <f t="shared" si="240"/>
        <v>-239948.90752594173</v>
      </c>
      <c r="Q168" s="84"/>
      <c r="R168" s="101"/>
      <c r="S168" s="84">
        <f t="shared" si="233"/>
        <v>18898247.213526905</v>
      </c>
      <c r="T168" s="84">
        <f t="shared" si="234"/>
        <v>0</v>
      </c>
      <c r="U168" s="157">
        <f t="shared" si="235"/>
        <v>0</v>
      </c>
      <c r="V168" s="157">
        <f t="shared" si="236"/>
        <v>0</v>
      </c>
      <c r="W168" s="84"/>
      <c r="X168" s="84"/>
      <c r="Y168" s="84"/>
      <c r="Z168" s="84"/>
      <c r="AA168" s="84">
        <f t="shared" si="237"/>
        <v>-10496832.006733105</v>
      </c>
      <c r="AB168" s="92">
        <v>0</v>
      </c>
      <c r="AC168" s="92">
        <f t="shared" si="238"/>
        <v>-10496832.006733105</v>
      </c>
      <c r="AD168" s="92">
        <v>0</v>
      </c>
      <c r="AE168" s="84">
        <f t="shared" si="239"/>
        <v>-10496832.006733105</v>
      </c>
      <c r="AF168" s="84">
        <f t="shared" si="241"/>
        <v>-1341701.6939990371</v>
      </c>
    </row>
    <row r="169" spans="1:32" x14ac:dyDescent="0.25">
      <c r="A169" s="66">
        <v>13</v>
      </c>
      <c r="B169" s="158">
        <v>41730</v>
      </c>
      <c r="C169" s="84">
        <v>-2452830.534881711</v>
      </c>
      <c r="D169" s="134">
        <f>SUM($C$166:C169)</f>
        <v>16445416.678645194</v>
      </c>
      <c r="E169" s="84"/>
      <c r="F169" s="84">
        <f t="shared" si="224"/>
        <v>16445416.678645194</v>
      </c>
      <c r="G169" s="84">
        <f t="shared" si="225"/>
        <v>0</v>
      </c>
      <c r="H169" s="84">
        <f t="shared" si="226"/>
        <v>0</v>
      </c>
      <c r="I169" s="84">
        <f t="shared" si="227"/>
        <v>0</v>
      </c>
      <c r="J169" s="84">
        <f t="shared" si="228"/>
        <v>0</v>
      </c>
      <c r="K169" s="84">
        <f t="shared" si="229"/>
        <v>0</v>
      </c>
      <c r="L169" s="84">
        <f t="shared" si="230"/>
        <v>0</v>
      </c>
      <c r="M169" s="92">
        <f t="shared" si="231"/>
        <v>-6369492.562097935</v>
      </c>
      <c r="N169" s="92">
        <v>0</v>
      </c>
      <c r="O169" s="84">
        <f t="shared" si="232"/>
        <v>-6369492.562097935</v>
      </c>
      <c r="P169" s="84">
        <f t="shared" si="240"/>
        <v>0</v>
      </c>
      <c r="Q169" s="84"/>
      <c r="R169" s="101"/>
      <c r="S169" s="84">
        <f t="shared" si="233"/>
        <v>16445416.678645194</v>
      </c>
      <c r="T169" s="84">
        <f t="shared" si="234"/>
        <v>0</v>
      </c>
      <c r="U169" s="157">
        <f t="shared" si="235"/>
        <v>0</v>
      </c>
      <c r="V169" s="157">
        <f t="shared" si="236"/>
        <v>0</v>
      </c>
      <c r="W169" s="84"/>
      <c r="X169" s="84"/>
      <c r="Y169" s="84"/>
      <c r="Z169" s="84"/>
      <c r="AA169" s="84">
        <f t="shared" si="237"/>
        <v>-12949662.541614816</v>
      </c>
      <c r="AB169" s="92">
        <v>0</v>
      </c>
      <c r="AC169" s="92">
        <f t="shared" si="238"/>
        <v>-12949662.541614816</v>
      </c>
      <c r="AD169" s="92">
        <v>0</v>
      </c>
      <c r="AE169" s="84">
        <f t="shared" si="239"/>
        <v>-12949662.541614816</v>
      </c>
      <c r="AF169" s="84">
        <f t="shared" si="241"/>
        <v>-2452830.534881711</v>
      </c>
    </row>
    <row r="170" spans="1:32" x14ac:dyDescent="0.25">
      <c r="A170" s="66">
        <v>13</v>
      </c>
      <c r="B170" s="158">
        <v>41760</v>
      </c>
      <c r="C170" s="84">
        <v>3090638.3667790224</v>
      </c>
      <c r="D170" s="134">
        <f>SUM($C$166:C170)</f>
        <v>19536055.045424215</v>
      </c>
      <c r="E170" s="84"/>
      <c r="F170" s="84">
        <f t="shared" si="224"/>
        <v>19536055.045424215</v>
      </c>
      <c r="G170" s="84">
        <f t="shared" si="225"/>
        <v>0</v>
      </c>
      <c r="H170" s="84">
        <f t="shared" si="226"/>
        <v>0</v>
      </c>
      <c r="I170" s="84">
        <f t="shared" si="227"/>
        <v>0</v>
      </c>
      <c r="J170" s="84">
        <f t="shared" si="228"/>
        <v>0</v>
      </c>
      <c r="K170" s="84">
        <f t="shared" si="229"/>
        <v>0</v>
      </c>
      <c r="L170" s="84">
        <f t="shared" si="230"/>
        <v>0</v>
      </c>
      <c r="M170" s="92">
        <f t="shared" si="231"/>
        <v>-6369492.562097935</v>
      </c>
      <c r="N170" s="92">
        <v>0</v>
      </c>
      <c r="O170" s="84">
        <f t="shared" si="232"/>
        <v>-6369492.562097935</v>
      </c>
      <c r="P170" s="84">
        <f t="shared" si="240"/>
        <v>0</v>
      </c>
      <c r="Q170" s="84"/>
      <c r="R170" s="101"/>
      <c r="S170" s="84">
        <f t="shared" si="233"/>
        <v>19536055.045424215</v>
      </c>
      <c r="T170" s="84">
        <f t="shared" si="234"/>
        <v>0</v>
      </c>
      <c r="U170" s="157">
        <f t="shared" si="235"/>
        <v>0</v>
      </c>
      <c r="V170" s="157">
        <f t="shared" si="236"/>
        <v>0</v>
      </c>
      <c r="W170" s="84"/>
      <c r="X170" s="84"/>
      <c r="Y170" s="84"/>
      <c r="Z170" s="84"/>
      <c r="AA170" s="84">
        <f t="shared" si="237"/>
        <v>-9859024.1748357937</v>
      </c>
      <c r="AB170" s="92">
        <v>0</v>
      </c>
      <c r="AC170" s="92">
        <f t="shared" si="238"/>
        <v>-9859024.1748357937</v>
      </c>
      <c r="AD170" s="92">
        <v>0</v>
      </c>
      <c r="AE170" s="84">
        <f t="shared" si="239"/>
        <v>-9859024.1748357937</v>
      </c>
      <c r="AF170" s="84">
        <f t="shared" si="241"/>
        <v>3090638.3667790219</v>
      </c>
    </row>
    <row r="171" spans="1:32" x14ac:dyDescent="0.25">
      <c r="A171" s="66">
        <v>13</v>
      </c>
      <c r="B171" s="158">
        <v>41791</v>
      </c>
      <c r="C171" s="84">
        <v>-1323912.2819858626</v>
      </c>
      <c r="D171" s="134">
        <f>SUM($C$166:C171)</f>
        <v>18212142.763438351</v>
      </c>
      <c r="E171" s="84"/>
      <c r="F171" s="84">
        <f t="shared" si="224"/>
        <v>18212142.763438351</v>
      </c>
      <c r="G171" s="84">
        <f t="shared" si="225"/>
        <v>0</v>
      </c>
      <c r="H171" s="84">
        <f t="shared" si="226"/>
        <v>0</v>
      </c>
      <c r="I171" s="84">
        <f t="shared" si="227"/>
        <v>0</v>
      </c>
      <c r="J171" s="84">
        <f t="shared" si="228"/>
        <v>0</v>
      </c>
      <c r="K171" s="84">
        <f t="shared" si="229"/>
        <v>0</v>
      </c>
      <c r="L171" s="84">
        <f t="shared" si="230"/>
        <v>0</v>
      </c>
      <c r="M171" s="92">
        <f t="shared" si="231"/>
        <v>-6369492.562097935</v>
      </c>
      <c r="N171" s="92">
        <v>0</v>
      </c>
      <c r="O171" s="84">
        <f t="shared" si="232"/>
        <v>-6369492.562097935</v>
      </c>
      <c r="P171" s="84">
        <f t="shared" si="240"/>
        <v>0</v>
      </c>
      <c r="Q171" s="84"/>
      <c r="R171" s="101"/>
      <c r="S171" s="84">
        <f t="shared" si="233"/>
        <v>18212142.763438351</v>
      </c>
      <c r="T171" s="84">
        <f t="shared" si="234"/>
        <v>0</v>
      </c>
      <c r="U171" s="157">
        <f t="shared" si="235"/>
        <v>0</v>
      </c>
      <c r="V171" s="157">
        <f t="shared" si="236"/>
        <v>0</v>
      </c>
      <c r="W171" s="84"/>
      <c r="X171" s="84"/>
      <c r="Y171" s="84"/>
      <c r="Z171" s="84"/>
      <c r="AA171" s="84">
        <f t="shared" si="237"/>
        <v>-11182936.456821658</v>
      </c>
      <c r="AB171" s="92">
        <v>0</v>
      </c>
      <c r="AC171" s="92">
        <f t="shared" si="238"/>
        <v>-11182936.456821658</v>
      </c>
      <c r="AD171" s="92">
        <v>0</v>
      </c>
      <c r="AE171" s="84">
        <f t="shared" si="239"/>
        <v>-11182936.456821658</v>
      </c>
      <c r="AF171" s="84">
        <f t="shared" si="241"/>
        <v>-1323912.281985864</v>
      </c>
    </row>
    <row r="172" spans="1:32" x14ac:dyDescent="0.25">
      <c r="A172" s="66">
        <v>13</v>
      </c>
      <c r="B172" s="158">
        <v>41821</v>
      </c>
      <c r="C172" s="84">
        <v>-3124286.5873726038</v>
      </c>
      <c r="D172" s="134">
        <f>SUM($C$166:C172)</f>
        <v>15087856.176065747</v>
      </c>
      <c r="E172" s="84"/>
      <c r="F172" s="84">
        <f t="shared" si="224"/>
        <v>15087856.176065747</v>
      </c>
      <c r="G172" s="84">
        <f t="shared" si="225"/>
        <v>0</v>
      </c>
      <c r="H172" s="84">
        <f t="shared" si="226"/>
        <v>0</v>
      </c>
      <c r="I172" s="84">
        <f t="shared" si="227"/>
        <v>0</v>
      </c>
      <c r="J172" s="84">
        <f t="shared" si="228"/>
        <v>0</v>
      </c>
      <c r="K172" s="84">
        <f t="shared" si="229"/>
        <v>0</v>
      </c>
      <c r="L172" s="84">
        <f t="shared" si="230"/>
        <v>0</v>
      </c>
      <c r="M172" s="92">
        <f t="shared" si="231"/>
        <v>-6369492.562097935</v>
      </c>
      <c r="N172" s="92">
        <v>0</v>
      </c>
      <c r="O172" s="84">
        <f t="shared" si="232"/>
        <v>-6369492.562097935</v>
      </c>
      <c r="P172" s="84">
        <f t="shared" si="240"/>
        <v>0</v>
      </c>
      <c r="Q172" s="84"/>
      <c r="R172" s="101"/>
      <c r="S172" s="84">
        <f t="shared" si="233"/>
        <v>15087856.176065747</v>
      </c>
      <c r="T172" s="84">
        <f t="shared" si="234"/>
        <v>0</v>
      </c>
      <c r="U172" s="157">
        <f t="shared" si="235"/>
        <v>0</v>
      </c>
      <c r="V172" s="157">
        <f t="shared" si="236"/>
        <v>0</v>
      </c>
      <c r="W172" s="84"/>
      <c r="X172" s="84"/>
      <c r="Y172" s="84"/>
      <c r="Z172" s="84"/>
      <c r="AA172" s="84">
        <f t="shared" si="237"/>
        <v>-14307223.044194262</v>
      </c>
      <c r="AB172" s="92">
        <v>0</v>
      </c>
      <c r="AC172" s="92">
        <f t="shared" si="238"/>
        <v>-14307223.044194262</v>
      </c>
      <c r="AD172" s="92">
        <v>0</v>
      </c>
      <c r="AE172" s="84">
        <f t="shared" si="239"/>
        <v>-14307223.044194262</v>
      </c>
      <c r="AF172" s="84">
        <f t="shared" si="241"/>
        <v>-3124286.5873726048</v>
      </c>
    </row>
    <row r="173" spans="1:32" x14ac:dyDescent="0.25">
      <c r="A173" s="66">
        <v>13</v>
      </c>
      <c r="B173" s="158">
        <v>41852</v>
      </c>
      <c r="C173" s="84">
        <v>3283244.8514639898</v>
      </c>
      <c r="D173" s="134">
        <f>SUM($C$166:C173)</f>
        <v>18371101.027529735</v>
      </c>
      <c r="E173" s="84"/>
      <c r="F173" s="84">
        <f t="shared" si="224"/>
        <v>18371101.027529735</v>
      </c>
      <c r="G173" s="84">
        <f t="shared" si="225"/>
        <v>0</v>
      </c>
      <c r="H173" s="84">
        <f t="shared" si="226"/>
        <v>0</v>
      </c>
      <c r="I173" s="84">
        <f t="shared" si="227"/>
        <v>0</v>
      </c>
      <c r="J173" s="84">
        <f t="shared" si="228"/>
        <v>0</v>
      </c>
      <c r="K173" s="84">
        <f t="shared" si="229"/>
        <v>0</v>
      </c>
      <c r="L173" s="84">
        <f t="shared" si="230"/>
        <v>0</v>
      </c>
      <c r="M173" s="92">
        <f t="shared" si="231"/>
        <v>-6369492.562097935</v>
      </c>
      <c r="N173" s="92">
        <v>0</v>
      </c>
      <c r="O173" s="84">
        <f t="shared" si="232"/>
        <v>-6369492.562097935</v>
      </c>
      <c r="P173" s="84">
        <f t="shared" si="240"/>
        <v>0</v>
      </c>
      <c r="Q173" s="84"/>
      <c r="R173" s="101"/>
      <c r="S173" s="84">
        <f t="shared" si="233"/>
        <v>18371101.027529735</v>
      </c>
      <c r="T173" s="84">
        <f t="shared" si="234"/>
        <v>0</v>
      </c>
      <c r="U173" s="157">
        <f t="shared" si="235"/>
        <v>0</v>
      </c>
      <c r="V173" s="157">
        <f t="shared" si="236"/>
        <v>0</v>
      </c>
      <c r="W173" s="84"/>
      <c r="X173" s="84"/>
      <c r="Y173" s="84"/>
      <c r="Z173" s="84"/>
      <c r="AA173" s="84">
        <f t="shared" si="237"/>
        <v>-11023978.192730274</v>
      </c>
      <c r="AB173" s="92">
        <v>0</v>
      </c>
      <c r="AC173" s="92">
        <f t="shared" si="238"/>
        <v>-11023978.192730274</v>
      </c>
      <c r="AD173" s="92">
        <v>0</v>
      </c>
      <c r="AE173" s="84">
        <f t="shared" si="239"/>
        <v>-11023978.192730274</v>
      </c>
      <c r="AF173" s="84">
        <f t="shared" si="241"/>
        <v>3283244.8514639884</v>
      </c>
    </row>
    <row r="174" spans="1:32" x14ac:dyDescent="0.25">
      <c r="A174" s="66">
        <v>13</v>
      </c>
      <c r="B174" s="158">
        <v>41883</v>
      </c>
      <c r="C174" s="84">
        <v>9484759.7039686311</v>
      </c>
      <c r="D174" s="134">
        <f>SUM($C$166:C174)</f>
        <v>27855860.731498368</v>
      </c>
      <c r="E174" s="84"/>
      <c r="F174" s="84">
        <f t="shared" si="224"/>
        <v>20000000</v>
      </c>
      <c r="G174" s="84">
        <f t="shared" si="225"/>
        <v>7855860.7314983681</v>
      </c>
      <c r="H174" s="84">
        <f t="shared" si="226"/>
        <v>0</v>
      </c>
      <c r="I174" s="84">
        <f t="shared" si="227"/>
        <v>0</v>
      </c>
      <c r="J174" s="84">
        <f t="shared" si="228"/>
        <v>3927930.365749184</v>
      </c>
      <c r="K174" s="84">
        <f t="shared" si="229"/>
        <v>0</v>
      </c>
      <c r="L174" s="84">
        <f t="shared" si="230"/>
        <v>0</v>
      </c>
      <c r="M174" s="92">
        <f t="shared" si="231"/>
        <v>-2441562.196348751</v>
      </c>
      <c r="N174" s="92">
        <v>0</v>
      </c>
      <c r="O174" s="84">
        <f t="shared" si="232"/>
        <v>-2441562.196348751</v>
      </c>
      <c r="P174" s="84">
        <f t="shared" si="240"/>
        <v>3927930.365749184</v>
      </c>
      <c r="Q174" s="84"/>
      <c r="R174" s="101"/>
      <c r="S174" s="84">
        <f t="shared" si="233"/>
        <v>20000000</v>
      </c>
      <c r="T174" s="84">
        <f t="shared" si="234"/>
        <v>3927930.365749184</v>
      </c>
      <c r="U174" s="157">
        <f t="shared" si="235"/>
        <v>0</v>
      </c>
      <c r="V174" s="157">
        <f t="shared" si="236"/>
        <v>0</v>
      </c>
      <c r="W174" s="84"/>
      <c r="X174" s="84"/>
      <c r="Y174" s="84"/>
      <c r="Z174" s="84"/>
      <c r="AA174" s="84">
        <f t="shared" si="237"/>
        <v>-5467148.8545108251</v>
      </c>
      <c r="AB174" s="92">
        <v>0</v>
      </c>
      <c r="AC174" s="92">
        <f t="shared" si="238"/>
        <v>-5467148.8545108251</v>
      </c>
      <c r="AD174" s="92">
        <v>0</v>
      </c>
      <c r="AE174" s="84">
        <f t="shared" si="239"/>
        <v>-5467148.8545108251</v>
      </c>
      <c r="AF174" s="84">
        <f t="shared" si="241"/>
        <v>5556829.3382194489</v>
      </c>
    </row>
    <row r="175" spans="1:32" ht="14.25" customHeight="1" x14ac:dyDescent="0.25">
      <c r="A175" s="66">
        <v>13</v>
      </c>
      <c r="B175" s="158">
        <v>41913</v>
      </c>
      <c r="C175" s="84">
        <v>5513090.7218888886</v>
      </c>
      <c r="D175" s="134">
        <f>SUM($C$166:C175)</f>
        <v>33368951.453387257</v>
      </c>
      <c r="E175" s="84"/>
      <c r="F175" s="84">
        <f t="shared" si="224"/>
        <v>20000000</v>
      </c>
      <c r="G175" s="84">
        <f t="shared" si="225"/>
        <v>13368951.453387257</v>
      </c>
      <c r="H175" s="84">
        <f t="shared" si="226"/>
        <v>0</v>
      </c>
      <c r="I175" s="84">
        <f t="shared" si="227"/>
        <v>0</v>
      </c>
      <c r="J175" s="84">
        <f t="shared" si="228"/>
        <v>6684475.7266936284</v>
      </c>
      <c r="K175" s="84">
        <f t="shared" si="229"/>
        <v>0</v>
      </c>
      <c r="L175" s="84">
        <f t="shared" si="230"/>
        <v>0</v>
      </c>
      <c r="M175" s="92">
        <f t="shared" si="231"/>
        <v>314983.16459569335</v>
      </c>
      <c r="N175" s="92">
        <v>0</v>
      </c>
      <c r="O175" s="84">
        <f t="shared" si="232"/>
        <v>314983.16459569335</v>
      </c>
      <c r="P175" s="84">
        <f t="shared" si="240"/>
        <v>2756545.3609444443</v>
      </c>
      <c r="Q175" s="84"/>
      <c r="R175" s="101"/>
      <c r="S175" s="84">
        <f t="shared" si="233"/>
        <v>20000000</v>
      </c>
      <c r="T175" s="84">
        <f t="shared" si="234"/>
        <v>6684475.7266936284</v>
      </c>
      <c r="U175" s="157">
        <f t="shared" si="235"/>
        <v>0</v>
      </c>
      <c r="V175" s="157">
        <f t="shared" si="236"/>
        <v>0</v>
      </c>
      <c r="W175" s="84"/>
      <c r="X175" s="84"/>
      <c r="Y175" s="84"/>
      <c r="Z175" s="84"/>
      <c r="AA175" s="84">
        <f t="shared" si="237"/>
        <v>-2710603.493566379</v>
      </c>
      <c r="AB175" s="92">
        <v>0</v>
      </c>
      <c r="AC175" s="92">
        <f t="shared" si="238"/>
        <v>-2710603.493566379</v>
      </c>
      <c r="AD175" s="92">
        <v>0</v>
      </c>
      <c r="AE175" s="84">
        <f t="shared" si="239"/>
        <v>-2710603.493566379</v>
      </c>
      <c r="AF175" s="84">
        <f t="shared" si="241"/>
        <v>2756545.3609444462</v>
      </c>
    </row>
    <row r="176" spans="1:32" x14ac:dyDescent="0.25">
      <c r="A176" s="66">
        <v>13</v>
      </c>
      <c r="B176" s="158">
        <v>41944</v>
      </c>
      <c r="C176" s="84">
        <v>4561170.8938246015</v>
      </c>
      <c r="D176" s="134">
        <f>SUM($C$166:C176)</f>
        <v>37930122.34721186</v>
      </c>
      <c r="E176" s="84"/>
      <c r="F176" s="84">
        <f t="shared" si="224"/>
        <v>20000000</v>
      </c>
      <c r="G176" s="84">
        <f t="shared" si="225"/>
        <v>17930122.34721186</v>
      </c>
      <c r="H176" s="84">
        <f t="shared" si="226"/>
        <v>0</v>
      </c>
      <c r="I176" s="84">
        <f t="shared" si="227"/>
        <v>0</v>
      </c>
      <c r="J176" s="84">
        <f t="shared" si="228"/>
        <v>8965061.1736059301</v>
      </c>
      <c r="K176" s="84">
        <f t="shared" si="229"/>
        <v>0</v>
      </c>
      <c r="L176" s="84">
        <f t="shared" si="230"/>
        <v>0</v>
      </c>
      <c r="M176" s="92">
        <f t="shared" si="231"/>
        <v>2595568.6115079951</v>
      </c>
      <c r="N176" s="92">
        <v>0</v>
      </c>
      <c r="O176" s="84">
        <f t="shared" si="232"/>
        <v>2595568.6115079951</v>
      </c>
      <c r="P176" s="84">
        <f t="shared" si="240"/>
        <v>2280585.4469123017</v>
      </c>
      <c r="Q176" s="84"/>
      <c r="R176" s="101"/>
      <c r="S176" s="84">
        <f t="shared" si="233"/>
        <v>20000000</v>
      </c>
      <c r="T176" s="84">
        <f t="shared" si="234"/>
        <v>8965061.1736059301</v>
      </c>
      <c r="U176" s="157">
        <f t="shared" si="235"/>
        <v>0</v>
      </c>
      <c r="V176" s="157">
        <f t="shared" si="236"/>
        <v>0</v>
      </c>
      <c r="W176" s="84"/>
      <c r="X176" s="84"/>
      <c r="Y176" s="84"/>
      <c r="Z176" s="84"/>
      <c r="AA176" s="84">
        <f t="shared" si="237"/>
        <v>-430018.04665407911</v>
      </c>
      <c r="AB176" s="92">
        <v>0</v>
      </c>
      <c r="AC176" s="92">
        <f t="shared" si="238"/>
        <v>-430018.04665407911</v>
      </c>
      <c r="AD176" s="92">
        <v>0</v>
      </c>
      <c r="AE176" s="84">
        <f t="shared" si="239"/>
        <v>-430018.04665407911</v>
      </c>
      <c r="AF176" s="84">
        <f t="shared" si="241"/>
        <v>2280585.4469122998</v>
      </c>
    </row>
    <row r="177" spans="1:32" x14ac:dyDescent="0.25">
      <c r="A177" s="66">
        <v>13</v>
      </c>
      <c r="B177" s="158">
        <v>41974</v>
      </c>
      <c r="C177" s="84">
        <v>1717551.9174245351</v>
      </c>
      <c r="D177" s="134">
        <f>SUM($C$166:C177)</f>
        <v>39647674.264636397</v>
      </c>
      <c r="E177" s="84"/>
      <c r="F177" s="84">
        <f t="shared" si="224"/>
        <v>20000000</v>
      </c>
      <c r="G177" s="84">
        <f t="shared" si="225"/>
        <v>19647674.264636397</v>
      </c>
      <c r="H177" s="84">
        <f t="shared" si="226"/>
        <v>0</v>
      </c>
      <c r="I177" s="84">
        <f t="shared" si="227"/>
        <v>0</v>
      </c>
      <c r="J177" s="84">
        <f t="shared" si="228"/>
        <v>9823837.1323181987</v>
      </c>
      <c r="K177" s="84">
        <f t="shared" si="229"/>
        <v>0</v>
      </c>
      <c r="L177" s="84">
        <f t="shared" si="230"/>
        <v>0</v>
      </c>
      <c r="M177" s="92">
        <f t="shared" si="231"/>
        <v>3454344.5702202637</v>
      </c>
      <c r="N177" s="92">
        <v>0</v>
      </c>
      <c r="O177" s="84">
        <f t="shared" si="232"/>
        <v>3454344.5702202637</v>
      </c>
      <c r="P177" s="84">
        <f t="shared" si="240"/>
        <v>858775.95871226862</v>
      </c>
      <c r="Q177" s="84"/>
      <c r="R177" s="101"/>
      <c r="S177" s="84">
        <f t="shared" si="233"/>
        <v>20000000</v>
      </c>
      <c r="T177" s="84">
        <f t="shared" si="234"/>
        <v>9823837.1323181987</v>
      </c>
      <c r="U177" s="157">
        <f t="shared" si="235"/>
        <v>0</v>
      </c>
      <c r="V177" s="157">
        <f t="shared" si="236"/>
        <v>0</v>
      </c>
      <c r="W177" s="84"/>
      <c r="X177" s="84"/>
      <c r="Y177" s="84"/>
      <c r="Z177" s="84"/>
      <c r="AA177" s="84">
        <f t="shared" si="237"/>
        <v>428757.91205818951</v>
      </c>
      <c r="AB177" s="92">
        <v>0</v>
      </c>
      <c r="AC177" s="92">
        <f t="shared" si="238"/>
        <v>428757.91205818951</v>
      </c>
      <c r="AD177" s="92">
        <v>0</v>
      </c>
      <c r="AE177" s="84">
        <f t="shared" si="239"/>
        <v>428757.91205818951</v>
      </c>
      <c r="AF177" s="84">
        <f t="shared" si="241"/>
        <v>858775.95871226862</v>
      </c>
    </row>
    <row r="178" spans="1:32" x14ac:dyDescent="0.25">
      <c r="A178" s="66"/>
      <c r="B178" s="158"/>
      <c r="C178" s="84"/>
      <c r="D178" s="134"/>
      <c r="E178" s="84"/>
      <c r="F178" s="84"/>
      <c r="G178" s="84"/>
      <c r="H178" s="84"/>
      <c r="I178" s="84"/>
      <c r="J178" s="84"/>
      <c r="K178" s="84"/>
      <c r="L178" s="84"/>
      <c r="M178" s="92"/>
      <c r="N178" s="92"/>
      <c r="O178" s="84"/>
      <c r="P178" s="84"/>
      <c r="Q178" s="84"/>
      <c r="R178" s="101"/>
      <c r="S178" s="84"/>
      <c r="T178" s="84"/>
      <c r="U178" s="157"/>
      <c r="V178" s="157"/>
      <c r="W178" s="84"/>
      <c r="X178" s="84"/>
      <c r="Y178" s="84"/>
      <c r="Z178" s="84"/>
      <c r="AA178" s="84"/>
      <c r="AB178" s="92"/>
      <c r="AC178" s="92"/>
      <c r="AD178" s="92"/>
      <c r="AE178" s="84"/>
      <c r="AF178" s="84"/>
    </row>
    <row r="179" spans="1:32" x14ac:dyDescent="0.25">
      <c r="A179" s="66">
        <v>14</v>
      </c>
      <c r="B179" s="158">
        <v>42005</v>
      </c>
      <c r="C179" s="84">
        <v>-2244825.2889016331</v>
      </c>
      <c r="D179" s="134">
        <f>C179</f>
        <v>-2244825.2889016331</v>
      </c>
      <c r="E179" s="84"/>
      <c r="F179" s="84">
        <f t="shared" ref="F179:F190" si="242">IF(ABS(D179)&gt;+$F$10,IF(D179&lt;0,-$F$10,+$F$10),+D179)</f>
        <v>-2244825.2889016331</v>
      </c>
      <c r="G179" s="84">
        <f t="shared" ref="G179:G190" si="243">IF(ABS(D179)-ABS(F179)&gt;=$G$10,IF(D179&lt;=0,-$G$10,+$G$10),+D179-F179)</f>
        <v>0</v>
      </c>
      <c r="H179" s="84">
        <f t="shared" ref="H179:H190" si="244">IF(ABS(+D179)-ABS(SUM(F179:G179))&gt;=$H$10,IF(D179&lt;=0,-$H$10,+$H$10),+D179-SUM(F179:G179))</f>
        <v>0</v>
      </c>
      <c r="I179" s="84">
        <f t="shared" ref="I179:I190" si="245">IF(ABS(+D179)-ABS(SUM(F179:H179))&gt;=$I$10,IF(D179&lt;=0,$D179-SUM($F179:$H179),$D179-SUM($F179:$H179)),D179-SUM(F179:H179))</f>
        <v>0</v>
      </c>
      <c r="J179" s="84">
        <f t="shared" ref="J179:J190" si="246">+G179*$C$278</f>
        <v>0</v>
      </c>
      <c r="K179" s="84">
        <f t="shared" ref="K179:K190" si="247">+H179*$C$279</f>
        <v>0</v>
      </c>
      <c r="L179" s="84">
        <f t="shared" ref="L179:L190" si="248">+I179*$C$280</f>
        <v>0</v>
      </c>
      <c r="M179" s="92">
        <f t="shared" ref="M179:M190" si="249">SUM(J179:L179)+$M$177</f>
        <v>3454344.5702202637</v>
      </c>
      <c r="N179" s="92">
        <v>0</v>
      </c>
      <c r="O179" s="84">
        <f t="shared" ref="O179:O190" si="250">M179+N179</f>
        <v>3454344.5702202637</v>
      </c>
      <c r="P179" s="84">
        <f>O179-O177</f>
        <v>0</v>
      </c>
      <c r="Q179" s="84"/>
      <c r="R179" s="101"/>
      <c r="S179" s="84">
        <f t="shared" ref="S179:S190" si="251">+F179</f>
        <v>-2244825.2889016331</v>
      </c>
      <c r="T179" s="84">
        <f t="shared" ref="T179:T190" si="252">+G179-J179</f>
        <v>0</v>
      </c>
      <c r="U179" s="157">
        <f t="shared" ref="U179:U190" si="253">+H179-K179</f>
        <v>0</v>
      </c>
      <c r="V179" s="157">
        <f t="shared" ref="V179:V190" si="254">+I179-L179</f>
        <v>0</v>
      </c>
      <c r="W179" s="84"/>
      <c r="X179" s="84"/>
      <c r="Y179" s="84"/>
      <c r="Z179" s="84"/>
      <c r="AA179" s="84">
        <f t="shared" ref="AA179:AA190" si="255">SUM(S179:V179)+$AA$177</f>
        <v>-1816067.3768434436</v>
      </c>
      <c r="AB179" s="92">
        <v>0</v>
      </c>
      <c r="AC179" s="92">
        <f t="shared" ref="AC179:AC190" si="256">AA179-AB179</f>
        <v>-1816067.3768434436</v>
      </c>
      <c r="AD179" s="92">
        <v>0</v>
      </c>
      <c r="AE179" s="84">
        <f t="shared" ref="AE179:AE190" si="257">AA179-AB179+AD179</f>
        <v>-1816067.3768434436</v>
      </c>
      <c r="AF179" s="84">
        <f>AE179-AE177</f>
        <v>-2244825.2889016331</v>
      </c>
    </row>
    <row r="180" spans="1:32" x14ac:dyDescent="0.25">
      <c r="A180" s="66">
        <v>14</v>
      </c>
      <c r="B180" s="158">
        <v>42036</v>
      </c>
      <c r="C180" s="84">
        <v>4530934.5038828524</v>
      </c>
      <c r="D180" s="134">
        <f>SUM($C$179:C180)</f>
        <v>2286109.2149812193</v>
      </c>
      <c r="E180" s="84"/>
      <c r="F180" s="84">
        <f t="shared" si="242"/>
        <v>2286109.2149812193</v>
      </c>
      <c r="G180" s="84">
        <f t="shared" si="243"/>
        <v>0</v>
      </c>
      <c r="H180" s="84">
        <f t="shared" si="244"/>
        <v>0</v>
      </c>
      <c r="I180" s="84">
        <f t="shared" si="245"/>
        <v>0</v>
      </c>
      <c r="J180" s="84">
        <f t="shared" si="246"/>
        <v>0</v>
      </c>
      <c r="K180" s="84">
        <f t="shared" si="247"/>
        <v>0</v>
      </c>
      <c r="L180" s="84">
        <f t="shared" si="248"/>
        <v>0</v>
      </c>
      <c r="M180" s="92">
        <f t="shared" si="249"/>
        <v>3454344.5702202637</v>
      </c>
      <c r="N180" s="92">
        <v>0</v>
      </c>
      <c r="O180" s="84">
        <f t="shared" si="250"/>
        <v>3454344.5702202637</v>
      </c>
      <c r="P180" s="84">
        <f t="shared" ref="P180:P190" si="258">O180-O179</f>
        <v>0</v>
      </c>
      <c r="Q180" s="84"/>
      <c r="R180" s="101"/>
      <c r="S180" s="84">
        <f t="shared" si="251"/>
        <v>2286109.2149812193</v>
      </c>
      <c r="T180" s="84">
        <f t="shared" si="252"/>
        <v>0</v>
      </c>
      <c r="U180" s="157">
        <f t="shared" si="253"/>
        <v>0</v>
      </c>
      <c r="V180" s="157">
        <f t="shared" si="254"/>
        <v>0</v>
      </c>
      <c r="W180" s="84"/>
      <c r="X180" s="84"/>
      <c r="Y180" s="84"/>
      <c r="Z180" s="84"/>
      <c r="AA180" s="84">
        <f t="shared" si="255"/>
        <v>2714867.1270394088</v>
      </c>
      <c r="AB180" s="92">
        <v>0</v>
      </c>
      <c r="AC180" s="92">
        <f t="shared" si="256"/>
        <v>2714867.1270394088</v>
      </c>
      <c r="AD180" s="92">
        <v>0</v>
      </c>
      <c r="AE180" s="84">
        <f t="shared" si="257"/>
        <v>2714867.1270394088</v>
      </c>
      <c r="AF180" s="84">
        <f t="shared" ref="AF180:AF190" si="259">AE180-AE179</f>
        <v>4530934.5038828524</v>
      </c>
    </row>
    <row r="181" spans="1:32" x14ac:dyDescent="0.25">
      <c r="A181" s="66">
        <v>14</v>
      </c>
      <c r="B181" s="158">
        <v>42064</v>
      </c>
      <c r="C181" s="84">
        <v>-430668.71763412497</v>
      </c>
      <c r="D181" s="134">
        <f>SUM($C$179:C181)</f>
        <v>1855440.4973470944</v>
      </c>
      <c r="E181" s="84"/>
      <c r="F181" s="84">
        <f t="shared" si="242"/>
        <v>1855440.4973470944</v>
      </c>
      <c r="G181" s="84">
        <f t="shared" si="243"/>
        <v>0</v>
      </c>
      <c r="H181" s="84">
        <f t="shared" si="244"/>
        <v>0</v>
      </c>
      <c r="I181" s="84">
        <f t="shared" si="245"/>
        <v>0</v>
      </c>
      <c r="J181" s="92">
        <f t="shared" si="246"/>
        <v>0</v>
      </c>
      <c r="K181" s="84">
        <f t="shared" si="247"/>
        <v>0</v>
      </c>
      <c r="L181" s="84">
        <f t="shared" si="248"/>
        <v>0</v>
      </c>
      <c r="M181" s="92">
        <f t="shared" si="249"/>
        <v>3454344.5702202637</v>
      </c>
      <c r="N181" s="92">
        <v>0</v>
      </c>
      <c r="O181" s="84">
        <f t="shared" si="250"/>
        <v>3454344.5702202637</v>
      </c>
      <c r="P181" s="84">
        <f t="shared" si="258"/>
        <v>0</v>
      </c>
      <c r="Q181" s="84"/>
      <c r="R181" s="101"/>
      <c r="S181" s="84">
        <f t="shared" si="251"/>
        <v>1855440.4973470944</v>
      </c>
      <c r="T181" s="84">
        <f t="shared" si="252"/>
        <v>0</v>
      </c>
      <c r="U181" s="157">
        <f t="shared" si="253"/>
        <v>0</v>
      </c>
      <c r="V181" s="157">
        <f t="shared" si="254"/>
        <v>0</v>
      </c>
      <c r="W181" s="84"/>
      <c r="X181" s="84"/>
      <c r="Y181" s="84"/>
      <c r="Z181" s="84"/>
      <c r="AA181" s="84">
        <f t="shared" si="255"/>
        <v>2284198.4094052836</v>
      </c>
      <c r="AB181" s="92">
        <v>0</v>
      </c>
      <c r="AC181" s="92">
        <f t="shared" si="256"/>
        <v>2284198.4094052836</v>
      </c>
      <c r="AD181" s="92">
        <v>0</v>
      </c>
      <c r="AE181" s="84">
        <f t="shared" si="257"/>
        <v>2284198.4094052836</v>
      </c>
      <c r="AF181" s="84">
        <f t="shared" si="259"/>
        <v>-430668.71763412515</v>
      </c>
    </row>
    <row r="182" spans="1:32" x14ac:dyDescent="0.25">
      <c r="A182" s="66">
        <v>14</v>
      </c>
      <c r="B182" s="158">
        <v>42095</v>
      </c>
      <c r="C182" s="84">
        <v>-4426618.0885524815</v>
      </c>
      <c r="D182" s="134">
        <f>SUM($C$179:C182)</f>
        <v>-2571177.5912053874</v>
      </c>
      <c r="E182" s="84"/>
      <c r="F182" s="84">
        <f t="shared" si="242"/>
        <v>-2571177.5912053874</v>
      </c>
      <c r="G182" s="84">
        <f t="shared" si="243"/>
        <v>0</v>
      </c>
      <c r="H182" s="84">
        <f t="shared" si="244"/>
        <v>0</v>
      </c>
      <c r="I182" s="84">
        <f t="shared" si="245"/>
        <v>0</v>
      </c>
      <c r="J182" s="84">
        <f t="shared" si="246"/>
        <v>0</v>
      </c>
      <c r="K182" s="84">
        <f t="shared" si="247"/>
        <v>0</v>
      </c>
      <c r="L182" s="84">
        <f t="shared" si="248"/>
        <v>0</v>
      </c>
      <c r="M182" s="92">
        <f t="shared" si="249"/>
        <v>3454344.5702202637</v>
      </c>
      <c r="N182" s="92">
        <v>0</v>
      </c>
      <c r="O182" s="84">
        <f t="shared" si="250"/>
        <v>3454344.5702202637</v>
      </c>
      <c r="P182" s="84">
        <f t="shared" si="258"/>
        <v>0</v>
      </c>
      <c r="Q182" s="84"/>
      <c r="R182" s="101"/>
      <c r="S182" s="84">
        <f t="shared" si="251"/>
        <v>-2571177.5912053874</v>
      </c>
      <c r="T182" s="84">
        <f t="shared" si="252"/>
        <v>0</v>
      </c>
      <c r="U182" s="157">
        <f t="shared" si="253"/>
        <v>0</v>
      </c>
      <c r="V182" s="157">
        <f t="shared" si="254"/>
        <v>0</v>
      </c>
      <c r="W182" s="84"/>
      <c r="X182" s="84"/>
      <c r="Y182" s="84"/>
      <c r="Z182" s="84"/>
      <c r="AA182" s="84">
        <f t="shared" si="255"/>
        <v>-2142419.6791471979</v>
      </c>
      <c r="AB182" s="92">
        <v>0</v>
      </c>
      <c r="AC182" s="92">
        <f t="shared" si="256"/>
        <v>-2142419.6791471979</v>
      </c>
      <c r="AD182" s="92">
        <v>0</v>
      </c>
      <c r="AE182" s="84">
        <f t="shared" si="257"/>
        <v>-2142419.6791471979</v>
      </c>
      <c r="AF182" s="84">
        <f t="shared" si="259"/>
        <v>-4426618.0885524815</v>
      </c>
    </row>
    <row r="183" spans="1:32" x14ac:dyDescent="0.25">
      <c r="A183" s="66">
        <v>14</v>
      </c>
      <c r="B183" s="158">
        <v>42125</v>
      </c>
      <c r="C183" s="84">
        <v>5790045.6556863189</v>
      </c>
      <c r="D183" s="134">
        <f>SUM($C$179:C183)</f>
        <v>3218868.0644809315</v>
      </c>
      <c r="E183" s="84"/>
      <c r="F183" s="84">
        <f t="shared" si="242"/>
        <v>3218868.0644809315</v>
      </c>
      <c r="G183" s="84">
        <f t="shared" si="243"/>
        <v>0</v>
      </c>
      <c r="H183" s="84">
        <f t="shared" si="244"/>
        <v>0</v>
      </c>
      <c r="I183" s="84">
        <f t="shared" si="245"/>
        <v>0</v>
      </c>
      <c r="J183" s="84">
        <f t="shared" si="246"/>
        <v>0</v>
      </c>
      <c r="K183" s="84">
        <f t="shared" si="247"/>
        <v>0</v>
      </c>
      <c r="L183" s="84">
        <f t="shared" si="248"/>
        <v>0</v>
      </c>
      <c r="M183" s="92">
        <f t="shared" si="249"/>
        <v>3454344.5702202637</v>
      </c>
      <c r="N183" s="92">
        <v>0</v>
      </c>
      <c r="O183" s="84">
        <f t="shared" si="250"/>
        <v>3454344.5702202637</v>
      </c>
      <c r="P183" s="84">
        <f t="shared" si="258"/>
        <v>0</v>
      </c>
      <c r="Q183" s="84"/>
      <c r="R183" s="101"/>
      <c r="S183" s="84">
        <f t="shared" si="251"/>
        <v>3218868.0644809315</v>
      </c>
      <c r="T183" s="84">
        <f t="shared" si="252"/>
        <v>0</v>
      </c>
      <c r="U183" s="157">
        <f t="shared" si="253"/>
        <v>0</v>
      </c>
      <c r="V183" s="157">
        <f t="shared" si="254"/>
        <v>0</v>
      </c>
      <c r="W183" s="84"/>
      <c r="X183" s="84"/>
      <c r="Y183" s="84"/>
      <c r="Z183" s="84"/>
      <c r="AA183" s="84">
        <f t="shared" si="255"/>
        <v>3647625.976539121</v>
      </c>
      <c r="AB183" s="92">
        <v>0</v>
      </c>
      <c r="AC183" s="92">
        <f t="shared" si="256"/>
        <v>3647625.976539121</v>
      </c>
      <c r="AD183" s="92">
        <v>0</v>
      </c>
      <c r="AE183" s="84">
        <f t="shared" si="257"/>
        <v>3647625.976539121</v>
      </c>
      <c r="AF183" s="84">
        <f t="shared" si="259"/>
        <v>5790045.6556863189</v>
      </c>
    </row>
    <row r="184" spans="1:32" x14ac:dyDescent="0.25">
      <c r="A184" s="66">
        <v>14</v>
      </c>
      <c r="B184" s="158">
        <v>42156</v>
      </c>
      <c r="C184" s="84">
        <v>1507978.4157458188</v>
      </c>
      <c r="D184" s="134">
        <f>SUM($C$179:C184)</f>
        <v>4726846.4802267505</v>
      </c>
      <c r="E184" s="84"/>
      <c r="F184" s="84">
        <f t="shared" si="242"/>
        <v>4726846.4802267505</v>
      </c>
      <c r="G184" s="84">
        <f t="shared" si="243"/>
        <v>0</v>
      </c>
      <c r="H184" s="84">
        <f t="shared" si="244"/>
        <v>0</v>
      </c>
      <c r="I184" s="84">
        <f t="shared" si="245"/>
        <v>0</v>
      </c>
      <c r="J184" s="84">
        <f t="shared" si="246"/>
        <v>0</v>
      </c>
      <c r="K184" s="84">
        <f t="shared" si="247"/>
        <v>0</v>
      </c>
      <c r="L184" s="84">
        <f t="shared" si="248"/>
        <v>0</v>
      </c>
      <c r="M184" s="92">
        <f t="shared" si="249"/>
        <v>3454344.5702202637</v>
      </c>
      <c r="N184" s="92">
        <v>0</v>
      </c>
      <c r="O184" s="84">
        <f t="shared" si="250"/>
        <v>3454344.5702202637</v>
      </c>
      <c r="P184" s="84">
        <f t="shared" si="258"/>
        <v>0</v>
      </c>
      <c r="Q184" s="84"/>
      <c r="R184" s="101"/>
      <c r="S184" s="84">
        <f t="shared" si="251"/>
        <v>4726846.4802267505</v>
      </c>
      <c r="T184" s="84">
        <f t="shared" si="252"/>
        <v>0</v>
      </c>
      <c r="U184" s="157">
        <f t="shared" si="253"/>
        <v>0</v>
      </c>
      <c r="V184" s="157">
        <f t="shared" si="254"/>
        <v>0</v>
      </c>
      <c r="W184" s="84"/>
      <c r="X184" s="84"/>
      <c r="Y184" s="84"/>
      <c r="Z184" s="84"/>
      <c r="AA184" s="84">
        <f t="shared" si="255"/>
        <v>5155604.39228494</v>
      </c>
      <c r="AB184" s="92">
        <v>0</v>
      </c>
      <c r="AC184" s="92">
        <f t="shared" si="256"/>
        <v>5155604.39228494</v>
      </c>
      <c r="AD184" s="92">
        <v>0</v>
      </c>
      <c r="AE184" s="84">
        <f t="shared" si="257"/>
        <v>5155604.39228494</v>
      </c>
      <c r="AF184" s="84">
        <f t="shared" si="259"/>
        <v>1507978.415745819</v>
      </c>
    </row>
    <row r="185" spans="1:32" x14ac:dyDescent="0.25">
      <c r="A185" s="66">
        <v>14</v>
      </c>
      <c r="B185" s="158">
        <v>42186</v>
      </c>
      <c r="C185" s="84">
        <v>3059161.5232390077</v>
      </c>
      <c r="D185" s="134">
        <f>SUM($C$179:C185)</f>
        <v>7786008.0034657586</v>
      </c>
      <c r="E185" s="84"/>
      <c r="F185" s="84">
        <f t="shared" si="242"/>
        <v>7786008.0034657586</v>
      </c>
      <c r="G185" s="84">
        <f t="shared" si="243"/>
        <v>0</v>
      </c>
      <c r="H185" s="84">
        <f t="shared" si="244"/>
        <v>0</v>
      </c>
      <c r="I185" s="84">
        <f t="shared" si="245"/>
        <v>0</v>
      </c>
      <c r="J185" s="84">
        <f t="shared" si="246"/>
        <v>0</v>
      </c>
      <c r="K185" s="84">
        <f t="shared" si="247"/>
        <v>0</v>
      </c>
      <c r="L185" s="84">
        <f t="shared" si="248"/>
        <v>0</v>
      </c>
      <c r="M185" s="92">
        <f t="shared" si="249"/>
        <v>3454344.5702202637</v>
      </c>
      <c r="N185" s="92">
        <v>0</v>
      </c>
      <c r="O185" s="84">
        <f t="shared" si="250"/>
        <v>3454344.5702202637</v>
      </c>
      <c r="P185" s="84">
        <f t="shared" si="258"/>
        <v>0</v>
      </c>
      <c r="Q185" s="84"/>
      <c r="R185" s="101"/>
      <c r="S185" s="84">
        <f t="shared" si="251"/>
        <v>7786008.0034657586</v>
      </c>
      <c r="T185" s="84">
        <f t="shared" si="252"/>
        <v>0</v>
      </c>
      <c r="U185" s="157">
        <f t="shared" si="253"/>
        <v>0</v>
      </c>
      <c r="V185" s="157">
        <f t="shared" si="254"/>
        <v>0</v>
      </c>
      <c r="W185" s="84"/>
      <c r="X185" s="84"/>
      <c r="Y185" s="84"/>
      <c r="Z185" s="84"/>
      <c r="AA185" s="84">
        <f t="shared" si="255"/>
        <v>8214765.9155239481</v>
      </c>
      <c r="AB185" s="92">
        <v>0</v>
      </c>
      <c r="AC185" s="92">
        <f t="shared" si="256"/>
        <v>8214765.9155239481</v>
      </c>
      <c r="AD185" s="92">
        <v>0</v>
      </c>
      <c r="AE185" s="84">
        <f t="shared" si="257"/>
        <v>8214765.9155239481</v>
      </c>
      <c r="AF185" s="84">
        <f t="shared" si="259"/>
        <v>3059161.5232390082</v>
      </c>
    </row>
    <row r="186" spans="1:32" x14ac:dyDescent="0.25">
      <c r="A186" s="66">
        <v>14</v>
      </c>
      <c r="B186" s="158">
        <v>42217</v>
      </c>
      <c r="C186" s="84">
        <v>2821092.9608255094</v>
      </c>
      <c r="D186" s="134">
        <f>SUM($C$179:C186)</f>
        <v>10607100.964291267</v>
      </c>
      <c r="E186" s="84"/>
      <c r="F186" s="84">
        <f t="shared" si="242"/>
        <v>10607100.964291267</v>
      </c>
      <c r="G186" s="84">
        <f t="shared" si="243"/>
        <v>0</v>
      </c>
      <c r="H186" s="84">
        <f t="shared" si="244"/>
        <v>0</v>
      </c>
      <c r="I186" s="84">
        <f t="shared" si="245"/>
        <v>0</v>
      </c>
      <c r="J186" s="84">
        <f t="shared" si="246"/>
        <v>0</v>
      </c>
      <c r="K186" s="84">
        <f t="shared" si="247"/>
        <v>0</v>
      </c>
      <c r="L186" s="84">
        <f t="shared" si="248"/>
        <v>0</v>
      </c>
      <c r="M186" s="92">
        <f t="shared" si="249"/>
        <v>3454344.5702202637</v>
      </c>
      <c r="N186" s="92">
        <v>0</v>
      </c>
      <c r="O186" s="84">
        <f t="shared" si="250"/>
        <v>3454344.5702202637</v>
      </c>
      <c r="P186" s="84">
        <f t="shared" si="258"/>
        <v>0</v>
      </c>
      <c r="Q186" s="84"/>
      <c r="R186" s="101"/>
      <c r="S186" s="84">
        <f t="shared" si="251"/>
        <v>10607100.964291267</v>
      </c>
      <c r="T186" s="84">
        <f t="shared" si="252"/>
        <v>0</v>
      </c>
      <c r="U186" s="157">
        <f t="shared" si="253"/>
        <v>0</v>
      </c>
      <c r="V186" s="157">
        <f t="shared" si="254"/>
        <v>0</v>
      </c>
      <c r="W186" s="84"/>
      <c r="X186" s="84"/>
      <c r="Y186" s="84"/>
      <c r="Z186" s="84"/>
      <c r="AA186" s="84">
        <f t="shared" si="255"/>
        <v>11035858.876349457</v>
      </c>
      <c r="AB186" s="92">
        <v>0</v>
      </c>
      <c r="AC186" s="92">
        <f t="shared" si="256"/>
        <v>11035858.876349457</v>
      </c>
      <c r="AD186" s="92">
        <v>0</v>
      </c>
      <c r="AE186" s="84">
        <f t="shared" si="257"/>
        <v>11035858.876349457</v>
      </c>
      <c r="AF186" s="84">
        <f t="shared" si="259"/>
        <v>2821092.9608255085</v>
      </c>
    </row>
    <row r="187" spans="1:32" x14ac:dyDescent="0.25">
      <c r="A187" s="66">
        <v>14</v>
      </c>
      <c r="B187" s="158">
        <v>42248</v>
      </c>
      <c r="C187" s="84">
        <v>3830834.1908092164</v>
      </c>
      <c r="D187" s="134">
        <f>SUM($C$179:C187)</f>
        <v>14437935.155100483</v>
      </c>
      <c r="E187" s="84"/>
      <c r="F187" s="84">
        <f t="shared" si="242"/>
        <v>14437935.155100483</v>
      </c>
      <c r="G187" s="84">
        <f t="shared" si="243"/>
        <v>0</v>
      </c>
      <c r="H187" s="84">
        <f t="shared" si="244"/>
        <v>0</v>
      </c>
      <c r="I187" s="84">
        <f t="shared" si="245"/>
        <v>0</v>
      </c>
      <c r="J187" s="84">
        <f t="shared" si="246"/>
        <v>0</v>
      </c>
      <c r="K187" s="84">
        <f t="shared" si="247"/>
        <v>0</v>
      </c>
      <c r="L187" s="84">
        <f t="shared" si="248"/>
        <v>0</v>
      </c>
      <c r="M187" s="92">
        <f t="shared" si="249"/>
        <v>3454344.5702202637</v>
      </c>
      <c r="N187" s="92">
        <v>0</v>
      </c>
      <c r="O187" s="84">
        <f t="shared" si="250"/>
        <v>3454344.5702202637</v>
      </c>
      <c r="P187" s="84">
        <f t="shared" si="258"/>
        <v>0</v>
      </c>
      <c r="Q187" s="84"/>
      <c r="R187" s="101"/>
      <c r="S187" s="84">
        <f t="shared" si="251"/>
        <v>14437935.155100483</v>
      </c>
      <c r="T187" s="84">
        <f t="shared" si="252"/>
        <v>0</v>
      </c>
      <c r="U187" s="157">
        <f t="shared" si="253"/>
        <v>0</v>
      </c>
      <c r="V187" s="157">
        <f t="shared" si="254"/>
        <v>0</v>
      </c>
      <c r="W187" s="84"/>
      <c r="X187" s="84"/>
      <c r="Y187" s="84"/>
      <c r="Z187" s="84"/>
      <c r="AA187" s="84">
        <f t="shared" si="255"/>
        <v>14866693.067158673</v>
      </c>
      <c r="AB187" s="92">
        <v>0</v>
      </c>
      <c r="AC187" s="92">
        <f t="shared" si="256"/>
        <v>14866693.067158673</v>
      </c>
      <c r="AD187" s="92">
        <v>0</v>
      </c>
      <c r="AE187" s="84">
        <f t="shared" si="257"/>
        <v>14866693.067158673</v>
      </c>
      <c r="AF187" s="84">
        <f t="shared" si="259"/>
        <v>3830834.1908092164</v>
      </c>
    </row>
    <row r="188" spans="1:32" ht="14.25" customHeight="1" x14ac:dyDescent="0.25">
      <c r="A188" s="66">
        <v>14</v>
      </c>
      <c r="B188" s="158">
        <v>42278</v>
      </c>
      <c r="C188" s="84">
        <v>2730356.4423091975</v>
      </c>
      <c r="D188" s="134">
        <f>SUM($C$179:C188)</f>
        <v>17168291.59740968</v>
      </c>
      <c r="E188" s="84"/>
      <c r="F188" s="84">
        <f t="shared" si="242"/>
        <v>17168291.59740968</v>
      </c>
      <c r="G188" s="84">
        <f t="shared" si="243"/>
        <v>0</v>
      </c>
      <c r="H188" s="84">
        <f t="shared" si="244"/>
        <v>0</v>
      </c>
      <c r="I188" s="84">
        <f t="shared" si="245"/>
        <v>0</v>
      </c>
      <c r="J188" s="84">
        <f t="shared" si="246"/>
        <v>0</v>
      </c>
      <c r="K188" s="84">
        <f t="shared" si="247"/>
        <v>0</v>
      </c>
      <c r="L188" s="84">
        <f t="shared" si="248"/>
        <v>0</v>
      </c>
      <c r="M188" s="92">
        <f t="shared" si="249"/>
        <v>3454344.5702202637</v>
      </c>
      <c r="N188" s="92">
        <v>0</v>
      </c>
      <c r="O188" s="84">
        <f t="shared" si="250"/>
        <v>3454344.5702202637</v>
      </c>
      <c r="P188" s="84">
        <f t="shared" si="258"/>
        <v>0</v>
      </c>
      <c r="Q188" s="84"/>
      <c r="R188" s="101"/>
      <c r="S188" s="84">
        <f t="shared" si="251"/>
        <v>17168291.59740968</v>
      </c>
      <c r="T188" s="84">
        <f t="shared" si="252"/>
        <v>0</v>
      </c>
      <c r="U188" s="157">
        <f t="shared" si="253"/>
        <v>0</v>
      </c>
      <c r="V188" s="157">
        <f t="shared" si="254"/>
        <v>0</v>
      </c>
      <c r="W188" s="84"/>
      <c r="X188" s="84"/>
      <c r="Y188" s="84"/>
      <c r="Z188" s="84"/>
      <c r="AA188" s="84">
        <f t="shared" si="255"/>
        <v>17597049.50946787</v>
      </c>
      <c r="AB188" s="92">
        <v>0</v>
      </c>
      <c r="AC188" s="92">
        <f t="shared" si="256"/>
        <v>17597049.50946787</v>
      </c>
      <c r="AD188" s="92">
        <v>0</v>
      </c>
      <c r="AE188" s="84">
        <f t="shared" si="257"/>
        <v>17597049.50946787</v>
      </c>
      <c r="AF188" s="84">
        <f t="shared" si="259"/>
        <v>2730356.442309197</v>
      </c>
    </row>
    <row r="189" spans="1:32" x14ac:dyDescent="0.25">
      <c r="A189" s="66">
        <v>14</v>
      </c>
      <c r="B189" s="158">
        <v>42309</v>
      </c>
      <c r="C189" s="84">
        <v>-3513937.7869010149</v>
      </c>
      <c r="D189" s="134">
        <f>SUM($C$179:C189)</f>
        <v>13654353.810508665</v>
      </c>
      <c r="E189" s="84"/>
      <c r="F189" s="84">
        <f t="shared" si="242"/>
        <v>13654353.810508665</v>
      </c>
      <c r="G189" s="84">
        <f t="shared" si="243"/>
        <v>0</v>
      </c>
      <c r="H189" s="84">
        <f t="shared" si="244"/>
        <v>0</v>
      </c>
      <c r="I189" s="84">
        <f t="shared" si="245"/>
        <v>0</v>
      </c>
      <c r="J189" s="84">
        <f t="shared" si="246"/>
        <v>0</v>
      </c>
      <c r="K189" s="84">
        <f t="shared" si="247"/>
        <v>0</v>
      </c>
      <c r="L189" s="84">
        <f t="shared" si="248"/>
        <v>0</v>
      </c>
      <c r="M189" s="92">
        <f t="shared" si="249"/>
        <v>3454344.5702202637</v>
      </c>
      <c r="N189" s="92">
        <v>0</v>
      </c>
      <c r="O189" s="84">
        <f t="shared" si="250"/>
        <v>3454344.5702202637</v>
      </c>
      <c r="P189" s="84">
        <f t="shared" si="258"/>
        <v>0</v>
      </c>
      <c r="Q189" s="84"/>
      <c r="R189" s="101"/>
      <c r="S189" s="84">
        <f t="shared" si="251"/>
        <v>13654353.810508665</v>
      </c>
      <c r="T189" s="84">
        <f t="shared" si="252"/>
        <v>0</v>
      </c>
      <c r="U189" s="157">
        <f t="shared" si="253"/>
        <v>0</v>
      </c>
      <c r="V189" s="157">
        <f t="shared" si="254"/>
        <v>0</v>
      </c>
      <c r="W189" s="84"/>
      <c r="X189" s="84"/>
      <c r="Y189" s="84"/>
      <c r="Z189" s="84"/>
      <c r="AA189" s="84">
        <f t="shared" si="255"/>
        <v>14083111.722566854</v>
      </c>
      <c r="AB189" s="92">
        <v>0</v>
      </c>
      <c r="AC189" s="92">
        <f t="shared" si="256"/>
        <v>14083111.722566854</v>
      </c>
      <c r="AD189" s="92">
        <v>0</v>
      </c>
      <c r="AE189" s="84">
        <f t="shared" si="257"/>
        <v>14083111.722566854</v>
      </c>
      <c r="AF189" s="84">
        <f t="shared" si="259"/>
        <v>-3513937.7869010158</v>
      </c>
    </row>
    <row r="190" spans="1:32" x14ac:dyDescent="0.25">
      <c r="A190" s="66">
        <v>14</v>
      </c>
      <c r="B190" s="158">
        <v>42339</v>
      </c>
      <c r="C190" s="84">
        <v>-5421385.5547015285</v>
      </c>
      <c r="D190" s="134">
        <f>SUM($C$179:C190)</f>
        <v>8232968.2558071362</v>
      </c>
      <c r="E190" s="84"/>
      <c r="F190" s="84">
        <f t="shared" si="242"/>
        <v>8232968.2558071362</v>
      </c>
      <c r="G190" s="84">
        <f t="shared" si="243"/>
        <v>0</v>
      </c>
      <c r="H190" s="84">
        <f t="shared" si="244"/>
        <v>0</v>
      </c>
      <c r="I190" s="84">
        <f t="shared" si="245"/>
        <v>0</v>
      </c>
      <c r="J190" s="84">
        <f t="shared" si="246"/>
        <v>0</v>
      </c>
      <c r="K190" s="84">
        <f t="shared" si="247"/>
        <v>0</v>
      </c>
      <c r="L190" s="84">
        <f t="shared" si="248"/>
        <v>0</v>
      </c>
      <c r="M190" s="92">
        <f t="shared" si="249"/>
        <v>3454344.5702202637</v>
      </c>
      <c r="N190" s="92">
        <v>0</v>
      </c>
      <c r="O190" s="84">
        <f t="shared" si="250"/>
        <v>3454344.5702202637</v>
      </c>
      <c r="P190" s="84">
        <f t="shared" si="258"/>
        <v>0</v>
      </c>
      <c r="Q190" s="84"/>
      <c r="R190" s="101"/>
      <c r="S190" s="84">
        <f t="shared" si="251"/>
        <v>8232968.2558071362</v>
      </c>
      <c r="T190" s="84">
        <f t="shared" si="252"/>
        <v>0</v>
      </c>
      <c r="U190" s="157">
        <f t="shared" si="253"/>
        <v>0</v>
      </c>
      <c r="V190" s="157">
        <f t="shared" si="254"/>
        <v>0</v>
      </c>
      <c r="W190" s="84"/>
      <c r="X190" s="84"/>
      <c r="Y190" s="84"/>
      <c r="Z190" s="84"/>
      <c r="AA190" s="84">
        <f t="shared" si="255"/>
        <v>8661726.1678653248</v>
      </c>
      <c r="AB190" s="92">
        <v>0</v>
      </c>
      <c r="AC190" s="92">
        <f t="shared" si="256"/>
        <v>8661726.1678653248</v>
      </c>
      <c r="AD190" s="92">
        <v>0</v>
      </c>
      <c r="AE190" s="84">
        <f t="shared" si="257"/>
        <v>8661726.1678653248</v>
      </c>
      <c r="AF190" s="84">
        <f t="shared" si="259"/>
        <v>-5421385.5547015294</v>
      </c>
    </row>
    <row r="191" spans="1:32" x14ac:dyDescent="0.25">
      <c r="A191" s="66"/>
      <c r="B191" s="158"/>
      <c r="C191" s="84"/>
      <c r="D191" s="134"/>
      <c r="E191" s="84"/>
      <c r="F191" s="84"/>
      <c r="G191" s="84"/>
      <c r="H191" s="84"/>
      <c r="I191" s="84"/>
      <c r="J191" s="84"/>
      <c r="K191" s="84"/>
      <c r="L191" s="84"/>
      <c r="M191" s="92"/>
      <c r="N191" s="92"/>
      <c r="O191" s="84"/>
      <c r="P191" s="84"/>
      <c r="Q191" s="84"/>
      <c r="R191" s="101"/>
      <c r="S191" s="84"/>
      <c r="T191" s="84"/>
      <c r="U191" s="157"/>
      <c r="V191" s="157"/>
      <c r="W191" s="84"/>
      <c r="X191" s="84"/>
      <c r="Y191" s="84"/>
      <c r="Z191" s="84"/>
      <c r="AA191" s="84"/>
      <c r="AB191" s="92"/>
      <c r="AC191" s="92"/>
      <c r="AD191" s="92"/>
      <c r="AE191" s="84"/>
      <c r="AF191" s="84"/>
    </row>
    <row r="192" spans="1:32" x14ac:dyDescent="0.25">
      <c r="A192" s="66">
        <v>15</v>
      </c>
      <c r="B192" s="158">
        <v>42370</v>
      </c>
      <c r="C192" s="84">
        <v>-8200343.2179349856</v>
      </c>
      <c r="D192" s="134">
        <f>C192</f>
        <v>-8200343.2179349856</v>
      </c>
      <c r="E192" s="84"/>
      <c r="F192" s="84">
        <f t="shared" ref="F192:F203" si="260">IF(ABS(D192)&gt;+$F$10,IF(D192&lt;0,-$F$10,+$F$10),+D192)</f>
        <v>-8200343.2179349856</v>
      </c>
      <c r="G192" s="84">
        <f t="shared" ref="G192:G203" si="261">IF(ABS(D192)-ABS(F192)&gt;=$G$10,IF(D192&lt;=0,-$G$10,+$G$10),+D192-F192)</f>
        <v>0</v>
      </c>
      <c r="H192" s="84">
        <f t="shared" ref="H192:H203" si="262">IF(ABS(+D192)-ABS(SUM(F192:G192))&gt;=$H$10,IF(D192&lt;=0,-$H$10,+$H$10),+D192-SUM(F192:G192))</f>
        <v>0</v>
      </c>
      <c r="I192" s="84">
        <f t="shared" ref="I192:I203" si="263">IF(ABS(+D192)-ABS(SUM(F192:H192))&gt;=$I$10,IF(D192&lt;=0,$D192-SUM($F192:$H192),$D192-SUM($F192:$H192)),D192-SUM(F192:H192))</f>
        <v>0</v>
      </c>
      <c r="J192" s="84">
        <f t="shared" ref="J192:J203" si="264">+G192*$C$278</f>
        <v>0</v>
      </c>
      <c r="K192" s="84">
        <f t="shared" ref="K192:K203" si="265">+H192*$C$279</f>
        <v>0</v>
      </c>
      <c r="L192" s="84">
        <f t="shared" ref="L192:L203" si="266">+I192*$C$280</f>
        <v>0</v>
      </c>
      <c r="M192" s="92">
        <f t="shared" ref="M192:M203" si="267">SUM(J192:L192)+$M$190</f>
        <v>3454344.5702202637</v>
      </c>
      <c r="N192" s="92">
        <v>0</v>
      </c>
      <c r="O192" s="84">
        <f t="shared" ref="O192:O203" si="268">M192+N192</f>
        <v>3454344.5702202637</v>
      </c>
      <c r="P192" s="84">
        <f>O192-O190</f>
        <v>0</v>
      </c>
      <c r="Q192" s="84"/>
      <c r="R192" s="101"/>
      <c r="S192" s="84">
        <f t="shared" ref="S192:S203" si="269">+F192</f>
        <v>-8200343.2179349856</v>
      </c>
      <c r="T192" s="84">
        <f t="shared" ref="T192:T203" si="270">+G192-J192</f>
        <v>0</v>
      </c>
      <c r="U192" s="157">
        <f t="shared" ref="U192:U203" si="271">+H192-K192</f>
        <v>0</v>
      </c>
      <c r="V192" s="157">
        <f t="shared" ref="V192:V203" si="272">+I192-L192</f>
        <v>0</v>
      </c>
      <c r="W192" s="84"/>
      <c r="X192" s="84"/>
      <c r="Y192" s="84"/>
      <c r="Z192" s="84"/>
      <c r="AA192" s="84">
        <f t="shared" ref="AA192:AA203" si="273">SUM(S192:V192)+$AA$190</f>
        <v>461382.94993033912</v>
      </c>
      <c r="AB192" s="92">
        <v>0</v>
      </c>
      <c r="AC192" s="92">
        <f t="shared" ref="AC192:AC203" si="274">AA192-AB192</f>
        <v>461382.94993033912</v>
      </c>
      <c r="AD192" s="92">
        <v>0</v>
      </c>
      <c r="AE192" s="84">
        <f t="shared" ref="AE192:AE203" si="275">AA192-AB192+AD192</f>
        <v>461382.94993033912</v>
      </c>
      <c r="AF192" s="84">
        <f>AE192-AE190</f>
        <v>-8200343.2179349856</v>
      </c>
    </row>
    <row r="193" spans="1:35" x14ac:dyDescent="0.25">
      <c r="A193" s="66">
        <f t="shared" ref="A193:A203" si="276">A192</f>
        <v>15</v>
      </c>
      <c r="B193" s="158">
        <v>42401</v>
      </c>
      <c r="C193" s="84">
        <v>-3176825.25542635</v>
      </c>
      <c r="D193" s="134">
        <f>SUM($C$192:C193)</f>
        <v>-11377168.473361336</v>
      </c>
      <c r="E193" s="84"/>
      <c r="F193" s="84">
        <f t="shared" si="260"/>
        <v>-11377168.473361336</v>
      </c>
      <c r="G193" s="84">
        <f t="shared" si="261"/>
        <v>0</v>
      </c>
      <c r="H193" s="84">
        <f t="shared" si="262"/>
        <v>0</v>
      </c>
      <c r="I193" s="84">
        <f t="shared" si="263"/>
        <v>0</v>
      </c>
      <c r="J193" s="84">
        <f t="shared" si="264"/>
        <v>0</v>
      </c>
      <c r="K193" s="84">
        <f t="shared" si="265"/>
        <v>0</v>
      </c>
      <c r="L193" s="84">
        <f t="shared" si="266"/>
        <v>0</v>
      </c>
      <c r="M193" s="92">
        <f t="shared" si="267"/>
        <v>3454344.5702202637</v>
      </c>
      <c r="N193" s="92">
        <v>0</v>
      </c>
      <c r="O193" s="84">
        <f t="shared" si="268"/>
        <v>3454344.5702202637</v>
      </c>
      <c r="P193" s="84">
        <f t="shared" ref="P193:P203" si="277">O193-O192</f>
        <v>0</v>
      </c>
      <c r="Q193" s="84"/>
      <c r="R193" s="101"/>
      <c r="S193" s="84">
        <f t="shared" si="269"/>
        <v>-11377168.473361336</v>
      </c>
      <c r="T193" s="84">
        <f t="shared" si="270"/>
        <v>0</v>
      </c>
      <c r="U193" s="157">
        <f t="shared" si="271"/>
        <v>0</v>
      </c>
      <c r="V193" s="157">
        <f t="shared" si="272"/>
        <v>0</v>
      </c>
      <c r="W193" s="84"/>
      <c r="X193" s="84"/>
      <c r="Y193" s="84"/>
      <c r="Z193" s="84"/>
      <c r="AA193" s="84">
        <f t="shared" si="273"/>
        <v>-2715442.3054960109</v>
      </c>
      <c r="AB193" s="92">
        <v>0</v>
      </c>
      <c r="AC193" s="92">
        <f t="shared" si="274"/>
        <v>-2715442.3054960109</v>
      </c>
      <c r="AD193" s="92">
        <v>0</v>
      </c>
      <c r="AE193" s="84">
        <f t="shared" si="275"/>
        <v>-2715442.3054960109</v>
      </c>
      <c r="AF193" s="84">
        <f t="shared" ref="AF193:AF203" si="278">AE193-AE192</f>
        <v>-3176825.25542635</v>
      </c>
    </row>
    <row r="194" spans="1:35" x14ac:dyDescent="0.25">
      <c r="A194" s="66">
        <f t="shared" si="276"/>
        <v>15</v>
      </c>
      <c r="B194" s="158">
        <v>42430</v>
      </c>
      <c r="C194" s="84">
        <v>-540316.79507002677</v>
      </c>
      <c r="D194" s="134">
        <f>SUM($C$192:C194)</f>
        <v>-11917485.268431362</v>
      </c>
      <c r="E194" s="84"/>
      <c r="F194" s="84">
        <f t="shared" si="260"/>
        <v>-11917485.268431362</v>
      </c>
      <c r="G194" s="84">
        <f t="shared" si="261"/>
        <v>0</v>
      </c>
      <c r="H194" s="84">
        <f t="shared" si="262"/>
        <v>0</v>
      </c>
      <c r="I194" s="84">
        <f t="shared" si="263"/>
        <v>0</v>
      </c>
      <c r="J194" s="92">
        <f t="shared" si="264"/>
        <v>0</v>
      </c>
      <c r="K194" s="84">
        <f t="shared" si="265"/>
        <v>0</v>
      </c>
      <c r="L194" s="84">
        <f t="shared" si="266"/>
        <v>0</v>
      </c>
      <c r="M194" s="92">
        <f t="shared" si="267"/>
        <v>3454344.5702202637</v>
      </c>
      <c r="N194" s="92">
        <v>0</v>
      </c>
      <c r="O194" s="84">
        <f t="shared" si="268"/>
        <v>3454344.5702202637</v>
      </c>
      <c r="P194" s="84">
        <f t="shared" si="277"/>
        <v>0</v>
      </c>
      <c r="Q194" s="84"/>
      <c r="R194" s="101"/>
      <c r="S194" s="84">
        <f t="shared" si="269"/>
        <v>-11917485.268431362</v>
      </c>
      <c r="T194" s="84">
        <f t="shared" si="270"/>
        <v>0</v>
      </c>
      <c r="U194" s="157">
        <f t="shared" si="271"/>
        <v>0</v>
      </c>
      <c r="V194" s="157">
        <f t="shared" si="272"/>
        <v>0</v>
      </c>
      <c r="W194" s="84"/>
      <c r="X194" s="84"/>
      <c r="Y194" s="84"/>
      <c r="Z194" s="84"/>
      <c r="AA194" s="84">
        <f t="shared" si="273"/>
        <v>-3255759.100566037</v>
      </c>
      <c r="AB194" s="92">
        <v>0</v>
      </c>
      <c r="AC194" s="92">
        <f t="shared" si="274"/>
        <v>-3255759.100566037</v>
      </c>
      <c r="AD194" s="92">
        <v>0</v>
      </c>
      <c r="AE194" s="84">
        <f t="shared" si="275"/>
        <v>-3255759.100566037</v>
      </c>
      <c r="AF194" s="84">
        <f t="shared" si="278"/>
        <v>-540316.79507002607</v>
      </c>
    </row>
    <row r="195" spans="1:35" x14ac:dyDescent="0.25">
      <c r="A195" s="66">
        <f t="shared" si="276"/>
        <v>15</v>
      </c>
      <c r="B195" s="158">
        <v>42461</v>
      </c>
      <c r="C195" s="84">
        <v>7210072.9235400651</v>
      </c>
      <c r="D195" s="134">
        <f>SUM($C$192:C195)</f>
        <v>-4707412.3448912967</v>
      </c>
      <c r="E195" s="84"/>
      <c r="F195" s="84">
        <f t="shared" si="260"/>
        <v>-4707412.3448912967</v>
      </c>
      <c r="G195" s="84">
        <f t="shared" si="261"/>
        <v>0</v>
      </c>
      <c r="H195" s="84">
        <f t="shared" si="262"/>
        <v>0</v>
      </c>
      <c r="I195" s="84">
        <f t="shared" si="263"/>
        <v>0</v>
      </c>
      <c r="J195" s="84">
        <f t="shared" si="264"/>
        <v>0</v>
      </c>
      <c r="K195" s="84">
        <f t="shared" si="265"/>
        <v>0</v>
      </c>
      <c r="L195" s="84">
        <f t="shared" si="266"/>
        <v>0</v>
      </c>
      <c r="M195" s="92">
        <f t="shared" si="267"/>
        <v>3454344.5702202637</v>
      </c>
      <c r="N195" s="92">
        <v>0</v>
      </c>
      <c r="O195" s="84">
        <f t="shared" si="268"/>
        <v>3454344.5702202637</v>
      </c>
      <c r="P195" s="84">
        <f t="shared" si="277"/>
        <v>0</v>
      </c>
      <c r="Q195" s="84"/>
      <c r="R195" s="101"/>
      <c r="S195" s="84">
        <f t="shared" si="269"/>
        <v>-4707412.3448912967</v>
      </c>
      <c r="T195" s="84">
        <f t="shared" si="270"/>
        <v>0</v>
      </c>
      <c r="U195" s="157">
        <f t="shared" si="271"/>
        <v>0</v>
      </c>
      <c r="V195" s="157">
        <f t="shared" si="272"/>
        <v>0</v>
      </c>
      <c r="W195" s="84"/>
      <c r="X195" s="84"/>
      <c r="Y195" s="84"/>
      <c r="Z195" s="84"/>
      <c r="AA195" s="84">
        <f t="shared" si="273"/>
        <v>3954313.8229740281</v>
      </c>
      <c r="AB195" s="92">
        <v>0</v>
      </c>
      <c r="AC195" s="92">
        <f t="shared" si="274"/>
        <v>3954313.8229740281</v>
      </c>
      <c r="AD195" s="92">
        <v>0</v>
      </c>
      <c r="AE195" s="84">
        <f t="shared" si="275"/>
        <v>3954313.8229740281</v>
      </c>
      <c r="AF195" s="84">
        <f t="shared" si="278"/>
        <v>7210072.9235400651</v>
      </c>
    </row>
    <row r="196" spans="1:35" x14ac:dyDescent="0.25">
      <c r="A196" s="66">
        <f t="shared" si="276"/>
        <v>15</v>
      </c>
      <c r="B196" s="158">
        <v>42491</v>
      </c>
      <c r="C196" s="84">
        <v>3528955.1257910072</v>
      </c>
      <c r="D196" s="134">
        <f>SUM($C$192:C196)</f>
        <v>-1178457.2191002895</v>
      </c>
      <c r="E196" s="84"/>
      <c r="F196" s="84">
        <f t="shared" si="260"/>
        <v>-1178457.2191002895</v>
      </c>
      <c r="G196" s="84">
        <f t="shared" si="261"/>
        <v>0</v>
      </c>
      <c r="H196" s="84">
        <f t="shared" si="262"/>
        <v>0</v>
      </c>
      <c r="I196" s="84">
        <f t="shared" si="263"/>
        <v>0</v>
      </c>
      <c r="J196" s="84">
        <f t="shared" si="264"/>
        <v>0</v>
      </c>
      <c r="K196" s="84">
        <f t="shared" si="265"/>
        <v>0</v>
      </c>
      <c r="L196" s="84">
        <f t="shared" si="266"/>
        <v>0</v>
      </c>
      <c r="M196" s="92">
        <f t="shared" si="267"/>
        <v>3454344.5702202637</v>
      </c>
      <c r="N196" s="92">
        <v>0</v>
      </c>
      <c r="O196" s="84">
        <f t="shared" si="268"/>
        <v>3454344.5702202637</v>
      </c>
      <c r="P196" s="84">
        <f t="shared" si="277"/>
        <v>0</v>
      </c>
      <c r="Q196" s="84"/>
      <c r="R196" s="101"/>
      <c r="S196" s="84">
        <f t="shared" si="269"/>
        <v>-1178457.2191002895</v>
      </c>
      <c r="T196" s="84">
        <f t="shared" si="270"/>
        <v>0</v>
      </c>
      <c r="U196" s="157">
        <f t="shared" si="271"/>
        <v>0</v>
      </c>
      <c r="V196" s="157">
        <f t="shared" si="272"/>
        <v>0</v>
      </c>
      <c r="W196" s="84"/>
      <c r="X196" s="84"/>
      <c r="Y196" s="84"/>
      <c r="Z196" s="84"/>
      <c r="AA196" s="84">
        <f t="shared" si="273"/>
        <v>7483268.9487650357</v>
      </c>
      <c r="AB196" s="92">
        <v>0</v>
      </c>
      <c r="AC196" s="92">
        <f t="shared" si="274"/>
        <v>7483268.9487650357</v>
      </c>
      <c r="AD196" s="92">
        <v>0</v>
      </c>
      <c r="AE196" s="84">
        <f t="shared" si="275"/>
        <v>7483268.9487650357</v>
      </c>
      <c r="AF196" s="84">
        <f t="shared" si="278"/>
        <v>3528955.1257910077</v>
      </c>
    </row>
    <row r="197" spans="1:35" x14ac:dyDescent="0.25">
      <c r="A197" s="66">
        <f t="shared" si="276"/>
        <v>15</v>
      </c>
      <c r="B197" s="158">
        <v>42522</v>
      </c>
      <c r="C197" s="84">
        <v>4021515.3541936241</v>
      </c>
      <c r="D197" s="134">
        <f>SUM($C$192:C197)</f>
        <v>2843058.1350933346</v>
      </c>
      <c r="E197" s="84"/>
      <c r="F197" s="84">
        <f t="shared" si="260"/>
        <v>2843058.1350933346</v>
      </c>
      <c r="G197" s="84">
        <f t="shared" si="261"/>
        <v>0</v>
      </c>
      <c r="H197" s="84">
        <f t="shared" si="262"/>
        <v>0</v>
      </c>
      <c r="I197" s="84">
        <f t="shared" si="263"/>
        <v>0</v>
      </c>
      <c r="J197" s="84">
        <f t="shared" si="264"/>
        <v>0</v>
      </c>
      <c r="K197" s="84">
        <f t="shared" si="265"/>
        <v>0</v>
      </c>
      <c r="L197" s="84">
        <f t="shared" si="266"/>
        <v>0</v>
      </c>
      <c r="M197" s="92">
        <f t="shared" si="267"/>
        <v>3454344.5702202637</v>
      </c>
      <c r="N197" s="92">
        <v>0</v>
      </c>
      <c r="O197" s="84">
        <f t="shared" si="268"/>
        <v>3454344.5702202637</v>
      </c>
      <c r="P197" s="84">
        <f t="shared" si="277"/>
        <v>0</v>
      </c>
      <c r="Q197" s="84"/>
      <c r="R197" s="101"/>
      <c r="S197" s="84">
        <f t="shared" si="269"/>
        <v>2843058.1350933346</v>
      </c>
      <c r="T197" s="84">
        <f t="shared" si="270"/>
        <v>0</v>
      </c>
      <c r="U197" s="157">
        <f t="shared" si="271"/>
        <v>0</v>
      </c>
      <c r="V197" s="157">
        <f t="shared" si="272"/>
        <v>0</v>
      </c>
      <c r="W197" s="84"/>
      <c r="X197" s="84"/>
      <c r="Y197" s="84"/>
      <c r="Z197" s="84"/>
      <c r="AA197" s="84">
        <f t="shared" si="273"/>
        <v>11504784.30295866</v>
      </c>
      <c r="AB197" s="92">
        <v>0</v>
      </c>
      <c r="AC197" s="92">
        <f t="shared" si="274"/>
        <v>11504784.30295866</v>
      </c>
      <c r="AD197" s="92">
        <v>0</v>
      </c>
      <c r="AE197" s="84">
        <f t="shared" si="275"/>
        <v>11504784.30295866</v>
      </c>
      <c r="AF197" s="84">
        <f t="shared" si="278"/>
        <v>4021515.3541936241</v>
      </c>
    </row>
    <row r="198" spans="1:35" x14ac:dyDescent="0.25">
      <c r="A198" s="66">
        <f t="shared" si="276"/>
        <v>15</v>
      </c>
      <c r="B198" s="158">
        <v>42552</v>
      </c>
      <c r="C198" s="84">
        <v>-4723406.5050106244</v>
      </c>
      <c r="D198" s="134">
        <f>SUM($C$192:C198)</f>
        <v>-1880348.3699172898</v>
      </c>
      <c r="E198" s="84"/>
      <c r="F198" s="84">
        <f t="shared" si="260"/>
        <v>-1880348.3699172898</v>
      </c>
      <c r="G198" s="84">
        <f t="shared" si="261"/>
        <v>0</v>
      </c>
      <c r="H198" s="84">
        <f t="shared" si="262"/>
        <v>0</v>
      </c>
      <c r="I198" s="84">
        <f t="shared" si="263"/>
        <v>0</v>
      </c>
      <c r="J198" s="84">
        <f t="shared" si="264"/>
        <v>0</v>
      </c>
      <c r="K198" s="84">
        <f t="shared" si="265"/>
        <v>0</v>
      </c>
      <c r="L198" s="84">
        <f t="shared" si="266"/>
        <v>0</v>
      </c>
      <c r="M198" s="92">
        <f t="shared" si="267"/>
        <v>3454344.5702202637</v>
      </c>
      <c r="N198" s="92">
        <v>0</v>
      </c>
      <c r="O198" s="84">
        <f t="shared" si="268"/>
        <v>3454344.5702202637</v>
      </c>
      <c r="P198" s="84">
        <f t="shared" si="277"/>
        <v>0</v>
      </c>
      <c r="Q198" s="84"/>
      <c r="R198" s="101"/>
      <c r="S198" s="84">
        <f t="shared" si="269"/>
        <v>-1880348.3699172898</v>
      </c>
      <c r="T198" s="84">
        <f t="shared" si="270"/>
        <v>0</v>
      </c>
      <c r="U198" s="157">
        <f t="shared" si="271"/>
        <v>0</v>
      </c>
      <c r="V198" s="157">
        <f t="shared" si="272"/>
        <v>0</v>
      </c>
      <c r="W198" s="84"/>
      <c r="X198" s="84"/>
      <c r="Y198" s="84"/>
      <c r="Z198" s="84"/>
      <c r="AA198" s="84">
        <f t="shared" si="273"/>
        <v>6781377.7979480345</v>
      </c>
      <c r="AB198" s="92">
        <v>0</v>
      </c>
      <c r="AC198" s="92">
        <f t="shared" si="274"/>
        <v>6781377.7979480345</v>
      </c>
      <c r="AD198" s="92">
        <v>0</v>
      </c>
      <c r="AE198" s="84">
        <f t="shared" si="275"/>
        <v>6781377.7979480345</v>
      </c>
      <c r="AF198" s="84">
        <f t="shared" si="278"/>
        <v>-4723406.5050106253</v>
      </c>
    </row>
    <row r="199" spans="1:35" x14ac:dyDescent="0.25">
      <c r="A199" s="66">
        <f t="shared" si="276"/>
        <v>15</v>
      </c>
      <c r="B199" s="158">
        <v>42583</v>
      </c>
      <c r="C199" s="84">
        <v>-1839283.5903631542</v>
      </c>
      <c r="D199" s="134">
        <f>SUM($C$192:C199)</f>
        <v>-3719631.960280444</v>
      </c>
      <c r="E199" s="84"/>
      <c r="F199" s="84">
        <f t="shared" si="260"/>
        <v>-3719631.960280444</v>
      </c>
      <c r="G199" s="84">
        <f t="shared" si="261"/>
        <v>0</v>
      </c>
      <c r="H199" s="84">
        <f t="shared" si="262"/>
        <v>0</v>
      </c>
      <c r="I199" s="84">
        <f t="shared" si="263"/>
        <v>0</v>
      </c>
      <c r="J199" s="84">
        <f t="shared" si="264"/>
        <v>0</v>
      </c>
      <c r="K199" s="84">
        <f t="shared" si="265"/>
        <v>0</v>
      </c>
      <c r="L199" s="84">
        <f t="shared" si="266"/>
        <v>0</v>
      </c>
      <c r="M199" s="92">
        <f t="shared" si="267"/>
        <v>3454344.5702202637</v>
      </c>
      <c r="N199" s="92">
        <v>0</v>
      </c>
      <c r="O199" s="84">
        <f t="shared" si="268"/>
        <v>3454344.5702202637</v>
      </c>
      <c r="P199" s="84">
        <f t="shared" si="277"/>
        <v>0</v>
      </c>
      <c r="Q199" s="84"/>
      <c r="R199" s="101"/>
      <c r="S199" s="84">
        <f t="shared" si="269"/>
        <v>-3719631.960280444</v>
      </c>
      <c r="T199" s="84">
        <f t="shared" si="270"/>
        <v>0</v>
      </c>
      <c r="U199" s="157">
        <f t="shared" si="271"/>
        <v>0</v>
      </c>
      <c r="V199" s="157">
        <f t="shared" si="272"/>
        <v>0</v>
      </c>
      <c r="W199" s="84"/>
      <c r="X199" s="84"/>
      <c r="Y199" s="84"/>
      <c r="Z199" s="84"/>
      <c r="AA199" s="84">
        <f t="shared" si="273"/>
        <v>4942094.2075848803</v>
      </c>
      <c r="AB199" s="92">
        <v>0</v>
      </c>
      <c r="AC199" s="92">
        <f t="shared" si="274"/>
        <v>4942094.2075848803</v>
      </c>
      <c r="AD199" s="92">
        <v>0</v>
      </c>
      <c r="AE199" s="84">
        <f t="shared" si="275"/>
        <v>4942094.2075848803</v>
      </c>
      <c r="AF199" s="84">
        <f t="shared" si="278"/>
        <v>-1839283.5903631542</v>
      </c>
    </row>
    <row r="200" spans="1:35" x14ac:dyDescent="0.25">
      <c r="A200" s="66">
        <f t="shared" si="276"/>
        <v>15</v>
      </c>
      <c r="B200" s="158">
        <v>42614</v>
      </c>
      <c r="C200" s="84">
        <v>3354482.3468664098</v>
      </c>
      <c r="D200" s="134">
        <f>SUM($C$192:C200)</f>
        <v>-365149.61341403425</v>
      </c>
      <c r="E200" s="84"/>
      <c r="F200" s="84">
        <f t="shared" si="260"/>
        <v>-365149.61341403425</v>
      </c>
      <c r="G200" s="84">
        <f t="shared" si="261"/>
        <v>0</v>
      </c>
      <c r="H200" s="84">
        <f t="shared" si="262"/>
        <v>0</v>
      </c>
      <c r="I200" s="84">
        <f t="shared" si="263"/>
        <v>0</v>
      </c>
      <c r="J200" s="84">
        <f t="shared" si="264"/>
        <v>0</v>
      </c>
      <c r="K200" s="84">
        <f t="shared" si="265"/>
        <v>0</v>
      </c>
      <c r="L200" s="84">
        <f t="shared" si="266"/>
        <v>0</v>
      </c>
      <c r="M200" s="92">
        <f t="shared" si="267"/>
        <v>3454344.5702202637</v>
      </c>
      <c r="N200" s="92">
        <v>0</v>
      </c>
      <c r="O200" s="84">
        <f t="shared" si="268"/>
        <v>3454344.5702202637</v>
      </c>
      <c r="P200" s="84">
        <f t="shared" si="277"/>
        <v>0</v>
      </c>
      <c r="Q200" s="84"/>
      <c r="R200" s="101"/>
      <c r="S200" s="84">
        <f t="shared" si="269"/>
        <v>-365149.61341403425</v>
      </c>
      <c r="T200" s="84">
        <f t="shared" si="270"/>
        <v>0</v>
      </c>
      <c r="U200" s="157">
        <f t="shared" si="271"/>
        <v>0</v>
      </c>
      <c r="V200" s="157">
        <f t="shared" si="272"/>
        <v>0</v>
      </c>
      <c r="W200" s="84"/>
      <c r="X200" s="84"/>
      <c r="Y200" s="84"/>
      <c r="Z200" s="84"/>
      <c r="AA200" s="84">
        <f t="shared" si="273"/>
        <v>8296576.5544512905</v>
      </c>
      <c r="AB200" s="92">
        <v>0</v>
      </c>
      <c r="AC200" s="92">
        <f t="shared" si="274"/>
        <v>8296576.5544512905</v>
      </c>
      <c r="AD200" s="92">
        <v>0</v>
      </c>
      <c r="AE200" s="84">
        <f t="shared" si="275"/>
        <v>8296576.5544512905</v>
      </c>
      <c r="AF200" s="84">
        <f t="shared" si="278"/>
        <v>3354482.3468664102</v>
      </c>
    </row>
    <row r="201" spans="1:35" ht="14.25" customHeight="1" x14ac:dyDescent="0.25">
      <c r="A201" s="66">
        <f t="shared" si="276"/>
        <v>15</v>
      </c>
      <c r="B201" s="158">
        <v>42644</v>
      </c>
      <c r="C201" s="84">
        <v>1269562.3288656068</v>
      </c>
      <c r="D201" s="134">
        <f>SUM($C$192:C201)</f>
        <v>904412.71545157256</v>
      </c>
      <c r="E201" s="84"/>
      <c r="F201" s="84">
        <f t="shared" si="260"/>
        <v>904412.71545157256</v>
      </c>
      <c r="G201" s="84">
        <f t="shared" si="261"/>
        <v>0</v>
      </c>
      <c r="H201" s="84">
        <f t="shared" si="262"/>
        <v>0</v>
      </c>
      <c r="I201" s="84">
        <f t="shared" si="263"/>
        <v>0</v>
      </c>
      <c r="J201" s="84">
        <f t="shared" si="264"/>
        <v>0</v>
      </c>
      <c r="K201" s="84">
        <f t="shared" si="265"/>
        <v>0</v>
      </c>
      <c r="L201" s="84">
        <f t="shared" si="266"/>
        <v>0</v>
      </c>
      <c r="M201" s="92">
        <f t="shared" si="267"/>
        <v>3454344.5702202637</v>
      </c>
      <c r="N201" s="92">
        <v>0</v>
      </c>
      <c r="O201" s="84">
        <f t="shared" si="268"/>
        <v>3454344.5702202637</v>
      </c>
      <c r="P201" s="84">
        <f t="shared" si="277"/>
        <v>0</v>
      </c>
      <c r="Q201" s="84"/>
      <c r="R201" s="101"/>
      <c r="S201" s="84">
        <f t="shared" si="269"/>
        <v>904412.71545157256</v>
      </c>
      <c r="T201" s="84">
        <f t="shared" si="270"/>
        <v>0</v>
      </c>
      <c r="U201" s="157">
        <f t="shared" si="271"/>
        <v>0</v>
      </c>
      <c r="V201" s="157">
        <f t="shared" si="272"/>
        <v>0</v>
      </c>
      <c r="W201" s="84"/>
      <c r="X201" s="84"/>
      <c r="Y201" s="84"/>
      <c r="Z201" s="84"/>
      <c r="AA201" s="84">
        <f t="shared" si="273"/>
        <v>9566138.8833168969</v>
      </c>
      <c r="AB201" s="92">
        <v>0</v>
      </c>
      <c r="AC201" s="92">
        <f t="shared" si="274"/>
        <v>9566138.8833168969</v>
      </c>
      <c r="AD201" s="92">
        <v>0</v>
      </c>
      <c r="AE201" s="84">
        <f t="shared" si="275"/>
        <v>9566138.8833168969</v>
      </c>
      <c r="AF201" s="84">
        <f t="shared" si="278"/>
        <v>1269562.3288656063</v>
      </c>
    </row>
    <row r="202" spans="1:35" x14ac:dyDescent="0.25">
      <c r="A202" s="66">
        <f t="shared" si="276"/>
        <v>15</v>
      </c>
      <c r="B202" s="158">
        <v>42675</v>
      </c>
      <c r="C202" s="84">
        <v>7403718.5866934936</v>
      </c>
      <c r="D202" s="134">
        <f>SUM($C$192:C202)</f>
        <v>8308131.3021450657</v>
      </c>
      <c r="E202" s="84"/>
      <c r="F202" s="84">
        <f t="shared" si="260"/>
        <v>8308131.3021450657</v>
      </c>
      <c r="G202" s="84">
        <f t="shared" si="261"/>
        <v>0</v>
      </c>
      <c r="H202" s="84">
        <f t="shared" si="262"/>
        <v>0</v>
      </c>
      <c r="I202" s="84">
        <f t="shared" si="263"/>
        <v>0</v>
      </c>
      <c r="J202" s="84">
        <f t="shared" si="264"/>
        <v>0</v>
      </c>
      <c r="K202" s="84">
        <f t="shared" si="265"/>
        <v>0</v>
      </c>
      <c r="L202" s="84">
        <f t="shared" si="266"/>
        <v>0</v>
      </c>
      <c r="M202" s="92">
        <f t="shared" si="267"/>
        <v>3454344.5702202637</v>
      </c>
      <c r="N202" s="92">
        <v>0</v>
      </c>
      <c r="O202" s="84">
        <f t="shared" si="268"/>
        <v>3454344.5702202637</v>
      </c>
      <c r="P202" s="84">
        <f t="shared" si="277"/>
        <v>0</v>
      </c>
      <c r="Q202" s="84"/>
      <c r="R202" s="101"/>
      <c r="S202" s="84">
        <f t="shared" si="269"/>
        <v>8308131.3021450657</v>
      </c>
      <c r="T202" s="84">
        <f t="shared" si="270"/>
        <v>0</v>
      </c>
      <c r="U202" s="157">
        <f t="shared" si="271"/>
        <v>0</v>
      </c>
      <c r="V202" s="157">
        <f t="shared" si="272"/>
        <v>0</v>
      </c>
      <c r="W202" s="84"/>
      <c r="X202" s="84"/>
      <c r="Y202" s="84"/>
      <c r="Z202" s="84"/>
      <c r="AA202" s="84">
        <f t="shared" si="273"/>
        <v>16969857.470010392</v>
      </c>
      <c r="AB202" s="92">
        <v>0</v>
      </c>
      <c r="AC202" s="92">
        <f t="shared" si="274"/>
        <v>16969857.470010392</v>
      </c>
      <c r="AD202" s="92">
        <v>0</v>
      </c>
      <c r="AE202" s="84">
        <f t="shared" si="275"/>
        <v>16969857.470010392</v>
      </c>
      <c r="AF202" s="84">
        <f t="shared" si="278"/>
        <v>7403718.5866934955</v>
      </c>
    </row>
    <row r="203" spans="1:35" x14ac:dyDescent="0.25">
      <c r="A203" s="66">
        <f t="shared" si="276"/>
        <v>15</v>
      </c>
      <c r="B203" s="158">
        <v>42705</v>
      </c>
      <c r="C203" s="84">
        <v>-6249749.280488262</v>
      </c>
      <c r="D203" s="134">
        <f>SUM($C$192:C203)</f>
        <v>2058382.0216568038</v>
      </c>
      <c r="E203" s="84"/>
      <c r="F203" s="84">
        <f t="shared" si="260"/>
        <v>2058382.0216568038</v>
      </c>
      <c r="G203" s="84">
        <f t="shared" si="261"/>
        <v>0</v>
      </c>
      <c r="H203" s="84">
        <f t="shared" si="262"/>
        <v>0</v>
      </c>
      <c r="I203" s="84">
        <f t="shared" si="263"/>
        <v>0</v>
      </c>
      <c r="J203" s="84">
        <f t="shared" si="264"/>
        <v>0</v>
      </c>
      <c r="K203" s="84">
        <f t="shared" si="265"/>
        <v>0</v>
      </c>
      <c r="L203" s="84">
        <f t="shared" si="266"/>
        <v>0</v>
      </c>
      <c r="M203" s="92">
        <f t="shared" si="267"/>
        <v>3454344.5702202637</v>
      </c>
      <c r="N203" s="92">
        <v>0</v>
      </c>
      <c r="O203" s="84">
        <f t="shared" si="268"/>
        <v>3454344.5702202637</v>
      </c>
      <c r="P203" s="84">
        <f t="shared" si="277"/>
        <v>0</v>
      </c>
      <c r="Q203" s="84"/>
      <c r="R203" s="101"/>
      <c r="S203" s="84">
        <f t="shared" si="269"/>
        <v>2058382.0216568038</v>
      </c>
      <c r="T203" s="84">
        <f t="shared" si="270"/>
        <v>0</v>
      </c>
      <c r="U203" s="157">
        <f t="shared" si="271"/>
        <v>0</v>
      </c>
      <c r="V203" s="157">
        <f t="shared" si="272"/>
        <v>0</v>
      </c>
      <c r="W203" s="84"/>
      <c r="X203" s="84"/>
      <c r="Y203" s="84"/>
      <c r="Z203" s="84"/>
      <c r="AA203" s="84">
        <f t="shared" si="273"/>
        <v>10720108.189522129</v>
      </c>
      <c r="AB203" s="92">
        <v>0</v>
      </c>
      <c r="AC203" s="92">
        <f t="shared" si="274"/>
        <v>10720108.189522129</v>
      </c>
      <c r="AD203" s="92">
        <v>0</v>
      </c>
      <c r="AE203" s="84">
        <f t="shared" si="275"/>
        <v>10720108.189522129</v>
      </c>
      <c r="AF203" s="84">
        <f t="shared" si="278"/>
        <v>-6249749.2804882638</v>
      </c>
    </row>
    <row r="204" spans="1:35" x14ac:dyDescent="0.25">
      <c r="A204" s="66"/>
      <c r="B204" s="158"/>
      <c r="C204" s="84"/>
      <c r="D204" s="134"/>
      <c r="E204" s="84"/>
      <c r="F204" s="84"/>
      <c r="G204" s="84"/>
      <c r="H204" s="84"/>
      <c r="I204" s="84"/>
      <c r="J204" s="84"/>
      <c r="K204" s="84"/>
      <c r="L204" s="84"/>
      <c r="M204" s="92"/>
      <c r="N204" s="92"/>
      <c r="O204" s="84"/>
      <c r="P204" s="84"/>
      <c r="Q204" s="84"/>
      <c r="R204" s="101"/>
      <c r="S204" s="84"/>
      <c r="T204" s="84"/>
      <c r="U204" s="157"/>
      <c r="V204" s="157"/>
      <c r="W204" s="84"/>
      <c r="X204" s="84"/>
      <c r="Y204" s="84"/>
      <c r="Z204" s="84"/>
      <c r="AA204" s="92"/>
      <c r="AB204" s="92"/>
      <c r="AC204" s="92"/>
      <c r="AD204" s="92"/>
      <c r="AE204" s="84"/>
      <c r="AF204" s="84"/>
    </row>
    <row r="205" spans="1:35" x14ac:dyDescent="0.25">
      <c r="A205" s="66">
        <v>16</v>
      </c>
      <c r="B205" s="158">
        <v>42736</v>
      </c>
      <c r="C205" s="84">
        <v>10111744.085678264</v>
      </c>
      <c r="D205" s="134">
        <f>C205</f>
        <v>10111744.085678264</v>
      </c>
      <c r="E205" s="84"/>
      <c r="F205" s="84">
        <f t="shared" ref="F205:F216" si="279">IF(ABS(D205)&gt;+$F$13,IF(D205&lt;0,-$F$13,+$F$13),+D205)</f>
        <v>10111744.085678264</v>
      </c>
      <c r="G205" s="84">
        <f t="shared" ref="G205:G216" si="280">IF(ABS(D205)-ABS(F205)&gt;=$G$13,IF(D205&lt;=0,-$G$13,+$G$13),+D205-F205)</f>
        <v>0</v>
      </c>
      <c r="H205" s="84">
        <f t="shared" ref="H205:H216" si="281">IF(ABS(+D205)-ABS(SUM(F205:G205))&gt;=$H$13,IF(D205&lt;=0,-$H$13,+$H$13),+D205-SUM(F205:G205))</f>
        <v>0</v>
      </c>
      <c r="I205" s="84"/>
      <c r="J205" s="92">
        <f t="shared" ref="J205:J216" si="282">IF(G205&gt;0,+G205*$C$287,G205*$C$288)</f>
        <v>0</v>
      </c>
      <c r="K205" s="84">
        <f t="shared" ref="K205:K216" si="283">+H205*$C$289</f>
        <v>0</v>
      </c>
      <c r="L205" s="84"/>
      <c r="M205" s="92">
        <f t="shared" ref="M205:M216" si="284">SUM(J205:L205)+$M$203</f>
        <v>3454344.5702202637</v>
      </c>
      <c r="N205" s="92">
        <v>0</v>
      </c>
      <c r="O205" s="84">
        <f t="shared" ref="O205:O216" si="285">M205+N205</f>
        <v>3454344.5702202637</v>
      </c>
      <c r="P205" s="84">
        <f>O205-O203</f>
        <v>0</v>
      </c>
      <c r="Q205" s="84"/>
      <c r="R205" s="101"/>
      <c r="S205" s="84">
        <f t="shared" ref="S205:S216" si="286">+F205</f>
        <v>10111744.085678264</v>
      </c>
      <c r="T205" s="84">
        <f t="shared" ref="T205:T216" si="287">+G205-J205</f>
        <v>0</v>
      </c>
      <c r="U205" s="157">
        <f t="shared" ref="U205:U216" si="288">+H205-K205</f>
        <v>0</v>
      </c>
      <c r="V205" s="157"/>
      <c r="W205" s="84"/>
      <c r="X205" s="84"/>
      <c r="Y205" s="84"/>
      <c r="Z205" s="84"/>
      <c r="AA205" s="92">
        <f t="shared" ref="AA205:AA216" si="289">SUM(S205:V205)+$AA$203</f>
        <v>20831852.275200393</v>
      </c>
      <c r="AB205" s="92">
        <v>0</v>
      </c>
      <c r="AC205" s="92">
        <f t="shared" ref="AC205:AC216" si="290">AA205-AB205</f>
        <v>20831852.275200393</v>
      </c>
      <c r="AD205" s="92">
        <v>0</v>
      </c>
      <c r="AE205" s="84">
        <f t="shared" ref="AE205:AE216" si="291">AA205-AB205+AD205</f>
        <v>20831852.275200393</v>
      </c>
      <c r="AF205" s="92">
        <f>AE205-AE203</f>
        <v>10111744.085678264</v>
      </c>
      <c r="AH205" s="94"/>
      <c r="AI205" s="162"/>
    </row>
    <row r="206" spans="1:35" x14ac:dyDescent="0.25">
      <c r="A206" s="66">
        <f t="shared" ref="A206:A216" si="292">A205</f>
        <v>16</v>
      </c>
      <c r="B206" s="158">
        <v>42767</v>
      </c>
      <c r="C206" s="84">
        <v>596605.49546533462</v>
      </c>
      <c r="D206" s="134">
        <f>SUM($C$205:C206)</f>
        <v>10708349.581143599</v>
      </c>
      <c r="E206" s="84"/>
      <c r="F206" s="84">
        <f t="shared" si="279"/>
        <v>10708349.581143599</v>
      </c>
      <c r="G206" s="84">
        <f t="shared" si="280"/>
        <v>0</v>
      </c>
      <c r="H206" s="84">
        <f t="shared" si="281"/>
        <v>0</v>
      </c>
      <c r="I206" s="84">
        <f t="shared" ref="I206:I216" si="293">IF(ABS(+D206)-ABS(SUM(F206:H206))&gt;=$I$10,IF(D206&lt;=0,$D206-SUM($F206:$H206),$D206-SUM($F206:$H206)),D206-SUM(F206:H206))</f>
        <v>0</v>
      </c>
      <c r="J206" s="92">
        <f t="shared" si="282"/>
        <v>0</v>
      </c>
      <c r="K206" s="84">
        <f t="shared" si="283"/>
        <v>0</v>
      </c>
      <c r="L206" s="84"/>
      <c r="M206" s="92">
        <f t="shared" si="284"/>
        <v>3454344.5702202637</v>
      </c>
      <c r="N206" s="92">
        <v>0</v>
      </c>
      <c r="O206" s="84">
        <f t="shared" si="285"/>
        <v>3454344.5702202637</v>
      </c>
      <c r="P206" s="84">
        <f t="shared" ref="P206:P216" si="294">O206-O205</f>
        <v>0</v>
      </c>
      <c r="Q206" s="84"/>
      <c r="R206" s="101"/>
      <c r="S206" s="84">
        <f t="shared" si="286"/>
        <v>10708349.581143599</v>
      </c>
      <c r="T206" s="84">
        <f t="shared" si="287"/>
        <v>0</v>
      </c>
      <c r="U206" s="157">
        <f t="shared" si="288"/>
        <v>0</v>
      </c>
      <c r="V206" s="157"/>
      <c r="W206" s="84"/>
      <c r="X206" s="84"/>
      <c r="Y206" s="84"/>
      <c r="Z206" s="84"/>
      <c r="AA206" s="92">
        <f t="shared" si="289"/>
        <v>21428457.770665728</v>
      </c>
      <c r="AB206" s="92">
        <v>0</v>
      </c>
      <c r="AC206" s="92">
        <f t="shared" si="290"/>
        <v>21428457.770665728</v>
      </c>
      <c r="AD206" s="92">
        <v>0</v>
      </c>
      <c r="AE206" s="84">
        <f t="shared" si="291"/>
        <v>21428457.770665728</v>
      </c>
      <c r="AF206" s="84">
        <f t="shared" ref="AF206:AF216" si="295">AE206-AE205</f>
        <v>596605.4954653345</v>
      </c>
    </row>
    <row r="207" spans="1:35" x14ac:dyDescent="0.25">
      <c r="A207" s="66">
        <f t="shared" si="292"/>
        <v>16</v>
      </c>
      <c r="B207" s="158">
        <v>42795</v>
      </c>
      <c r="C207" s="84">
        <v>-734383.09932177491</v>
      </c>
      <c r="D207" s="134">
        <f>SUM($C$205:C207)</f>
        <v>9973966.4818218239</v>
      </c>
      <c r="E207" s="84"/>
      <c r="F207" s="84">
        <f t="shared" si="279"/>
        <v>9973966.4818218239</v>
      </c>
      <c r="G207" s="84">
        <f t="shared" si="280"/>
        <v>0</v>
      </c>
      <c r="H207" s="84">
        <f t="shared" si="281"/>
        <v>0</v>
      </c>
      <c r="I207" s="84">
        <f t="shared" si="293"/>
        <v>0</v>
      </c>
      <c r="J207" s="92">
        <f t="shared" si="282"/>
        <v>0</v>
      </c>
      <c r="K207" s="84">
        <f t="shared" si="283"/>
        <v>0</v>
      </c>
      <c r="L207" s="84"/>
      <c r="M207" s="92">
        <f t="shared" si="284"/>
        <v>3454344.5702202637</v>
      </c>
      <c r="N207" s="92">
        <v>0</v>
      </c>
      <c r="O207" s="84">
        <f t="shared" si="285"/>
        <v>3454344.5702202637</v>
      </c>
      <c r="P207" s="84">
        <f t="shared" si="294"/>
        <v>0</v>
      </c>
      <c r="Q207" s="84"/>
      <c r="R207" s="101"/>
      <c r="S207" s="84">
        <f t="shared" si="286"/>
        <v>9973966.4818218239</v>
      </c>
      <c r="T207" s="84">
        <f t="shared" si="287"/>
        <v>0</v>
      </c>
      <c r="U207" s="157">
        <f t="shared" si="288"/>
        <v>0</v>
      </c>
      <c r="V207" s="157"/>
      <c r="W207" s="84"/>
      <c r="X207" s="84"/>
      <c r="Y207" s="84"/>
      <c r="Z207" s="84"/>
      <c r="AA207" s="92">
        <f t="shared" si="289"/>
        <v>20694074.671343952</v>
      </c>
      <c r="AB207" s="92">
        <v>0</v>
      </c>
      <c r="AC207" s="92">
        <f t="shared" si="290"/>
        <v>20694074.671343952</v>
      </c>
      <c r="AD207" s="92">
        <v>0</v>
      </c>
      <c r="AE207" s="84">
        <f t="shared" si="291"/>
        <v>20694074.671343952</v>
      </c>
      <c r="AF207" s="84">
        <f t="shared" si="295"/>
        <v>-734383.09932177514</v>
      </c>
    </row>
    <row r="208" spans="1:35" x14ac:dyDescent="0.25">
      <c r="A208" s="66">
        <f t="shared" si="292"/>
        <v>16</v>
      </c>
      <c r="B208" s="158">
        <v>42826</v>
      </c>
      <c r="C208" s="84">
        <v>-1911316.909747282</v>
      </c>
      <c r="D208" s="134">
        <f>SUM($C$205:C208)</f>
        <v>8062649.5720745418</v>
      </c>
      <c r="E208" s="84"/>
      <c r="F208" s="84">
        <f t="shared" si="279"/>
        <v>8062649.5720745418</v>
      </c>
      <c r="G208" s="84">
        <f t="shared" si="280"/>
        <v>0</v>
      </c>
      <c r="H208" s="84">
        <f t="shared" si="281"/>
        <v>0</v>
      </c>
      <c r="I208" s="84">
        <f t="shared" si="293"/>
        <v>0</v>
      </c>
      <c r="J208" s="92">
        <f t="shared" si="282"/>
        <v>0</v>
      </c>
      <c r="K208" s="84">
        <f t="shared" si="283"/>
        <v>0</v>
      </c>
      <c r="L208" s="84"/>
      <c r="M208" s="92">
        <f t="shared" si="284"/>
        <v>3454344.5702202637</v>
      </c>
      <c r="N208" s="92">
        <v>0</v>
      </c>
      <c r="O208" s="84">
        <f t="shared" si="285"/>
        <v>3454344.5702202637</v>
      </c>
      <c r="P208" s="84">
        <f t="shared" si="294"/>
        <v>0</v>
      </c>
      <c r="Q208" s="84"/>
      <c r="R208" s="101"/>
      <c r="S208" s="84">
        <f t="shared" si="286"/>
        <v>8062649.5720745418</v>
      </c>
      <c r="T208" s="84">
        <f t="shared" si="287"/>
        <v>0</v>
      </c>
      <c r="U208" s="157">
        <f t="shared" si="288"/>
        <v>0</v>
      </c>
      <c r="V208" s="157"/>
      <c r="W208" s="84"/>
      <c r="X208" s="84"/>
      <c r="Y208" s="84"/>
      <c r="Z208" s="84"/>
      <c r="AA208" s="92">
        <f t="shared" si="289"/>
        <v>18782757.761596672</v>
      </c>
      <c r="AB208" s="92">
        <v>0</v>
      </c>
      <c r="AC208" s="92">
        <f t="shared" si="290"/>
        <v>18782757.761596672</v>
      </c>
      <c r="AD208" s="92">
        <v>0</v>
      </c>
      <c r="AE208" s="84">
        <f t="shared" si="291"/>
        <v>18782757.761596672</v>
      </c>
      <c r="AF208" s="84">
        <f t="shared" si="295"/>
        <v>-1911316.9097472802</v>
      </c>
    </row>
    <row r="209" spans="1:32" x14ac:dyDescent="0.25">
      <c r="A209" s="66">
        <f t="shared" si="292"/>
        <v>16</v>
      </c>
      <c r="B209" s="158">
        <v>42856</v>
      </c>
      <c r="C209" s="84">
        <v>1732655.3117572339</v>
      </c>
      <c r="D209" s="134">
        <f>SUM($C$205:C209)</f>
        <v>9795304.8838317767</v>
      </c>
      <c r="E209" s="84"/>
      <c r="F209" s="84">
        <f t="shared" si="279"/>
        <v>9795304.8838317767</v>
      </c>
      <c r="G209" s="84">
        <f t="shared" si="280"/>
        <v>0</v>
      </c>
      <c r="H209" s="84">
        <f t="shared" si="281"/>
        <v>0</v>
      </c>
      <c r="I209" s="84">
        <f t="shared" si="293"/>
        <v>0</v>
      </c>
      <c r="J209" s="92">
        <f t="shared" si="282"/>
        <v>0</v>
      </c>
      <c r="K209" s="84">
        <f t="shared" si="283"/>
        <v>0</v>
      </c>
      <c r="L209" s="84"/>
      <c r="M209" s="92">
        <f t="shared" si="284"/>
        <v>3454344.5702202637</v>
      </c>
      <c r="N209" s="92">
        <v>0</v>
      </c>
      <c r="O209" s="84">
        <f t="shared" si="285"/>
        <v>3454344.5702202637</v>
      </c>
      <c r="P209" s="84">
        <f t="shared" si="294"/>
        <v>0</v>
      </c>
      <c r="Q209" s="84"/>
      <c r="R209" s="101"/>
      <c r="S209" s="84">
        <f t="shared" si="286"/>
        <v>9795304.8838317767</v>
      </c>
      <c r="T209" s="84">
        <f t="shared" si="287"/>
        <v>0</v>
      </c>
      <c r="U209" s="157">
        <f t="shared" si="288"/>
        <v>0</v>
      </c>
      <c r="V209" s="157"/>
      <c r="W209" s="84"/>
      <c r="X209" s="84"/>
      <c r="Y209" s="84"/>
      <c r="Z209" s="84"/>
      <c r="AA209" s="92">
        <f t="shared" si="289"/>
        <v>20515413.073353905</v>
      </c>
      <c r="AB209" s="92">
        <v>0</v>
      </c>
      <c r="AC209" s="92">
        <f t="shared" si="290"/>
        <v>20515413.073353905</v>
      </c>
      <c r="AD209" s="92">
        <v>0</v>
      </c>
      <c r="AE209" s="84">
        <f t="shared" si="291"/>
        <v>20515413.073353905</v>
      </c>
      <c r="AF209" s="84">
        <f t="shared" si="295"/>
        <v>1732655.311757233</v>
      </c>
    </row>
    <row r="210" spans="1:32" x14ac:dyDescent="0.25">
      <c r="A210" s="66">
        <f t="shared" si="292"/>
        <v>16</v>
      </c>
      <c r="B210" s="158">
        <v>42887</v>
      </c>
      <c r="C210" s="84">
        <v>-1125295.7242896813</v>
      </c>
      <c r="D210" s="134">
        <f>SUM($C$205:C210)</f>
        <v>8670009.1595420949</v>
      </c>
      <c r="E210" s="84"/>
      <c r="F210" s="84">
        <f t="shared" si="279"/>
        <v>8670009.1595420949</v>
      </c>
      <c r="G210" s="84">
        <f t="shared" si="280"/>
        <v>0</v>
      </c>
      <c r="H210" s="84">
        <f t="shared" si="281"/>
        <v>0</v>
      </c>
      <c r="I210" s="84">
        <f t="shared" si="293"/>
        <v>0</v>
      </c>
      <c r="J210" s="92">
        <f t="shared" si="282"/>
        <v>0</v>
      </c>
      <c r="K210" s="84">
        <f t="shared" si="283"/>
        <v>0</v>
      </c>
      <c r="L210" s="84"/>
      <c r="M210" s="92">
        <f t="shared" si="284"/>
        <v>3454344.5702202637</v>
      </c>
      <c r="N210" s="92">
        <v>0</v>
      </c>
      <c r="O210" s="84">
        <f t="shared" si="285"/>
        <v>3454344.5702202637</v>
      </c>
      <c r="P210" s="84">
        <f t="shared" si="294"/>
        <v>0</v>
      </c>
      <c r="Q210" s="84"/>
      <c r="R210" s="101"/>
      <c r="S210" s="84">
        <f t="shared" si="286"/>
        <v>8670009.1595420949</v>
      </c>
      <c r="T210" s="84">
        <f t="shared" si="287"/>
        <v>0</v>
      </c>
      <c r="U210" s="157">
        <f t="shared" si="288"/>
        <v>0</v>
      </c>
      <c r="V210" s="157"/>
      <c r="W210" s="84"/>
      <c r="X210" s="84"/>
      <c r="Y210" s="84"/>
      <c r="Z210" s="84"/>
      <c r="AA210" s="92">
        <f t="shared" si="289"/>
        <v>19390117.349064223</v>
      </c>
      <c r="AB210" s="92">
        <v>0</v>
      </c>
      <c r="AC210" s="92">
        <f t="shared" si="290"/>
        <v>19390117.349064223</v>
      </c>
      <c r="AD210" s="92">
        <v>0</v>
      </c>
      <c r="AE210" s="84">
        <f t="shared" si="291"/>
        <v>19390117.349064223</v>
      </c>
      <c r="AF210" s="84">
        <f t="shared" si="295"/>
        <v>-1125295.7242896818</v>
      </c>
    </row>
    <row r="211" spans="1:32" x14ac:dyDescent="0.25">
      <c r="A211" s="66">
        <f t="shared" si="292"/>
        <v>16</v>
      </c>
      <c r="B211" s="158">
        <v>42917</v>
      </c>
      <c r="C211" s="84">
        <v>-2986662.1752690882</v>
      </c>
      <c r="D211" s="134">
        <f>SUM($C$205:C211)</f>
        <v>5683346.9842730071</v>
      </c>
      <c r="E211" s="84"/>
      <c r="F211" s="84">
        <f t="shared" si="279"/>
        <v>5683346.9842730071</v>
      </c>
      <c r="G211" s="84">
        <f t="shared" si="280"/>
        <v>0</v>
      </c>
      <c r="H211" s="84">
        <f t="shared" si="281"/>
        <v>0</v>
      </c>
      <c r="I211" s="84">
        <f t="shared" si="293"/>
        <v>0</v>
      </c>
      <c r="J211" s="92">
        <f t="shared" si="282"/>
        <v>0</v>
      </c>
      <c r="K211" s="84">
        <f t="shared" si="283"/>
        <v>0</v>
      </c>
      <c r="L211" s="84"/>
      <c r="M211" s="92">
        <f t="shared" si="284"/>
        <v>3454344.5702202637</v>
      </c>
      <c r="N211" s="92">
        <v>0</v>
      </c>
      <c r="O211" s="84">
        <f t="shared" si="285"/>
        <v>3454344.5702202637</v>
      </c>
      <c r="P211" s="84">
        <f t="shared" si="294"/>
        <v>0</v>
      </c>
      <c r="Q211" s="84"/>
      <c r="R211" s="101"/>
      <c r="S211" s="84">
        <f t="shared" si="286"/>
        <v>5683346.9842730071</v>
      </c>
      <c r="T211" s="84">
        <f t="shared" si="287"/>
        <v>0</v>
      </c>
      <c r="U211" s="157">
        <f t="shared" si="288"/>
        <v>0</v>
      </c>
      <c r="V211" s="157"/>
      <c r="W211" s="84"/>
      <c r="X211" s="84"/>
      <c r="Y211" s="84"/>
      <c r="Z211" s="84"/>
      <c r="AA211" s="92">
        <f t="shared" si="289"/>
        <v>16403455.173795136</v>
      </c>
      <c r="AB211" s="92">
        <v>0</v>
      </c>
      <c r="AC211" s="92">
        <f t="shared" si="290"/>
        <v>16403455.173795136</v>
      </c>
      <c r="AD211" s="92">
        <v>0</v>
      </c>
      <c r="AE211" s="84">
        <f t="shared" si="291"/>
        <v>16403455.173795136</v>
      </c>
      <c r="AF211" s="84">
        <f t="shared" si="295"/>
        <v>-2986662.1752690878</v>
      </c>
    </row>
    <row r="212" spans="1:32" x14ac:dyDescent="0.25">
      <c r="A212" s="66">
        <f t="shared" si="292"/>
        <v>16</v>
      </c>
      <c r="B212" s="158">
        <v>42948</v>
      </c>
      <c r="C212" s="84">
        <v>2216115.8709067525</v>
      </c>
      <c r="D212" s="134">
        <f>SUM($C$205:C212)</f>
        <v>7899462.8551797597</v>
      </c>
      <c r="E212" s="84"/>
      <c r="F212" s="84">
        <f t="shared" si="279"/>
        <v>7899462.8551797597</v>
      </c>
      <c r="G212" s="84">
        <f t="shared" si="280"/>
        <v>0</v>
      </c>
      <c r="H212" s="84">
        <f t="shared" si="281"/>
        <v>0</v>
      </c>
      <c r="I212" s="84">
        <f t="shared" si="293"/>
        <v>0</v>
      </c>
      <c r="J212" s="92">
        <f t="shared" si="282"/>
        <v>0</v>
      </c>
      <c r="K212" s="84">
        <f t="shared" si="283"/>
        <v>0</v>
      </c>
      <c r="L212" s="84"/>
      <c r="M212" s="92">
        <f t="shared" si="284"/>
        <v>3454344.5702202637</v>
      </c>
      <c r="N212" s="92">
        <v>0</v>
      </c>
      <c r="O212" s="84">
        <f t="shared" si="285"/>
        <v>3454344.5702202637</v>
      </c>
      <c r="P212" s="84">
        <f t="shared" si="294"/>
        <v>0</v>
      </c>
      <c r="Q212" s="84"/>
      <c r="R212" s="101"/>
      <c r="S212" s="84">
        <f t="shared" si="286"/>
        <v>7899462.8551797597</v>
      </c>
      <c r="T212" s="84">
        <f t="shared" si="287"/>
        <v>0</v>
      </c>
      <c r="U212" s="157">
        <f t="shared" si="288"/>
        <v>0</v>
      </c>
      <c r="V212" s="157"/>
      <c r="W212" s="84"/>
      <c r="X212" s="84"/>
      <c r="Y212" s="84"/>
      <c r="Z212" s="84"/>
      <c r="AA212" s="92">
        <f t="shared" si="289"/>
        <v>18619571.044701889</v>
      </c>
      <c r="AB212" s="92">
        <v>0</v>
      </c>
      <c r="AC212" s="92">
        <f t="shared" si="290"/>
        <v>18619571.044701889</v>
      </c>
      <c r="AD212" s="92">
        <v>0</v>
      </c>
      <c r="AE212" s="84">
        <f t="shared" si="291"/>
        <v>18619571.044701889</v>
      </c>
      <c r="AF212" s="84">
        <f t="shared" si="295"/>
        <v>2216115.8709067535</v>
      </c>
    </row>
    <row r="213" spans="1:32" x14ac:dyDescent="0.25">
      <c r="A213" s="66">
        <f t="shared" si="292"/>
        <v>16</v>
      </c>
      <c r="B213" s="158">
        <v>42979</v>
      </c>
      <c r="C213" s="84">
        <v>1162831.7444500183</v>
      </c>
      <c r="D213" s="134">
        <f>SUM($C$205:C213)</f>
        <v>9062294.5996297784</v>
      </c>
      <c r="E213" s="84"/>
      <c r="F213" s="84">
        <f t="shared" si="279"/>
        <v>9062294.5996297784</v>
      </c>
      <c r="G213" s="84">
        <f t="shared" si="280"/>
        <v>0</v>
      </c>
      <c r="H213" s="84">
        <f t="shared" si="281"/>
        <v>0</v>
      </c>
      <c r="I213" s="84">
        <f t="shared" si="293"/>
        <v>0</v>
      </c>
      <c r="J213" s="92">
        <f t="shared" si="282"/>
        <v>0</v>
      </c>
      <c r="K213" s="84">
        <f t="shared" si="283"/>
        <v>0</v>
      </c>
      <c r="L213" s="84"/>
      <c r="M213" s="92">
        <f t="shared" si="284"/>
        <v>3454344.5702202637</v>
      </c>
      <c r="N213" s="92">
        <v>0</v>
      </c>
      <c r="O213" s="84">
        <f t="shared" si="285"/>
        <v>3454344.5702202637</v>
      </c>
      <c r="P213" s="84">
        <f t="shared" si="294"/>
        <v>0</v>
      </c>
      <c r="Q213" s="84"/>
      <c r="R213" s="101"/>
      <c r="S213" s="84">
        <f t="shared" si="286"/>
        <v>9062294.5996297784</v>
      </c>
      <c r="T213" s="84">
        <f t="shared" si="287"/>
        <v>0</v>
      </c>
      <c r="U213" s="157">
        <f t="shared" si="288"/>
        <v>0</v>
      </c>
      <c r="V213" s="157"/>
      <c r="W213" s="84"/>
      <c r="X213" s="84"/>
      <c r="Y213" s="84"/>
      <c r="Z213" s="84"/>
      <c r="AA213" s="92">
        <f t="shared" si="289"/>
        <v>19782402.789151907</v>
      </c>
      <c r="AB213" s="92">
        <v>0</v>
      </c>
      <c r="AC213" s="92">
        <f t="shared" si="290"/>
        <v>19782402.789151907</v>
      </c>
      <c r="AD213" s="92">
        <v>0</v>
      </c>
      <c r="AE213" s="84">
        <f t="shared" si="291"/>
        <v>19782402.789151907</v>
      </c>
      <c r="AF213" s="84">
        <f t="shared" si="295"/>
        <v>1162831.7444500178</v>
      </c>
    </row>
    <row r="214" spans="1:32" ht="14.25" customHeight="1" x14ac:dyDescent="0.25">
      <c r="A214" s="66">
        <f t="shared" si="292"/>
        <v>16</v>
      </c>
      <c r="B214" s="158">
        <v>43009</v>
      </c>
      <c r="C214" s="84">
        <v>-306619.36559916672</v>
      </c>
      <c r="D214" s="134">
        <f>SUM($C$205:C214)</f>
        <v>8755675.2340306118</v>
      </c>
      <c r="E214" s="84"/>
      <c r="F214" s="84">
        <f t="shared" si="279"/>
        <v>8755675.2340306118</v>
      </c>
      <c r="G214" s="84">
        <f t="shared" si="280"/>
        <v>0</v>
      </c>
      <c r="H214" s="84">
        <f t="shared" si="281"/>
        <v>0</v>
      </c>
      <c r="I214" s="84">
        <f t="shared" si="293"/>
        <v>0</v>
      </c>
      <c r="J214" s="92">
        <f t="shared" si="282"/>
        <v>0</v>
      </c>
      <c r="K214" s="84">
        <f t="shared" si="283"/>
        <v>0</v>
      </c>
      <c r="L214" s="84"/>
      <c r="M214" s="92">
        <f t="shared" si="284"/>
        <v>3454344.5702202637</v>
      </c>
      <c r="N214" s="92">
        <v>0</v>
      </c>
      <c r="O214" s="84">
        <f t="shared" si="285"/>
        <v>3454344.5702202637</v>
      </c>
      <c r="P214" s="84">
        <f t="shared" si="294"/>
        <v>0</v>
      </c>
      <c r="Q214" s="84"/>
      <c r="R214" s="101"/>
      <c r="S214" s="84">
        <f t="shared" si="286"/>
        <v>8755675.2340306118</v>
      </c>
      <c r="T214" s="84">
        <f t="shared" si="287"/>
        <v>0</v>
      </c>
      <c r="U214" s="157">
        <f t="shared" si="288"/>
        <v>0</v>
      </c>
      <c r="V214" s="157"/>
      <c r="W214" s="84"/>
      <c r="X214" s="84"/>
      <c r="Y214" s="84"/>
      <c r="Z214" s="84"/>
      <c r="AA214" s="92">
        <f t="shared" si="289"/>
        <v>19475783.42355274</v>
      </c>
      <c r="AB214" s="92">
        <v>0</v>
      </c>
      <c r="AC214" s="92">
        <f t="shared" si="290"/>
        <v>19475783.42355274</v>
      </c>
      <c r="AD214" s="92">
        <v>0</v>
      </c>
      <c r="AE214" s="84">
        <f t="shared" si="291"/>
        <v>19475783.42355274</v>
      </c>
      <c r="AF214" s="84">
        <f t="shared" si="295"/>
        <v>-306619.3655991666</v>
      </c>
    </row>
    <row r="215" spans="1:32" x14ac:dyDescent="0.25">
      <c r="A215" s="66">
        <f t="shared" si="292"/>
        <v>16</v>
      </c>
      <c r="B215" s="158">
        <v>43040</v>
      </c>
      <c r="C215" s="84">
        <v>2401165.9017115245</v>
      </c>
      <c r="D215" s="134">
        <f>SUM($C$205:C215)</f>
        <v>11156841.135742135</v>
      </c>
      <c r="E215" s="84"/>
      <c r="F215" s="84">
        <f t="shared" si="279"/>
        <v>11156841.135742135</v>
      </c>
      <c r="G215" s="84">
        <f t="shared" si="280"/>
        <v>0</v>
      </c>
      <c r="H215" s="84">
        <f t="shared" si="281"/>
        <v>0</v>
      </c>
      <c r="I215" s="84">
        <f t="shared" si="293"/>
        <v>0</v>
      </c>
      <c r="J215" s="92">
        <f t="shared" si="282"/>
        <v>0</v>
      </c>
      <c r="K215" s="84">
        <f t="shared" si="283"/>
        <v>0</v>
      </c>
      <c r="L215" s="84"/>
      <c r="M215" s="92">
        <f t="shared" si="284"/>
        <v>3454344.5702202637</v>
      </c>
      <c r="N215" s="92">
        <v>0</v>
      </c>
      <c r="O215" s="84">
        <f t="shared" si="285"/>
        <v>3454344.5702202637</v>
      </c>
      <c r="P215" s="84">
        <f t="shared" si="294"/>
        <v>0</v>
      </c>
      <c r="Q215" s="84"/>
      <c r="R215" s="101"/>
      <c r="S215" s="84">
        <f t="shared" si="286"/>
        <v>11156841.135742135</v>
      </c>
      <c r="T215" s="84">
        <f t="shared" si="287"/>
        <v>0</v>
      </c>
      <c r="U215" s="157">
        <f t="shared" si="288"/>
        <v>0</v>
      </c>
      <c r="V215" s="157"/>
      <c r="W215" s="84"/>
      <c r="X215" s="84"/>
      <c r="Y215" s="84"/>
      <c r="Z215" s="84"/>
      <c r="AA215" s="92">
        <f t="shared" si="289"/>
        <v>21876949.325264264</v>
      </c>
      <c r="AB215" s="92">
        <v>0</v>
      </c>
      <c r="AC215" s="92">
        <f t="shared" si="290"/>
        <v>21876949.325264264</v>
      </c>
      <c r="AD215" s="92">
        <v>0</v>
      </c>
      <c r="AE215" s="84">
        <f t="shared" si="291"/>
        <v>21876949.325264264</v>
      </c>
      <c r="AF215" s="84">
        <f t="shared" si="295"/>
        <v>2401165.9017115235</v>
      </c>
    </row>
    <row r="216" spans="1:32" x14ac:dyDescent="0.25">
      <c r="A216" s="66">
        <f t="shared" si="292"/>
        <v>16</v>
      </c>
      <c r="B216" s="158">
        <v>43070</v>
      </c>
      <c r="C216" s="84">
        <v>537437.65022195282</v>
      </c>
      <c r="D216" s="134">
        <f>SUM($C$205:C216)</f>
        <v>11694278.785964089</v>
      </c>
      <c r="E216" s="84"/>
      <c r="F216" s="84">
        <f t="shared" si="279"/>
        <v>11694278.785964089</v>
      </c>
      <c r="G216" s="84">
        <f t="shared" si="280"/>
        <v>0</v>
      </c>
      <c r="H216" s="84">
        <f t="shared" si="281"/>
        <v>0</v>
      </c>
      <c r="I216" s="84">
        <f t="shared" si="293"/>
        <v>0</v>
      </c>
      <c r="J216" s="92">
        <f t="shared" si="282"/>
        <v>0</v>
      </c>
      <c r="K216" s="84">
        <f t="shared" si="283"/>
        <v>0</v>
      </c>
      <c r="L216" s="84"/>
      <c r="M216" s="92">
        <f t="shared" si="284"/>
        <v>3454344.5702202637</v>
      </c>
      <c r="N216" s="92">
        <v>0</v>
      </c>
      <c r="O216" s="84">
        <f t="shared" si="285"/>
        <v>3454344.5702202637</v>
      </c>
      <c r="P216" s="84">
        <f t="shared" si="294"/>
        <v>0</v>
      </c>
      <c r="Q216" s="84"/>
      <c r="R216" s="101"/>
      <c r="S216" s="84">
        <f t="shared" si="286"/>
        <v>11694278.785964089</v>
      </c>
      <c r="T216" s="84">
        <f t="shared" si="287"/>
        <v>0</v>
      </c>
      <c r="U216" s="157">
        <f t="shared" si="288"/>
        <v>0</v>
      </c>
      <c r="V216" s="157"/>
      <c r="W216" s="84"/>
      <c r="X216" s="84"/>
      <c r="Y216" s="84"/>
      <c r="Z216" s="84"/>
      <c r="AA216" s="92">
        <f t="shared" si="289"/>
        <v>22414386.975486219</v>
      </c>
      <c r="AB216" s="92">
        <v>0</v>
      </c>
      <c r="AC216" s="92">
        <f t="shared" si="290"/>
        <v>22414386.975486219</v>
      </c>
      <c r="AD216" s="92">
        <v>0</v>
      </c>
      <c r="AE216" s="84">
        <f t="shared" si="291"/>
        <v>22414386.975486219</v>
      </c>
      <c r="AF216" s="84">
        <f t="shared" si="295"/>
        <v>537437.65022195503</v>
      </c>
    </row>
    <row r="217" spans="1:32" x14ac:dyDescent="0.25">
      <c r="A217" s="66"/>
      <c r="B217" s="158"/>
      <c r="C217" s="84"/>
      <c r="D217" s="134"/>
      <c r="E217" s="84"/>
      <c r="F217" s="84"/>
      <c r="G217" s="84"/>
      <c r="H217" s="84"/>
      <c r="I217" s="84"/>
      <c r="J217" s="92"/>
      <c r="K217" s="84"/>
      <c r="L217" s="84"/>
      <c r="M217" s="92"/>
      <c r="N217" s="92"/>
      <c r="O217" s="84"/>
      <c r="P217" s="84"/>
      <c r="Q217" s="84"/>
      <c r="R217" s="101"/>
      <c r="S217" s="84"/>
      <c r="T217" s="84"/>
      <c r="U217" s="157"/>
      <c r="V217" s="157"/>
      <c r="W217" s="84"/>
      <c r="X217" s="84"/>
      <c r="Y217" s="84"/>
      <c r="Z217" s="84"/>
      <c r="AA217" s="84"/>
      <c r="AB217" s="92"/>
      <c r="AC217" s="92"/>
      <c r="AD217" s="92"/>
      <c r="AE217" s="84"/>
      <c r="AF217" s="84"/>
    </row>
    <row r="218" spans="1:32" x14ac:dyDescent="0.25">
      <c r="A218" s="66">
        <v>17</v>
      </c>
      <c r="B218" s="158">
        <v>43101</v>
      </c>
      <c r="C218" s="84">
        <v>-1159096.6241614411</v>
      </c>
      <c r="D218" s="134">
        <f>C218</f>
        <v>-1159096.6241614411</v>
      </c>
      <c r="E218" s="84"/>
      <c r="F218" s="84">
        <f t="shared" ref="F218:F229" si="296">IF(ABS(D218)&gt;+$F$13,IF(D218&lt;0,-$F$13,+$F$13),+D218)</f>
        <v>-1159096.6241614411</v>
      </c>
      <c r="G218" s="84">
        <f t="shared" ref="G218:G229" si="297">IF(ABS(D218)-ABS(F218)&gt;=$G$13,IF(D218&lt;=0,-$G$13,+$G$13),+D218-F218)</f>
        <v>0</v>
      </c>
      <c r="H218" s="84">
        <f t="shared" ref="H218:H229" si="298">IF(ABS(+D218)-ABS(SUM(F218:G218))&gt;=$H$13,IF(D218&lt;=0,-$H$13,+$H$13),+D218-SUM(F218:G218))</f>
        <v>0</v>
      </c>
      <c r="I218" s="84"/>
      <c r="J218" s="92">
        <f t="shared" ref="J218:J229" si="299">IF(G218&gt;0,+G218*$C$287,G218*$C$288)</f>
        <v>0</v>
      </c>
      <c r="K218" s="84">
        <f t="shared" ref="K218:K229" si="300">+H218*$C$289</f>
        <v>0</v>
      </c>
      <c r="L218" s="84"/>
      <c r="M218" s="92">
        <f t="shared" ref="M218:M229" si="301">SUM(J218:L218)+$M$216</f>
        <v>3454344.5702202637</v>
      </c>
      <c r="N218" s="92">
        <v>0</v>
      </c>
      <c r="O218" s="84">
        <f t="shared" ref="O218:O229" si="302">M218+N218</f>
        <v>3454344.5702202637</v>
      </c>
      <c r="P218" s="84">
        <f>O218-O216</f>
        <v>0</v>
      </c>
      <c r="Q218" s="84"/>
      <c r="R218" s="101"/>
      <c r="S218" s="84">
        <f t="shared" ref="S218:S229" si="303">+F218</f>
        <v>-1159096.6241614411</v>
      </c>
      <c r="T218" s="84">
        <f t="shared" ref="T218:T229" si="304">+G218-J218</f>
        <v>0</v>
      </c>
      <c r="U218" s="157">
        <f t="shared" ref="U218:U229" si="305">+H218-K218</f>
        <v>0</v>
      </c>
      <c r="V218" s="157"/>
      <c r="W218" s="84"/>
      <c r="X218" s="84"/>
      <c r="Y218" s="84"/>
      <c r="Z218" s="84"/>
      <c r="AA218" s="92">
        <f t="shared" ref="AA218:AA229" si="306">SUM(S218:V218)+$AA$216</f>
        <v>21255290.351324778</v>
      </c>
      <c r="AB218" s="92">
        <v>0</v>
      </c>
      <c r="AC218" s="92">
        <f t="shared" ref="AC218:AC229" si="307">AA218-AB218</f>
        <v>21255290.351324778</v>
      </c>
      <c r="AD218" s="92">
        <v>0</v>
      </c>
      <c r="AE218" s="84">
        <f t="shared" ref="AE218:AE229" si="308">AA218-AB218+AD218</f>
        <v>21255290.351324778</v>
      </c>
      <c r="AF218" s="92">
        <f>AE218-AE216</f>
        <v>-1159096.6241614409</v>
      </c>
    </row>
    <row r="219" spans="1:32" x14ac:dyDescent="0.25">
      <c r="A219" s="66">
        <f t="shared" ref="A219:A229" si="309">A218</f>
        <v>17</v>
      </c>
      <c r="B219" s="158">
        <v>43132</v>
      </c>
      <c r="C219" s="84">
        <v>-4510200.7405628478</v>
      </c>
      <c r="D219" s="134">
        <f>SUM($C$218:C219)</f>
        <v>-5669297.3647242887</v>
      </c>
      <c r="E219" s="84"/>
      <c r="F219" s="84">
        <f t="shared" si="296"/>
        <v>-5669297.3647242887</v>
      </c>
      <c r="G219" s="84">
        <f t="shared" si="297"/>
        <v>0</v>
      </c>
      <c r="H219" s="84">
        <f t="shared" si="298"/>
        <v>0</v>
      </c>
      <c r="I219" s="84"/>
      <c r="J219" s="92">
        <f t="shared" si="299"/>
        <v>0</v>
      </c>
      <c r="K219" s="84">
        <f t="shared" si="300"/>
        <v>0</v>
      </c>
      <c r="L219" s="84"/>
      <c r="M219" s="92">
        <f t="shared" si="301"/>
        <v>3454344.5702202637</v>
      </c>
      <c r="N219" s="92">
        <v>0</v>
      </c>
      <c r="O219" s="84">
        <f t="shared" si="302"/>
        <v>3454344.5702202637</v>
      </c>
      <c r="P219" s="84">
        <f t="shared" ref="P219:P229" si="310">O219-O218</f>
        <v>0</v>
      </c>
      <c r="Q219" s="84"/>
      <c r="R219" s="101"/>
      <c r="S219" s="84">
        <f t="shared" si="303"/>
        <v>-5669297.3647242887</v>
      </c>
      <c r="T219" s="84">
        <f t="shared" si="304"/>
        <v>0</v>
      </c>
      <c r="U219" s="157">
        <f t="shared" si="305"/>
        <v>0</v>
      </c>
      <c r="V219" s="157"/>
      <c r="W219" s="84"/>
      <c r="X219" s="84"/>
      <c r="Y219" s="84"/>
      <c r="Z219" s="84"/>
      <c r="AA219" s="92">
        <f t="shared" si="306"/>
        <v>16745089.610761929</v>
      </c>
      <c r="AB219" s="92">
        <v>0</v>
      </c>
      <c r="AC219" s="92">
        <f t="shared" si="307"/>
        <v>16745089.610761929</v>
      </c>
      <c r="AD219" s="92">
        <v>0</v>
      </c>
      <c r="AE219" s="84">
        <f t="shared" si="308"/>
        <v>16745089.610761929</v>
      </c>
      <c r="AF219" s="84">
        <f t="shared" ref="AF219:AF229" si="311">AE219-AE218</f>
        <v>-4510200.7405628487</v>
      </c>
    </row>
    <row r="220" spans="1:32" x14ac:dyDescent="0.25">
      <c r="A220" s="66">
        <f t="shared" si="309"/>
        <v>17</v>
      </c>
      <c r="B220" s="158">
        <v>43160</v>
      </c>
      <c r="C220" s="84">
        <v>-1819951.498367775</v>
      </c>
      <c r="D220" s="134">
        <f>SUM($C$218:C220)</f>
        <v>-7489248.8630920639</v>
      </c>
      <c r="E220" s="84"/>
      <c r="F220" s="84">
        <f t="shared" si="296"/>
        <v>-7489248.8630920639</v>
      </c>
      <c r="G220" s="84">
        <f t="shared" si="297"/>
        <v>0</v>
      </c>
      <c r="H220" s="84">
        <f t="shared" si="298"/>
        <v>0</v>
      </c>
      <c r="I220" s="84"/>
      <c r="J220" s="92">
        <f t="shared" si="299"/>
        <v>0</v>
      </c>
      <c r="K220" s="84">
        <f t="shared" si="300"/>
        <v>0</v>
      </c>
      <c r="L220" s="84"/>
      <c r="M220" s="92">
        <f t="shared" si="301"/>
        <v>3454344.5702202637</v>
      </c>
      <c r="N220" s="92">
        <v>0</v>
      </c>
      <c r="O220" s="84">
        <f t="shared" si="302"/>
        <v>3454344.5702202637</v>
      </c>
      <c r="P220" s="84">
        <f t="shared" si="310"/>
        <v>0</v>
      </c>
      <c r="Q220" s="84"/>
      <c r="R220" s="101"/>
      <c r="S220" s="84">
        <f t="shared" si="303"/>
        <v>-7489248.8630920639</v>
      </c>
      <c r="T220" s="84">
        <f t="shared" si="304"/>
        <v>0</v>
      </c>
      <c r="U220" s="157">
        <f t="shared" si="305"/>
        <v>0</v>
      </c>
      <c r="V220" s="157"/>
      <c r="W220" s="84"/>
      <c r="X220" s="84"/>
      <c r="Y220" s="84"/>
      <c r="Z220" s="84"/>
      <c r="AA220" s="92">
        <f t="shared" si="306"/>
        <v>14925138.112394154</v>
      </c>
      <c r="AB220" s="92">
        <v>0</v>
      </c>
      <c r="AC220" s="92">
        <f t="shared" si="307"/>
        <v>14925138.112394154</v>
      </c>
      <c r="AD220" s="92">
        <v>0</v>
      </c>
      <c r="AE220" s="84">
        <f t="shared" si="308"/>
        <v>14925138.112394154</v>
      </c>
      <c r="AF220" s="84">
        <f t="shared" si="311"/>
        <v>-1819951.4983677752</v>
      </c>
    </row>
    <row r="221" spans="1:32" x14ac:dyDescent="0.25">
      <c r="A221" s="66">
        <f t="shared" si="309"/>
        <v>17</v>
      </c>
      <c r="B221" s="158">
        <v>43191</v>
      </c>
      <c r="C221" s="84">
        <v>-3094283.4525845423</v>
      </c>
      <c r="D221" s="134">
        <f>SUM($C$218:C221)</f>
        <v>-10583532.315676607</v>
      </c>
      <c r="E221" s="84"/>
      <c r="F221" s="84">
        <f t="shared" si="296"/>
        <v>-10583532.315676607</v>
      </c>
      <c r="G221" s="84">
        <f t="shared" si="297"/>
        <v>0</v>
      </c>
      <c r="H221" s="84">
        <f t="shared" si="298"/>
        <v>0</v>
      </c>
      <c r="I221" s="84"/>
      <c r="J221" s="92">
        <f t="shared" si="299"/>
        <v>0</v>
      </c>
      <c r="K221" s="84">
        <f t="shared" si="300"/>
        <v>0</v>
      </c>
      <c r="L221" s="84"/>
      <c r="M221" s="92">
        <f t="shared" si="301"/>
        <v>3454344.5702202637</v>
      </c>
      <c r="N221" s="92">
        <v>0</v>
      </c>
      <c r="O221" s="84">
        <f t="shared" si="302"/>
        <v>3454344.5702202637</v>
      </c>
      <c r="P221" s="84">
        <f t="shared" si="310"/>
        <v>0</v>
      </c>
      <c r="Q221" s="84"/>
      <c r="R221" s="101"/>
      <c r="S221" s="84">
        <f t="shared" si="303"/>
        <v>-10583532.315676607</v>
      </c>
      <c r="T221" s="84">
        <f t="shared" si="304"/>
        <v>0</v>
      </c>
      <c r="U221" s="157">
        <f t="shared" si="305"/>
        <v>0</v>
      </c>
      <c r="V221" s="157"/>
      <c r="W221" s="84"/>
      <c r="X221" s="84"/>
      <c r="Y221" s="84"/>
      <c r="Z221" s="84"/>
      <c r="AA221" s="92">
        <f t="shared" si="306"/>
        <v>11830854.659809612</v>
      </c>
      <c r="AB221" s="92">
        <v>0</v>
      </c>
      <c r="AC221" s="92">
        <f t="shared" si="307"/>
        <v>11830854.659809612</v>
      </c>
      <c r="AD221" s="92">
        <v>0</v>
      </c>
      <c r="AE221" s="84">
        <f t="shared" si="308"/>
        <v>11830854.659809612</v>
      </c>
      <c r="AF221" s="84">
        <f t="shared" si="311"/>
        <v>-3094283.4525845423</v>
      </c>
    </row>
    <row r="222" spans="1:32" x14ac:dyDescent="0.25">
      <c r="A222" s="66">
        <f t="shared" si="309"/>
        <v>17</v>
      </c>
      <c r="B222" s="158">
        <v>43221</v>
      </c>
      <c r="C222" s="84">
        <v>-1714076.7782624061</v>
      </c>
      <c r="D222" s="134">
        <f>SUM($C$218:C222)</f>
        <v>-12297609.093939014</v>
      </c>
      <c r="E222" s="84"/>
      <c r="F222" s="84">
        <f t="shared" si="296"/>
        <v>-12297609.093939014</v>
      </c>
      <c r="G222" s="84">
        <f t="shared" si="297"/>
        <v>0</v>
      </c>
      <c r="H222" s="84">
        <f t="shared" si="298"/>
        <v>0</v>
      </c>
      <c r="I222" s="84"/>
      <c r="J222" s="92">
        <f t="shared" si="299"/>
        <v>0</v>
      </c>
      <c r="K222" s="84">
        <f t="shared" si="300"/>
        <v>0</v>
      </c>
      <c r="L222" s="84"/>
      <c r="M222" s="92">
        <f t="shared" si="301"/>
        <v>3454344.5702202637</v>
      </c>
      <c r="N222" s="92">
        <v>0</v>
      </c>
      <c r="O222" s="84">
        <f t="shared" si="302"/>
        <v>3454344.5702202637</v>
      </c>
      <c r="P222" s="84">
        <f t="shared" si="310"/>
        <v>0</v>
      </c>
      <c r="Q222" s="84"/>
      <c r="R222" s="101"/>
      <c r="S222" s="84">
        <f t="shared" si="303"/>
        <v>-12297609.093939014</v>
      </c>
      <c r="T222" s="84">
        <f t="shared" si="304"/>
        <v>0</v>
      </c>
      <c r="U222" s="157">
        <f t="shared" si="305"/>
        <v>0</v>
      </c>
      <c r="V222" s="157"/>
      <c r="W222" s="84"/>
      <c r="X222" s="84"/>
      <c r="Y222" s="84"/>
      <c r="Z222" s="84"/>
      <c r="AA222" s="92">
        <f t="shared" si="306"/>
        <v>10116777.881547205</v>
      </c>
      <c r="AB222" s="92">
        <v>0</v>
      </c>
      <c r="AC222" s="92">
        <f t="shared" si="307"/>
        <v>10116777.881547205</v>
      </c>
      <c r="AD222" s="92">
        <v>0</v>
      </c>
      <c r="AE222" s="84">
        <f t="shared" si="308"/>
        <v>10116777.881547205</v>
      </c>
      <c r="AF222" s="84">
        <f t="shared" si="311"/>
        <v>-1714076.7782624066</v>
      </c>
    </row>
    <row r="223" spans="1:32" x14ac:dyDescent="0.25">
      <c r="A223" s="66">
        <f t="shared" si="309"/>
        <v>17</v>
      </c>
      <c r="B223" s="158">
        <v>43252</v>
      </c>
      <c r="C223" s="84">
        <v>-3046318.8314641989</v>
      </c>
      <c r="D223" s="134">
        <f>SUM($C$218:C223)</f>
        <v>-15343927.925403213</v>
      </c>
      <c r="E223" s="84"/>
      <c r="F223" s="84">
        <f t="shared" si="296"/>
        <v>-15343927.925403213</v>
      </c>
      <c r="G223" s="84">
        <f t="shared" si="297"/>
        <v>0</v>
      </c>
      <c r="H223" s="84">
        <f t="shared" si="298"/>
        <v>0</v>
      </c>
      <c r="I223" s="84"/>
      <c r="J223" s="92">
        <f t="shared" si="299"/>
        <v>0</v>
      </c>
      <c r="K223" s="84">
        <f t="shared" si="300"/>
        <v>0</v>
      </c>
      <c r="L223" s="84"/>
      <c r="M223" s="92">
        <f t="shared" si="301"/>
        <v>3454344.5702202637</v>
      </c>
      <c r="N223" s="92">
        <v>0</v>
      </c>
      <c r="O223" s="84">
        <f t="shared" si="302"/>
        <v>3454344.5702202637</v>
      </c>
      <c r="P223" s="84">
        <f t="shared" si="310"/>
        <v>0</v>
      </c>
      <c r="Q223" s="84"/>
      <c r="R223" s="101"/>
      <c r="S223" s="84">
        <f t="shared" si="303"/>
        <v>-15343927.925403213</v>
      </c>
      <c r="T223" s="84">
        <f t="shared" si="304"/>
        <v>0</v>
      </c>
      <c r="U223" s="157">
        <f t="shared" si="305"/>
        <v>0</v>
      </c>
      <c r="V223" s="157"/>
      <c r="W223" s="84"/>
      <c r="X223" s="84"/>
      <c r="Y223" s="84"/>
      <c r="Z223" s="84"/>
      <c r="AA223" s="92">
        <f t="shared" si="306"/>
        <v>7070459.0500830058</v>
      </c>
      <c r="AB223" s="92">
        <v>0</v>
      </c>
      <c r="AC223" s="92">
        <f t="shared" si="307"/>
        <v>7070459.0500830058</v>
      </c>
      <c r="AD223" s="92">
        <v>0</v>
      </c>
      <c r="AE223" s="84">
        <f t="shared" si="308"/>
        <v>7070459.0500830058</v>
      </c>
      <c r="AF223" s="84">
        <f t="shared" si="311"/>
        <v>-3046318.8314641993</v>
      </c>
    </row>
    <row r="224" spans="1:32" x14ac:dyDescent="0.25">
      <c r="A224" s="66">
        <f t="shared" si="309"/>
        <v>17</v>
      </c>
      <c r="B224" s="158">
        <v>43282</v>
      </c>
      <c r="C224" s="84">
        <v>4791247.7506745281</v>
      </c>
      <c r="D224" s="134">
        <f>SUM($C$218:C224)</f>
        <v>-10552680.174728684</v>
      </c>
      <c r="E224" s="84"/>
      <c r="F224" s="84">
        <f t="shared" si="296"/>
        <v>-10552680.174728684</v>
      </c>
      <c r="G224" s="84">
        <f t="shared" si="297"/>
        <v>0</v>
      </c>
      <c r="H224" s="84">
        <f t="shared" si="298"/>
        <v>0</v>
      </c>
      <c r="I224" s="84"/>
      <c r="J224" s="92">
        <f t="shared" si="299"/>
        <v>0</v>
      </c>
      <c r="K224" s="84">
        <f t="shared" si="300"/>
        <v>0</v>
      </c>
      <c r="L224" s="84"/>
      <c r="M224" s="92">
        <f t="shared" si="301"/>
        <v>3454344.5702202637</v>
      </c>
      <c r="N224" s="92">
        <v>0</v>
      </c>
      <c r="O224" s="84">
        <f t="shared" si="302"/>
        <v>3454344.5702202637</v>
      </c>
      <c r="P224" s="84">
        <f t="shared" si="310"/>
        <v>0</v>
      </c>
      <c r="Q224" s="84"/>
      <c r="R224" s="101"/>
      <c r="S224" s="84">
        <f t="shared" si="303"/>
        <v>-10552680.174728684</v>
      </c>
      <c r="T224" s="84">
        <f t="shared" si="304"/>
        <v>0</v>
      </c>
      <c r="U224" s="157">
        <f t="shared" si="305"/>
        <v>0</v>
      </c>
      <c r="V224" s="157"/>
      <c r="W224" s="84"/>
      <c r="X224" s="84"/>
      <c r="Y224" s="84"/>
      <c r="Z224" s="84"/>
      <c r="AA224" s="92">
        <f t="shared" si="306"/>
        <v>11861706.800757535</v>
      </c>
      <c r="AB224" s="92">
        <v>0</v>
      </c>
      <c r="AC224" s="92">
        <f t="shared" si="307"/>
        <v>11861706.800757535</v>
      </c>
      <c r="AD224" s="92">
        <v>0</v>
      </c>
      <c r="AE224" s="84">
        <f t="shared" si="308"/>
        <v>11861706.800757535</v>
      </c>
      <c r="AF224" s="84">
        <f t="shared" si="311"/>
        <v>4791247.750674529</v>
      </c>
    </row>
    <row r="225" spans="1:32" x14ac:dyDescent="0.25">
      <c r="A225" s="66">
        <f t="shared" si="309"/>
        <v>17</v>
      </c>
      <c r="B225" s="158">
        <v>43313</v>
      </c>
      <c r="C225" s="84">
        <v>7462752.246269661</v>
      </c>
      <c r="D225" s="134">
        <f>SUM($C$218:C225)</f>
        <v>-3089927.9284590231</v>
      </c>
      <c r="E225" s="84"/>
      <c r="F225" s="84">
        <f t="shared" si="296"/>
        <v>-3089927.9284590231</v>
      </c>
      <c r="G225" s="84">
        <f t="shared" si="297"/>
        <v>0</v>
      </c>
      <c r="H225" s="84">
        <f t="shared" si="298"/>
        <v>0</v>
      </c>
      <c r="I225" s="84"/>
      <c r="J225" s="92">
        <f t="shared" si="299"/>
        <v>0</v>
      </c>
      <c r="K225" s="84">
        <f t="shared" si="300"/>
        <v>0</v>
      </c>
      <c r="L225" s="84"/>
      <c r="M225" s="92">
        <f t="shared" si="301"/>
        <v>3454344.5702202637</v>
      </c>
      <c r="N225" s="92">
        <v>0</v>
      </c>
      <c r="O225" s="84">
        <f t="shared" si="302"/>
        <v>3454344.5702202637</v>
      </c>
      <c r="P225" s="84">
        <f t="shared" si="310"/>
        <v>0</v>
      </c>
      <c r="Q225" s="84"/>
      <c r="R225" s="101"/>
      <c r="S225" s="84">
        <f t="shared" si="303"/>
        <v>-3089927.9284590231</v>
      </c>
      <c r="T225" s="84">
        <f t="shared" si="304"/>
        <v>0</v>
      </c>
      <c r="U225" s="157">
        <f t="shared" si="305"/>
        <v>0</v>
      </c>
      <c r="V225" s="157"/>
      <c r="W225" s="84"/>
      <c r="X225" s="84"/>
      <c r="Y225" s="84"/>
      <c r="Z225" s="84"/>
      <c r="AA225" s="92">
        <f t="shared" si="306"/>
        <v>19324459.047027197</v>
      </c>
      <c r="AB225" s="92">
        <v>0</v>
      </c>
      <c r="AC225" s="92">
        <f t="shared" si="307"/>
        <v>19324459.047027197</v>
      </c>
      <c r="AD225" s="92">
        <v>0</v>
      </c>
      <c r="AE225" s="84">
        <f t="shared" si="308"/>
        <v>19324459.047027197</v>
      </c>
      <c r="AF225" s="84">
        <f t="shared" si="311"/>
        <v>7462752.2462696619</v>
      </c>
    </row>
    <row r="226" spans="1:32" x14ac:dyDescent="0.25">
      <c r="A226" s="66">
        <f t="shared" si="309"/>
        <v>17</v>
      </c>
      <c r="B226" s="158">
        <v>43344</v>
      </c>
      <c r="C226" s="84">
        <v>-927532.24866658181</v>
      </c>
      <c r="D226" s="134">
        <f>SUM($C$218:C226)</f>
        <v>-4017460.1771256048</v>
      </c>
      <c r="E226" s="84"/>
      <c r="F226" s="84">
        <f t="shared" si="296"/>
        <v>-4017460.1771256048</v>
      </c>
      <c r="G226" s="84">
        <f t="shared" si="297"/>
        <v>0</v>
      </c>
      <c r="H226" s="84">
        <f t="shared" si="298"/>
        <v>0</v>
      </c>
      <c r="I226" s="84"/>
      <c r="J226" s="92">
        <f t="shared" si="299"/>
        <v>0</v>
      </c>
      <c r="K226" s="84">
        <f t="shared" si="300"/>
        <v>0</v>
      </c>
      <c r="L226" s="84"/>
      <c r="M226" s="92">
        <f t="shared" si="301"/>
        <v>3454344.5702202637</v>
      </c>
      <c r="N226" s="92">
        <v>0</v>
      </c>
      <c r="O226" s="84">
        <f t="shared" si="302"/>
        <v>3454344.5702202637</v>
      </c>
      <c r="P226" s="84">
        <f t="shared" si="310"/>
        <v>0</v>
      </c>
      <c r="Q226" s="84"/>
      <c r="R226" s="101"/>
      <c r="S226" s="84">
        <f t="shared" si="303"/>
        <v>-4017460.1771256048</v>
      </c>
      <c r="T226" s="84">
        <f t="shared" si="304"/>
        <v>0</v>
      </c>
      <c r="U226" s="157">
        <f t="shared" si="305"/>
        <v>0</v>
      </c>
      <c r="V226" s="157"/>
      <c r="W226" s="84"/>
      <c r="X226" s="84"/>
      <c r="Y226" s="84"/>
      <c r="Z226" s="84"/>
      <c r="AA226" s="92">
        <f t="shared" si="306"/>
        <v>18396926.798360616</v>
      </c>
      <c r="AB226" s="92">
        <v>0</v>
      </c>
      <c r="AC226" s="92">
        <f t="shared" si="307"/>
        <v>18396926.798360616</v>
      </c>
      <c r="AD226" s="92">
        <v>0</v>
      </c>
      <c r="AE226" s="84">
        <f t="shared" si="308"/>
        <v>18396926.798360616</v>
      </c>
      <c r="AF226" s="84">
        <f t="shared" si="311"/>
        <v>-927532.24866658077</v>
      </c>
    </row>
    <row r="227" spans="1:32" x14ac:dyDescent="0.25">
      <c r="A227" s="66">
        <f t="shared" si="309"/>
        <v>17</v>
      </c>
      <c r="B227" s="158">
        <v>43374</v>
      </c>
      <c r="C227" s="84">
        <v>4869117.1131042046</v>
      </c>
      <c r="D227" s="134">
        <f>SUM($C$218:C227)</f>
        <v>851656.93597859982</v>
      </c>
      <c r="E227" s="84"/>
      <c r="F227" s="84">
        <f t="shared" si="296"/>
        <v>851656.93597859982</v>
      </c>
      <c r="G227" s="84">
        <f t="shared" si="297"/>
        <v>0</v>
      </c>
      <c r="H227" s="84">
        <f t="shared" si="298"/>
        <v>0</v>
      </c>
      <c r="I227" s="84"/>
      <c r="J227" s="92">
        <f t="shared" si="299"/>
        <v>0</v>
      </c>
      <c r="K227" s="84">
        <f t="shared" si="300"/>
        <v>0</v>
      </c>
      <c r="L227" s="84"/>
      <c r="M227" s="92">
        <f t="shared" si="301"/>
        <v>3454344.5702202637</v>
      </c>
      <c r="N227" s="92">
        <v>0</v>
      </c>
      <c r="O227" s="84">
        <f t="shared" si="302"/>
        <v>3454344.5702202637</v>
      </c>
      <c r="P227" s="84">
        <f t="shared" si="310"/>
        <v>0</v>
      </c>
      <c r="Q227" s="84"/>
      <c r="R227" s="101"/>
      <c r="S227" s="84">
        <f t="shared" si="303"/>
        <v>851656.93597859982</v>
      </c>
      <c r="T227" s="84">
        <f t="shared" si="304"/>
        <v>0</v>
      </c>
      <c r="U227" s="157">
        <f t="shared" si="305"/>
        <v>0</v>
      </c>
      <c r="V227" s="157"/>
      <c r="W227" s="84"/>
      <c r="X227" s="84"/>
      <c r="Y227" s="84"/>
      <c r="Z227" s="84"/>
      <c r="AA227" s="92">
        <f t="shared" si="306"/>
        <v>23266043.911464818</v>
      </c>
      <c r="AB227" s="92">
        <v>0</v>
      </c>
      <c r="AC227" s="92">
        <f t="shared" si="307"/>
        <v>23266043.911464818</v>
      </c>
      <c r="AD227" s="92">
        <v>0</v>
      </c>
      <c r="AE227" s="84">
        <f t="shared" si="308"/>
        <v>23266043.911464818</v>
      </c>
      <c r="AF227" s="84">
        <f t="shared" si="311"/>
        <v>4869117.1131042019</v>
      </c>
    </row>
    <row r="228" spans="1:32" x14ac:dyDescent="0.25">
      <c r="A228" s="66">
        <f t="shared" si="309"/>
        <v>17</v>
      </c>
      <c r="B228" s="158">
        <v>43405</v>
      </c>
      <c r="C228" s="84">
        <v>-12938347.984385502</v>
      </c>
      <c r="D228" s="134">
        <f>SUM($C$218:C228)</f>
        <v>-12086691.048406903</v>
      </c>
      <c r="E228" s="84"/>
      <c r="F228" s="84">
        <f t="shared" si="296"/>
        <v>-12086691.048406903</v>
      </c>
      <c r="G228" s="84">
        <f t="shared" si="297"/>
        <v>0</v>
      </c>
      <c r="H228" s="84">
        <f t="shared" si="298"/>
        <v>0</v>
      </c>
      <c r="I228" s="84"/>
      <c r="J228" s="92">
        <f t="shared" si="299"/>
        <v>0</v>
      </c>
      <c r="K228" s="84">
        <f t="shared" si="300"/>
        <v>0</v>
      </c>
      <c r="L228" s="84"/>
      <c r="M228" s="92">
        <f t="shared" si="301"/>
        <v>3454344.5702202637</v>
      </c>
      <c r="N228" s="92">
        <v>0</v>
      </c>
      <c r="O228" s="84">
        <f t="shared" si="302"/>
        <v>3454344.5702202637</v>
      </c>
      <c r="P228" s="84">
        <f t="shared" si="310"/>
        <v>0</v>
      </c>
      <c r="Q228" s="84"/>
      <c r="R228" s="101"/>
      <c r="S228" s="84">
        <f t="shared" si="303"/>
        <v>-12086691.048406903</v>
      </c>
      <c r="T228" s="84">
        <f t="shared" si="304"/>
        <v>0</v>
      </c>
      <c r="U228" s="157">
        <f t="shared" si="305"/>
        <v>0</v>
      </c>
      <c r="V228" s="157"/>
      <c r="W228" s="84"/>
      <c r="X228" s="84"/>
      <c r="Y228" s="84"/>
      <c r="Z228" s="84"/>
      <c r="AA228" s="92">
        <f t="shared" si="306"/>
        <v>10327695.927079316</v>
      </c>
      <c r="AB228" s="92">
        <v>0</v>
      </c>
      <c r="AC228" s="92">
        <f t="shared" si="307"/>
        <v>10327695.927079316</v>
      </c>
      <c r="AD228" s="92">
        <v>0</v>
      </c>
      <c r="AE228" s="84">
        <f t="shared" si="308"/>
        <v>10327695.927079316</v>
      </c>
      <c r="AF228" s="84">
        <f t="shared" si="311"/>
        <v>-12938347.984385502</v>
      </c>
    </row>
    <row r="229" spans="1:32" x14ac:dyDescent="0.25">
      <c r="A229" s="66">
        <f t="shared" si="309"/>
        <v>17</v>
      </c>
      <c r="B229" s="158">
        <v>43435</v>
      </c>
      <c r="C229" s="84">
        <v>3842229.774268717</v>
      </c>
      <c r="D229" s="134">
        <f>SUM($C$218:C229)</f>
        <v>-8244461.2741381861</v>
      </c>
      <c r="E229" s="84"/>
      <c r="F229" s="84">
        <f t="shared" si="296"/>
        <v>-8244461.2741381861</v>
      </c>
      <c r="G229" s="84">
        <f t="shared" si="297"/>
        <v>0</v>
      </c>
      <c r="H229" s="84">
        <f t="shared" si="298"/>
        <v>0</v>
      </c>
      <c r="I229" s="84"/>
      <c r="J229" s="92">
        <f t="shared" si="299"/>
        <v>0</v>
      </c>
      <c r="K229" s="84">
        <f t="shared" si="300"/>
        <v>0</v>
      </c>
      <c r="L229" s="84"/>
      <c r="M229" s="92">
        <f t="shared" si="301"/>
        <v>3454344.5702202637</v>
      </c>
      <c r="N229" s="92">
        <v>0</v>
      </c>
      <c r="O229" s="84">
        <f t="shared" si="302"/>
        <v>3454344.5702202637</v>
      </c>
      <c r="P229" s="84">
        <f t="shared" si="310"/>
        <v>0</v>
      </c>
      <c r="Q229" s="84"/>
      <c r="R229" s="101"/>
      <c r="S229" s="84">
        <f t="shared" si="303"/>
        <v>-8244461.2741381861</v>
      </c>
      <c r="T229" s="84">
        <f t="shared" si="304"/>
        <v>0</v>
      </c>
      <c r="U229" s="157">
        <f t="shared" si="305"/>
        <v>0</v>
      </c>
      <c r="V229" s="157"/>
      <c r="W229" s="84"/>
      <c r="X229" s="84"/>
      <c r="Y229" s="84"/>
      <c r="Z229" s="84"/>
      <c r="AA229" s="92">
        <f t="shared" si="306"/>
        <v>14169925.701348033</v>
      </c>
      <c r="AB229" s="92">
        <v>0</v>
      </c>
      <c r="AC229" s="92">
        <f t="shared" si="307"/>
        <v>14169925.701348033</v>
      </c>
      <c r="AD229" s="92">
        <v>0</v>
      </c>
      <c r="AE229" s="84">
        <f t="shared" si="308"/>
        <v>14169925.701348033</v>
      </c>
      <c r="AF229" s="84">
        <f t="shared" si="311"/>
        <v>3842229.7742687166</v>
      </c>
    </row>
    <row r="230" spans="1:32" x14ac:dyDescent="0.25">
      <c r="A230" s="66"/>
      <c r="B230" s="158"/>
      <c r="C230" s="84"/>
      <c r="D230" s="134"/>
      <c r="E230" s="84"/>
      <c r="F230" s="84"/>
      <c r="G230" s="84"/>
      <c r="H230" s="84"/>
      <c r="I230" s="84"/>
      <c r="J230" s="92"/>
      <c r="K230" s="84"/>
      <c r="L230" s="84"/>
      <c r="M230" s="92"/>
      <c r="N230" s="92"/>
      <c r="O230" s="84"/>
      <c r="P230" s="84"/>
      <c r="Q230" s="84"/>
      <c r="R230" s="101"/>
      <c r="S230" s="84"/>
      <c r="T230" s="84"/>
      <c r="U230" s="157"/>
      <c r="V230" s="157"/>
      <c r="W230" s="84"/>
      <c r="X230" s="84"/>
      <c r="Y230" s="84"/>
      <c r="Z230" s="84"/>
      <c r="AA230" s="92"/>
      <c r="AB230" s="92"/>
      <c r="AC230" s="92"/>
      <c r="AD230" s="92"/>
      <c r="AE230" s="84"/>
      <c r="AF230" s="84"/>
    </row>
    <row r="231" spans="1:32" x14ac:dyDescent="0.25">
      <c r="A231" s="66">
        <v>18</v>
      </c>
      <c r="B231" s="158">
        <v>43466</v>
      </c>
      <c r="C231" s="84">
        <v>3508130.4749470195</v>
      </c>
      <c r="D231" s="134">
        <f>C231</f>
        <v>3508130.4749470195</v>
      </c>
      <c r="E231" s="84"/>
      <c r="F231" s="84">
        <f t="shared" ref="F231:F242" si="312">IF(ABS(D231)&gt;+$F$13,IF(D231&lt;0,-$F$13,+$F$13),+D231)</f>
        <v>3508130.4749470195</v>
      </c>
      <c r="G231" s="84">
        <f t="shared" ref="G231:G242" si="313">IF(ABS(D231)-ABS(F231)&gt;=$G$13,IF(D231&lt;=0,-$G$13,+$G$13),+D231-F231)</f>
        <v>0</v>
      </c>
      <c r="H231" s="84">
        <f t="shared" ref="H231:H242" si="314">IF(ABS(+D231)-ABS(SUM(F231:G231))&gt;=$H$13,IF(D231&lt;=0,-$H$13,+$H$13),+D231-SUM(F231:G231))</f>
        <v>0</v>
      </c>
      <c r="I231" s="84"/>
      <c r="J231" s="92">
        <f t="shared" ref="J231:J242" si="315">IF(G231&gt;0,+G231*$C$287,G231*$C$288)</f>
        <v>0</v>
      </c>
      <c r="K231" s="84">
        <f t="shared" ref="K231:K242" si="316">+H231*$C$289</f>
        <v>0</v>
      </c>
      <c r="L231" s="84"/>
      <c r="M231" s="92">
        <f t="shared" ref="M231:M242" si="317">SUM(J231:L231)+$M$229</f>
        <v>3454344.5702202637</v>
      </c>
      <c r="N231" s="92">
        <v>0</v>
      </c>
      <c r="O231" s="84">
        <f t="shared" ref="O231:O242" si="318">M231+N231</f>
        <v>3454344.5702202637</v>
      </c>
      <c r="P231" s="84">
        <f>O231-O229</f>
        <v>0</v>
      </c>
      <c r="Q231" s="84"/>
      <c r="R231" s="101"/>
      <c r="S231" s="84">
        <f t="shared" ref="S231:S242" si="319">+F231</f>
        <v>3508130.4749470195</v>
      </c>
      <c r="T231" s="84">
        <f t="shared" ref="T231:T242" si="320">+G231-J231</f>
        <v>0</v>
      </c>
      <c r="U231" s="157">
        <f t="shared" ref="U231:U242" si="321">+H231-K231</f>
        <v>0</v>
      </c>
      <c r="V231" s="157"/>
      <c r="W231" s="84"/>
      <c r="X231" s="84"/>
      <c r="Y231" s="84"/>
      <c r="Z231" s="84"/>
      <c r="AA231" s="92">
        <f t="shared" ref="AA231:AA242" si="322">SUM(S231:V231)+$AA$229</f>
        <v>17678056.176295053</v>
      </c>
      <c r="AB231" s="92">
        <v>0</v>
      </c>
      <c r="AC231" s="92">
        <f t="shared" ref="AC231:AC242" si="323">AA231-AB231</f>
        <v>17678056.176295053</v>
      </c>
      <c r="AD231" s="92">
        <v>0</v>
      </c>
      <c r="AE231" s="84">
        <f t="shared" ref="AE231:AE242" si="324">AA231-AB231+AD231</f>
        <v>17678056.176295053</v>
      </c>
      <c r="AF231" s="92">
        <f>AE231-AE229</f>
        <v>3508130.4749470204</v>
      </c>
    </row>
    <row r="232" spans="1:32" x14ac:dyDescent="0.25">
      <c r="A232" s="66">
        <f t="shared" ref="A232:A242" si="325">A231</f>
        <v>18</v>
      </c>
      <c r="B232" s="158">
        <v>43497</v>
      </c>
      <c r="C232" s="84">
        <v>17406781.3645408</v>
      </c>
      <c r="D232" s="134">
        <f>SUM($C$231:C232)</f>
        <v>20914911.839487821</v>
      </c>
      <c r="E232" s="84"/>
      <c r="F232" s="84">
        <f t="shared" si="312"/>
        <v>17000000</v>
      </c>
      <c r="G232" s="84">
        <f t="shared" si="313"/>
        <v>3914911.8394878209</v>
      </c>
      <c r="H232" s="84">
        <f t="shared" si="314"/>
        <v>0</v>
      </c>
      <c r="I232" s="84"/>
      <c r="J232" s="92">
        <f t="shared" si="315"/>
        <v>1957455.9197439104</v>
      </c>
      <c r="K232" s="84">
        <f t="shared" si="316"/>
        <v>0</v>
      </c>
      <c r="L232" s="84"/>
      <c r="M232" s="92">
        <f t="shared" si="317"/>
        <v>5411800.4899641741</v>
      </c>
      <c r="N232" s="92">
        <v>0</v>
      </c>
      <c r="O232" s="84">
        <f t="shared" si="318"/>
        <v>5411800.4899641741</v>
      </c>
      <c r="P232" s="84">
        <f t="shared" ref="P232:P242" si="326">O232-O231</f>
        <v>1957455.9197439104</v>
      </c>
      <c r="Q232" s="84"/>
      <c r="R232" s="101"/>
      <c r="S232" s="84">
        <f t="shared" si="319"/>
        <v>17000000</v>
      </c>
      <c r="T232" s="84">
        <f t="shared" si="320"/>
        <v>1957455.9197439104</v>
      </c>
      <c r="U232" s="157">
        <f t="shared" si="321"/>
        <v>0</v>
      </c>
      <c r="V232" s="157"/>
      <c r="W232" s="84"/>
      <c r="X232" s="84"/>
      <c r="Y232" s="84"/>
      <c r="Z232" s="84"/>
      <c r="AA232" s="92">
        <f t="shared" si="322"/>
        <v>33127381.621091943</v>
      </c>
      <c r="AB232" s="92">
        <v>0</v>
      </c>
      <c r="AC232" s="92">
        <f t="shared" si="323"/>
        <v>33127381.621091943</v>
      </c>
      <c r="AD232" s="92">
        <v>0</v>
      </c>
      <c r="AE232" s="84">
        <f t="shared" si="324"/>
        <v>33127381.621091943</v>
      </c>
      <c r="AF232" s="84">
        <f t="shared" ref="AF232:AF242" si="327">AE232-AE231</f>
        <v>15449325.44479689</v>
      </c>
    </row>
    <row r="233" spans="1:32" x14ac:dyDescent="0.25">
      <c r="A233" s="66">
        <f t="shared" si="325"/>
        <v>18</v>
      </c>
      <c r="B233" s="158">
        <v>43525</v>
      </c>
      <c r="C233" s="84">
        <v>22233699.323867448</v>
      </c>
      <c r="D233" s="134">
        <f>SUM($C$231:C233)</f>
        <v>43148611.163355269</v>
      </c>
      <c r="E233" s="84"/>
      <c r="F233" s="84">
        <f t="shared" si="312"/>
        <v>17000000</v>
      </c>
      <c r="G233" s="84">
        <f t="shared" si="313"/>
        <v>23000000</v>
      </c>
      <c r="H233" s="84">
        <f t="shared" si="314"/>
        <v>3148611.1633552685</v>
      </c>
      <c r="I233" s="84"/>
      <c r="J233" s="92">
        <f t="shared" si="315"/>
        <v>11500000</v>
      </c>
      <c r="K233" s="84">
        <f t="shared" si="316"/>
        <v>2833750.047019742</v>
      </c>
      <c r="L233" s="84"/>
      <c r="M233" s="92">
        <f t="shared" si="317"/>
        <v>17788094.617240004</v>
      </c>
      <c r="N233" s="92">
        <v>0</v>
      </c>
      <c r="O233" s="84">
        <f t="shared" si="318"/>
        <v>17788094.617240004</v>
      </c>
      <c r="P233" s="84">
        <f t="shared" si="326"/>
        <v>12376294.12727583</v>
      </c>
      <c r="Q233" s="84"/>
      <c r="R233" s="101"/>
      <c r="S233" s="84">
        <f t="shared" si="319"/>
        <v>17000000</v>
      </c>
      <c r="T233" s="84">
        <f t="shared" si="320"/>
        <v>11500000</v>
      </c>
      <c r="U233" s="157">
        <f t="shared" si="321"/>
        <v>314861.11633552657</v>
      </c>
      <c r="V233" s="157"/>
      <c r="W233" s="84"/>
      <c r="X233" s="84"/>
      <c r="Y233" s="84"/>
      <c r="Z233" s="84"/>
      <c r="AA233" s="92">
        <f t="shared" si="322"/>
        <v>42984786.817683563</v>
      </c>
      <c r="AB233" s="92">
        <v>0</v>
      </c>
      <c r="AC233" s="92">
        <f t="shared" si="323"/>
        <v>42984786.817683563</v>
      </c>
      <c r="AD233" s="92">
        <v>0</v>
      </c>
      <c r="AE233" s="84">
        <f t="shared" si="324"/>
        <v>42984786.817683563</v>
      </c>
      <c r="AF233" s="84">
        <f t="shared" si="327"/>
        <v>9857405.1965916194</v>
      </c>
    </row>
    <row r="234" spans="1:32" x14ac:dyDescent="0.25">
      <c r="A234" s="66">
        <f t="shared" si="325"/>
        <v>18</v>
      </c>
      <c r="B234" s="158">
        <v>43556</v>
      </c>
      <c r="C234" s="84">
        <v>1968917.6702014408</v>
      </c>
      <c r="D234" s="134">
        <f>SUM($C$231:C234)</f>
        <v>45117528.833556712</v>
      </c>
      <c r="E234" s="84"/>
      <c r="F234" s="84">
        <f t="shared" si="312"/>
        <v>17000000</v>
      </c>
      <c r="G234" s="84">
        <f t="shared" si="313"/>
        <v>23000000</v>
      </c>
      <c r="H234" s="84">
        <f t="shared" si="314"/>
        <v>5117528.8335567117</v>
      </c>
      <c r="I234" s="84"/>
      <c r="J234" s="92">
        <f t="shared" si="315"/>
        <v>11500000</v>
      </c>
      <c r="K234" s="84">
        <f t="shared" si="316"/>
        <v>4605775.9502010411</v>
      </c>
      <c r="L234" s="84"/>
      <c r="M234" s="92">
        <f t="shared" si="317"/>
        <v>19560120.520421304</v>
      </c>
      <c r="N234" s="92">
        <v>0</v>
      </c>
      <c r="O234" s="84">
        <f t="shared" si="318"/>
        <v>19560120.520421304</v>
      </c>
      <c r="P234" s="84">
        <f t="shared" si="326"/>
        <v>1772025.9031812996</v>
      </c>
      <c r="Q234" s="84"/>
      <c r="R234" s="101"/>
      <c r="S234" s="84">
        <f t="shared" si="319"/>
        <v>17000000</v>
      </c>
      <c r="T234" s="84">
        <f t="shared" si="320"/>
        <v>11500000</v>
      </c>
      <c r="U234" s="157">
        <f t="shared" si="321"/>
        <v>511752.88335567061</v>
      </c>
      <c r="V234" s="157"/>
      <c r="W234" s="84"/>
      <c r="X234" s="84"/>
      <c r="Y234" s="84"/>
      <c r="Z234" s="84"/>
      <c r="AA234" s="92">
        <f t="shared" si="322"/>
        <v>43181678.584703699</v>
      </c>
      <c r="AB234" s="92">
        <v>0</v>
      </c>
      <c r="AC234" s="92">
        <f t="shared" si="323"/>
        <v>43181678.584703699</v>
      </c>
      <c r="AD234" s="92">
        <v>0</v>
      </c>
      <c r="AE234" s="84">
        <f t="shared" si="324"/>
        <v>43181678.584703699</v>
      </c>
      <c r="AF234" s="84">
        <f t="shared" si="327"/>
        <v>196891.76702013612</v>
      </c>
    </row>
    <row r="235" spans="1:32" x14ac:dyDescent="0.25">
      <c r="A235" s="66">
        <f t="shared" si="325"/>
        <v>18</v>
      </c>
      <c r="B235" s="158">
        <v>43586</v>
      </c>
      <c r="C235" s="84">
        <v>945341.58317195531</v>
      </c>
      <c r="D235" s="134">
        <f>SUM($C$231:C235)</f>
        <v>46062870.416728668</v>
      </c>
      <c r="E235" s="84"/>
      <c r="F235" s="84">
        <f t="shared" si="312"/>
        <v>17000000</v>
      </c>
      <c r="G235" s="84">
        <f t="shared" si="313"/>
        <v>23000000</v>
      </c>
      <c r="H235" s="84">
        <f t="shared" si="314"/>
        <v>6062870.4167286679</v>
      </c>
      <c r="I235" s="84"/>
      <c r="J235" s="92">
        <f t="shared" si="315"/>
        <v>11500000</v>
      </c>
      <c r="K235" s="84">
        <f t="shared" si="316"/>
        <v>5456583.3750558011</v>
      </c>
      <c r="L235" s="84"/>
      <c r="M235" s="92">
        <f t="shared" si="317"/>
        <v>20410927.945276067</v>
      </c>
      <c r="N235" s="92">
        <v>0</v>
      </c>
      <c r="O235" s="84">
        <f t="shared" si="318"/>
        <v>20410927.945276067</v>
      </c>
      <c r="P235" s="84">
        <f t="shared" si="326"/>
        <v>850807.42485476285</v>
      </c>
      <c r="Q235" s="84"/>
      <c r="R235" s="101"/>
      <c r="S235" s="84">
        <f t="shared" si="319"/>
        <v>17000000</v>
      </c>
      <c r="T235" s="84">
        <f t="shared" si="320"/>
        <v>11500000</v>
      </c>
      <c r="U235" s="157">
        <f t="shared" si="321"/>
        <v>606287.04167286679</v>
      </c>
      <c r="V235" s="157"/>
      <c r="W235" s="84"/>
      <c r="X235" s="84"/>
      <c r="Y235" s="84"/>
      <c r="Z235" s="84"/>
      <c r="AA235" s="92">
        <f t="shared" si="322"/>
        <v>43276212.7430209</v>
      </c>
      <c r="AB235" s="92">
        <v>0</v>
      </c>
      <c r="AC235" s="92">
        <f t="shared" si="323"/>
        <v>43276212.7430209</v>
      </c>
      <c r="AD235" s="92">
        <v>0</v>
      </c>
      <c r="AE235" s="84">
        <f t="shared" si="324"/>
        <v>43276212.7430209</v>
      </c>
      <c r="AF235" s="84">
        <f t="shared" si="327"/>
        <v>94534.15831720084</v>
      </c>
    </row>
    <row r="236" spans="1:32" x14ac:dyDescent="0.25">
      <c r="A236" s="66">
        <f t="shared" si="325"/>
        <v>18</v>
      </c>
      <c r="B236" s="158">
        <v>43617</v>
      </c>
      <c r="C236" s="84">
        <v>335110.25910366501</v>
      </c>
      <c r="D236" s="134">
        <f>SUM($C$231:C236)</f>
        <v>46397980.675832331</v>
      </c>
      <c r="E236" s="84"/>
      <c r="F236" s="84">
        <f t="shared" si="312"/>
        <v>17000000</v>
      </c>
      <c r="G236" s="84">
        <f t="shared" si="313"/>
        <v>23000000</v>
      </c>
      <c r="H236" s="84">
        <f t="shared" si="314"/>
        <v>6397980.6758323312</v>
      </c>
      <c r="I236" s="84"/>
      <c r="J236" s="92">
        <f t="shared" si="315"/>
        <v>11500000</v>
      </c>
      <c r="K236" s="84">
        <f t="shared" si="316"/>
        <v>5758182.6082490981</v>
      </c>
      <c r="L236" s="84"/>
      <c r="M236" s="92">
        <f t="shared" si="317"/>
        <v>20712527.17846936</v>
      </c>
      <c r="N236" s="92">
        <v>0</v>
      </c>
      <c r="O236" s="84">
        <f t="shared" si="318"/>
        <v>20712527.17846936</v>
      </c>
      <c r="P236" s="84">
        <f t="shared" si="326"/>
        <v>301599.23319329321</v>
      </c>
      <c r="Q236" s="84"/>
      <c r="R236" s="101"/>
      <c r="S236" s="84">
        <f t="shared" si="319"/>
        <v>17000000</v>
      </c>
      <c r="T236" s="84">
        <f t="shared" si="320"/>
        <v>11500000</v>
      </c>
      <c r="U236" s="157">
        <f t="shared" si="321"/>
        <v>639798.06758323312</v>
      </c>
      <c r="V236" s="157"/>
      <c r="W236" s="84"/>
      <c r="X236" s="84"/>
      <c r="Y236" s="84"/>
      <c r="Z236" s="84"/>
      <c r="AA236" s="92">
        <f t="shared" si="322"/>
        <v>43309723.76893127</v>
      </c>
      <c r="AB236" s="92">
        <v>0</v>
      </c>
      <c r="AC236" s="92">
        <f t="shared" si="323"/>
        <v>43309723.76893127</v>
      </c>
      <c r="AD236" s="92">
        <v>0</v>
      </c>
      <c r="AE236" s="84">
        <f t="shared" si="324"/>
        <v>43309723.76893127</v>
      </c>
      <c r="AF236" s="84">
        <f t="shared" si="327"/>
        <v>33511.025910370052</v>
      </c>
    </row>
    <row r="237" spans="1:32" x14ac:dyDescent="0.25">
      <c r="A237" s="66">
        <f t="shared" si="325"/>
        <v>18</v>
      </c>
      <c r="B237" s="158">
        <v>43647</v>
      </c>
      <c r="C237" s="84">
        <v>887039.31325675081</v>
      </c>
      <c r="D237" s="134">
        <f>SUM($C$231:C237)</f>
        <v>47285019.989089079</v>
      </c>
      <c r="E237" s="84"/>
      <c r="F237" s="84">
        <f t="shared" si="312"/>
        <v>17000000</v>
      </c>
      <c r="G237" s="84">
        <f t="shared" si="313"/>
        <v>23000000</v>
      </c>
      <c r="H237" s="84">
        <f t="shared" si="314"/>
        <v>7285019.9890890792</v>
      </c>
      <c r="I237" s="84"/>
      <c r="J237" s="92">
        <f t="shared" si="315"/>
        <v>11500000</v>
      </c>
      <c r="K237" s="84">
        <f t="shared" si="316"/>
        <v>6556517.9901801711</v>
      </c>
      <c r="L237" s="84"/>
      <c r="M237" s="92">
        <f t="shared" si="317"/>
        <v>21510862.560400434</v>
      </c>
      <c r="N237" s="92">
        <v>0</v>
      </c>
      <c r="O237" s="84">
        <f t="shared" si="318"/>
        <v>21510862.560400434</v>
      </c>
      <c r="P237" s="84">
        <f t="shared" si="326"/>
        <v>798335.38193107396</v>
      </c>
      <c r="Q237" s="84"/>
      <c r="R237" s="101"/>
      <c r="S237" s="84">
        <f t="shared" si="319"/>
        <v>17000000</v>
      </c>
      <c r="T237" s="84">
        <f t="shared" si="320"/>
        <v>11500000</v>
      </c>
      <c r="U237" s="157">
        <f t="shared" si="321"/>
        <v>728501.99890890811</v>
      </c>
      <c r="V237" s="157"/>
      <c r="W237" s="84"/>
      <c r="X237" s="84"/>
      <c r="Y237" s="84"/>
      <c r="Z237" s="84"/>
      <c r="AA237" s="92">
        <f t="shared" si="322"/>
        <v>43398427.700256944</v>
      </c>
      <c r="AB237" s="92">
        <v>0</v>
      </c>
      <c r="AC237" s="92">
        <f t="shared" si="323"/>
        <v>43398427.700256944</v>
      </c>
      <c r="AD237" s="92">
        <v>0</v>
      </c>
      <c r="AE237" s="84">
        <f t="shared" si="324"/>
        <v>43398427.700256944</v>
      </c>
      <c r="AF237" s="84">
        <f t="shared" si="327"/>
        <v>88703.931325674057</v>
      </c>
    </row>
    <row r="238" spans="1:32" x14ac:dyDescent="0.25">
      <c r="A238" s="66">
        <f t="shared" si="325"/>
        <v>18</v>
      </c>
      <c r="B238" s="158">
        <v>43678</v>
      </c>
      <c r="C238" s="84">
        <v>-1771446.5784407977</v>
      </c>
      <c r="D238" s="134">
        <f>SUM($C$231:C238)</f>
        <v>45513573.410648279</v>
      </c>
      <c r="E238" s="84"/>
      <c r="F238" s="84">
        <f t="shared" si="312"/>
        <v>17000000</v>
      </c>
      <c r="G238" s="84">
        <f t="shared" si="313"/>
        <v>23000000</v>
      </c>
      <c r="H238" s="84">
        <f t="shared" si="314"/>
        <v>5513573.4106482789</v>
      </c>
      <c r="I238" s="84"/>
      <c r="J238" s="92">
        <f t="shared" si="315"/>
        <v>11500000</v>
      </c>
      <c r="K238" s="84">
        <f t="shared" si="316"/>
        <v>4962216.0695834514</v>
      </c>
      <c r="L238" s="84"/>
      <c r="M238" s="92">
        <f t="shared" si="317"/>
        <v>19916560.639803715</v>
      </c>
      <c r="N238" s="92">
        <v>0</v>
      </c>
      <c r="O238" s="84">
        <f t="shared" si="318"/>
        <v>19916560.639803715</v>
      </c>
      <c r="P238" s="84">
        <f t="shared" si="326"/>
        <v>-1594301.9205967188</v>
      </c>
      <c r="Q238" s="84"/>
      <c r="R238" s="101"/>
      <c r="S238" s="84">
        <f t="shared" si="319"/>
        <v>17000000</v>
      </c>
      <c r="T238" s="84">
        <f t="shared" si="320"/>
        <v>11500000</v>
      </c>
      <c r="U238" s="157">
        <f t="shared" si="321"/>
        <v>551357.34106482752</v>
      </c>
      <c r="V238" s="157"/>
      <c r="W238" s="84"/>
      <c r="X238" s="84"/>
      <c r="Y238" s="84"/>
      <c r="Z238" s="84"/>
      <c r="AA238" s="92">
        <f t="shared" si="322"/>
        <v>43221283.042412862</v>
      </c>
      <c r="AB238" s="92">
        <v>0</v>
      </c>
      <c r="AC238" s="92">
        <f t="shared" si="323"/>
        <v>43221283.042412862</v>
      </c>
      <c r="AD238" s="92">
        <v>0</v>
      </c>
      <c r="AE238" s="84">
        <f t="shared" si="324"/>
        <v>43221283.042412862</v>
      </c>
      <c r="AF238" s="84">
        <f t="shared" si="327"/>
        <v>-177144.65784408152</v>
      </c>
    </row>
    <row r="239" spans="1:32" x14ac:dyDescent="0.25">
      <c r="A239" s="66">
        <f t="shared" si="325"/>
        <v>18</v>
      </c>
      <c r="B239" s="158">
        <v>43709</v>
      </c>
      <c r="C239" s="84">
        <v>3342746.5929271295</v>
      </c>
      <c r="D239" s="134">
        <f>SUM($C$231:C239)</f>
        <v>48856320.003575407</v>
      </c>
      <c r="E239" s="84"/>
      <c r="F239" s="84">
        <f t="shared" si="312"/>
        <v>17000000</v>
      </c>
      <c r="G239" s="84">
        <f t="shared" si="313"/>
        <v>23000000</v>
      </c>
      <c r="H239" s="84">
        <f t="shared" si="314"/>
        <v>8856320.003575407</v>
      </c>
      <c r="I239" s="84"/>
      <c r="J239" s="92">
        <f t="shared" si="315"/>
        <v>11500000</v>
      </c>
      <c r="K239" s="84">
        <f t="shared" si="316"/>
        <v>7970688.0032178666</v>
      </c>
      <c r="L239" s="84"/>
      <c r="M239" s="92">
        <f t="shared" si="317"/>
        <v>22925032.57343813</v>
      </c>
      <c r="N239" s="92">
        <v>0</v>
      </c>
      <c r="O239" s="84">
        <f t="shared" si="318"/>
        <v>22925032.57343813</v>
      </c>
      <c r="P239" s="84">
        <f t="shared" si="326"/>
        <v>3008471.9336344153</v>
      </c>
      <c r="Q239" s="84"/>
      <c r="R239" s="101"/>
      <c r="S239" s="84">
        <f t="shared" si="319"/>
        <v>17000000</v>
      </c>
      <c r="T239" s="84">
        <f t="shared" si="320"/>
        <v>11500000</v>
      </c>
      <c r="U239" s="157">
        <f t="shared" si="321"/>
        <v>885632.00035754032</v>
      </c>
      <c r="V239" s="157"/>
      <c r="W239" s="84"/>
      <c r="X239" s="84"/>
      <c r="Y239" s="84"/>
      <c r="Z239" s="84"/>
      <c r="AA239" s="92">
        <f t="shared" si="322"/>
        <v>43555557.701705575</v>
      </c>
      <c r="AB239" s="92">
        <v>0</v>
      </c>
      <c r="AC239" s="92">
        <f t="shared" si="323"/>
        <v>43555557.701705575</v>
      </c>
      <c r="AD239" s="92">
        <v>0</v>
      </c>
      <c r="AE239" s="84">
        <f t="shared" si="324"/>
        <v>43555557.701705575</v>
      </c>
      <c r="AF239" s="84">
        <f t="shared" si="327"/>
        <v>334274.65929271281</v>
      </c>
    </row>
    <row r="240" spans="1:32" x14ac:dyDescent="0.25">
      <c r="A240" s="66">
        <f t="shared" si="325"/>
        <v>18</v>
      </c>
      <c r="B240" s="158">
        <v>43739</v>
      </c>
      <c r="C240" s="84">
        <v>7195869.8546710806</v>
      </c>
      <c r="D240" s="134">
        <f>SUM($C$231:C240)</f>
        <v>56052189.85824649</v>
      </c>
      <c r="E240" s="84"/>
      <c r="F240" s="84">
        <f t="shared" si="312"/>
        <v>17000000</v>
      </c>
      <c r="G240" s="84">
        <f t="shared" si="313"/>
        <v>23000000</v>
      </c>
      <c r="H240" s="84">
        <f t="shared" si="314"/>
        <v>16052189.85824649</v>
      </c>
      <c r="I240" s="84"/>
      <c r="J240" s="92">
        <f t="shared" si="315"/>
        <v>11500000</v>
      </c>
      <c r="K240" s="84">
        <f t="shared" si="316"/>
        <v>14446970.872421842</v>
      </c>
      <c r="L240" s="84"/>
      <c r="M240" s="92">
        <f t="shared" si="317"/>
        <v>29401315.442642108</v>
      </c>
      <c r="N240" s="92">
        <v>0</v>
      </c>
      <c r="O240" s="84">
        <f t="shared" si="318"/>
        <v>29401315.442642108</v>
      </c>
      <c r="P240" s="84">
        <f t="shared" si="326"/>
        <v>6476282.8692039773</v>
      </c>
      <c r="Q240" s="84"/>
      <c r="R240" s="101"/>
      <c r="S240" s="84">
        <f t="shared" si="319"/>
        <v>17000000</v>
      </c>
      <c r="T240" s="84">
        <f t="shared" si="320"/>
        <v>11500000</v>
      </c>
      <c r="U240" s="157">
        <f t="shared" si="321"/>
        <v>1605218.9858246483</v>
      </c>
      <c r="V240" s="157"/>
      <c r="W240" s="84"/>
      <c r="X240" s="84"/>
      <c r="Y240" s="84"/>
      <c r="Z240" s="84"/>
      <c r="AA240" s="92">
        <f t="shared" si="322"/>
        <v>44275144.687172681</v>
      </c>
      <c r="AB240" s="92">
        <v>0</v>
      </c>
      <c r="AC240" s="92">
        <f t="shared" si="323"/>
        <v>44275144.687172681</v>
      </c>
      <c r="AD240" s="92">
        <v>0</v>
      </c>
      <c r="AE240" s="84">
        <f t="shared" si="324"/>
        <v>44275144.687172681</v>
      </c>
      <c r="AF240" s="84">
        <f t="shared" si="327"/>
        <v>719586.9854671061</v>
      </c>
    </row>
    <row r="241" spans="1:34" x14ac:dyDescent="0.25">
      <c r="A241" s="66">
        <f t="shared" si="325"/>
        <v>18</v>
      </c>
      <c r="B241" s="158">
        <v>43770</v>
      </c>
      <c r="C241" s="84">
        <v>5381743.0402654381</v>
      </c>
      <c r="D241" s="134">
        <f>SUM($C$231:C241)</f>
        <v>61433932.898511931</v>
      </c>
      <c r="E241" s="84"/>
      <c r="F241" s="84">
        <f t="shared" si="312"/>
        <v>17000000</v>
      </c>
      <c r="G241" s="84">
        <f t="shared" si="313"/>
        <v>23000000</v>
      </c>
      <c r="H241" s="84">
        <f t="shared" si="314"/>
        <v>21433932.898511931</v>
      </c>
      <c r="I241" s="84"/>
      <c r="J241" s="92">
        <f t="shared" si="315"/>
        <v>11500000</v>
      </c>
      <c r="K241" s="84">
        <f t="shared" si="316"/>
        <v>19290539.608660739</v>
      </c>
      <c r="L241" s="84"/>
      <c r="M241" s="92">
        <f t="shared" si="317"/>
        <v>34244884.178881004</v>
      </c>
      <c r="N241" s="92">
        <v>0</v>
      </c>
      <c r="O241" s="84">
        <f t="shared" si="318"/>
        <v>34244884.178881004</v>
      </c>
      <c r="P241" s="84">
        <f t="shared" si="326"/>
        <v>4843568.7362388968</v>
      </c>
      <c r="Q241" s="84"/>
      <c r="R241" s="101"/>
      <c r="S241" s="84">
        <f t="shared" si="319"/>
        <v>17000000</v>
      </c>
      <c r="T241" s="84">
        <f t="shared" si="320"/>
        <v>11500000</v>
      </c>
      <c r="U241" s="157">
        <f t="shared" si="321"/>
        <v>2143393.2898511924</v>
      </c>
      <c r="V241" s="157"/>
      <c r="W241" s="84"/>
      <c r="X241" s="84"/>
      <c r="Y241" s="84"/>
      <c r="Z241" s="84"/>
      <c r="AA241" s="92">
        <f t="shared" si="322"/>
        <v>44813318.991199225</v>
      </c>
      <c r="AB241" s="92">
        <v>0</v>
      </c>
      <c r="AC241" s="92">
        <f t="shared" si="323"/>
        <v>44813318.991199225</v>
      </c>
      <c r="AD241" s="92">
        <v>0</v>
      </c>
      <c r="AE241" s="84">
        <f t="shared" si="324"/>
        <v>44813318.991199225</v>
      </c>
      <c r="AF241" s="84">
        <f t="shared" si="327"/>
        <v>538174.30402654409</v>
      </c>
    </row>
    <row r="242" spans="1:34" x14ac:dyDescent="0.25">
      <c r="A242" s="66">
        <f t="shared" si="325"/>
        <v>18</v>
      </c>
      <c r="B242" s="158">
        <v>43800</v>
      </c>
      <c r="C242" s="84">
        <v>5798201.8831929462</v>
      </c>
      <c r="D242" s="134">
        <f>SUM($C$231:C242)</f>
        <v>67232134.781704873</v>
      </c>
      <c r="E242" s="84"/>
      <c r="F242" s="84">
        <f t="shared" si="312"/>
        <v>17000000</v>
      </c>
      <c r="G242" s="84">
        <f t="shared" si="313"/>
        <v>23000000</v>
      </c>
      <c r="H242" s="84">
        <f t="shared" si="314"/>
        <v>27232134.781704873</v>
      </c>
      <c r="I242" s="84"/>
      <c r="J242" s="92">
        <f t="shared" si="315"/>
        <v>11500000</v>
      </c>
      <c r="K242" s="84">
        <f t="shared" si="316"/>
        <v>24508921.303534385</v>
      </c>
      <c r="L242" s="84"/>
      <c r="M242" s="92">
        <f t="shared" si="317"/>
        <v>39463265.87375465</v>
      </c>
      <c r="N242" s="92">
        <v>0</v>
      </c>
      <c r="O242" s="84">
        <f t="shared" si="318"/>
        <v>39463265.87375465</v>
      </c>
      <c r="P242" s="84">
        <f t="shared" si="326"/>
        <v>5218381.6948736459</v>
      </c>
      <c r="Q242" s="84"/>
      <c r="R242" s="101"/>
      <c r="S242" s="84">
        <f t="shared" si="319"/>
        <v>17000000</v>
      </c>
      <c r="T242" s="84">
        <f t="shared" si="320"/>
        <v>11500000</v>
      </c>
      <c r="U242" s="157">
        <f t="shared" si="321"/>
        <v>2723213.478170488</v>
      </c>
      <c r="V242" s="157"/>
      <c r="W242" s="84"/>
      <c r="X242" s="84"/>
      <c r="Y242" s="84"/>
      <c r="Z242" s="84"/>
      <c r="AA242" s="92">
        <f t="shared" si="322"/>
        <v>45393139.179518521</v>
      </c>
      <c r="AB242" s="92">
        <v>0</v>
      </c>
      <c r="AC242" s="92">
        <f t="shared" si="323"/>
        <v>45393139.179518521</v>
      </c>
      <c r="AD242" s="92">
        <v>0</v>
      </c>
      <c r="AE242" s="84">
        <f t="shared" si="324"/>
        <v>45393139.179518521</v>
      </c>
      <c r="AF242" s="84">
        <f t="shared" si="327"/>
        <v>579820.18831929564</v>
      </c>
    </row>
    <row r="243" spans="1:34" x14ac:dyDescent="0.25">
      <c r="A243" s="66"/>
      <c r="B243" s="158"/>
      <c r="C243" s="84"/>
      <c r="D243" s="134"/>
      <c r="E243" s="84"/>
      <c r="F243" s="84"/>
      <c r="G243" s="84"/>
      <c r="H243" s="84"/>
      <c r="I243" s="84"/>
      <c r="J243" s="92"/>
      <c r="K243" s="84"/>
      <c r="L243" s="84"/>
      <c r="M243" s="92"/>
      <c r="N243" s="92"/>
      <c r="O243" s="84"/>
      <c r="P243" s="84"/>
      <c r="Q243" s="84"/>
      <c r="R243" s="101"/>
      <c r="S243" s="84"/>
      <c r="T243" s="84"/>
      <c r="U243" s="157"/>
      <c r="V243" s="157"/>
      <c r="W243" s="84"/>
      <c r="X243" s="84"/>
      <c r="Y243" s="84"/>
      <c r="Z243" s="84"/>
      <c r="AA243" s="92"/>
      <c r="AB243" s="92"/>
      <c r="AC243" s="92"/>
      <c r="AD243" s="92"/>
      <c r="AE243" s="84"/>
      <c r="AF243" s="84"/>
    </row>
    <row r="244" spans="1:34" x14ac:dyDescent="0.25">
      <c r="A244" s="66" t="s">
        <v>81</v>
      </c>
      <c r="B244" s="147" t="s">
        <v>106</v>
      </c>
      <c r="C244" s="84"/>
      <c r="D244" s="134"/>
      <c r="E244" s="84"/>
      <c r="F244" s="84"/>
      <c r="G244" s="84"/>
      <c r="H244" s="84"/>
      <c r="I244" s="84"/>
      <c r="J244" s="92"/>
      <c r="K244" s="84"/>
      <c r="L244" s="84"/>
      <c r="M244" s="92">
        <f>-M242</f>
        <v>-39463265.87375465</v>
      </c>
      <c r="N244" s="92"/>
      <c r="O244" s="84">
        <f>-O242</f>
        <v>-39463265.87375465</v>
      </c>
      <c r="P244" s="84">
        <f>O244+O242</f>
        <v>0</v>
      </c>
      <c r="Q244" s="84"/>
      <c r="R244" s="101"/>
      <c r="S244" s="84"/>
      <c r="T244" s="84"/>
      <c r="U244" s="157"/>
      <c r="V244" s="157"/>
      <c r="W244" s="84"/>
      <c r="X244" s="84"/>
      <c r="Y244" s="84"/>
      <c r="Z244" s="84"/>
      <c r="AA244" s="92"/>
      <c r="AB244" s="92"/>
      <c r="AC244" s="92"/>
      <c r="AD244" s="92"/>
      <c r="AE244" s="84"/>
      <c r="AF244" s="84"/>
    </row>
    <row r="245" spans="1:34" x14ac:dyDescent="0.25">
      <c r="A245" s="66"/>
      <c r="B245" s="158"/>
      <c r="C245" s="84"/>
      <c r="D245" s="134"/>
      <c r="E245" s="84"/>
      <c r="F245" s="84"/>
      <c r="G245" s="84"/>
      <c r="H245" s="84"/>
      <c r="I245" s="84"/>
      <c r="J245" s="92"/>
      <c r="K245" s="84"/>
      <c r="L245" s="84"/>
      <c r="M245" s="92"/>
      <c r="N245" s="92"/>
      <c r="O245" s="84"/>
      <c r="P245" s="84"/>
      <c r="Q245" s="84"/>
      <c r="R245" s="101"/>
      <c r="S245" s="84"/>
      <c r="T245" s="84"/>
      <c r="U245" s="157"/>
      <c r="V245" s="157"/>
      <c r="W245" s="84"/>
      <c r="X245" s="84"/>
      <c r="Y245" s="84"/>
      <c r="Z245" s="84"/>
      <c r="AA245" s="92"/>
      <c r="AB245" s="92"/>
      <c r="AC245" s="92"/>
      <c r="AD245" s="92"/>
      <c r="AE245" s="84"/>
      <c r="AF245" s="84"/>
    </row>
    <row r="246" spans="1:34" x14ac:dyDescent="0.25">
      <c r="A246" s="66">
        <v>19</v>
      </c>
      <c r="B246" s="158">
        <v>43831</v>
      </c>
      <c r="C246" s="84">
        <v>9804714.5559916031</v>
      </c>
      <c r="D246" s="134">
        <f>C246</f>
        <v>9804714.5559916031</v>
      </c>
      <c r="E246" s="84"/>
      <c r="F246" s="84">
        <f t="shared" ref="F246:F257" si="328">IF(ABS(D246)&gt;+$F$13,IF(D246&lt;0,-$F$13,+$F$13),+D246)</f>
        <v>9804714.5559916031</v>
      </c>
      <c r="G246" s="84">
        <f t="shared" ref="G246:G257" si="329">IF(ABS(D246)-ABS(F246)&gt;=$G$13,IF(D246&lt;=0,-$G$13,+$G$13),+D246-F246)</f>
        <v>0</v>
      </c>
      <c r="H246" s="84">
        <f t="shared" ref="H246:H257" si="330">IF(ABS(+D246)-ABS(SUM(F246:G246))&gt;=$H$13,IF(D246&lt;=0,-$H$13,+$H$13),+D246-SUM(F246:G246))</f>
        <v>0</v>
      </c>
      <c r="I246" s="84"/>
      <c r="J246" s="92">
        <f t="shared" ref="J246:J257" si="331">IF(G246&gt;0,+G246*$C$287,G246*$C$288)</f>
        <v>0</v>
      </c>
      <c r="K246" s="84">
        <f t="shared" ref="K246:K257" si="332">+H246*$C$289</f>
        <v>0</v>
      </c>
      <c r="L246" s="84"/>
      <c r="M246" s="92">
        <f>SUM(J246:L246)+$M$242+M244</f>
        <v>0</v>
      </c>
      <c r="N246" s="92">
        <v>0</v>
      </c>
      <c r="O246" s="84">
        <f t="shared" ref="O246:O257" si="333">M246+N246</f>
        <v>0</v>
      </c>
      <c r="P246" s="92">
        <f>O246-O242-O244</f>
        <v>0</v>
      </c>
      <c r="Q246" s="84"/>
      <c r="R246" s="101"/>
      <c r="S246" s="84">
        <f t="shared" ref="S246:S257" si="334">+F246</f>
        <v>9804714.5559916031</v>
      </c>
      <c r="T246" s="84">
        <f t="shared" ref="T246:T257" si="335">+G246-J246</f>
        <v>0</v>
      </c>
      <c r="U246" s="157">
        <f t="shared" ref="U246:U257" si="336">+H246-K246</f>
        <v>0</v>
      </c>
      <c r="V246" s="157"/>
      <c r="W246" s="84"/>
      <c r="X246" s="84"/>
      <c r="Y246" s="84"/>
      <c r="Z246" s="84"/>
      <c r="AA246" s="92">
        <f t="shared" ref="AA246:AA257" si="337">SUM(S246:V246)+$AA$242</f>
        <v>55197853.735510126</v>
      </c>
      <c r="AB246" s="92">
        <v>0</v>
      </c>
      <c r="AC246" s="92">
        <f t="shared" ref="AC246:AC257" si="338">AA246-AB246</f>
        <v>55197853.735510126</v>
      </c>
      <c r="AD246" s="92">
        <v>0</v>
      </c>
      <c r="AE246" s="84">
        <f t="shared" ref="AE246:AE257" si="339">AA246-AB246+AD246</f>
        <v>55197853.735510126</v>
      </c>
      <c r="AF246" s="92">
        <f>AE246-AE242</f>
        <v>9804714.5559916049</v>
      </c>
      <c r="AH246" s="134"/>
    </row>
    <row r="247" spans="1:34" x14ac:dyDescent="0.25">
      <c r="A247" s="66">
        <f t="shared" ref="A247:A257" si="340">A246</f>
        <v>19</v>
      </c>
      <c r="B247" s="158">
        <v>43862</v>
      </c>
      <c r="C247" s="84">
        <v>5302015.7444515079</v>
      </c>
      <c r="D247" s="134">
        <f>SUM($C$246:C247)</f>
        <v>15106730.300443111</v>
      </c>
      <c r="E247" s="84"/>
      <c r="F247" s="84">
        <f t="shared" si="328"/>
        <v>15106730.300443111</v>
      </c>
      <c r="G247" s="84">
        <f t="shared" si="329"/>
        <v>0</v>
      </c>
      <c r="H247" s="84">
        <f t="shared" si="330"/>
        <v>0</v>
      </c>
      <c r="I247" s="84"/>
      <c r="J247" s="92">
        <f t="shared" si="331"/>
        <v>0</v>
      </c>
      <c r="K247" s="84">
        <f t="shared" si="332"/>
        <v>0</v>
      </c>
      <c r="L247" s="84"/>
      <c r="M247" s="92">
        <f>SUM(J247:L247)+$M$242+M244</f>
        <v>0</v>
      </c>
      <c r="N247" s="92">
        <v>0</v>
      </c>
      <c r="O247" s="84">
        <f t="shared" si="333"/>
        <v>0</v>
      </c>
      <c r="P247" s="84">
        <f t="shared" ref="P247:P257" si="341">O247-O246</f>
        <v>0</v>
      </c>
      <c r="Q247" s="84"/>
      <c r="R247" s="101"/>
      <c r="S247" s="84">
        <f t="shared" si="334"/>
        <v>15106730.300443111</v>
      </c>
      <c r="T247" s="84">
        <f t="shared" si="335"/>
        <v>0</v>
      </c>
      <c r="U247" s="157">
        <f t="shared" si="336"/>
        <v>0</v>
      </c>
      <c r="V247" s="157"/>
      <c r="W247" s="84"/>
      <c r="X247" s="84"/>
      <c r="Y247" s="84"/>
      <c r="Z247" s="84"/>
      <c r="AA247" s="92">
        <f t="shared" si="337"/>
        <v>60499869.479961634</v>
      </c>
      <c r="AB247" s="92">
        <v>0</v>
      </c>
      <c r="AC247" s="92">
        <f t="shared" si="338"/>
        <v>60499869.479961634</v>
      </c>
      <c r="AD247" s="92">
        <v>0</v>
      </c>
      <c r="AE247" s="84">
        <f t="shared" si="339"/>
        <v>60499869.479961634</v>
      </c>
      <c r="AF247" s="84">
        <f t="shared" ref="AF247:AF257" si="342">AE247-AE246</f>
        <v>5302015.7444515079</v>
      </c>
    </row>
    <row r="248" spans="1:34" ht="15.5" x14ac:dyDescent="0.35">
      <c r="A248" s="66">
        <f t="shared" si="340"/>
        <v>19</v>
      </c>
      <c r="B248" s="158">
        <v>43891</v>
      </c>
      <c r="C248" s="84">
        <v>9983216.0141146872</v>
      </c>
      <c r="D248" s="134">
        <f>SUM($C$246:C248)</f>
        <v>25089946.314557798</v>
      </c>
      <c r="E248" s="84"/>
      <c r="F248" s="84">
        <f t="shared" si="328"/>
        <v>17000000</v>
      </c>
      <c r="G248" s="84">
        <f t="shared" si="329"/>
        <v>8089946.3145577982</v>
      </c>
      <c r="H248" s="84">
        <f t="shared" si="330"/>
        <v>0</v>
      </c>
      <c r="I248" s="84"/>
      <c r="J248" s="92">
        <f t="shared" si="331"/>
        <v>4044973.1572788991</v>
      </c>
      <c r="K248" s="84">
        <f t="shared" si="332"/>
        <v>0</v>
      </c>
      <c r="L248" s="84"/>
      <c r="M248" s="92">
        <f>SUM(J248:L248)+$M$242+M244</f>
        <v>4044973.1572788954</v>
      </c>
      <c r="N248" s="92">
        <v>0</v>
      </c>
      <c r="O248" s="84">
        <f t="shared" si="333"/>
        <v>4044973.1572788954</v>
      </c>
      <c r="P248" s="84">
        <f t="shared" si="341"/>
        <v>4044973.1572788954</v>
      </c>
      <c r="R248" s="101"/>
      <c r="S248" s="84">
        <f t="shared" si="334"/>
        <v>17000000</v>
      </c>
      <c r="T248" s="84">
        <f t="shared" si="335"/>
        <v>4044973.1572788991</v>
      </c>
      <c r="U248" s="157">
        <f t="shared" si="336"/>
        <v>0</v>
      </c>
      <c r="V248" s="157"/>
      <c r="W248" s="84"/>
      <c r="X248" s="84"/>
      <c r="Y248" s="84"/>
      <c r="Z248" s="84"/>
      <c r="AA248" s="92">
        <f t="shared" si="337"/>
        <v>66438112.336797416</v>
      </c>
      <c r="AB248" s="92">
        <v>0</v>
      </c>
      <c r="AC248" s="92">
        <f t="shared" si="338"/>
        <v>66438112.336797416</v>
      </c>
      <c r="AD248" s="92">
        <v>0</v>
      </c>
      <c r="AE248" s="84">
        <f t="shared" si="339"/>
        <v>66438112.336797416</v>
      </c>
      <c r="AF248" s="84">
        <f t="shared" si="342"/>
        <v>5938242.8568357825</v>
      </c>
      <c r="AG248" s="161"/>
    </row>
    <row r="249" spans="1:34" ht="15.5" x14ac:dyDescent="0.35">
      <c r="A249" s="66">
        <f t="shared" si="340"/>
        <v>19</v>
      </c>
      <c r="B249" s="158">
        <v>43922</v>
      </c>
      <c r="C249" s="84">
        <v>8247124.5104860291</v>
      </c>
      <c r="D249" s="134">
        <f>SUM($C$246:C249)</f>
        <v>33337070.825043827</v>
      </c>
      <c r="E249" s="84"/>
      <c r="F249" s="84">
        <f t="shared" si="328"/>
        <v>17000000</v>
      </c>
      <c r="G249" s="84">
        <f t="shared" si="329"/>
        <v>16337070.825043827</v>
      </c>
      <c r="H249" s="84">
        <f t="shared" si="330"/>
        <v>0</v>
      </c>
      <c r="I249" s="84"/>
      <c r="J249" s="92">
        <f t="shared" si="331"/>
        <v>8168535.4125219136</v>
      </c>
      <c r="K249" s="84">
        <f t="shared" si="332"/>
        <v>0</v>
      </c>
      <c r="L249" s="84"/>
      <c r="M249" s="92">
        <f>SUM(J249:L249)+$M$242+M244</f>
        <v>8168535.4125219136</v>
      </c>
      <c r="N249" s="92">
        <v>0</v>
      </c>
      <c r="O249" s="84">
        <f t="shared" si="333"/>
        <v>8168535.4125219136</v>
      </c>
      <c r="P249" s="84">
        <f t="shared" si="341"/>
        <v>4123562.2552430183</v>
      </c>
      <c r="Q249" s="161"/>
      <c r="R249" s="101"/>
      <c r="S249" s="84">
        <f t="shared" si="334"/>
        <v>17000000</v>
      </c>
      <c r="T249" s="84">
        <f t="shared" si="335"/>
        <v>8168535.4125219136</v>
      </c>
      <c r="U249" s="157">
        <f t="shared" si="336"/>
        <v>0</v>
      </c>
      <c r="V249" s="157"/>
      <c r="W249" s="84"/>
      <c r="X249" s="84"/>
      <c r="Y249" s="84"/>
      <c r="Z249" s="84"/>
      <c r="AA249" s="92">
        <f t="shared" si="337"/>
        <v>70561674.592040434</v>
      </c>
      <c r="AB249" s="92">
        <v>0</v>
      </c>
      <c r="AC249" s="92">
        <f t="shared" si="338"/>
        <v>70561674.592040434</v>
      </c>
      <c r="AD249" s="92">
        <v>0</v>
      </c>
      <c r="AE249" s="84">
        <f t="shared" si="339"/>
        <v>70561674.592040434</v>
      </c>
      <c r="AF249" s="84">
        <f t="shared" si="342"/>
        <v>4123562.2552430183</v>
      </c>
      <c r="AG249" s="161"/>
    </row>
    <row r="250" spans="1:34" ht="15.5" x14ac:dyDescent="0.35">
      <c r="A250" s="66">
        <f t="shared" si="340"/>
        <v>19</v>
      </c>
      <c r="B250" s="158">
        <v>43952</v>
      </c>
      <c r="C250" s="84">
        <v>8988168.8994665574</v>
      </c>
      <c r="D250" s="134">
        <f>SUM($C$246:C250)</f>
        <v>42325239.724510387</v>
      </c>
      <c r="E250" s="84"/>
      <c r="F250" s="84">
        <f t="shared" si="328"/>
        <v>17000000</v>
      </c>
      <c r="G250" s="84">
        <f t="shared" si="329"/>
        <v>23000000</v>
      </c>
      <c r="H250" s="84">
        <f t="shared" si="330"/>
        <v>2325239.7245103866</v>
      </c>
      <c r="I250" s="84"/>
      <c r="J250" s="92">
        <f t="shared" si="331"/>
        <v>11500000</v>
      </c>
      <c r="K250" s="84">
        <f t="shared" si="332"/>
        <v>2092715.7520593479</v>
      </c>
      <c r="L250" s="84"/>
      <c r="M250" s="92">
        <f>SUM(J250:L250)+$M$242+M244</f>
        <v>13592715.752059348</v>
      </c>
      <c r="N250" s="92">
        <v>0</v>
      </c>
      <c r="O250" s="84">
        <f t="shared" si="333"/>
        <v>13592715.752059348</v>
      </c>
      <c r="P250" s="84">
        <f t="shared" si="341"/>
        <v>5424180.3395374343</v>
      </c>
      <c r="Q250" s="161"/>
      <c r="R250" s="101"/>
      <c r="S250" s="84">
        <f t="shared" si="334"/>
        <v>17000000</v>
      </c>
      <c r="T250" s="84">
        <f t="shared" si="335"/>
        <v>11500000</v>
      </c>
      <c r="U250" s="157">
        <f t="shared" si="336"/>
        <v>232523.97245103866</v>
      </c>
      <c r="V250" s="157"/>
      <c r="W250" s="84"/>
      <c r="X250" s="84"/>
      <c r="Y250" s="84"/>
      <c r="Z250" s="84"/>
      <c r="AA250" s="92">
        <f t="shared" si="337"/>
        <v>74125663.151969552</v>
      </c>
      <c r="AB250" s="92">
        <v>0</v>
      </c>
      <c r="AC250" s="92">
        <f t="shared" si="338"/>
        <v>74125663.151969552</v>
      </c>
      <c r="AD250" s="92">
        <v>0</v>
      </c>
      <c r="AE250" s="84">
        <f t="shared" si="339"/>
        <v>74125663.151969552</v>
      </c>
      <c r="AF250" s="84">
        <f t="shared" si="342"/>
        <v>3563988.5599291176</v>
      </c>
      <c r="AG250" s="161"/>
    </row>
    <row r="251" spans="1:34" ht="15.5" x14ac:dyDescent="0.35">
      <c r="A251" s="66">
        <f t="shared" si="340"/>
        <v>19</v>
      </c>
      <c r="B251" s="158">
        <v>43983</v>
      </c>
      <c r="C251" s="84">
        <v>6524255.3374649463</v>
      </c>
      <c r="D251" s="134">
        <f>SUM($C$246:C251)</f>
        <v>48849495.06197533</v>
      </c>
      <c r="E251" s="84"/>
      <c r="F251" s="84">
        <f t="shared" si="328"/>
        <v>17000000</v>
      </c>
      <c r="G251" s="84">
        <f t="shared" si="329"/>
        <v>23000000</v>
      </c>
      <c r="H251" s="84">
        <f t="shared" si="330"/>
        <v>8849495.0619753301</v>
      </c>
      <c r="I251" s="84"/>
      <c r="J251" s="92">
        <f t="shared" si="331"/>
        <v>11500000</v>
      </c>
      <c r="K251" s="84">
        <f t="shared" si="332"/>
        <v>7964545.5557777975</v>
      </c>
      <c r="L251" s="84"/>
      <c r="M251" s="92">
        <f>SUM(J251:L251)+$M$242+M244</f>
        <v>19464545.555777796</v>
      </c>
      <c r="N251" s="92">
        <v>0</v>
      </c>
      <c r="O251" s="84">
        <f t="shared" si="333"/>
        <v>19464545.555777796</v>
      </c>
      <c r="P251" s="84">
        <f t="shared" si="341"/>
        <v>5871829.8037184477</v>
      </c>
      <c r="Q251" s="161"/>
      <c r="R251" s="101"/>
      <c r="S251" s="84">
        <f t="shared" si="334"/>
        <v>17000000</v>
      </c>
      <c r="T251" s="84">
        <f t="shared" si="335"/>
        <v>11500000</v>
      </c>
      <c r="U251" s="157">
        <f t="shared" si="336"/>
        <v>884949.50619753264</v>
      </c>
      <c r="V251" s="157"/>
      <c r="W251" s="84"/>
      <c r="X251" s="84"/>
      <c r="Y251" s="84"/>
      <c r="Z251" s="84"/>
      <c r="AA251" s="92">
        <f t="shared" si="337"/>
        <v>74778088.685716063</v>
      </c>
      <c r="AB251" s="92">
        <v>0</v>
      </c>
      <c r="AC251" s="92">
        <f t="shared" si="338"/>
        <v>74778088.685716063</v>
      </c>
      <c r="AD251" s="92">
        <v>0</v>
      </c>
      <c r="AE251" s="84">
        <f t="shared" si="339"/>
        <v>74778088.685716063</v>
      </c>
      <c r="AF251" s="84">
        <f t="shared" si="342"/>
        <v>652425.53374651074</v>
      </c>
      <c r="AG251" s="161"/>
    </row>
    <row r="252" spans="1:34" ht="15.5" x14ac:dyDescent="0.35">
      <c r="A252" s="66">
        <f t="shared" si="340"/>
        <v>19</v>
      </c>
      <c r="B252" s="158">
        <v>44013</v>
      </c>
      <c r="C252" s="84">
        <v>332103.59505244921</v>
      </c>
      <c r="D252" s="134">
        <f>SUM($C$246:C252)</f>
        <v>49181598.657027781</v>
      </c>
      <c r="E252" s="84"/>
      <c r="F252" s="84">
        <f t="shared" si="328"/>
        <v>17000000</v>
      </c>
      <c r="G252" s="84">
        <f t="shared" si="329"/>
        <v>23000000</v>
      </c>
      <c r="H252" s="84">
        <f t="shared" si="330"/>
        <v>9181598.657027781</v>
      </c>
      <c r="I252" s="84"/>
      <c r="J252" s="92">
        <f t="shared" si="331"/>
        <v>11500000</v>
      </c>
      <c r="K252" s="84">
        <f t="shared" si="332"/>
        <v>8263438.7913250029</v>
      </c>
      <c r="L252" s="84"/>
      <c r="M252" s="92">
        <f>SUM(J252:L252)+$M$242+M244</f>
        <v>19763438.791325003</v>
      </c>
      <c r="N252" s="92">
        <v>0</v>
      </c>
      <c r="O252" s="84">
        <f t="shared" si="333"/>
        <v>19763438.791325003</v>
      </c>
      <c r="P252" s="84">
        <f t="shared" si="341"/>
        <v>298893.2355472073</v>
      </c>
      <c r="Q252" s="161"/>
      <c r="R252" s="101"/>
      <c r="S252" s="84">
        <f t="shared" si="334"/>
        <v>17000000</v>
      </c>
      <c r="T252" s="84">
        <f t="shared" si="335"/>
        <v>11500000</v>
      </c>
      <c r="U252" s="157">
        <f t="shared" si="336"/>
        <v>918159.8657027781</v>
      </c>
      <c r="V252" s="157"/>
      <c r="W252" s="84"/>
      <c r="X252" s="84"/>
      <c r="Y252" s="84"/>
      <c r="Z252" s="84"/>
      <c r="AA252" s="92">
        <f t="shared" si="337"/>
        <v>74811299.045221299</v>
      </c>
      <c r="AB252" s="92">
        <v>0</v>
      </c>
      <c r="AC252" s="92">
        <f t="shared" si="338"/>
        <v>74811299.045221299</v>
      </c>
      <c r="AD252" s="92">
        <v>0</v>
      </c>
      <c r="AE252" s="84">
        <f t="shared" si="339"/>
        <v>74811299.045221299</v>
      </c>
      <c r="AF252" s="84">
        <f t="shared" si="342"/>
        <v>33210.359505236149</v>
      </c>
      <c r="AG252" s="161"/>
    </row>
    <row r="253" spans="1:34" ht="15.5" x14ac:dyDescent="0.35">
      <c r="A253" s="66">
        <f t="shared" si="340"/>
        <v>19</v>
      </c>
      <c r="B253" s="158">
        <v>44044</v>
      </c>
      <c r="C253" s="84">
        <v>104089.09890983833</v>
      </c>
      <c r="D253" s="134">
        <f>SUM($C$246:C253)</f>
        <v>49285687.755937621</v>
      </c>
      <c r="E253" s="84"/>
      <c r="F253" s="84">
        <f t="shared" si="328"/>
        <v>17000000</v>
      </c>
      <c r="G253" s="84">
        <f t="shared" si="329"/>
        <v>23000000</v>
      </c>
      <c r="H253" s="84">
        <f t="shared" si="330"/>
        <v>9285687.755937621</v>
      </c>
      <c r="I253" s="84"/>
      <c r="J253" s="92">
        <f t="shared" si="331"/>
        <v>11500000</v>
      </c>
      <c r="K253" s="84">
        <f t="shared" si="332"/>
        <v>8357118.9803438587</v>
      </c>
      <c r="L253" s="84"/>
      <c r="M253" s="92">
        <f>SUM(J253:L253)+$M$242+M244</f>
        <v>19857118.980343863</v>
      </c>
      <c r="N253" s="92">
        <v>0</v>
      </c>
      <c r="O253" s="84">
        <f t="shared" si="333"/>
        <v>19857118.980343863</v>
      </c>
      <c r="P253" s="84">
        <f t="shared" si="341"/>
        <v>93680.189018860459</v>
      </c>
      <c r="Q253" s="161"/>
      <c r="R253" s="101"/>
      <c r="S253" s="84">
        <f t="shared" si="334"/>
        <v>17000000</v>
      </c>
      <c r="T253" s="84">
        <f t="shared" si="335"/>
        <v>11500000</v>
      </c>
      <c r="U253" s="157">
        <f t="shared" si="336"/>
        <v>928568.77559376229</v>
      </c>
      <c r="V253" s="157"/>
      <c r="W253" s="84"/>
      <c r="X253" s="84"/>
      <c r="Y253" s="84"/>
      <c r="Z253" s="84"/>
      <c r="AA253" s="92">
        <f t="shared" si="337"/>
        <v>74821707.955112278</v>
      </c>
      <c r="AB253" s="92">
        <v>0</v>
      </c>
      <c r="AC253" s="92">
        <f t="shared" si="338"/>
        <v>74821707.955112278</v>
      </c>
      <c r="AD253" s="92">
        <v>0</v>
      </c>
      <c r="AE253" s="84">
        <f t="shared" si="339"/>
        <v>74821707.955112278</v>
      </c>
      <c r="AF253" s="84">
        <f t="shared" si="342"/>
        <v>10408.909890979528</v>
      </c>
      <c r="AG253" s="161"/>
    </row>
    <row r="254" spans="1:34" ht="15.5" x14ac:dyDescent="0.35">
      <c r="A254" s="66">
        <f t="shared" si="340"/>
        <v>19</v>
      </c>
      <c r="B254" s="158">
        <v>44075</v>
      </c>
      <c r="C254" s="84">
        <v>2217368.8602665481</v>
      </c>
      <c r="D254" s="134">
        <f>SUM($C$246:C254)</f>
        <v>51503056.616204172</v>
      </c>
      <c r="E254" s="84"/>
      <c r="F254" s="84">
        <f t="shared" si="328"/>
        <v>17000000</v>
      </c>
      <c r="G254" s="84">
        <f t="shared" si="329"/>
        <v>23000000</v>
      </c>
      <c r="H254" s="84">
        <f t="shared" si="330"/>
        <v>11503056.616204172</v>
      </c>
      <c r="I254" s="84"/>
      <c r="J254" s="92">
        <f t="shared" si="331"/>
        <v>11500000</v>
      </c>
      <c r="K254" s="84">
        <f t="shared" si="332"/>
        <v>10352750.954583755</v>
      </c>
      <c r="L254" s="84"/>
      <c r="M254" s="92">
        <f>SUM(J254:L254)+$M$242+M244</f>
        <v>21852750.954583757</v>
      </c>
      <c r="N254" s="92">
        <v>0</v>
      </c>
      <c r="O254" s="84">
        <f t="shared" si="333"/>
        <v>21852750.954583757</v>
      </c>
      <c r="P254" s="84">
        <f t="shared" si="341"/>
        <v>1995631.9742398933</v>
      </c>
      <c r="Q254" s="161"/>
      <c r="R254" s="101"/>
      <c r="S254" s="84">
        <f t="shared" si="334"/>
        <v>17000000</v>
      </c>
      <c r="T254" s="84">
        <f t="shared" si="335"/>
        <v>11500000</v>
      </c>
      <c r="U254" s="157">
        <f t="shared" si="336"/>
        <v>1150305.6616204176</v>
      </c>
      <c r="V254" s="157"/>
      <c r="W254" s="84"/>
      <c r="X254" s="84"/>
      <c r="Y254" s="84"/>
      <c r="Z254" s="84"/>
      <c r="AA254" s="92">
        <f t="shared" si="337"/>
        <v>75043444.841138929</v>
      </c>
      <c r="AB254" s="92">
        <v>0</v>
      </c>
      <c r="AC254" s="92">
        <f t="shared" si="338"/>
        <v>75043444.841138929</v>
      </c>
      <c r="AD254" s="92">
        <v>0</v>
      </c>
      <c r="AE254" s="84">
        <f t="shared" si="339"/>
        <v>75043444.841138929</v>
      </c>
      <c r="AF254" s="84">
        <f t="shared" si="342"/>
        <v>221736.88602665067</v>
      </c>
      <c r="AG254" s="161"/>
    </row>
    <row r="255" spans="1:34" ht="15.5" x14ac:dyDescent="0.35">
      <c r="A255" s="66">
        <f t="shared" si="340"/>
        <v>19</v>
      </c>
      <c r="B255" s="158">
        <v>44105</v>
      </c>
      <c r="C255" s="84">
        <v>3663401.7675322294</v>
      </c>
      <c r="D255" s="134">
        <f>SUM($C$246:C255)</f>
        <v>55166458.383736402</v>
      </c>
      <c r="E255" s="84"/>
      <c r="F255" s="84">
        <f t="shared" si="328"/>
        <v>17000000</v>
      </c>
      <c r="G255" s="84">
        <f t="shared" si="329"/>
        <v>23000000</v>
      </c>
      <c r="H255" s="84">
        <f t="shared" si="330"/>
        <v>15166458.383736402</v>
      </c>
      <c r="I255" s="84"/>
      <c r="J255" s="92">
        <f t="shared" si="331"/>
        <v>11500000</v>
      </c>
      <c r="K255" s="84">
        <f t="shared" si="332"/>
        <v>13649812.545362761</v>
      </c>
      <c r="L255" s="84"/>
      <c r="M255" s="92">
        <f>SUM(J255:L255)+$M$242+M244</f>
        <v>25149812.545362763</v>
      </c>
      <c r="N255" s="92">
        <v>0</v>
      </c>
      <c r="O255" s="84">
        <f t="shared" si="333"/>
        <v>25149812.545362763</v>
      </c>
      <c r="P255" s="84">
        <f t="shared" si="341"/>
        <v>3297061.5907790065</v>
      </c>
      <c r="Q255" s="161"/>
      <c r="R255" s="101"/>
      <c r="S255" s="84">
        <f t="shared" si="334"/>
        <v>17000000</v>
      </c>
      <c r="T255" s="84">
        <f t="shared" si="335"/>
        <v>11500000</v>
      </c>
      <c r="U255" s="157">
        <f t="shared" si="336"/>
        <v>1516645.8383736406</v>
      </c>
      <c r="V255" s="157"/>
      <c r="W255" s="84"/>
      <c r="X255" s="84"/>
      <c r="Y255" s="84"/>
      <c r="Z255" s="84"/>
      <c r="AA255" s="92">
        <f t="shared" si="337"/>
        <v>75409785.017892152</v>
      </c>
      <c r="AB255" s="92">
        <v>0</v>
      </c>
      <c r="AC255" s="92">
        <f t="shared" si="338"/>
        <v>75409785.017892152</v>
      </c>
      <c r="AD255" s="92">
        <v>0</v>
      </c>
      <c r="AE255" s="84">
        <f t="shared" si="339"/>
        <v>75409785.017892152</v>
      </c>
      <c r="AF255" s="84">
        <f t="shared" si="342"/>
        <v>366340.17675322294</v>
      </c>
      <c r="AG255" s="161"/>
    </row>
    <row r="256" spans="1:34" ht="15.5" x14ac:dyDescent="0.35">
      <c r="A256" s="66">
        <f t="shared" si="340"/>
        <v>19</v>
      </c>
      <c r="B256" s="158">
        <v>44136</v>
      </c>
      <c r="C256" s="84">
        <v>7197268.587512075</v>
      </c>
      <c r="D256" s="134">
        <f>SUM($C$246:C256)</f>
        <v>62363726.971248478</v>
      </c>
      <c r="E256" s="84"/>
      <c r="F256" s="84">
        <f t="shared" si="328"/>
        <v>17000000</v>
      </c>
      <c r="G256" s="84">
        <f t="shared" si="329"/>
        <v>23000000</v>
      </c>
      <c r="H256" s="84">
        <f t="shared" si="330"/>
        <v>22363726.971248478</v>
      </c>
      <c r="I256" s="84"/>
      <c r="J256" s="92">
        <f t="shared" si="331"/>
        <v>11500000</v>
      </c>
      <c r="K256" s="84">
        <f t="shared" si="332"/>
        <v>20127354.274123631</v>
      </c>
      <c r="L256" s="84"/>
      <c r="M256" s="92">
        <f>SUM(J256:L256)+$M$242+M244</f>
        <v>31627354.274123639</v>
      </c>
      <c r="N256" s="92">
        <v>0</v>
      </c>
      <c r="O256" s="84">
        <f t="shared" si="333"/>
        <v>31627354.274123639</v>
      </c>
      <c r="P256" s="84">
        <f t="shared" si="341"/>
        <v>6477541.7287608758</v>
      </c>
      <c r="Q256" s="161"/>
      <c r="R256" s="101"/>
      <c r="S256" s="84">
        <f t="shared" si="334"/>
        <v>17000000</v>
      </c>
      <c r="T256" s="84">
        <f t="shared" si="335"/>
        <v>11500000</v>
      </c>
      <c r="U256" s="157">
        <f t="shared" si="336"/>
        <v>2236372.6971248463</v>
      </c>
      <c r="V256" s="157"/>
      <c r="W256" s="84"/>
      <c r="X256" s="84"/>
      <c r="Y256" s="84"/>
      <c r="Z256" s="84"/>
      <c r="AA256" s="92">
        <f t="shared" si="337"/>
        <v>76129511.87664336</v>
      </c>
      <c r="AB256" s="92">
        <v>0</v>
      </c>
      <c r="AC256" s="92">
        <f t="shared" si="338"/>
        <v>76129511.87664336</v>
      </c>
      <c r="AD256" s="92">
        <v>0</v>
      </c>
      <c r="AE256" s="84">
        <f t="shared" si="339"/>
        <v>76129511.87664336</v>
      </c>
      <c r="AF256" s="84">
        <f t="shared" si="342"/>
        <v>719726.85875120759</v>
      </c>
      <c r="AG256" s="161"/>
    </row>
    <row r="257" spans="1:34" ht="15.5" x14ac:dyDescent="0.35">
      <c r="A257" s="66">
        <f t="shared" si="340"/>
        <v>19</v>
      </c>
      <c r="B257" s="158">
        <v>44166</v>
      </c>
      <c r="C257" s="84">
        <v>13754932.428310787</v>
      </c>
      <c r="D257" s="134">
        <f>SUM($C$246:C257)</f>
        <v>76118659.399559259</v>
      </c>
      <c r="E257" s="84"/>
      <c r="F257" s="84">
        <f t="shared" si="328"/>
        <v>17000000</v>
      </c>
      <c r="G257" s="84">
        <f t="shared" si="329"/>
        <v>23000000</v>
      </c>
      <c r="H257" s="84">
        <f t="shared" si="330"/>
        <v>36118659.399559259</v>
      </c>
      <c r="I257" s="84"/>
      <c r="J257" s="92">
        <f t="shared" si="331"/>
        <v>11500000</v>
      </c>
      <c r="K257" s="84">
        <f t="shared" si="332"/>
        <v>32506793.459603336</v>
      </c>
      <c r="L257" s="84"/>
      <c r="M257" s="92">
        <f>SUM(J257:L257)+$M$242+M244</f>
        <v>44006793.459603339</v>
      </c>
      <c r="N257" s="92">
        <v>0</v>
      </c>
      <c r="O257" s="84">
        <f t="shared" si="333"/>
        <v>44006793.459603339</v>
      </c>
      <c r="P257" s="84">
        <f t="shared" si="341"/>
        <v>12379439.185479701</v>
      </c>
      <c r="Q257" s="161"/>
      <c r="R257" s="101"/>
      <c r="S257" s="84">
        <f t="shared" si="334"/>
        <v>17000000</v>
      </c>
      <c r="T257" s="84">
        <f t="shared" si="335"/>
        <v>11500000</v>
      </c>
      <c r="U257" s="157">
        <f t="shared" si="336"/>
        <v>3611865.9399559237</v>
      </c>
      <c r="V257" s="157"/>
      <c r="W257" s="84"/>
      <c r="X257" s="84"/>
      <c r="Y257" s="84"/>
      <c r="Z257" s="84"/>
      <c r="AA257" s="92">
        <f t="shared" si="337"/>
        <v>77505005.119474441</v>
      </c>
      <c r="AB257" s="92">
        <v>0</v>
      </c>
      <c r="AC257" s="92">
        <f t="shared" si="338"/>
        <v>77505005.119474441</v>
      </c>
      <c r="AD257" s="92">
        <v>0</v>
      </c>
      <c r="AE257" s="84">
        <f t="shared" si="339"/>
        <v>77505005.119474441</v>
      </c>
      <c r="AF257" s="84">
        <f t="shared" si="342"/>
        <v>1375493.2428310812</v>
      </c>
      <c r="AG257" s="161"/>
    </row>
    <row r="258" spans="1:34" ht="15" customHeight="1" x14ac:dyDescent="0.35">
      <c r="A258" s="66"/>
      <c r="B258" s="158"/>
      <c r="C258" s="84"/>
      <c r="D258" s="134"/>
      <c r="E258" s="84"/>
      <c r="F258" s="84"/>
      <c r="G258" s="84"/>
      <c r="H258" s="84"/>
      <c r="I258" s="84"/>
      <c r="J258" s="92"/>
      <c r="K258" s="84"/>
      <c r="L258" s="84"/>
      <c r="M258" s="92"/>
      <c r="N258" s="92"/>
      <c r="O258" s="84"/>
      <c r="P258" s="84"/>
      <c r="Q258" s="161"/>
      <c r="R258" s="101"/>
      <c r="S258" s="84"/>
      <c r="T258" s="84"/>
      <c r="U258" s="157"/>
      <c r="V258" s="157"/>
      <c r="W258" s="84"/>
      <c r="X258" s="84"/>
      <c r="Y258" s="84"/>
      <c r="Z258" s="84"/>
      <c r="AA258" s="92"/>
      <c r="AB258" s="92"/>
      <c r="AC258" s="92"/>
      <c r="AD258" s="92"/>
      <c r="AE258" s="84"/>
      <c r="AF258" s="84"/>
      <c r="AG258" s="161"/>
    </row>
    <row r="259" spans="1:34" ht="15" customHeight="1" x14ac:dyDescent="0.35">
      <c r="A259" s="66" t="s">
        <v>81</v>
      </c>
      <c r="B259" s="147" t="s">
        <v>106</v>
      </c>
      <c r="C259" s="84"/>
      <c r="D259" s="134"/>
      <c r="E259" s="84"/>
      <c r="F259" s="84"/>
      <c r="G259" s="84"/>
      <c r="H259" s="84"/>
      <c r="I259" s="84"/>
      <c r="J259" s="92"/>
      <c r="K259" s="84"/>
      <c r="L259" s="84"/>
      <c r="M259" s="92">
        <f>-M257</f>
        <v>-44006793.459603339</v>
      </c>
      <c r="N259" s="92"/>
      <c r="O259" s="84">
        <f>-O257</f>
        <v>-44006793.459603339</v>
      </c>
      <c r="P259" s="84">
        <f>O257+O259</f>
        <v>0</v>
      </c>
      <c r="Q259" s="161"/>
      <c r="R259" s="101"/>
      <c r="S259" s="84"/>
      <c r="T259" s="84"/>
      <c r="U259" s="157"/>
      <c r="V259" s="157"/>
      <c r="W259" s="84"/>
      <c r="X259" s="84"/>
      <c r="Y259" s="84"/>
      <c r="Z259" s="84"/>
      <c r="AA259" s="92"/>
      <c r="AB259" s="92"/>
      <c r="AC259" s="92"/>
      <c r="AD259" s="92"/>
      <c r="AE259" s="84"/>
      <c r="AF259" s="84"/>
      <c r="AG259" s="161"/>
    </row>
    <row r="260" spans="1:34" ht="15" customHeight="1" x14ac:dyDescent="0.35">
      <c r="A260" s="66"/>
      <c r="B260" s="158"/>
      <c r="C260" s="84"/>
      <c r="D260" s="134"/>
      <c r="E260" s="84"/>
      <c r="F260" s="84"/>
      <c r="G260" s="84"/>
      <c r="H260" s="84"/>
      <c r="I260" s="84"/>
      <c r="J260" s="92"/>
      <c r="K260" s="84"/>
      <c r="L260" s="84"/>
      <c r="M260" s="92"/>
      <c r="N260" s="92"/>
      <c r="O260" s="84"/>
      <c r="P260" s="84"/>
      <c r="Q260" s="161"/>
      <c r="R260" s="101"/>
      <c r="S260" s="84"/>
      <c r="T260" s="84"/>
      <c r="U260" s="157"/>
      <c r="V260" s="157"/>
      <c r="W260" s="84"/>
      <c r="X260" s="84"/>
      <c r="Y260" s="84"/>
      <c r="Z260" s="84"/>
      <c r="AA260" s="92"/>
      <c r="AB260" s="92"/>
      <c r="AC260" s="92"/>
      <c r="AD260" s="92"/>
      <c r="AE260" s="84"/>
      <c r="AF260" s="84"/>
      <c r="AG260" s="161"/>
    </row>
    <row r="261" spans="1:34" ht="15" customHeight="1" x14ac:dyDescent="0.25">
      <c r="A261" s="166">
        <v>20</v>
      </c>
      <c r="B261" s="165">
        <v>44197</v>
      </c>
      <c r="C261" s="92">
        <v>5536607.5636148537</v>
      </c>
      <c r="D261" s="164">
        <f>C261</f>
        <v>5536607.5636148537</v>
      </c>
      <c r="E261" s="92"/>
      <c r="F261" s="92">
        <f t="shared" ref="F261:F272" si="343">IF(ABS(D261)&gt;+$F$13,IF(D261&lt;0,-$F$13,+$F$13),+D261)</f>
        <v>5536607.5636148537</v>
      </c>
      <c r="G261" s="92">
        <f t="shared" ref="G261:G272" si="344">IF(ABS(D261)-ABS(F261)&gt;=$G$13,IF(D261&lt;=0,-$G$13,+$G$13),+D261-F261)</f>
        <v>0</v>
      </c>
      <c r="H261" s="92">
        <f t="shared" ref="H261:H272" si="345">IF(ABS(+D261)-ABS(SUM(F261:G261))&gt;=$H$13,IF(D261&lt;=0,-$H$13,+$H$13),+D261-SUM(F261:G261))</f>
        <v>0</v>
      </c>
      <c r="I261" s="92"/>
      <c r="J261" s="92">
        <f t="shared" ref="J261:J272" si="346">IF(G261&gt;0,+G261*$C$287,G261*$C$288)</f>
        <v>0</v>
      </c>
      <c r="K261" s="92">
        <f t="shared" ref="K261:K272" si="347">+H261*$C$289</f>
        <v>0</v>
      </c>
      <c r="L261" s="92"/>
      <c r="M261" s="92">
        <f t="shared" ref="M261:M272" si="348">SUM(J261:L261)+$M$257+M$259</f>
        <v>0</v>
      </c>
      <c r="N261" s="92">
        <v>0</v>
      </c>
      <c r="O261" s="92">
        <f t="shared" ref="O261:O272" si="349">M261+N261</f>
        <v>0</v>
      </c>
      <c r="P261" s="92">
        <f>O261-O257-O259</f>
        <v>0</v>
      </c>
      <c r="Q261" s="92"/>
      <c r="R261" s="146"/>
      <c r="S261" s="92">
        <f t="shared" ref="S261:S272" si="350">+F261</f>
        <v>5536607.5636148537</v>
      </c>
      <c r="T261" s="92">
        <f t="shared" ref="T261:T272" si="351">+G261-J261</f>
        <v>0</v>
      </c>
      <c r="U261" s="163">
        <f t="shared" ref="U261:U272" si="352">+H261-K261</f>
        <v>0</v>
      </c>
      <c r="V261" s="163"/>
      <c r="W261" s="92"/>
      <c r="X261" s="92"/>
      <c r="Y261" s="92"/>
      <c r="Z261" s="92"/>
      <c r="AA261" s="92">
        <f t="shared" ref="AA261:AA272" si="353">SUM(S261:V261)+$AA$257</f>
        <v>83041612.683089301</v>
      </c>
      <c r="AB261" s="92">
        <v>0</v>
      </c>
      <c r="AC261" s="92">
        <f t="shared" ref="AC261:AC272" si="354">AA261-AB261</f>
        <v>83041612.683089301</v>
      </c>
      <c r="AD261" s="92">
        <v>0</v>
      </c>
      <c r="AE261" s="92">
        <f t="shared" ref="AE261:AE272" si="355">AA261-AB261+AD261</f>
        <v>83041612.683089301</v>
      </c>
      <c r="AF261" s="92">
        <f>AE261-AE257</f>
        <v>5536607.5636148602</v>
      </c>
      <c r="AH261" s="134"/>
    </row>
    <row r="262" spans="1:34" ht="15" customHeight="1" x14ac:dyDescent="0.25">
      <c r="A262" s="166">
        <f t="shared" ref="A262:A272" si="356">A261</f>
        <v>20</v>
      </c>
      <c r="B262" s="165">
        <v>44228</v>
      </c>
      <c r="C262" s="92">
        <v>2103900.1413035365</v>
      </c>
      <c r="D262" s="164">
        <f>SUM($C$261:C262)</f>
        <v>7640507.7049183901</v>
      </c>
      <c r="E262" s="92"/>
      <c r="F262" s="92">
        <f t="shared" si="343"/>
        <v>7640507.7049183901</v>
      </c>
      <c r="G262" s="92">
        <f t="shared" si="344"/>
        <v>0</v>
      </c>
      <c r="H262" s="92">
        <f t="shared" si="345"/>
        <v>0</v>
      </c>
      <c r="I262" s="92"/>
      <c r="J262" s="92">
        <f t="shared" si="346"/>
        <v>0</v>
      </c>
      <c r="K262" s="92">
        <f t="shared" si="347"/>
        <v>0</v>
      </c>
      <c r="L262" s="92"/>
      <c r="M262" s="92">
        <f t="shared" si="348"/>
        <v>0</v>
      </c>
      <c r="N262" s="92">
        <v>0</v>
      </c>
      <c r="O262" s="92">
        <f t="shared" si="349"/>
        <v>0</v>
      </c>
      <c r="P262" s="92">
        <f t="shared" ref="P262:P272" si="357">O262-O261</f>
        <v>0</v>
      </c>
      <c r="Q262" s="92"/>
      <c r="R262" s="146"/>
      <c r="S262" s="92">
        <f t="shared" si="350"/>
        <v>7640507.7049183901</v>
      </c>
      <c r="T262" s="92">
        <f t="shared" si="351"/>
        <v>0</v>
      </c>
      <c r="U262" s="163">
        <f t="shared" si="352"/>
        <v>0</v>
      </c>
      <c r="V262" s="163"/>
      <c r="W262" s="92"/>
      <c r="X262" s="92"/>
      <c r="Y262" s="92"/>
      <c r="Z262" s="92"/>
      <c r="AA262" s="92">
        <f t="shared" si="353"/>
        <v>85145512.824392825</v>
      </c>
      <c r="AB262" s="92">
        <v>0</v>
      </c>
      <c r="AC262" s="92">
        <f t="shared" si="354"/>
        <v>85145512.824392825</v>
      </c>
      <c r="AD262" s="92">
        <v>0</v>
      </c>
      <c r="AE262" s="92">
        <f t="shared" si="355"/>
        <v>85145512.824392825</v>
      </c>
      <c r="AF262" s="92">
        <f t="shared" ref="AF262:AF272" si="358">AE262-AE261</f>
        <v>2103900.1413035244</v>
      </c>
    </row>
    <row r="263" spans="1:34" ht="15" customHeight="1" x14ac:dyDescent="0.35">
      <c r="A263" s="166">
        <f t="shared" si="356"/>
        <v>20</v>
      </c>
      <c r="B263" s="165">
        <v>44256</v>
      </c>
      <c r="C263" s="92">
        <v>3730283.3921428826</v>
      </c>
      <c r="D263" s="164">
        <f>SUM($C$261:C263)</f>
        <v>11370791.097061273</v>
      </c>
      <c r="E263" s="92"/>
      <c r="F263" s="92">
        <f t="shared" si="343"/>
        <v>11370791.097061273</v>
      </c>
      <c r="G263" s="92">
        <f t="shared" si="344"/>
        <v>0</v>
      </c>
      <c r="H263" s="92">
        <f t="shared" si="345"/>
        <v>0</v>
      </c>
      <c r="I263" s="92"/>
      <c r="J263" s="92">
        <f t="shared" si="346"/>
        <v>0</v>
      </c>
      <c r="K263" s="92">
        <f t="shared" si="347"/>
        <v>0</v>
      </c>
      <c r="L263" s="92"/>
      <c r="M263" s="92">
        <f t="shared" si="348"/>
        <v>0</v>
      </c>
      <c r="N263" s="92">
        <v>0</v>
      </c>
      <c r="O263" s="92">
        <f t="shared" si="349"/>
        <v>0</v>
      </c>
      <c r="P263" s="92">
        <f t="shared" si="357"/>
        <v>0</v>
      </c>
      <c r="Q263" s="94"/>
      <c r="R263" s="146"/>
      <c r="S263" s="92">
        <f t="shared" si="350"/>
        <v>11370791.097061273</v>
      </c>
      <c r="T263" s="92">
        <f t="shared" si="351"/>
        <v>0</v>
      </c>
      <c r="U263" s="163">
        <f t="shared" si="352"/>
        <v>0</v>
      </c>
      <c r="V263" s="163"/>
      <c r="W263" s="92"/>
      <c r="X263" s="92"/>
      <c r="Y263" s="92"/>
      <c r="Z263" s="92"/>
      <c r="AA263" s="92">
        <f t="shared" si="353"/>
        <v>88875796.216535717</v>
      </c>
      <c r="AB263" s="92">
        <v>0</v>
      </c>
      <c r="AC263" s="92">
        <f t="shared" si="354"/>
        <v>88875796.216535717</v>
      </c>
      <c r="AD263" s="92">
        <v>0</v>
      </c>
      <c r="AE263" s="92">
        <f t="shared" si="355"/>
        <v>88875796.216535717</v>
      </c>
      <c r="AF263" s="92">
        <f t="shared" si="358"/>
        <v>3730283.3921428919</v>
      </c>
      <c r="AG263" s="161"/>
    </row>
    <row r="264" spans="1:34" ht="15" customHeight="1" x14ac:dyDescent="0.35">
      <c r="A264" s="166">
        <f t="shared" si="356"/>
        <v>20</v>
      </c>
      <c r="B264" s="165">
        <v>44287</v>
      </c>
      <c r="C264" s="92">
        <v>-1078814.000226134</v>
      </c>
      <c r="D264" s="164">
        <f>SUM($C$261:C264)</f>
        <v>10291977.096835138</v>
      </c>
      <c r="E264" s="92"/>
      <c r="F264" s="92">
        <f t="shared" si="343"/>
        <v>10291977.096835138</v>
      </c>
      <c r="G264" s="92">
        <f t="shared" si="344"/>
        <v>0</v>
      </c>
      <c r="H264" s="92">
        <f t="shared" si="345"/>
        <v>0</v>
      </c>
      <c r="I264" s="92"/>
      <c r="J264" s="92">
        <f t="shared" si="346"/>
        <v>0</v>
      </c>
      <c r="K264" s="92">
        <f t="shared" si="347"/>
        <v>0</v>
      </c>
      <c r="L264" s="92"/>
      <c r="M264" s="92">
        <f t="shared" si="348"/>
        <v>0</v>
      </c>
      <c r="N264" s="92">
        <v>0</v>
      </c>
      <c r="O264" s="92">
        <f t="shared" si="349"/>
        <v>0</v>
      </c>
      <c r="P264" s="92">
        <f t="shared" si="357"/>
        <v>0</v>
      </c>
      <c r="Q264" s="380"/>
      <c r="R264" s="146"/>
      <c r="S264" s="92">
        <f t="shared" si="350"/>
        <v>10291977.096835138</v>
      </c>
      <c r="T264" s="92">
        <f t="shared" si="351"/>
        <v>0</v>
      </c>
      <c r="U264" s="163">
        <f t="shared" si="352"/>
        <v>0</v>
      </c>
      <c r="V264" s="163"/>
      <c r="W264" s="92"/>
      <c r="X264" s="92"/>
      <c r="Y264" s="92"/>
      <c r="Z264" s="92"/>
      <c r="AA264" s="92">
        <f t="shared" si="353"/>
        <v>87796982.216309577</v>
      </c>
      <c r="AB264" s="92">
        <v>0</v>
      </c>
      <c r="AC264" s="92">
        <f t="shared" si="354"/>
        <v>87796982.216309577</v>
      </c>
      <c r="AD264" s="92">
        <v>0</v>
      </c>
      <c r="AE264" s="92">
        <f t="shared" si="355"/>
        <v>87796982.216309577</v>
      </c>
      <c r="AF264" s="92">
        <f t="shared" si="358"/>
        <v>-1078814.00022614</v>
      </c>
      <c r="AG264" s="161"/>
    </row>
    <row r="265" spans="1:34" ht="15" customHeight="1" x14ac:dyDescent="0.35">
      <c r="A265" s="166">
        <f t="shared" si="356"/>
        <v>20</v>
      </c>
      <c r="B265" s="165">
        <v>44317</v>
      </c>
      <c r="C265" s="92">
        <v>6864116.1129394984</v>
      </c>
      <c r="D265" s="164">
        <f>SUM($C$261:C265)</f>
        <v>17156093.209774636</v>
      </c>
      <c r="E265" s="92"/>
      <c r="F265" s="92">
        <f t="shared" si="343"/>
        <v>17000000</v>
      </c>
      <c r="G265" s="92">
        <f t="shared" si="344"/>
        <v>156093.20977463573</v>
      </c>
      <c r="H265" s="92">
        <f t="shared" si="345"/>
        <v>0</v>
      </c>
      <c r="I265" s="92"/>
      <c r="J265" s="92">
        <f t="shared" si="346"/>
        <v>78046.604887317866</v>
      </c>
      <c r="K265" s="92">
        <f t="shared" si="347"/>
        <v>0</v>
      </c>
      <c r="L265" s="92"/>
      <c r="M265" s="92">
        <f t="shared" si="348"/>
        <v>78046.604887321591</v>
      </c>
      <c r="N265" s="92">
        <v>0</v>
      </c>
      <c r="O265" s="92">
        <f t="shared" si="349"/>
        <v>78046.604887321591</v>
      </c>
      <c r="P265" s="92">
        <f t="shared" si="357"/>
        <v>78046.604887321591</v>
      </c>
      <c r="Q265" s="380"/>
      <c r="R265" s="146"/>
      <c r="S265" s="92">
        <f t="shared" si="350"/>
        <v>17000000</v>
      </c>
      <c r="T265" s="92">
        <f t="shared" si="351"/>
        <v>78046.604887317866</v>
      </c>
      <c r="U265" s="163">
        <f t="shared" si="352"/>
        <v>0</v>
      </c>
      <c r="V265" s="163"/>
      <c r="W265" s="92"/>
      <c r="X265" s="92"/>
      <c r="Y265" s="92"/>
      <c r="Z265" s="92"/>
      <c r="AA265" s="92">
        <f t="shared" si="353"/>
        <v>94583051.724361762</v>
      </c>
      <c r="AB265" s="92">
        <v>0</v>
      </c>
      <c r="AC265" s="92">
        <f t="shared" si="354"/>
        <v>94583051.724361762</v>
      </c>
      <c r="AD265" s="92">
        <v>0</v>
      </c>
      <c r="AE265" s="92">
        <f t="shared" si="355"/>
        <v>94583051.724361762</v>
      </c>
      <c r="AF265" s="92">
        <f t="shared" si="358"/>
        <v>6786069.5080521852</v>
      </c>
      <c r="AG265" s="161"/>
    </row>
    <row r="266" spans="1:34" ht="15" customHeight="1" x14ac:dyDescent="0.35">
      <c r="A266" s="166">
        <f t="shared" si="356"/>
        <v>20</v>
      </c>
      <c r="B266" s="165">
        <v>44348</v>
      </c>
      <c r="C266" s="92">
        <v>13343635.205706956</v>
      </c>
      <c r="D266" s="164">
        <f>SUM($C$261:C266)</f>
        <v>30499728.41548159</v>
      </c>
      <c r="E266" s="92"/>
      <c r="F266" s="92">
        <f t="shared" si="343"/>
        <v>17000000</v>
      </c>
      <c r="G266" s="92">
        <f t="shared" si="344"/>
        <v>13499728.41548159</v>
      </c>
      <c r="H266" s="92">
        <f t="shared" si="345"/>
        <v>0</v>
      </c>
      <c r="I266" s="92"/>
      <c r="J266" s="92">
        <f t="shared" si="346"/>
        <v>6749864.2077407949</v>
      </c>
      <c r="K266" s="92">
        <f t="shared" si="347"/>
        <v>0</v>
      </c>
      <c r="L266" s="92"/>
      <c r="M266" s="92">
        <f t="shared" si="348"/>
        <v>6749864.2077407986</v>
      </c>
      <c r="N266" s="92">
        <v>0</v>
      </c>
      <c r="O266" s="92">
        <f t="shared" si="349"/>
        <v>6749864.2077407986</v>
      </c>
      <c r="P266" s="92">
        <f t="shared" si="357"/>
        <v>6671817.602853477</v>
      </c>
      <c r="Q266" s="380"/>
      <c r="R266" s="146"/>
      <c r="S266" s="92">
        <f t="shared" si="350"/>
        <v>17000000</v>
      </c>
      <c r="T266" s="92">
        <f t="shared" si="351"/>
        <v>6749864.2077407949</v>
      </c>
      <c r="U266" s="163">
        <f t="shared" si="352"/>
        <v>0</v>
      </c>
      <c r="V266" s="163"/>
      <c r="W266" s="92"/>
      <c r="X266" s="92"/>
      <c r="Y266" s="92"/>
      <c r="Z266" s="92"/>
      <c r="AA266" s="92">
        <f t="shared" si="353"/>
        <v>101254869.32721524</v>
      </c>
      <c r="AB266" s="92">
        <v>0</v>
      </c>
      <c r="AC266" s="92">
        <f t="shared" si="354"/>
        <v>101254869.32721524</v>
      </c>
      <c r="AD266" s="92">
        <v>0</v>
      </c>
      <c r="AE266" s="92">
        <f t="shared" si="355"/>
        <v>101254869.32721524</v>
      </c>
      <c r="AF266" s="92">
        <f t="shared" si="358"/>
        <v>6671817.602853477</v>
      </c>
      <c r="AG266" s="161"/>
    </row>
    <row r="267" spans="1:34" ht="15" customHeight="1" x14ac:dyDescent="0.35">
      <c r="A267" s="166">
        <f t="shared" si="356"/>
        <v>20</v>
      </c>
      <c r="B267" s="165">
        <v>44378</v>
      </c>
      <c r="C267" s="92">
        <v>23658026.619182326</v>
      </c>
      <c r="D267" s="164">
        <f>SUM($C$261:C267)</f>
        <v>54157755.034663916</v>
      </c>
      <c r="E267" s="92"/>
      <c r="F267" s="92">
        <f t="shared" si="343"/>
        <v>17000000</v>
      </c>
      <c r="G267" s="92">
        <f t="shared" si="344"/>
        <v>23000000</v>
      </c>
      <c r="H267" s="92">
        <f t="shared" si="345"/>
        <v>14157755.034663916</v>
      </c>
      <c r="I267" s="92"/>
      <c r="J267" s="92">
        <f t="shared" si="346"/>
        <v>11500000</v>
      </c>
      <c r="K267" s="92">
        <f t="shared" si="347"/>
        <v>12741979.531197524</v>
      </c>
      <c r="L267" s="92"/>
      <c r="M267" s="92">
        <f t="shared" si="348"/>
        <v>24241979.531197518</v>
      </c>
      <c r="N267" s="92">
        <v>0</v>
      </c>
      <c r="O267" s="92">
        <f t="shared" si="349"/>
        <v>24241979.531197518</v>
      </c>
      <c r="P267" s="92">
        <f t="shared" si="357"/>
        <v>17492115.32345672</v>
      </c>
      <c r="Q267" s="380"/>
      <c r="R267" s="146"/>
      <c r="S267" s="92">
        <f t="shared" si="350"/>
        <v>17000000</v>
      </c>
      <c r="T267" s="92">
        <f t="shared" si="351"/>
        <v>11500000</v>
      </c>
      <c r="U267" s="163">
        <f t="shared" si="352"/>
        <v>1415775.5034663919</v>
      </c>
      <c r="V267" s="163"/>
      <c r="W267" s="92"/>
      <c r="X267" s="92"/>
      <c r="Y267" s="92"/>
      <c r="Z267" s="92"/>
      <c r="AA267" s="92">
        <f t="shared" si="353"/>
        <v>107420780.62294084</v>
      </c>
      <c r="AB267" s="92">
        <v>0</v>
      </c>
      <c r="AC267" s="92">
        <f t="shared" si="354"/>
        <v>107420780.62294084</v>
      </c>
      <c r="AD267" s="92">
        <v>0</v>
      </c>
      <c r="AE267" s="92">
        <f t="shared" si="355"/>
        <v>107420780.62294084</v>
      </c>
      <c r="AF267" s="92">
        <f t="shared" si="358"/>
        <v>6165911.2957255989</v>
      </c>
      <c r="AG267" s="161"/>
    </row>
    <row r="268" spans="1:34" ht="15" customHeight="1" x14ac:dyDescent="0.35">
      <c r="A268" s="166">
        <f t="shared" si="356"/>
        <v>20</v>
      </c>
      <c r="B268" s="165">
        <v>44409</v>
      </c>
      <c r="C268" s="92">
        <v>2170711.6838650717</v>
      </c>
      <c r="D268" s="164">
        <f>SUM($C$261:C268)</f>
        <v>56328466.718528986</v>
      </c>
      <c r="E268" s="92"/>
      <c r="F268" s="92">
        <f t="shared" si="343"/>
        <v>17000000</v>
      </c>
      <c r="G268" s="92">
        <f t="shared" si="344"/>
        <v>23000000</v>
      </c>
      <c r="H268" s="92">
        <f t="shared" si="345"/>
        <v>16328466.718528986</v>
      </c>
      <c r="I268" s="92"/>
      <c r="J268" s="92">
        <f t="shared" si="346"/>
        <v>11500000</v>
      </c>
      <c r="K268" s="92">
        <f t="shared" si="347"/>
        <v>14695620.046676088</v>
      </c>
      <c r="L268" s="92"/>
      <c r="M268" s="92">
        <f t="shared" si="348"/>
        <v>26195620.046676084</v>
      </c>
      <c r="N268" s="92">
        <v>0</v>
      </c>
      <c r="O268" s="92">
        <f t="shared" si="349"/>
        <v>26195620.046676084</v>
      </c>
      <c r="P268" s="92">
        <f t="shared" si="357"/>
        <v>1953640.5154785663</v>
      </c>
      <c r="Q268" s="380"/>
      <c r="R268" s="146"/>
      <c r="S268" s="92">
        <f t="shared" si="350"/>
        <v>17000000</v>
      </c>
      <c r="T268" s="92">
        <f t="shared" si="351"/>
        <v>11500000</v>
      </c>
      <c r="U268" s="163">
        <f t="shared" si="352"/>
        <v>1632846.6718528979</v>
      </c>
      <c r="V268" s="163"/>
      <c r="W268" s="92"/>
      <c r="X268" s="92"/>
      <c r="Y268" s="92"/>
      <c r="Z268" s="92"/>
      <c r="AA268" s="92">
        <f t="shared" si="353"/>
        <v>107637851.79132734</v>
      </c>
      <c r="AB268" s="92">
        <v>0</v>
      </c>
      <c r="AC268" s="92">
        <f t="shared" si="354"/>
        <v>107637851.79132734</v>
      </c>
      <c r="AD268" s="92">
        <v>0</v>
      </c>
      <c r="AE268" s="92">
        <f t="shared" si="355"/>
        <v>107637851.79132734</v>
      </c>
      <c r="AF268" s="92">
        <f t="shared" si="358"/>
        <v>217071.16838650405</v>
      </c>
      <c r="AG268" s="161"/>
    </row>
    <row r="269" spans="1:34" ht="15" customHeight="1" x14ac:dyDescent="0.35">
      <c r="A269" s="166">
        <f t="shared" si="356"/>
        <v>20</v>
      </c>
      <c r="B269" s="165">
        <v>44440</v>
      </c>
      <c r="C269" s="92">
        <v>-6588485.9386087274</v>
      </c>
      <c r="D269" s="164">
        <f>SUM($C$261:C269)</f>
        <v>49739980.779920258</v>
      </c>
      <c r="E269" s="92"/>
      <c r="F269" s="92">
        <f t="shared" si="343"/>
        <v>17000000</v>
      </c>
      <c r="G269" s="92">
        <f t="shared" si="344"/>
        <v>23000000</v>
      </c>
      <c r="H269" s="92">
        <f t="shared" si="345"/>
        <v>9739980.7799202576</v>
      </c>
      <c r="I269" s="92"/>
      <c r="J269" s="92">
        <f t="shared" si="346"/>
        <v>11500000</v>
      </c>
      <c r="K269" s="92">
        <f t="shared" si="347"/>
        <v>8765982.7019282319</v>
      </c>
      <c r="L269" s="92"/>
      <c r="M269" s="92">
        <f t="shared" si="348"/>
        <v>20265982.701928228</v>
      </c>
      <c r="N269" s="92">
        <v>0</v>
      </c>
      <c r="O269" s="92">
        <f t="shared" si="349"/>
        <v>20265982.701928228</v>
      </c>
      <c r="P269" s="92">
        <f t="shared" si="357"/>
        <v>-5929637.3447478563</v>
      </c>
      <c r="Q269" s="380"/>
      <c r="R269" s="146"/>
      <c r="S269" s="92">
        <f t="shared" si="350"/>
        <v>17000000</v>
      </c>
      <c r="T269" s="92">
        <f t="shared" si="351"/>
        <v>11500000</v>
      </c>
      <c r="U269" s="163">
        <f t="shared" si="352"/>
        <v>973998.07799202576</v>
      </c>
      <c r="V269" s="163"/>
      <c r="W269" s="92"/>
      <c r="X269" s="92"/>
      <c r="Y269" s="92"/>
      <c r="Z269" s="92"/>
      <c r="AA269" s="92">
        <f t="shared" si="353"/>
        <v>106979003.19746646</v>
      </c>
      <c r="AB269" s="92">
        <v>0</v>
      </c>
      <c r="AC269" s="92">
        <f t="shared" si="354"/>
        <v>106979003.19746646</v>
      </c>
      <c r="AD269" s="92">
        <v>0</v>
      </c>
      <c r="AE269" s="92">
        <f t="shared" si="355"/>
        <v>106979003.19746646</v>
      </c>
      <c r="AF269" s="92">
        <f t="shared" si="358"/>
        <v>-658848.59386087954</v>
      </c>
      <c r="AG269" s="161"/>
    </row>
    <row r="270" spans="1:34" ht="15" customHeight="1" x14ac:dyDescent="0.35">
      <c r="A270" s="166">
        <f t="shared" si="356"/>
        <v>20</v>
      </c>
      <c r="B270" s="165">
        <v>44470</v>
      </c>
      <c r="C270" s="92">
        <v>3756185.991596817</v>
      </c>
      <c r="D270" s="164">
        <f>SUM($C$261:C270)</f>
        <v>53496166.771517076</v>
      </c>
      <c r="E270" s="92"/>
      <c r="F270" s="92">
        <f t="shared" si="343"/>
        <v>17000000</v>
      </c>
      <c r="G270" s="92">
        <f t="shared" si="344"/>
        <v>23000000</v>
      </c>
      <c r="H270" s="92">
        <f t="shared" si="345"/>
        <v>13496166.771517076</v>
      </c>
      <c r="I270" s="92"/>
      <c r="J270" s="92">
        <f t="shared" si="346"/>
        <v>11500000</v>
      </c>
      <c r="K270" s="92">
        <f t="shared" si="347"/>
        <v>12146550.094365368</v>
      </c>
      <c r="L270" s="92"/>
      <c r="M270" s="92">
        <f t="shared" si="348"/>
        <v>23646550.094365358</v>
      </c>
      <c r="N270" s="92">
        <v>0</v>
      </c>
      <c r="O270" s="92">
        <f t="shared" si="349"/>
        <v>23646550.094365358</v>
      </c>
      <c r="P270" s="92">
        <f t="shared" si="357"/>
        <v>3380567.3924371302</v>
      </c>
      <c r="Q270" s="380"/>
      <c r="R270" s="146"/>
      <c r="S270" s="92">
        <f t="shared" si="350"/>
        <v>17000000</v>
      </c>
      <c r="T270" s="92">
        <f t="shared" si="351"/>
        <v>11500000</v>
      </c>
      <c r="U270" s="163">
        <f t="shared" si="352"/>
        <v>1349616.6771517079</v>
      </c>
      <c r="V270" s="163"/>
      <c r="W270" s="92"/>
      <c r="X270" s="92"/>
      <c r="Y270" s="92"/>
      <c r="Z270" s="92"/>
      <c r="AA270" s="92">
        <f t="shared" si="353"/>
        <v>107354621.79662615</v>
      </c>
      <c r="AB270" s="92">
        <v>0</v>
      </c>
      <c r="AC270" s="92">
        <f t="shared" si="354"/>
        <v>107354621.79662615</v>
      </c>
      <c r="AD270" s="92">
        <v>0</v>
      </c>
      <c r="AE270" s="92">
        <f t="shared" si="355"/>
        <v>107354621.79662615</v>
      </c>
      <c r="AF270" s="92">
        <f t="shared" si="358"/>
        <v>375618.59915968776</v>
      </c>
      <c r="AG270" s="161"/>
    </row>
    <row r="271" spans="1:34" ht="15" customHeight="1" x14ac:dyDescent="0.35">
      <c r="A271" s="166">
        <f t="shared" si="356"/>
        <v>20</v>
      </c>
      <c r="B271" s="165">
        <v>44501</v>
      </c>
      <c r="C271" s="92">
        <v>1712778.5244288694</v>
      </c>
      <c r="D271" s="164">
        <f>SUM($C$261:C271)</f>
        <v>55208945.295945942</v>
      </c>
      <c r="E271" s="92"/>
      <c r="F271" s="92">
        <f t="shared" si="343"/>
        <v>17000000</v>
      </c>
      <c r="G271" s="92">
        <f t="shared" si="344"/>
        <v>23000000</v>
      </c>
      <c r="H271" s="92">
        <f t="shared" si="345"/>
        <v>15208945.295945942</v>
      </c>
      <c r="I271" s="92"/>
      <c r="J271" s="92">
        <f t="shared" si="346"/>
        <v>11500000</v>
      </c>
      <c r="K271" s="92">
        <f t="shared" si="347"/>
        <v>13688050.766351348</v>
      </c>
      <c r="L271" s="92"/>
      <c r="M271" s="92">
        <f t="shared" si="348"/>
        <v>25188050.766351342</v>
      </c>
      <c r="N271" s="92">
        <v>0</v>
      </c>
      <c r="O271" s="92">
        <f t="shared" si="349"/>
        <v>25188050.766351342</v>
      </c>
      <c r="P271" s="92">
        <f t="shared" si="357"/>
        <v>1541500.6719859838</v>
      </c>
      <c r="Q271" s="380"/>
      <c r="R271" s="146"/>
      <c r="S271" s="92">
        <f t="shared" si="350"/>
        <v>17000000</v>
      </c>
      <c r="T271" s="92">
        <f t="shared" si="351"/>
        <v>11500000</v>
      </c>
      <c r="U271" s="163">
        <f t="shared" si="352"/>
        <v>1520894.5295945946</v>
      </c>
      <c r="V271" s="163"/>
      <c r="W271" s="92"/>
      <c r="X271" s="92"/>
      <c r="Y271" s="92"/>
      <c r="Z271" s="92"/>
      <c r="AA271" s="92">
        <f t="shared" si="353"/>
        <v>107525899.64906904</v>
      </c>
      <c r="AB271" s="92">
        <v>0</v>
      </c>
      <c r="AC271" s="92">
        <f t="shared" si="354"/>
        <v>107525899.64906904</v>
      </c>
      <c r="AD271" s="92">
        <v>0</v>
      </c>
      <c r="AE271" s="92">
        <f t="shared" si="355"/>
        <v>107525899.64906904</v>
      </c>
      <c r="AF271" s="92">
        <f t="shared" si="358"/>
        <v>171277.85244289041</v>
      </c>
      <c r="AG271" s="161"/>
    </row>
    <row r="272" spans="1:34" ht="15" customHeight="1" x14ac:dyDescent="0.35">
      <c r="A272" s="166">
        <f t="shared" si="356"/>
        <v>20</v>
      </c>
      <c r="B272" s="165">
        <v>44531</v>
      </c>
      <c r="C272" s="92">
        <v>12793294.503179887</v>
      </c>
      <c r="D272" s="164">
        <f>SUM($C$261:C272)</f>
        <v>68002239.799125835</v>
      </c>
      <c r="E272" s="92"/>
      <c r="F272" s="92">
        <f t="shared" si="343"/>
        <v>17000000</v>
      </c>
      <c r="G272" s="92">
        <f t="shared" si="344"/>
        <v>23000000</v>
      </c>
      <c r="H272" s="92">
        <f t="shared" si="345"/>
        <v>28002239.799125835</v>
      </c>
      <c r="I272" s="92"/>
      <c r="J272" s="92">
        <f t="shared" si="346"/>
        <v>11500000</v>
      </c>
      <c r="K272" s="92">
        <f t="shared" si="347"/>
        <v>25202015.819213253</v>
      </c>
      <c r="L272" s="92"/>
      <c r="M272" s="92">
        <f t="shared" si="348"/>
        <v>36702015.819213256</v>
      </c>
      <c r="N272" s="92">
        <v>0</v>
      </c>
      <c r="O272" s="92">
        <f t="shared" si="349"/>
        <v>36702015.819213256</v>
      </c>
      <c r="P272" s="92">
        <f t="shared" si="357"/>
        <v>11513965.052861914</v>
      </c>
      <c r="Q272" s="380"/>
      <c r="R272" s="146"/>
      <c r="S272" s="92">
        <f t="shared" si="350"/>
        <v>17000000</v>
      </c>
      <c r="T272" s="92">
        <f t="shared" si="351"/>
        <v>11500000</v>
      </c>
      <c r="U272" s="163">
        <f t="shared" si="352"/>
        <v>2800223.9799125828</v>
      </c>
      <c r="V272" s="163"/>
      <c r="W272" s="92"/>
      <c r="X272" s="92"/>
      <c r="Y272" s="92"/>
      <c r="Z272" s="92"/>
      <c r="AA272" s="92">
        <f t="shared" si="353"/>
        <v>108805229.09938702</v>
      </c>
      <c r="AB272" s="92">
        <v>0</v>
      </c>
      <c r="AC272" s="92">
        <f t="shared" si="354"/>
        <v>108805229.09938702</v>
      </c>
      <c r="AD272" s="92">
        <v>0</v>
      </c>
      <c r="AE272" s="92">
        <f t="shared" si="355"/>
        <v>108805229.09938702</v>
      </c>
      <c r="AF272" s="92">
        <f t="shared" si="358"/>
        <v>1279329.4503179789</v>
      </c>
      <c r="AG272" s="161"/>
    </row>
    <row r="273" spans="1:32" ht="16.5" customHeight="1" x14ac:dyDescent="0.35">
      <c r="A273" s="66"/>
      <c r="B273" s="158"/>
      <c r="C273" s="160"/>
      <c r="D273" s="160"/>
      <c r="E273" s="84"/>
      <c r="F273" s="84"/>
      <c r="G273" s="84"/>
      <c r="H273" s="84"/>
      <c r="I273" s="84"/>
      <c r="J273" s="92"/>
      <c r="K273" s="84"/>
      <c r="L273" s="84"/>
      <c r="M273" s="92"/>
      <c r="N273" s="92"/>
      <c r="O273" s="84"/>
      <c r="P273" s="159"/>
      <c r="Q273" s="84"/>
      <c r="R273" s="101"/>
      <c r="S273" s="84"/>
      <c r="T273" s="84"/>
      <c r="U273" s="157"/>
      <c r="V273" s="157"/>
      <c r="W273" s="84"/>
      <c r="X273" s="84"/>
      <c r="Y273" s="84"/>
      <c r="Z273" s="84"/>
      <c r="AA273" s="92"/>
      <c r="AB273" s="92"/>
      <c r="AC273" s="92"/>
      <c r="AD273" s="92"/>
      <c r="AE273" s="84"/>
      <c r="AF273" s="159"/>
    </row>
    <row r="274" spans="1:32" x14ac:dyDescent="0.25">
      <c r="A274" s="66"/>
      <c r="B274" s="158"/>
      <c r="C274" s="84"/>
      <c r="D274" s="134"/>
      <c r="E274" s="84"/>
      <c r="F274" s="84"/>
      <c r="G274" s="84"/>
      <c r="H274" s="84"/>
      <c r="I274" s="84"/>
      <c r="J274" s="92"/>
      <c r="K274" s="84"/>
      <c r="L274" s="84"/>
      <c r="M274" s="92"/>
      <c r="N274" s="92"/>
      <c r="O274" s="84"/>
      <c r="P274" s="84"/>
      <c r="Q274" s="84"/>
      <c r="R274" s="101"/>
      <c r="S274" s="84"/>
      <c r="T274" s="84"/>
      <c r="U274" s="157"/>
      <c r="V274" s="157"/>
      <c r="W274" s="84"/>
      <c r="X274" s="84"/>
      <c r="Y274" s="84"/>
      <c r="Z274" s="84"/>
      <c r="AA274" s="92"/>
      <c r="AB274" s="92"/>
      <c r="AC274" s="92"/>
      <c r="AD274" s="92"/>
      <c r="AE274" s="84"/>
      <c r="AF274" s="84"/>
    </row>
    <row r="275" spans="1:32" ht="18" customHeight="1" x14ac:dyDescent="0.25">
      <c r="A275" s="66"/>
      <c r="C275" s="84"/>
      <c r="D275" s="13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101"/>
      <c r="S275" s="84"/>
      <c r="T275" s="84"/>
      <c r="U275" s="84"/>
      <c r="V275" s="84"/>
      <c r="W275" s="84"/>
      <c r="X275" s="84"/>
      <c r="Y275" s="84"/>
      <c r="Z275" s="84"/>
      <c r="AA275" s="84"/>
      <c r="AB275" s="92"/>
      <c r="AC275" s="92"/>
      <c r="AD275" s="92"/>
      <c r="AE275" s="84"/>
      <c r="AF275" s="84"/>
    </row>
    <row r="276" spans="1:32" ht="15.5" x14ac:dyDescent="0.35">
      <c r="B276" s="154" t="s">
        <v>117</v>
      </c>
      <c r="C276" s="154" t="s">
        <v>116</v>
      </c>
      <c r="D276" s="154" t="s">
        <v>48</v>
      </c>
      <c r="J276" s="156"/>
      <c r="AB276" s="94"/>
      <c r="AC276" s="94"/>
      <c r="AD276" s="94"/>
      <c r="AE276" s="84"/>
      <c r="AF276" s="84"/>
    </row>
    <row r="277" spans="1:32" x14ac:dyDescent="0.25">
      <c r="B277" s="152">
        <v>1</v>
      </c>
      <c r="C277" s="151">
        <v>0</v>
      </c>
      <c r="D277" s="151">
        <v>1</v>
      </c>
      <c r="E277" s="140"/>
      <c r="F277" s="140"/>
      <c r="G277" s="140"/>
      <c r="H277" s="140"/>
      <c r="I277" s="140"/>
      <c r="S277" s="134"/>
      <c r="AB277" s="94"/>
      <c r="AC277" s="94"/>
      <c r="AD277" s="94"/>
      <c r="AE277" s="84"/>
      <c r="AF277" s="84"/>
    </row>
    <row r="278" spans="1:32" x14ac:dyDescent="0.25">
      <c r="B278" s="152">
        <v>2</v>
      </c>
      <c r="C278" s="151">
        <v>0.5</v>
      </c>
      <c r="D278" s="151">
        <v>0.5</v>
      </c>
      <c r="E278" s="140"/>
      <c r="F278" s="140"/>
      <c r="G278" s="140"/>
      <c r="H278" s="140"/>
      <c r="I278" s="140"/>
      <c r="AE278" s="84"/>
      <c r="AF278" s="84"/>
    </row>
    <row r="279" spans="1:32" x14ac:dyDescent="0.25">
      <c r="B279" s="152">
        <v>3</v>
      </c>
      <c r="C279" s="151">
        <v>0.9</v>
      </c>
      <c r="D279" s="151">
        <v>0.1</v>
      </c>
      <c r="E279" s="140"/>
      <c r="F279" s="140"/>
      <c r="G279" s="140"/>
      <c r="H279" s="140"/>
      <c r="I279" s="140"/>
    </row>
    <row r="280" spans="1:32" x14ac:dyDescent="0.25">
      <c r="B280" s="152">
        <v>4</v>
      </c>
      <c r="C280" s="151">
        <v>0.95</v>
      </c>
      <c r="D280" s="151">
        <v>0.05</v>
      </c>
      <c r="E280" s="140"/>
      <c r="F280" s="140"/>
      <c r="G280" s="140"/>
      <c r="H280" s="140"/>
      <c r="I280" s="140"/>
    </row>
    <row r="281" spans="1:32" x14ac:dyDescent="0.25">
      <c r="B281" s="152"/>
      <c r="C281" s="151"/>
      <c r="D281" s="151"/>
      <c r="E281" s="140"/>
      <c r="F281" s="140"/>
      <c r="G281" s="140"/>
      <c r="H281" s="140"/>
      <c r="I281" s="140"/>
    </row>
    <row r="282" spans="1:32" x14ac:dyDescent="0.25">
      <c r="B282" s="152" t="s">
        <v>119</v>
      </c>
      <c r="C282" s="151">
        <v>0.99</v>
      </c>
      <c r="D282" s="151">
        <v>0.01</v>
      </c>
      <c r="E282" s="140"/>
      <c r="F282" s="140"/>
      <c r="G282" s="140"/>
      <c r="H282" s="140"/>
      <c r="I282" s="140"/>
    </row>
    <row r="283" spans="1:32" ht="17.5" customHeight="1" x14ac:dyDescent="0.25">
      <c r="B283" s="152"/>
      <c r="C283" s="151"/>
      <c r="D283" s="151"/>
      <c r="E283" s="140"/>
      <c r="F283" s="140"/>
      <c r="G283" s="140"/>
      <c r="H283" s="140"/>
      <c r="I283" s="140"/>
    </row>
    <row r="284" spans="1:32" ht="13" x14ac:dyDescent="0.3">
      <c r="B284" s="155" t="s">
        <v>118</v>
      </c>
      <c r="C284" s="151"/>
      <c r="D284" s="151"/>
      <c r="E284" s="140"/>
      <c r="F284" s="140"/>
      <c r="G284" s="140"/>
      <c r="H284" s="140"/>
      <c r="I284" s="140"/>
    </row>
    <row r="285" spans="1:32" x14ac:dyDescent="0.25">
      <c r="B285" s="154" t="s">
        <v>117</v>
      </c>
      <c r="C285" s="154" t="s">
        <v>116</v>
      </c>
      <c r="D285" s="154" t="s">
        <v>48</v>
      </c>
      <c r="E285" s="140"/>
      <c r="F285" s="140"/>
      <c r="G285" s="140"/>
      <c r="H285" s="140"/>
      <c r="I285" s="140"/>
    </row>
    <row r="286" spans="1:32" x14ac:dyDescent="0.25">
      <c r="B286" s="152">
        <v>1</v>
      </c>
      <c r="C286" s="151">
        <v>0</v>
      </c>
      <c r="D286" s="151">
        <v>1</v>
      </c>
      <c r="E286" s="140"/>
      <c r="F286" s="140"/>
      <c r="G286" s="140"/>
      <c r="H286" s="140"/>
      <c r="I286" s="140"/>
    </row>
    <row r="287" spans="1:32" x14ac:dyDescent="0.25">
      <c r="B287" s="153" t="s">
        <v>115</v>
      </c>
      <c r="C287" s="151">
        <v>0.5</v>
      </c>
      <c r="D287" s="151">
        <v>0.5</v>
      </c>
      <c r="E287" s="140"/>
      <c r="F287" s="140"/>
      <c r="G287" s="140"/>
      <c r="H287" s="140"/>
      <c r="I287" s="140"/>
    </row>
    <row r="288" spans="1:32" x14ac:dyDescent="0.25">
      <c r="B288" s="153" t="s">
        <v>114</v>
      </c>
      <c r="C288" s="151">
        <v>0.65</v>
      </c>
      <c r="D288" s="151">
        <v>0.35</v>
      </c>
      <c r="E288" s="140"/>
      <c r="F288" s="140"/>
      <c r="G288" s="140"/>
      <c r="H288" s="140"/>
      <c r="I288" s="140"/>
    </row>
    <row r="289" spans="2:32" x14ac:dyDescent="0.25">
      <c r="B289" s="152">
        <v>3</v>
      </c>
      <c r="C289" s="151">
        <v>0.9</v>
      </c>
      <c r="D289" s="151">
        <v>0.1</v>
      </c>
      <c r="E289" s="140"/>
      <c r="F289" s="140"/>
      <c r="G289" s="140"/>
      <c r="H289" s="140"/>
      <c r="I289" s="140"/>
    </row>
    <row r="290" spans="2:32" s="94" customFormat="1" x14ac:dyDescent="0.25">
      <c r="B290" s="117"/>
      <c r="C290" s="149"/>
      <c r="D290" s="149"/>
      <c r="E290" s="117"/>
      <c r="F290" s="117"/>
      <c r="G290" s="117"/>
      <c r="H290" s="117"/>
      <c r="I290" s="117"/>
      <c r="J290" s="117"/>
      <c r="K290" s="117"/>
    </row>
    <row r="291" spans="2:32" s="94" customFormat="1" x14ac:dyDescent="0.25">
      <c r="B291" s="117"/>
      <c r="C291" s="149"/>
      <c r="D291" s="149"/>
      <c r="E291" s="117"/>
      <c r="F291" s="117"/>
      <c r="G291" s="117"/>
      <c r="H291" s="117"/>
      <c r="I291" s="117"/>
      <c r="J291" s="117"/>
      <c r="K291" s="117"/>
    </row>
    <row r="292" spans="2:32" s="94" customFormat="1" x14ac:dyDescent="0.25">
      <c r="B292" s="117"/>
      <c r="C292" s="149"/>
      <c r="D292" s="149"/>
      <c r="E292" s="117"/>
      <c r="F292" s="117"/>
      <c r="G292" s="117"/>
      <c r="H292" s="117"/>
      <c r="I292" s="117"/>
      <c r="J292" s="117"/>
      <c r="K292" s="117"/>
    </row>
    <row r="293" spans="2:32" x14ac:dyDescent="0.25">
      <c r="B293" s="65" t="s">
        <v>113</v>
      </c>
      <c r="C293" s="65"/>
      <c r="D293" s="65"/>
      <c r="F293" s="65"/>
      <c r="G293" s="65"/>
      <c r="H293" s="65"/>
      <c r="I293" s="65"/>
      <c r="J293" s="65"/>
      <c r="K293" s="65"/>
    </row>
    <row r="294" spans="2:32" x14ac:dyDescent="0.25">
      <c r="B294" s="65" t="s">
        <v>112</v>
      </c>
      <c r="C294" s="65"/>
      <c r="D294" s="65"/>
      <c r="F294" s="65"/>
      <c r="G294" s="140"/>
      <c r="H294" s="140"/>
      <c r="I294" s="140"/>
      <c r="J294" s="65"/>
      <c r="K294" s="65"/>
    </row>
    <row r="295" spans="2:32" x14ac:dyDescent="0.25">
      <c r="B295" s="65" t="s">
        <v>111</v>
      </c>
      <c r="C295" s="65"/>
      <c r="D295" s="65"/>
      <c r="F295" s="65"/>
      <c r="G295" s="140"/>
      <c r="H295" s="140"/>
      <c r="I295" s="140"/>
      <c r="J295" s="65"/>
      <c r="K295" s="65"/>
    </row>
    <row r="296" spans="2:32" x14ac:dyDescent="0.25">
      <c r="B296" s="117" t="s">
        <v>110</v>
      </c>
      <c r="C296" s="117"/>
      <c r="D296" s="117"/>
      <c r="E296" s="117"/>
      <c r="F296" s="117"/>
      <c r="G296" s="149"/>
      <c r="H296" s="149"/>
      <c r="I296" s="149"/>
      <c r="J296" s="148"/>
      <c r="K296" s="144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79"/>
      <c r="AD296" s="79"/>
      <c r="AE296" s="79"/>
      <c r="AF296" s="79"/>
    </row>
    <row r="297" spans="2:32" x14ac:dyDescent="0.25">
      <c r="B297" s="117" t="s">
        <v>109</v>
      </c>
      <c r="C297" s="117"/>
      <c r="D297" s="117"/>
      <c r="E297" s="117"/>
      <c r="F297" s="117"/>
      <c r="G297" s="149"/>
      <c r="H297" s="149"/>
      <c r="I297" s="149"/>
      <c r="J297" s="117"/>
      <c r="K297" s="117"/>
    </row>
    <row r="298" spans="2:32" x14ac:dyDescent="0.25">
      <c r="B298" s="65" t="s">
        <v>108</v>
      </c>
      <c r="C298" s="65"/>
      <c r="D298" s="65"/>
      <c r="F298" s="65"/>
      <c r="G298" s="65"/>
      <c r="H298" s="65"/>
      <c r="I298" s="65"/>
      <c r="J298" s="65"/>
      <c r="K298" s="65"/>
    </row>
    <row r="299" spans="2:32" x14ac:dyDescent="0.25">
      <c r="B299" s="65" t="s">
        <v>107</v>
      </c>
    </row>
    <row r="300" spans="2:32" ht="15.5" x14ac:dyDescent="0.35">
      <c r="I300" s="150"/>
    </row>
  </sheetData>
  <printOptions horizontalCentered="1"/>
  <pageMargins left="0" right="0" top="0.3" bottom="0.55000000000000004" header="0.5" footer="0.2"/>
  <pageSetup paperSize="5" scale="54" orientation="landscape" r:id="rId1"/>
  <headerFooter alignWithMargins="0">
    <oddFooter>&amp;CPage &amp;P of &amp;N&amp;R&amp;F &amp;A&amp;L&amp;"Times New Roman,Regular"&amp;8 156650783.1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69"/>
  <sheetViews>
    <sheetView zoomScale="85" zoomScaleNormal="85" workbookViewId="0">
      <pane xSplit="2" ySplit="13" topLeftCell="C449" activePane="bottomRight" state="frozen"/>
      <selection pane="topRight" activeCell="C1" sqref="C1"/>
      <selection pane="bottomLeft" activeCell="A14" sqref="A14"/>
      <selection pane="bottomRight" activeCell="A462" sqref="A462"/>
    </sheetView>
  </sheetViews>
  <sheetFormatPr defaultColWidth="9.1796875" defaultRowHeight="12.5" x14ac:dyDescent="0.25"/>
  <cols>
    <col min="1" max="1" width="11.81640625" style="65" customWidth="1"/>
    <col min="2" max="2" width="12.7265625" style="65" customWidth="1"/>
    <col min="3" max="3" width="15.453125" style="65" bestFit="1" customWidth="1"/>
    <col min="4" max="4" width="11.453125" style="65" customWidth="1"/>
    <col min="5" max="5" width="14.54296875" style="65" bestFit="1" customWidth="1"/>
    <col min="6" max="6" width="14.7265625" style="65" customWidth="1"/>
    <col min="7" max="7" width="16.453125" style="65" bestFit="1" customWidth="1"/>
    <col min="8" max="8" width="3.26953125" style="65" customWidth="1"/>
    <col min="9" max="9" width="12.26953125" style="65" customWidth="1"/>
    <col min="10" max="10" width="12.81640625" style="65" customWidth="1"/>
    <col min="11" max="11" width="9.7265625" style="65" customWidth="1"/>
    <col min="12" max="12" width="1.26953125" style="65" customWidth="1"/>
    <col min="13" max="13" width="11.453125" style="65" customWidth="1"/>
    <col min="14" max="14" width="14.26953125" style="117" bestFit="1" customWidth="1"/>
    <col min="15" max="15" width="13.26953125" style="65" customWidth="1"/>
    <col min="16" max="16" width="16.7265625" style="65" customWidth="1"/>
    <col min="17" max="16384" width="9.1796875" style="65"/>
  </cols>
  <sheetData>
    <row r="1" spans="1:16" ht="14.25" customHeight="1" x14ac:dyDescent="0.3">
      <c r="A1" s="196"/>
    </row>
    <row r="2" spans="1:16" s="198" customFormat="1" ht="13" x14ac:dyDescent="0.3">
      <c r="A2" s="196" t="str">
        <f ca="1">MID(CELL("filename",A2),FIND("]",CELL("filename",A2))+1,255)</f>
        <v>SEF-3 p 5 Interest</v>
      </c>
      <c r="M2" s="199"/>
    </row>
    <row r="3" spans="1:16" s="198" customFormat="1" ht="11.5" x14ac:dyDescent="0.25">
      <c r="A3" s="200" t="s">
        <v>3</v>
      </c>
      <c r="M3" s="199"/>
    </row>
    <row r="4" spans="1:16" s="198" customFormat="1" ht="11.5" x14ac:dyDescent="0.25">
      <c r="A4" s="200"/>
      <c r="M4" s="199"/>
    </row>
    <row r="5" spans="1:16" s="198" customFormat="1" ht="11.5" x14ac:dyDescent="0.25">
      <c r="A5" s="200"/>
      <c r="D5" s="201"/>
      <c r="M5" s="199"/>
    </row>
    <row r="6" spans="1:16" s="198" customFormat="1" ht="11.5" x14ac:dyDescent="0.25">
      <c r="A6" s="200"/>
      <c r="M6" s="199"/>
    </row>
    <row r="7" spans="1:16" s="198" customFormat="1" ht="11.5" x14ac:dyDescent="0.25">
      <c r="M7" s="199"/>
      <c r="P7" s="202"/>
    </row>
    <row r="8" spans="1:16" s="198" customFormat="1" ht="11.5" x14ac:dyDescent="0.25">
      <c r="B8" s="197" t="s">
        <v>213</v>
      </c>
      <c r="C8" s="197"/>
      <c r="M8" s="199"/>
    </row>
    <row r="9" spans="1:16" s="198" customFormat="1" ht="11.5" x14ac:dyDescent="0.25">
      <c r="B9" s="197" t="s">
        <v>212</v>
      </c>
      <c r="C9" s="197">
        <v>18239061</v>
      </c>
      <c r="M9" s="199"/>
    </row>
    <row r="10" spans="1:16" s="198" customFormat="1" ht="11.5" x14ac:dyDescent="0.25">
      <c r="B10" s="197" t="s">
        <v>211</v>
      </c>
      <c r="C10" s="203" t="s">
        <v>210</v>
      </c>
      <c r="F10" s="204" t="s">
        <v>105</v>
      </c>
      <c r="G10" s="204" t="s">
        <v>209</v>
      </c>
      <c r="M10" s="204" t="s">
        <v>208</v>
      </c>
      <c r="N10" s="205" t="s">
        <v>64</v>
      </c>
      <c r="O10" s="204" t="s">
        <v>105</v>
      </c>
      <c r="P10" s="204" t="s">
        <v>23</v>
      </c>
    </row>
    <row r="11" spans="1:16" s="198" customFormat="1" ht="11.5" hidden="1" x14ac:dyDescent="0.25">
      <c r="B11" s="197"/>
      <c r="C11" s="203"/>
      <c r="F11" s="204"/>
      <c r="G11" s="204"/>
      <c r="M11" s="204"/>
      <c r="N11" s="205"/>
      <c r="O11" s="204"/>
      <c r="P11" s="204"/>
    </row>
    <row r="12" spans="1:16" s="198" customFormat="1" ht="11.5" hidden="1" x14ac:dyDescent="0.25">
      <c r="B12" s="197"/>
      <c r="C12" s="203"/>
      <c r="F12" s="204"/>
      <c r="G12" s="204"/>
      <c r="M12" s="204"/>
      <c r="N12" s="205"/>
      <c r="O12" s="204"/>
      <c r="P12" s="204"/>
    </row>
    <row r="13" spans="1:16" s="198" customFormat="1" ht="11.5" x14ac:dyDescent="0.25">
      <c r="C13" s="204" t="s">
        <v>207</v>
      </c>
      <c r="D13" s="204" t="s">
        <v>206</v>
      </c>
      <c r="E13" s="204" t="s">
        <v>205</v>
      </c>
      <c r="F13" s="204" t="s">
        <v>204</v>
      </c>
      <c r="G13" s="204" t="s">
        <v>203</v>
      </c>
      <c r="I13" s="204" t="s">
        <v>202</v>
      </c>
      <c r="J13" s="204" t="s">
        <v>201</v>
      </c>
      <c r="K13" s="204" t="s">
        <v>200</v>
      </c>
      <c r="M13" s="204" t="s">
        <v>199</v>
      </c>
      <c r="N13" s="205" t="s">
        <v>197</v>
      </c>
      <c r="O13" s="204" t="s">
        <v>198</v>
      </c>
      <c r="P13" s="204" t="s">
        <v>197</v>
      </c>
    </row>
    <row r="14" spans="1:16" x14ac:dyDescent="0.25">
      <c r="C14" s="78"/>
      <c r="D14" s="78"/>
      <c r="E14" s="78"/>
      <c r="F14" s="78"/>
      <c r="G14" s="78"/>
      <c r="I14" s="78"/>
      <c r="J14" s="78"/>
      <c r="K14" s="78"/>
      <c r="L14" s="78"/>
      <c r="M14" s="78"/>
      <c r="N14" s="145"/>
      <c r="O14" s="78"/>
    </row>
    <row r="15" spans="1:16" x14ac:dyDescent="0.25">
      <c r="A15" s="65" t="s">
        <v>196</v>
      </c>
      <c r="B15" s="65" t="s">
        <v>126</v>
      </c>
      <c r="C15" s="84"/>
      <c r="D15" s="78"/>
      <c r="E15" s="78"/>
      <c r="F15" s="78"/>
      <c r="G15" s="84">
        <f t="shared" ref="G15:G40" si="0">+G14+F15</f>
        <v>0</v>
      </c>
      <c r="I15" s="194">
        <v>37773</v>
      </c>
      <c r="J15" s="194">
        <f>IF(I15=I16,"",+I16-1)</f>
        <v>37801</v>
      </c>
      <c r="K15" s="187">
        <f>+IF(+J15="","",+J15-(I15-1))</f>
        <v>29</v>
      </c>
      <c r="L15" s="187"/>
      <c r="M15" s="191"/>
      <c r="N15" s="92">
        <f t="shared" ref="N15:N42" si="1">+IF(+K15&lt;&gt;" ", ROUND(M15*(K15/365)*G15,2),0)</f>
        <v>0</v>
      </c>
      <c r="O15" s="84">
        <f>IF(MONTH(+I15)&lt;&gt;MONTH(+I14),N15,+O14+N15)</f>
        <v>0</v>
      </c>
    </row>
    <row r="16" spans="1:16" x14ac:dyDescent="0.25">
      <c r="C16" s="84">
        <v>0</v>
      </c>
      <c r="D16" s="78"/>
      <c r="E16" s="78"/>
      <c r="F16" s="84">
        <f>+C16</f>
        <v>0</v>
      </c>
      <c r="G16" s="84">
        <f t="shared" si="0"/>
        <v>0</v>
      </c>
      <c r="I16" s="194">
        <v>37802</v>
      </c>
      <c r="J16" s="194">
        <f>IF(I16=I17,"",+I17-1)</f>
        <v>37802</v>
      </c>
      <c r="K16" s="187">
        <f>+IF(+J16="","",+J16-(I16-1))</f>
        <v>1</v>
      </c>
      <c r="L16" s="187"/>
      <c r="M16" s="191">
        <v>4.2500000000000003E-2</v>
      </c>
      <c r="N16" s="92">
        <f t="shared" si="1"/>
        <v>0</v>
      </c>
      <c r="O16" s="84">
        <f t="shared" ref="O16:O41" si="2">+N16</f>
        <v>0</v>
      </c>
      <c r="P16" s="84">
        <f t="shared" ref="P16:P42" si="3">+P15+N16</f>
        <v>0</v>
      </c>
    </row>
    <row r="17" spans="1:16" x14ac:dyDescent="0.25">
      <c r="A17" s="65" t="s">
        <v>195</v>
      </c>
      <c r="B17" s="65" t="s">
        <v>125</v>
      </c>
      <c r="C17" s="84"/>
      <c r="D17" s="84"/>
      <c r="E17" s="84"/>
      <c r="F17" s="84"/>
      <c r="G17" s="84">
        <f t="shared" si="0"/>
        <v>0</v>
      </c>
      <c r="I17" s="194">
        <v>37803</v>
      </c>
      <c r="J17" s="194">
        <v>37832</v>
      </c>
      <c r="K17" s="187">
        <v>30</v>
      </c>
      <c r="L17" s="187"/>
      <c r="M17" s="191">
        <v>4.2500000000000003E-2</v>
      </c>
      <c r="N17" s="92">
        <f t="shared" si="1"/>
        <v>0</v>
      </c>
      <c r="O17" s="84">
        <f t="shared" si="2"/>
        <v>0</v>
      </c>
      <c r="P17" s="84">
        <f t="shared" si="3"/>
        <v>0</v>
      </c>
    </row>
    <row r="18" spans="1:16" x14ac:dyDescent="0.25">
      <c r="C18" s="84">
        <v>0</v>
      </c>
      <c r="D18" s="84"/>
      <c r="E18" s="84"/>
      <c r="F18" s="84">
        <f>+C18</f>
        <v>0</v>
      </c>
      <c r="G18" s="84">
        <f t="shared" si="0"/>
        <v>0</v>
      </c>
      <c r="I18" s="194">
        <v>37833</v>
      </c>
      <c r="J18" s="194">
        <v>37833</v>
      </c>
      <c r="K18" s="187">
        <v>1</v>
      </c>
      <c r="L18" s="187"/>
      <c r="M18" s="191">
        <v>4.2500000000000003E-2</v>
      </c>
      <c r="N18" s="92">
        <f t="shared" si="1"/>
        <v>0</v>
      </c>
      <c r="O18" s="84">
        <f t="shared" si="2"/>
        <v>0</v>
      </c>
      <c r="P18" s="84">
        <f t="shared" si="3"/>
        <v>0</v>
      </c>
    </row>
    <row r="19" spans="1:16" x14ac:dyDescent="0.25">
      <c r="A19" s="78" t="s">
        <v>192</v>
      </c>
      <c r="B19" s="65" t="s">
        <v>124</v>
      </c>
      <c r="C19" s="84"/>
      <c r="D19" s="84"/>
      <c r="E19" s="84"/>
      <c r="F19" s="84"/>
      <c r="G19" s="84">
        <f t="shared" si="0"/>
        <v>0</v>
      </c>
      <c r="I19" s="194">
        <v>37834</v>
      </c>
      <c r="J19" s="194">
        <v>37863</v>
      </c>
      <c r="K19" s="187">
        <v>30</v>
      </c>
      <c r="L19" s="187"/>
      <c r="M19" s="191">
        <v>4.2500000000000003E-2</v>
      </c>
      <c r="N19" s="92">
        <f t="shared" si="1"/>
        <v>0</v>
      </c>
      <c r="O19" s="84">
        <f t="shared" si="2"/>
        <v>0</v>
      </c>
      <c r="P19" s="84">
        <f t="shared" si="3"/>
        <v>0</v>
      </c>
    </row>
    <row r="20" spans="1:16" x14ac:dyDescent="0.25">
      <c r="A20" s="78"/>
      <c r="C20" s="84">
        <v>0</v>
      </c>
      <c r="D20" s="84"/>
      <c r="E20" s="84"/>
      <c r="F20" s="84">
        <f>+C20</f>
        <v>0</v>
      </c>
      <c r="G20" s="84">
        <f t="shared" si="0"/>
        <v>0</v>
      </c>
      <c r="I20" s="194">
        <v>37864</v>
      </c>
      <c r="J20" s="194">
        <v>37864</v>
      </c>
      <c r="K20" s="187">
        <v>1</v>
      </c>
      <c r="L20" s="187"/>
      <c r="M20" s="191">
        <v>4.2500000000000003E-2</v>
      </c>
      <c r="N20" s="92">
        <f t="shared" si="1"/>
        <v>0</v>
      </c>
      <c r="O20" s="84">
        <f t="shared" si="2"/>
        <v>0</v>
      </c>
      <c r="P20" s="84">
        <f t="shared" si="3"/>
        <v>0</v>
      </c>
    </row>
    <row r="21" spans="1:16" x14ac:dyDescent="0.25">
      <c r="A21" s="78"/>
      <c r="B21" s="65" t="s">
        <v>123</v>
      </c>
      <c r="C21" s="84"/>
      <c r="D21" s="84"/>
      <c r="E21" s="84"/>
      <c r="F21" s="84"/>
      <c r="G21" s="84">
        <f t="shared" si="0"/>
        <v>0</v>
      </c>
      <c r="I21" s="194">
        <v>37865</v>
      </c>
      <c r="J21" s="194">
        <v>37893</v>
      </c>
      <c r="K21" s="187">
        <v>29</v>
      </c>
      <c r="L21" s="187"/>
      <c r="M21" s="191">
        <v>4.2500000000000003E-2</v>
      </c>
      <c r="N21" s="92">
        <f t="shared" si="1"/>
        <v>0</v>
      </c>
      <c r="O21" s="84">
        <f t="shared" si="2"/>
        <v>0</v>
      </c>
      <c r="P21" s="84">
        <f t="shared" si="3"/>
        <v>0</v>
      </c>
    </row>
    <row r="22" spans="1:16" x14ac:dyDescent="0.25">
      <c r="A22" s="78"/>
      <c r="C22" s="84">
        <v>0</v>
      </c>
      <c r="D22" s="84"/>
      <c r="E22" s="84"/>
      <c r="F22" s="84">
        <f>+C22</f>
        <v>0</v>
      </c>
      <c r="G22" s="84">
        <f t="shared" si="0"/>
        <v>0</v>
      </c>
      <c r="I22" s="194">
        <v>37894</v>
      </c>
      <c r="J22" s="194">
        <v>37894</v>
      </c>
      <c r="K22" s="187">
        <v>1</v>
      </c>
      <c r="L22" s="187"/>
      <c r="M22" s="191">
        <v>4.2500000000000003E-2</v>
      </c>
      <c r="N22" s="92">
        <f t="shared" si="1"/>
        <v>0</v>
      </c>
      <c r="O22" s="84">
        <f t="shared" si="2"/>
        <v>0</v>
      </c>
      <c r="P22" s="84">
        <f t="shared" si="3"/>
        <v>0</v>
      </c>
    </row>
    <row r="23" spans="1:16" x14ac:dyDescent="0.25">
      <c r="A23" s="78"/>
      <c r="B23" s="65" t="s">
        <v>122</v>
      </c>
      <c r="C23" s="84"/>
      <c r="D23" s="84"/>
      <c r="E23" s="84"/>
      <c r="F23" s="84"/>
      <c r="G23" s="84">
        <f t="shared" si="0"/>
        <v>0</v>
      </c>
      <c r="I23" s="194">
        <v>37895</v>
      </c>
      <c r="J23" s="194">
        <v>37924</v>
      </c>
      <c r="K23" s="187">
        <v>30</v>
      </c>
      <c r="L23" s="187"/>
      <c r="M23" s="191">
        <v>4.07E-2</v>
      </c>
      <c r="N23" s="92">
        <f t="shared" si="1"/>
        <v>0</v>
      </c>
      <c r="O23" s="84">
        <f t="shared" si="2"/>
        <v>0</v>
      </c>
      <c r="P23" s="84">
        <f t="shared" si="3"/>
        <v>0</v>
      </c>
    </row>
    <row r="24" spans="1:16" x14ac:dyDescent="0.25">
      <c r="A24" s="78"/>
      <c r="C24" s="84">
        <v>0</v>
      </c>
      <c r="D24" s="84"/>
      <c r="E24" s="84"/>
      <c r="F24" s="84">
        <f>+C24</f>
        <v>0</v>
      </c>
      <c r="G24" s="84">
        <f t="shared" si="0"/>
        <v>0</v>
      </c>
      <c r="I24" s="194">
        <v>37925</v>
      </c>
      <c r="J24" s="194">
        <v>37925</v>
      </c>
      <c r="K24" s="187">
        <v>1</v>
      </c>
      <c r="L24" s="187"/>
      <c r="M24" s="191">
        <v>4.07E-2</v>
      </c>
      <c r="N24" s="92">
        <f t="shared" si="1"/>
        <v>0</v>
      </c>
      <c r="O24" s="84">
        <f t="shared" si="2"/>
        <v>0</v>
      </c>
      <c r="P24" s="84">
        <f t="shared" si="3"/>
        <v>0</v>
      </c>
    </row>
    <row r="25" spans="1:16" x14ac:dyDescent="0.25">
      <c r="A25" s="78"/>
      <c r="B25" s="65" t="s">
        <v>121</v>
      </c>
      <c r="C25" s="84"/>
      <c r="D25" s="84"/>
      <c r="E25" s="84"/>
      <c r="F25" s="84"/>
      <c r="G25" s="84">
        <f t="shared" si="0"/>
        <v>0</v>
      </c>
      <c r="I25" s="194">
        <v>37926</v>
      </c>
      <c r="J25" s="194">
        <v>37954</v>
      </c>
      <c r="K25" s="187">
        <v>29</v>
      </c>
      <c r="L25" s="187"/>
      <c r="M25" s="191">
        <v>4.07E-2</v>
      </c>
      <c r="N25" s="92">
        <f t="shared" si="1"/>
        <v>0</v>
      </c>
      <c r="O25" s="84">
        <f t="shared" si="2"/>
        <v>0</v>
      </c>
      <c r="P25" s="84">
        <f t="shared" si="3"/>
        <v>0</v>
      </c>
    </row>
    <row r="26" spans="1:16" x14ac:dyDescent="0.25">
      <c r="A26" s="78"/>
      <c r="C26" s="84">
        <v>0</v>
      </c>
      <c r="D26" s="84"/>
      <c r="E26" s="84"/>
      <c r="F26" s="84">
        <f>+C26</f>
        <v>0</v>
      </c>
      <c r="G26" s="84">
        <f t="shared" si="0"/>
        <v>0</v>
      </c>
      <c r="I26" s="194">
        <v>37955</v>
      </c>
      <c r="J26" s="194">
        <v>37955</v>
      </c>
      <c r="K26" s="187">
        <v>1</v>
      </c>
      <c r="L26" s="187"/>
      <c r="M26" s="191">
        <v>4.07E-2</v>
      </c>
      <c r="N26" s="92">
        <f t="shared" si="1"/>
        <v>0</v>
      </c>
      <c r="O26" s="84">
        <f t="shared" si="2"/>
        <v>0</v>
      </c>
      <c r="P26" s="84">
        <f t="shared" si="3"/>
        <v>0</v>
      </c>
    </row>
    <row r="27" spans="1:16" x14ac:dyDescent="0.25">
      <c r="A27" s="78"/>
      <c r="B27" s="65" t="s">
        <v>120</v>
      </c>
      <c r="C27" s="84"/>
      <c r="D27" s="84"/>
      <c r="E27" s="84"/>
      <c r="F27" s="84"/>
      <c r="G27" s="84">
        <f t="shared" si="0"/>
        <v>0</v>
      </c>
      <c r="I27" s="194">
        <v>37956</v>
      </c>
      <c r="J27" s="194">
        <v>37985</v>
      </c>
      <c r="K27" s="187">
        <v>30</v>
      </c>
      <c r="L27" s="187"/>
      <c r="M27" s="191">
        <v>4.07E-2</v>
      </c>
      <c r="N27" s="92">
        <f t="shared" si="1"/>
        <v>0</v>
      </c>
      <c r="O27" s="84">
        <f t="shared" si="2"/>
        <v>0</v>
      </c>
      <c r="P27" s="84">
        <f t="shared" si="3"/>
        <v>0</v>
      </c>
    </row>
    <row r="28" spans="1:16" x14ac:dyDescent="0.25">
      <c r="A28" s="78"/>
      <c r="C28" s="84">
        <v>0</v>
      </c>
      <c r="D28" s="84"/>
      <c r="E28" s="84"/>
      <c r="F28" s="84">
        <f>+C28</f>
        <v>0</v>
      </c>
      <c r="G28" s="84">
        <f t="shared" si="0"/>
        <v>0</v>
      </c>
      <c r="I28" s="194">
        <v>37986</v>
      </c>
      <c r="J28" s="194">
        <v>37986</v>
      </c>
      <c r="K28" s="187">
        <v>1</v>
      </c>
      <c r="L28" s="187"/>
      <c r="M28" s="191">
        <v>4.07E-2</v>
      </c>
      <c r="N28" s="92">
        <f t="shared" si="1"/>
        <v>0</v>
      </c>
      <c r="O28" s="84">
        <f t="shared" si="2"/>
        <v>0</v>
      </c>
      <c r="P28" s="84">
        <f t="shared" si="3"/>
        <v>0</v>
      </c>
    </row>
    <row r="29" spans="1:16" x14ac:dyDescent="0.25">
      <c r="A29" s="78"/>
      <c r="B29" s="65" t="s">
        <v>131</v>
      </c>
      <c r="C29" s="84"/>
      <c r="D29" s="84"/>
      <c r="E29" s="84"/>
      <c r="F29" s="84"/>
      <c r="G29" s="84">
        <f t="shared" si="0"/>
        <v>0</v>
      </c>
      <c r="I29" s="194">
        <v>37987</v>
      </c>
      <c r="J29" s="194">
        <v>38016</v>
      </c>
      <c r="K29" s="187">
        <v>30</v>
      </c>
      <c r="L29" s="187"/>
      <c r="M29" s="191">
        <v>0.04</v>
      </c>
      <c r="N29" s="92">
        <f t="shared" si="1"/>
        <v>0</v>
      </c>
      <c r="O29" s="84">
        <f t="shared" si="2"/>
        <v>0</v>
      </c>
      <c r="P29" s="84">
        <f t="shared" si="3"/>
        <v>0</v>
      </c>
    </row>
    <row r="30" spans="1:16" x14ac:dyDescent="0.25">
      <c r="A30" s="78"/>
      <c r="C30" s="84">
        <v>0</v>
      </c>
      <c r="D30" s="84"/>
      <c r="E30" s="84"/>
      <c r="F30" s="84">
        <f>+C30</f>
        <v>0</v>
      </c>
      <c r="G30" s="84">
        <f t="shared" si="0"/>
        <v>0</v>
      </c>
      <c r="I30" s="194">
        <v>38017</v>
      </c>
      <c r="J30" s="194">
        <v>38017</v>
      </c>
      <c r="K30" s="187">
        <v>1</v>
      </c>
      <c r="L30" s="187"/>
      <c r="M30" s="191">
        <v>0.04</v>
      </c>
      <c r="N30" s="92">
        <f t="shared" si="1"/>
        <v>0</v>
      </c>
      <c r="O30" s="84">
        <f t="shared" si="2"/>
        <v>0</v>
      </c>
      <c r="P30" s="84">
        <f t="shared" si="3"/>
        <v>0</v>
      </c>
    </row>
    <row r="31" spans="1:16" x14ac:dyDescent="0.25">
      <c r="A31" s="78"/>
      <c r="B31" s="65" t="s">
        <v>130</v>
      </c>
      <c r="C31" s="84"/>
      <c r="D31" s="84"/>
      <c r="E31" s="84"/>
      <c r="F31" s="84"/>
      <c r="G31" s="84">
        <f t="shared" si="0"/>
        <v>0</v>
      </c>
      <c r="I31" s="194">
        <v>38018</v>
      </c>
      <c r="J31" s="194">
        <v>38045</v>
      </c>
      <c r="K31" s="187">
        <v>28</v>
      </c>
      <c r="L31" s="187"/>
      <c r="M31" s="191">
        <v>0.04</v>
      </c>
      <c r="N31" s="92">
        <f t="shared" si="1"/>
        <v>0</v>
      </c>
      <c r="O31" s="84">
        <f t="shared" si="2"/>
        <v>0</v>
      </c>
      <c r="P31" s="84">
        <f t="shared" si="3"/>
        <v>0</v>
      </c>
    </row>
    <row r="32" spans="1:16" x14ac:dyDescent="0.25">
      <c r="A32" s="78"/>
      <c r="C32" s="84">
        <v>2896218.4739398919</v>
      </c>
      <c r="D32" s="84"/>
      <c r="E32" s="84"/>
      <c r="F32" s="84">
        <f>+C32</f>
        <v>2896218.4739398919</v>
      </c>
      <c r="G32" s="84">
        <f t="shared" si="0"/>
        <v>2896218.4739398919</v>
      </c>
      <c r="I32" s="194">
        <v>38046</v>
      </c>
      <c r="J32" s="194">
        <v>38046</v>
      </c>
      <c r="K32" s="187">
        <v>1</v>
      </c>
      <c r="L32" s="187"/>
      <c r="M32" s="191">
        <v>0.04</v>
      </c>
      <c r="N32" s="92">
        <f t="shared" si="1"/>
        <v>317.39</v>
      </c>
      <c r="O32" s="84">
        <f t="shared" si="2"/>
        <v>317.39</v>
      </c>
      <c r="P32" s="84">
        <f t="shared" si="3"/>
        <v>317.39</v>
      </c>
    </row>
    <row r="33" spans="1:16" x14ac:dyDescent="0.25">
      <c r="A33" s="78"/>
      <c r="B33" s="65" t="s">
        <v>129</v>
      </c>
      <c r="C33" s="84"/>
      <c r="D33" s="84"/>
      <c r="E33" s="84"/>
      <c r="F33" s="84"/>
      <c r="G33" s="84">
        <f t="shared" si="0"/>
        <v>2896218.4739398919</v>
      </c>
      <c r="I33" s="194">
        <v>38047</v>
      </c>
      <c r="J33" s="194">
        <v>38076</v>
      </c>
      <c r="K33" s="187">
        <v>30</v>
      </c>
      <c r="L33" s="187"/>
      <c r="M33" s="191">
        <v>0.04</v>
      </c>
      <c r="N33" s="92">
        <f t="shared" si="1"/>
        <v>9521.81</v>
      </c>
      <c r="O33" s="84">
        <f t="shared" si="2"/>
        <v>9521.81</v>
      </c>
      <c r="P33" s="84">
        <f t="shared" si="3"/>
        <v>9839.1999999999989</v>
      </c>
    </row>
    <row r="34" spans="1:16" x14ac:dyDescent="0.25">
      <c r="A34" s="78"/>
      <c r="C34" s="84">
        <v>2054459.922957819</v>
      </c>
      <c r="D34" s="84"/>
      <c r="E34" s="84"/>
      <c r="F34" s="84">
        <f>+C34</f>
        <v>2054459.922957819</v>
      </c>
      <c r="G34" s="84">
        <f t="shared" si="0"/>
        <v>4950678.3968977109</v>
      </c>
      <c r="I34" s="194">
        <v>38077</v>
      </c>
      <c r="J34" s="194">
        <v>38077</v>
      </c>
      <c r="K34" s="187">
        <v>1</v>
      </c>
      <c r="L34" s="187"/>
      <c r="M34" s="191">
        <v>0.04</v>
      </c>
      <c r="N34" s="92">
        <f t="shared" si="1"/>
        <v>542.54</v>
      </c>
      <c r="O34" s="84">
        <f t="shared" si="2"/>
        <v>542.54</v>
      </c>
      <c r="P34" s="84">
        <f t="shared" si="3"/>
        <v>10381.739999999998</v>
      </c>
    </row>
    <row r="35" spans="1:16" x14ac:dyDescent="0.25">
      <c r="A35" s="78"/>
      <c r="B35" s="65" t="s">
        <v>128</v>
      </c>
      <c r="C35" s="84"/>
      <c r="D35" s="84"/>
      <c r="E35" s="84"/>
      <c r="F35" s="84"/>
      <c r="G35" s="84">
        <f t="shared" si="0"/>
        <v>4950678.3968977109</v>
      </c>
      <c r="I35" s="194">
        <v>38078</v>
      </c>
      <c r="J35" s="194">
        <v>38107</v>
      </c>
      <c r="K35" s="187">
        <v>30</v>
      </c>
      <c r="L35" s="187"/>
      <c r="M35" s="191">
        <v>0.04</v>
      </c>
      <c r="N35" s="92">
        <f t="shared" si="1"/>
        <v>16276.2</v>
      </c>
      <c r="O35" s="84">
        <f t="shared" si="2"/>
        <v>16276.2</v>
      </c>
      <c r="P35" s="84">
        <f t="shared" si="3"/>
        <v>26657.94</v>
      </c>
    </row>
    <row r="36" spans="1:16" x14ac:dyDescent="0.25">
      <c r="A36" s="78"/>
      <c r="C36" s="84">
        <v>1384038.611795241</v>
      </c>
      <c r="D36" s="84"/>
      <c r="E36" s="84"/>
      <c r="F36" s="84">
        <f>+C36</f>
        <v>1384038.611795241</v>
      </c>
      <c r="G36" s="84">
        <f t="shared" si="0"/>
        <v>6334717.0086929519</v>
      </c>
      <c r="I36" s="194">
        <v>38107</v>
      </c>
      <c r="J36" s="194">
        <v>38107</v>
      </c>
      <c r="K36" s="187">
        <v>1</v>
      </c>
      <c r="L36" s="187"/>
      <c r="M36" s="191">
        <v>0.04</v>
      </c>
      <c r="N36" s="92">
        <f t="shared" si="1"/>
        <v>694.22</v>
      </c>
      <c r="O36" s="84">
        <f t="shared" si="2"/>
        <v>694.22</v>
      </c>
      <c r="P36" s="84">
        <f t="shared" si="3"/>
        <v>27352.16</v>
      </c>
    </row>
    <row r="37" spans="1:16" x14ac:dyDescent="0.25">
      <c r="A37" s="78"/>
      <c r="B37" s="65" t="s">
        <v>127</v>
      </c>
      <c r="D37" s="84"/>
      <c r="E37" s="84"/>
      <c r="F37" s="84"/>
      <c r="G37" s="84">
        <f t="shared" si="0"/>
        <v>6334717.0086929519</v>
      </c>
      <c r="I37" s="194">
        <v>38108</v>
      </c>
      <c r="J37" s="194">
        <v>38138</v>
      </c>
      <c r="K37" s="187">
        <v>30</v>
      </c>
      <c r="L37" s="187"/>
      <c r="M37" s="191">
        <v>0.04</v>
      </c>
      <c r="N37" s="92">
        <f t="shared" si="1"/>
        <v>20826.47</v>
      </c>
      <c r="O37" s="84">
        <f t="shared" si="2"/>
        <v>20826.47</v>
      </c>
      <c r="P37" s="84">
        <f t="shared" si="3"/>
        <v>48178.630000000005</v>
      </c>
    </row>
    <row r="38" spans="1:16" x14ac:dyDescent="0.25">
      <c r="A38" s="78"/>
      <c r="C38" s="84">
        <v>-3053086.7957935128</v>
      </c>
      <c r="D38" s="84"/>
      <c r="E38" s="84"/>
      <c r="F38" s="84">
        <f>+C38</f>
        <v>-3053086.7957935128</v>
      </c>
      <c r="G38" s="84">
        <f t="shared" si="0"/>
        <v>3281630.212899439</v>
      </c>
      <c r="I38" s="194">
        <v>38138</v>
      </c>
      <c r="J38" s="194">
        <v>38138</v>
      </c>
      <c r="K38" s="187">
        <v>1</v>
      </c>
      <c r="L38" s="187"/>
      <c r="M38" s="191">
        <v>0.04</v>
      </c>
      <c r="N38" s="92">
        <f t="shared" si="1"/>
        <v>359.63</v>
      </c>
      <c r="O38" s="84">
        <f t="shared" si="2"/>
        <v>359.63</v>
      </c>
      <c r="P38" s="84">
        <f t="shared" si="3"/>
        <v>48538.26</v>
      </c>
    </row>
    <row r="39" spans="1:16" x14ac:dyDescent="0.25">
      <c r="A39" s="78"/>
      <c r="B39" s="65" t="s">
        <v>126</v>
      </c>
      <c r="D39" s="84"/>
      <c r="E39" s="84"/>
      <c r="F39" s="84"/>
      <c r="G39" s="84">
        <f t="shared" si="0"/>
        <v>3281630.212899439</v>
      </c>
      <c r="I39" s="194">
        <v>38139</v>
      </c>
      <c r="J39" s="194">
        <v>38168</v>
      </c>
      <c r="K39" s="187">
        <v>30</v>
      </c>
      <c r="L39" s="187"/>
      <c r="M39" s="191">
        <v>0.04</v>
      </c>
      <c r="N39" s="92">
        <f t="shared" si="1"/>
        <v>10788.92</v>
      </c>
      <c r="O39" s="84">
        <f t="shared" si="2"/>
        <v>10788.92</v>
      </c>
      <c r="P39" s="84">
        <f t="shared" si="3"/>
        <v>59327.18</v>
      </c>
    </row>
    <row r="40" spans="1:16" x14ac:dyDescent="0.25">
      <c r="A40" s="78"/>
      <c r="C40" s="84">
        <v>1494031.693027759</v>
      </c>
      <c r="D40" s="84"/>
      <c r="E40" s="84"/>
      <c r="F40" s="84">
        <f>+C40</f>
        <v>1494031.693027759</v>
      </c>
      <c r="G40" s="84">
        <f t="shared" si="0"/>
        <v>4775661.905927198</v>
      </c>
      <c r="I40" s="194">
        <v>38168</v>
      </c>
      <c r="J40" s="194">
        <v>38168</v>
      </c>
      <c r="K40" s="187">
        <v>1</v>
      </c>
      <c r="L40" s="187"/>
      <c r="M40" s="191">
        <v>0.04</v>
      </c>
      <c r="N40" s="92">
        <f t="shared" si="1"/>
        <v>523.36</v>
      </c>
      <c r="O40" s="84">
        <f t="shared" si="2"/>
        <v>523.36</v>
      </c>
      <c r="P40" s="84">
        <f t="shared" si="3"/>
        <v>59850.54</v>
      </c>
    </row>
    <row r="41" spans="1:16" x14ac:dyDescent="0.25">
      <c r="A41" s="65" t="s">
        <v>194</v>
      </c>
      <c r="B41" s="65" t="s">
        <v>125</v>
      </c>
      <c r="C41" s="84"/>
      <c r="D41" s="84"/>
      <c r="E41" s="84"/>
      <c r="F41" s="84"/>
      <c r="G41" s="84">
        <f>+G40</f>
        <v>4775661.905927198</v>
      </c>
      <c r="I41" s="194">
        <v>38169</v>
      </c>
      <c r="J41" s="194">
        <f>+I42-1</f>
        <v>38198</v>
      </c>
      <c r="K41" s="187">
        <f t="shared" ref="K41:K58" si="4">+IF(+J41="","",+J41-(I41-1))</f>
        <v>30</v>
      </c>
      <c r="L41" s="187"/>
      <c r="M41" s="191">
        <v>4.2500000000000003E-2</v>
      </c>
      <c r="N41" s="92">
        <f t="shared" si="1"/>
        <v>16682.11</v>
      </c>
      <c r="O41" s="84">
        <f t="shared" si="2"/>
        <v>16682.11</v>
      </c>
      <c r="P41" s="84">
        <f t="shared" si="3"/>
        <v>76532.649999999994</v>
      </c>
    </row>
    <row r="42" spans="1:16" x14ac:dyDescent="0.25">
      <c r="C42" s="84">
        <v>0</v>
      </c>
      <c r="D42" s="84"/>
      <c r="E42" s="84"/>
      <c r="F42" s="84">
        <v>0</v>
      </c>
      <c r="G42" s="84">
        <f t="shared" ref="G42:G105" si="5">+G41+F42</f>
        <v>4775661.905927198</v>
      </c>
      <c r="I42" s="194">
        <v>38199</v>
      </c>
      <c r="J42" s="194">
        <f t="shared" ref="J42:J63" si="6">IF(I42=I43,"",+I43-1)</f>
        <v>38199</v>
      </c>
      <c r="K42" s="187">
        <f t="shared" si="4"/>
        <v>1</v>
      </c>
      <c r="L42" s="187"/>
      <c r="M42" s="191">
        <v>4.2500000000000003E-2</v>
      </c>
      <c r="N42" s="92">
        <f t="shared" si="1"/>
        <v>556.07000000000005</v>
      </c>
      <c r="O42" s="84">
        <f t="shared" ref="O42:O64" si="7">IF(MONTH(+I42)&lt;&gt;MONTH(+I41),N42,+O41+N42)</f>
        <v>17238.18</v>
      </c>
      <c r="P42" s="84">
        <f t="shared" si="3"/>
        <v>77088.72</v>
      </c>
    </row>
    <row r="43" spans="1:16" x14ac:dyDescent="0.25">
      <c r="A43" s="78" t="s">
        <v>192</v>
      </c>
      <c r="B43" s="65" t="s">
        <v>124</v>
      </c>
      <c r="C43" s="84"/>
      <c r="D43" s="84"/>
      <c r="E43" s="84"/>
      <c r="F43" s="84"/>
      <c r="G43" s="84">
        <f t="shared" si="5"/>
        <v>4775661.905927198</v>
      </c>
      <c r="I43" s="194">
        <v>38200</v>
      </c>
      <c r="J43" s="194">
        <f t="shared" si="6"/>
        <v>38229</v>
      </c>
      <c r="K43" s="187">
        <f t="shared" si="4"/>
        <v>30</v>
      </c>
      <c r="L43" s="187"/>
      <c r="M43" s="191">
        <v>0.04</v>
      </c>
      <c r="N43" s="92">
        <f>+IF(+K43&lt;&gt;" ", ROUND(M43*(K43/365)*G43,2),0)-437.54</f>
        <v>15263.269999999999</v>
      </c>
      <c r="O43" s="84">
        <f t="shared" si="7"/>
        <v>15263.269999999999</v>
      </c>
      <c r="P43" s="84">
        <f t="shared" ref="P43:P64" si="8">P42+N43</f>
        <v>92351.99</v>
      </c>
    </row>
    <row r="44" spans="1:16" x14ac:dyDescent="0.25">
      <c r="A44" s="78"/>
      <c r="C44" s="84">
        <v>0</v>
      </c>
      <c r="D44" s="84"/>
      <c r="E44" s="84"/>
      <c r="F44" s="84">
        <f>+F42+C44+D44+E44</f>
        <v>0</v>
      </c>
      <c r="G44" s="84">
        <f t="shared" si="5"/>
        <v>4775661.905927198</v>
      </c>
      <c r="I44" s="194">
        <v>38230</v>
      </c>
      <c r="J44" s="194">
        <f t="shared" si="6"/>
        <v>38230</v>
      </c>
      <c r="K44" s="187">
        <f t="shared" si="4"/>
        <v>1</v>
      </c>
      <c r="L44" s="187"/>
      <c r="M44" s="191">
        <v>0.04</v>
      </c>
      <c r="N44" s="92">
        <f>+IF(+K44&lt;&gt;" ", ROUND(M44*(K44/365)*G44,2),0)-14.59</f>
        <v>508.77000000000004</v>
      </c>
      <c r="O44" s="84">
        <f t="shared" si="7"/>
        <v>15772.039999999999</v>
      </c>
      <c r="P44" s="84">
        <f t="shared" si="8"/>
        <v>92860.760000000009</v>
      </c>
    </row>
    <row r="45" spans="1:16" x14ac:dyDescent="0.25">
      <c r="A45" s="78"/>
      <c r="B45" s="65" t="s">
        <v>123</v>
      </c>
      <c r="C45" s="84"/>
      <c r="D45" s="84"/>
      <c r="E45" s="84"/>
      <c r="F45" s="84"/>
      <c r="G45" s="84">
        <f t="shared" si="5"/>
        <v>4775661.905927198</v>
      </c>
      <c r="I45" s="194">
        <v>38231</v>
      </c>
      <c r="J45" s="194">
        <f t="shared" si="6"/>
        <v>38259</v>
      </c>
      <c r="K45" s="187">
        <f t="shared" si="4"/>
        <v>29</v>
      </c>
      <c r="L45" s="187"/>
      <c r="M45" s="191">
        <v>0.04</v>
      </c>
      <c r="N45" s="92">
        <f t="shared" ref="N45:N66" si="9">+IF(+K45&lt;&gt;" ", ROUND(M45*(K45/365)*G45,2),0)</f>
        <v>15177.45</v>
      </c>
      <c r="O45" s="84">
        <f t="shared" si="7"/>
        <v>15177.45</v>
      </c>
      <c r="P45" s="84">
        <f t="shared" si="8"/>
        <v>108038.21</v>
      </c>
    </row>
    <row r="46" spans="1:16" x14ac:dyDescent="0.25">
      <c r="A46" s="78"/>
      <c r="C46" s="84">
        <v>0</v>
      </c>
      <c r="D46" s="84"/>
      <c r="E46" s="84"/>
      <c r="F46" s="84"/>
      <c r="G46" s="84">
        <f t="shared" si="5"/>
        <v>4775661.905927198</v>
      </c>
      <c r="I46" s="194">
        <v>38260</v>
      </c>
      <c r="J46" s="194">
        <f t="shared" si="6"/>
        <v>38260</v>
      </c>
      <c r="K46" s="187">
        <f t="shared" si="4"/>
        <v>1</v>
      </c>
      <c r="L46" s="187"/>
      <c r="M46" s="191">
        <v>0.04</v>
      </c>
      <c r="N46" s="92">
        <f t="shared" si="9"/>
        <v>523.36</v>
      </c>
      <c r="O46" s="84">
        <f t="shared" si="7"/>
        <v>15700.810000000001</v>
      </c>
      <c r="P46" s="84">
        <f t="shared" si="8"/>
        <v>108561.57</v>
      </c>
    </row>
    <row r="47" spans="1:16" x14ac:dyDescent="0.25">
      <c r="A47" s="78"/>
      <c r="B47" s="65" t="s">
        <v>122</v>
      </c>
      <c r="C47" s="84"/>
      <c r="D47" s="84"/>
      <c r="E47" s="84"/>
      <c r="F47" s="84"/>
      <c r="G47" s="84">
        <f t="shared" si="5"/>
        <v>4775661.905927198</v>
      </c>
      <c r="I47" s="194">
        <v>38261</v>
      </c>
      <c r="J47" s="194">
        <f t="shared" si="6"/>
        <v>38290</v>
      </c>
      <c r="K47" s="187">
        <f t="shared" si="4"/>
        <v>30</v>
      </c>
      <c r="L47" s="187"/>
      <c r="M47" s="191">
        <v>4.2200000000000001E-2</v>
      </c>
      <c r="N47" s="92">
        <f t="shared" si="9"/>
        <v>16564.349999999999</v>
      </c>
      <c r="O47" s="84">
        <f t="shared" si="7"/>
        <v>16564.349999999999</v>
      </c>
      <c r="P47" s="84">
        <f t="shared" si="8"/>
        <v>125125.92000000001</v>
      </c>
    </row>
    <row r="48" spans="1:16" x14ac:dyDescent="0.25">
      <c r="A48" s="78"/>
      <c r="C48" s="84">
        <v>0</v>
      </c>
      <c r="D48" s="84"/>
      <c r="E48" s="84"/>
      <c r="F48" s="84"/>
      <c r="G48" s="84">
        <f t="shared" si="5"/>
        <v>4775661.905927198</v>
      </c>
      <c r="I48" s="194">
        <v>38291</v>
      </c>
      <c r="J48" s="194">
        <f t="shared" si="6"/>
        <v>38291</v>
      </c>
      <c r="K48" s="187">
        <f t="shared" si="4"/>
        <v>1</v>
      </c>
      <c r="L48" s="187"/>
      <c r="M48" s="191">
        <v>4.2200000000000001E-2</v>
      </c>
      <c r="N48" s="92">
        <f t="shared" si="9"/>
        <v>552.15</v>
      </c>
      <c r="O48" s="84">
        <f t="shared" si="7"/>
        <v>17116.5</v>
      </c>
      <c r="P48" s="84">
        <f t="shared" si="8"/>
        <v>125678.07</v>
      </c>
    </row>
    <row r="49" spans="1:16" x14ac:dyDescent="0.25">
      <c r="A49" s="78"/>
      <c r="B49" s="65" t="s">
        <v>121</v>
      </c>
      <c r="C49" s="84"/>
      <c r="D49" s="84"/>
      <c r="E49" s="84"/>
      <c r="F49" s="84"/>
      <c r="G49" s="84">
        <f t="shared" si="5"/>
        <v>4775661.905927198</v>
      </c>
      <c r="I49" s="194">
        <v>38292</v>
      </c>
      <c r="J49" s="194">
        <f t="shared" si="6"/>
        <v>38320</v>
      </c>
      <c r="K49" s="187">
        <f t="shared" si="4"/>
        <v>29</v>
      </c>
      <c r="L49" s="187"/>
      <c r="M49" s="191">
        <v>4.2200000000000001E-2</v>
      </c>
      <c r="N49" s="92">
        <f t="shared" si="9"/>
        <v>16012.21</v>
      </c>
      <c r="O49" s="84">
        <f t="shared" si="7"/>
        <v>16012.21</v>
      </c>
      <c r="P49" s="84">
        <f t="shared" si="8"/>
        <v>141690.28</v>
      </c>
    </row>
    <row r="50" spans="1:16" x14ac:dyDescent="0.25">
      <c r="A50" s="78"/>
      <c r="C50" s="84">
        <v>0</v>
      </c>
      <c r="D50" s="84"/>
      <c r="E50" s="84"/>
      <c r="F50" s="84"/>
      <c r="G50" s="84">
        <f t="shared" si="5"/>
        <v>4775661.905927198</v>
      </c>
      <c r="I50" s="194">
        <v>38321</v>
      </c>
      <c r="J50" s="194">
        <f t="shared" si="6"/>
        <v>38321</v>
      </c>
      <c r="K50" s="187">
        <f t="shared" si="4"/>
        <v>1</v>
      </c>
      <c r="L50" s="187"/>
      <c r="M50" s="191">
        <v>4.2200000000000001E-2</v>
      </c>
      <c r="N50" s="92">
        <f t="shared" si="9"/>
        <v>552.15</v>
      </c>
      <c r="O50" s="84">
        <f t="shared" si="7"/>
        <v>16564.36</v>
      </c>
      <c r="P50" s="84">
        <f t="shared" si="8"/>
        <v>142242.43</v>
      </c>
    </row>
    <row r="51" spans="1:16" x14ac:dyDescent="0.25">
      <c r="A51" s="78"/>
      <c r="B51" s="65" t="s">
        <v>120</v>
      </c>
      <c r="C51" s="84"/>
      <c r="D51" s="84"/>
      <c r="E51" s="84"/>
      <c r="F51" s="84"/>
      <c r="G51" s="84">
        <f t="shared" si="5"/>
        <v>4775661.905927198</v>
      </c>
      <c r="I51" s="194">
        <v>38322</v>
      </c>
      <c r="J51" s="194">
        <f t="shared" si="6"/>
        <v>38351</v>
      </c>
      <c r="K51" s="187">
        <f t="shared" si="4"/>
        <v>30</v>
      </c>
      <c r="L51" s="187"/>
      <c r="M51" s="191">
        <v>4.2200000000000001E-2</v>
      </c>
      <c r="N51" s="92">
        <f t="shared" si="9"/>
        <v>16564.349999999999</v>
      </c>
      <c r="O51" s="84">
        <f t="shared" si="7"/>
        <v>16564.349999999999</v>
      </c>
      <c r="P51" s="84">
        <f t="shared" si="8"/>
        <v>158806.78</v>
      </c>
    </row>
    <row r="52" spans="1:16" x14ac:dyDescent="0.25">
      <c r="A52" s="78"/>
      <c r="C52" s="84">
        <v>0</v>
      </c>
      <c r="D52" s="84"/>
      <c r="E52" s="84"/>
      <c r="F52" s="84">
        <f>+C52</f>
        <v>0</v>
      </c>
      <c r="G52" s="84">
        <f t="shared" si="5"/>
        <v>4775661.905927198</v>
      </c>
      <c r="I52" s="194">
        <v>38352</v>
      </c>
      <c r="J52" s="194">
        <f t="shared" si="6"/>
        <v>38352</v>
      </c>
      <c r="K52" s="187">
        <f t="shared" si="4"/>
        <v>1</v>
      </c>
      <c r="L52" s="187"/>
      <c r="M52" s="191">
        <v>4.2200000000000001E-2</v>
      </c>
      <c r="N52" s="92">
        <f t="shared" si="9"/>
        <v>552.15</v>
      </c>
      <c r="O52" s="84">
        <f t="shared" si="7"/>
        <v>17116.5</v>
      </c>
      <c r="P52" s="84">
        <f t="shared" si="8"/>
        <v>159358.93</v>
      </c>
    </row>
    <row r="53" spans="1:16" x14ac:dyDescent="0.25">
      <c r="A53" s="78"/>
      <c r="B53" s="65" t="s">
        <v>131</v>
      </c>
      <c r="C53" s="84"/>
      <c r="D53" s="84"/>
      <c r="E53" s="84"/>
      <c r="F53" s="84"/>
      <c r="G53" s="84">
        <f t="shared" si="5"/>
        <v>4775661.905927198</v>
      </c>
      <c r="I53" s="194">
        <v>38353</v>
      </c>
      <c r="J53" s="194">
        <f t="shared" si="6"/>
        <v>38382</v>
      </c>
      <c r="K53" s="187">
        <f t="shared" si="4"/>
        <v>30</v>
      </c>
      <c r="L53" s="187"/>
      <c r="M53" s="191">
        <v>4.7500000000000001E-2</v>
      </c>
      <c r="N53" s="92">
        <f t="shared" si="9"/>
        <v>18644.71</v>
      </c>
      <c r="O53" s="84">
        <f t="shared" si="7"/>
        <v>18644.71</v>
      </c>
      <c r="P53" s="84">
        <f t="shared" si="8"/>
        <v>178003.63999999998</v>
      </c>
    </row>
    <row r="54" spans="1:16" x14ac:dyDescent="0.25">
      <c r="A54" s="78"/>
      <c r="C54" s="84">
        <v>219640.65749740321</v>
      </c>
      <c r="D54" s="84"/>
      <c r="E54" s="84"/>
      <c r="F54" s="84">
        <f>+C54</f>
        <v>219640.65749740321</v>
      </c>
      <c r="G54" s="84">
        <f t="shared" si="5"/>
        <v>4995302.5634246012</v>
      </c>
      <c r="I54" s="194">
        <v>38383</v>
      </c>
      <c r="J54" s="194">
        <f t="shared" si="6"/>
        <v>38383</v>
      </c>
      <c r="K54" s="187">
        <f t="shared" si="4"/>
        <v>1</v>
      </c>
      <c r="L54" s="187"/>
      <c r="M54" s="191">
        <v>4.7500000000000001E-2</v>
      </c>
      <c r="N54" s="92">
        <f t="shared" si="9"/>
        <v>650.07000000000005</v>
      </c>
      <c r="O54" s="84">
        <f t="shared" si="7"/>
        <v>19294.78</v>
      </c>
      <c r="P54" s="84">
        <f t="shared" si="8"/>
        <v>178653.71</v>
      </c>
    </row>
    <row r="55" spans="1:16" x14ac:dyDescent="0.25">
      <c r="A55" s="78"/>
      <c r="B55" s="65" t="s">
        <v>130</v>
      </c>
      <c r="C55" s="84"/>
      <c r="D55" s="84"/>
      <c r="E55" s="84"/>
      <c r="F55" s="84"/>
      <c r="G55" s="84">
        <f t="shared" si="5"/>
        <v>4995302.5634246012</v>
      </c>
      <c r="I55" s="194">
        <v>38384</v>
      </c>
      <c r="J55" s="194">
        <f t="shared" si="6"/>
        <v>38410</v>
      </c>
      <c r="K55" s="187">
        <f t="shared" si="4"/>
        <v>27</v>
      </c>
      <c r="L55" s="187"/>
      <c r="M55" s="191">
        <v>4.7500000000000001E-2</v>
      </c>
      <c r="N55" s="92">
        <f t="shared" si="9"/>
        <v>17551.990000000002</v>
      </c>
      <c r="O55" s="84">
        <f t="shared" si="7"/>
        <v>17551.990000000002</v>
      </c>
      <c r="P55" s="84">
        <f t="shared" si="8"/>
        <v>196205.69999999998</v>
      </c>
    </row>
    <row r="56" spans="1:16" x14ac:dyDescent="0.25">
      <c r="A56" s="78"/>
      <c r="C56" s="84">
        <v>5073090.4930073181</v>
      </c>
      <c r="D56" s="84"/>
      <c r="E56" s="84"/>
      <c r="F56" s="84">
        <f>+C56</f>
        <v>5073090.4930073181</v>
      </c>
      <c r="G56" s="84">
        <f t="shared" si="5"/>
        <v>10068393.056431919</v>
      </c>
      <c r="I56" s="195">
        <v>38411</v>
      </c>
      <c r="J56" s="194">
        <f t="shared" si="6"/>
        <v>38411</v>
      </c>
      <c r="K56" s="187">
        <f t="shared" si="4"/>
        <v>1</v>
      </c>
      <c r="L56" s="187"/>
      <c r="M56" s="191">
        <v>4.7500000000000001E-2</v>
      </c>
      <c r="N56" s="92">
        <f t="shared" si="9"/>
        <v>1310.27</v>
      </c>
      <c r="O56" s="84">
        <f t="shared" si="7"/>
        <v>18862.260000000002</v>
      </c>
      <c r="P56" s="84">
        <f t="shared" si="8"/>
        <v>197515.96999999997</v>
      </c>
    </row>
    <row r="57" spans="1:16" x14ac:dyDescent="0.25">
      <c r="A57" s="78"/>
      <c r="B57" s="65" t="s">
        <v>129</v>
      </c>
      <c r="C57" s="84"/>
      <c r="D57" s="84"/>
      <c r="E57" s="84"/>
      <c r="F57" s="84"/>
      <c r="G57" s="84">
        <f t="shared" si="5"/>
        <v>10068393.056431919</v>
      </c>
      <c r="I57" s="194">
        <v>38412</v>
      </c>
      <c r="J57" s="194">
        <f t="shared" si="6"/>
        <v>38441</v>
      </c>
      <c r="K57" s="187">
        <f t="shared" si="4"/>
        <v>30</v>
      </c>
      <c r="L57" s="187"/>
      <c r="M57" s="191">
        <v>4.7500000000000001E-2</v>
      </c>
      <c r="N57" s="92">
        <f t="shared" si="9"/>
        <v>39308.11</v>
      </c>
      <c r="O57" s="84">
        <f t="shared" si="7"/>
        <v>39308.11</v>
      </c>
      <c r="P57" s="84">
        <f t="shared" si="8"/>
        <v>236824.07999999996</v>
      </c>
    </row>
    <row r="58" spans="1:16" x14ac:dyDescent="0.25">
      <c r="A58" s="78"/>
      <c r="C58" s="84">
        <v>3017976.5229971185</v>
      </c>
      <c r="D58" s="84"/>
      <c r="E58" s="84"/>
      <c r="F58" s="84">
        <f>+C58</f>
        <v>3017976.5229971185</v>
      </c>
      <c r="G58" s="84">
        <f t="shared" si="5"/>
        <v>13086369.579429038</v>
      </c>
      <c r="I58" s="194">
        <v>38442</v>
      </c>
      <c r="J58" s="194">
        <f t="shared" si="6"/>
        <v>38442</v>
      </c>
      <c r="K58" s="187">
        <f t="shared" si="4"/>
        <v>1</v>
      </c>
      <c r="L58" s="187"/>
      <c r="M58" s="191">
        <v>4.7500000000000001E-2</v>
      </c>
      <c r="N58" s="92">
        <f t="shared" si="9"/>
        <v>1703.02</v>
      </c>
      <c r="O58" s="84">
        <f t="shared" si="7"/>
        <v>41011.129999999997</v>
      </c>
      <c r="P58" s="84">
        <f t="shared" si="8"/>
        <v>238527.09999999995</v>
      </c>
    </row>
    <row r="59" spans="1:16" x14ac:dyDescent="0.25">
      <c r="A59" s="78"/>
      <c r="B59" s="65" t="s">
        <v>128</v>
      </c>
      <c r="C59" s="84"/>
      <c r="D59" s="84"/>
      <c r="E59" s="84"/>
      <c r="F59" s="84"/>
      <c r="G59" s="84">
        <f t="shared" si="5"/>
        <v>13086369.579429038</v>
      </c>
      <c r="I59" s="194">
        <v>38443</v>
      </c>
      <c r="J59" s="194">
        <f t="shared" si="6"/>
        <v>38471</v>
      </c>
      <c r="K59" s="187">
        <v>30</v>
      </c>
      <c r="L59" s="187"/>
      <c r="M59" s="191">
        <v>5.2999999999999999E-2</v>
      </c>
      <c r="N59" s="92">
        <f t="shared" si="9"/>
        <v>57006.38</v>
      </c>
      <c r="O59" s="84">
        <f t="shared" si="7"/>
        <v>57006.38</v>
      </c>
      <c r="P59" s="84">
        <f t="shared" si="8"/>
        <v>295533.47999999992</v>
      </c>
    </row>
    <row r="60" spans="1:16" x14ac:dyDescent="0.25">
      <c r="A60" s="78"/>
      <c r="C60" s="84">
        <v>529756.43968590908</v>
      </c>
      <c r="D60" s="84"/>
      <c r="E60" s="84"/>
      <c r="F60" s="84">
        <f>+C60</f>
        <v>529756.43968590908</v>
      </c>
      <c r="G60" s="84">
        <f t="shared" si="5"/>
        <v>13616126.019114947</v>
      </c>
      <c r="I60" s="194">
        <v>38472</v>
      </c>
      <c r="J60" s="194">
        <f t="shared" si="6"/>
        <v>38472</v>
      </c>
      <c r="K60" s="187">
        <f t="shared" ref="K60:K82" si="10">+IF(+J60="","",+J60-(I60-1))</f>
        <v>1</v>
      </c>
      <c r="L60" s="187"/>
      <c r="M60" s="191">
        <v>5.2999999999999999E-2</v>
      </c>
      <c r="N60" s="92">
        <f t="shared" si="9"/>
        <v>1977.14</v>
      </c>
      <c r="O60" s="84">
        <f t="shared" si="7"/>
        <v>58983.519999999997</v>
      </c>
      <c r="P60" s="84">
        <f t="shared" si="8"/>
        <v>297510.61999999994</v>
      </c>
    </row>
    <row r="61" spans="1:16" x14ac:dyDescent="0.25">
      <c r="A61" s="78"/>
      <c r="B61" s="65" t="s">
        <v>127</v>
      </c>
      <c r="D61" s="84"/>
      <c r="E61" s="84"/>
      <c r="F61" s="84"/>
      <c r="G61" s="84">
        <f t="shared" si="5"/>
        <v>13616126.019114947</v>
      </c>
      <c r="I61" s="194">
        <v>38473</v>
      </c>
      <c r="J61" s="194">
        <f t="shared" si="6"/>
        <v>38502</v>
      </c>
      <c r="K61" s="187">
        <f t="shared" si="10"/>
        <v>30</v>
      </c>
      <c r="L61" s="187"/>
      <c r="M61" s="191">
        <v>5.2999999999999999E-2</v>
      </c>
      <c r="N61" s="92">
        <f t="shared" si="9"/>
        <v>59314.080000000002</v>
      </c>
      <c r="O61" s="84">
        <f t="shared" si="7"/>
        <v>59314.080000000002</v>
      </c>
      <c r="P61" s="84">
        <f t="shared" si="8"/>
        <v>356824.69999999995</v>
      </c>
    </row>
    <row r="62" spans="1:16" x14ac:dyDescent="0.25">
      <c r="A62" s="78"/>
      <c r="C62" s="84">
        <v>-8840464.1131877489</v>
      </c>
      <c r="D62" s="84"/>
      <c r="E62" s="84"/>
      <c r="F62" s="84">
        <f>+C62</f>
        <v>-8840464.1131877489</v>
      </c>
      <c r="G62" s="84">
        <f t="shared" si="5"/>
        <v>4775661.905927198</v>
      </c>
      <c r="I62" s="194">
        <v>38503</v>
      </c>
      <c r="J62" s="194">
        <f t="shared" si="6"/>
        <v>38503</v>
      </c>
      <c r="K62" s="187">
        <f t="shared" si="10"/>
        <v>1</v>
      </c>
      <c r="L62" s="187"/>
      <c r="M62" s="191">
        <v>5.2999999999999999E-2</v>
      </c>
      <c r="N62" s="92">
        <f t="shared" si="9"/>
        <v>693.45</v>
      </c>
      <c r="O62" s="84">
        <f t="shared" si="7"/>
        <v>60007.53</v>
      </c>
      <c r="P62" s="84">
        <f t="shared" si="8"/>
        <v>357518.14999999997</v>
      </c>
    </row>
    <row r="63" spans="1:16" x14ac:dyDescent="0.25">
      <c r="A63" s="78"/>
      <c r="B63" s="65" t="s">
        <v>126</v>
      </c>
      <c r="D63" s="84"/>
      <c r="E63" s="84"/>
      <c r="F63" s="84"/>
      <c r="G63" s="84">
        <f t="shared" si="5"/>
        <v>4775661.905927198</v>
      </c>
      <c r="I63" s="194">
        <v>38504</v>
      </c>
      <c r="J63" s="194">
        <f t="shared" si="6"/>
        <v>38532</v>
      </c>
      <c r="K63" s="187">
        <f t="shared" si="10"/>
        <v>29</v>
      </c>
      <c r="L63" s="187"/>
      <c r="M63" s="191">
        <v>5.2999999999999999E-2</v>
      </c>
      <c r="N63" s="92">
        <f t="shared" si="9"/>
        <v>20110.12</v>
      </c>
      <c r="O63" s="84">
        <f t="shared" si="7"/>
        <v>20110.12</v>
      </c>
      <c r="P63" s="84">
        <f t="shared" si="8"/>
        <v>377628.26999999996</v>
      </c>
    </row>
    <row r="64" spans="1:16" x14ac:dyDescent="0.25">
      <c r="A64" s="78"/>
      <c r="C64" s="84">
        <v>0</v>
      </c>
      <c r="D64" s="84"/>
      <c r="E64" s="84"/>
      <c r="F64" s="84">
        <f>+C64</f>
        <v>0</v>
      </c>
      <c r="G64" s="84">
        <f t="shared" si="5"/>
        <v>4775661.905927198</v>
      </c>
      <c r="I64" s="194">
        <v>38533</v>
      </c>
      <c r="J64" s="194">
        <v>38533</v>
      </c>
      <c r="K64" s="187">
        <f t="shared" si="10"/>
        <v>1</v>
      </c>
      <c r="L64" s="187"/>
      <c r="M64" s="191">
        <v>5.2999999999999999E-2</v>
      </c>
      <c r="N64" s="92">
        <f t="shared" si="9"/>
        <v>693.45</v>
      </c>
      <c r="O64" s="84">
        <f t="shared" si="7"/>
        <v>20803.57</v>
      </c>
      <c r="P64" s="84">
        <f t="shared" si="8"/>
        <v>378321.72</v>
      </c>
    </row>
    <row r="65" spans="1:16" x14ac:dyDescent="0.25">
      <c r="A65" s="65" t="s">
        <v>193</v>
      </c>
      <c r="B65" s="65" t="s">
        <v>125</v>
      </c>
      <c r="C65" s="84"/>
      <c r="D65" s="84"/>
      <c r="E65" s="84"/>
      <c r="F65" s="84"/>
      <c r="G65" s="84">
        <f t="shared" si="5"/>
        <v>4775661.905927198</v>
      </c>
      <c r="I65" s="194">
        <v>38534</v>
      </c>
      <c r="J65" s="194">
        <f>+I66-1</f>
        <v>38563</v>
      </c>
      <c r="K65" s="187">
        <f t="shared" si="10"/>
        <v>30</v>
      </c>
      <c r="L65" s="187"/>
      <c r="M65" s="191">
        <v>5.7700000000000001E-2</v>
      </c>
      <c r="N65" s="92">
        <f t="shared" si="9"/>
        <v>22648.41</v>
      </c>
      <c r="O65" s="84">
        <f>+N65</f>
        <v>22648.41</v>
      </c>
      <c r="P65" s="84">
        <f>+P64+N65</f>
        <v>400970.12999999995</v>
      </c>
    </row>
    <row r="66" spans="1:16" x14ac:dyDescent="0.25">
      <c r="C66" s="84">
        <v>0</v>
      </c>
      <c r="D66" s="84"/>
      <c r="E66" s="84"/>
      <c r="F66" s="84">
        <v>0</v>
      </c>
      <c r="G66" s="84">
        <f t="shared" si="5"/>
        <v>4775661.905927198</v>
      </c>
      <c r="I66" s="194">
        <v>38564</v>
      </c>
      <c r="J66" s="194">
        <f t="shared" ref="J66:J87" si="11">IF(I66=I67,"",+I67-1)</f>
        <v>38564</v>
      </c>
      <c r="K66" s="187">
        <f t="shared" si="10"/>
        <v>1</v>
      </c>
      <c r="L66" s="187"/>
      <c r="M66" s="191">
        <v>5.7700000000000001E-2</v>
      </c>
      <c r="N66" s="92">
        <f t="shared" si="9"/>
        <v>754.95</v>
      </c>
      <c r="O66" s="84">
        <f t="shared" ref="O66:O88" si="12">IF(MONTH(+I66)&lt;&gt;MONTH(+I65),N66,+O65+N66)</f>
        <v>23403.360000000001</v>
      </c>
      <c r="P66" s="84">
        <f>+P65+N66</f>
        <v>401725.07999999996</v>
      </c>
    </row>
    <row r="67" spans="1:16" x14ac:dyDescent="0.25">
      <c r="A67" s="78" t="s">
        <v>192</v>
      </c>
      <c r="B67" s="65" t="s">
        <v>124</v>
      </c>
      <c r="C67" s="84"/>
      <c r="D67" s="84"/>
      <c r="E67" s="84"/>
      <c r="F67" s="84"/>
      <c r="G67" s="84">
        <f t="shared" si="5"/>
        <v>4775661.905927198</v>
      </c>
      <c r="I67" s="194">
        <v>38565</v>
      </c>
      <c r="J67" s="194">
        <f t="shared" si="11"/>
        <v>38594</v>
      </c>
      <c r="K67" s="187">
        <f t="shared" si="10"/>
        <v>30</v>
      </c>
      <c r="L67" s="187"/>
      <c r="M67" s="191">
        <v>5.7700000000000001E-2</v>
      </c>
      <c r="N67" s="92">
        <f>+IF(+K67&lt;&gt;" ", ROUND(M67*(K67/365)*G67,2),0)-437.54</f>
        <v>22210.87</v>
      </c>
      <c r="O67" s="84">
        <f t="shared" si="12"/>
        <v>22210.87</v>
      </c>
      <c r="P67" s="84">
        <f t="shared" ref="P67:P88" si="13">P66+N67</f>
        <v>423935.94999999995</v>
      </c>
    </row>
    <row r="68" spans="1:16" x14ac:dyDescent="0.25">
      <c r="A68" s="78"/>
      <c r="C68" s="84">
        <v>0</v>
      </c>
      <c r="D68" s="84"/>
      <c r="E68" s="84"/>
      <c r="F68" s="84">
        <f>+F66+C68+D68+E68</f>
        <v>0</v>
      </c>
      <c r="G68" s="84">
        <f t="shared" si="5"/>
        <v>4775661.905927198</v>
      </c>
      <c r="I68" s="194">
        <v>38595</v>
      </c>
      <c r="J68" s="194">
        <f t="shared" si="11"/>
        <v>38595</v>
      </c>
      <c r="K68" s="187">
        <f t="shared" si="10"/>
        <v>1</v>
      </c>
      <c r="L68" s="187"/>
      <c r="M68" s="191">
        <v>5.7700000000000001E-2</v>
      </c>
      <c r="N68" s="92">
        <f>+IF(+K68&lt;&gt;" ", ROUND(M68*(K68/365)*G68,2),0)-14.59</f>
        <v>740.36</v>
      </c>
      <c r="O68" s="84">
        <f t="shared" si="12"/>
        <v>22951.23</v>
      </c>
      <c r="P68" s="84">
        <f t="shared" si="13"/>
        <v>424676.30999999994</v>
      </c>
    </row>
    <row r="69" spans="1:16" x14ac:dyDescent="0.25">
      <c r="A69" s="78"/>
      <c r="B69" s="65" t="s">
        <v>123</v>
      </c>
      <c r="C69" s="84"/>
      <c r="D69" s="84"/>
      <c r="E69" s="84"/>
      <c r="F69" s="84"/>
      <c r="G69" s="84">
        <f t="shared" si="5"/>
        <v>4775661.905927198</v>
      </c>
      <c r="I69" s="194">
        <v>38596</v>
      </c>
      <c r="J69" s="194">
        <f t="shared" si="11"/>
        <v>38624</v>
      </c>
      <c r="K69" s="187">
        <f t="shared" si="10"/>
        <v>29</v>
      </c>
      <c r="L69" s="187"/>
      <c r="M69" s="191">
        <v>5.7700000000000001E-2</v>
      </c>
      <c r="N69" s="92">
        <f t="shared" ref="N69:N84" si="14">+IF(+K69&lt;&gt;" ", ROUND(M69*(K69/365)*G69,2),0)</f>
        <v>21893.47</v>
      </c>
      <c r="O69" s="84">
        <f t="shared" si="12"/>
        <v>21893.47</v>
      </c>
      <c r="P69" s="84">
        <f t="shared" si="13"/>
        <v>446569.77999999991</v>
      </c>
    </row>
    <row r="70" spans="1:16" x14ac:dyDescent="0.25">
      <c r="A70" s="78"/>
      <c r="C70" s="84">
        <v>0</v>
      </c>
      <c r="D70" s="84"/>
      <c r="E70" s="84"/>
      <c r="F70" s="84">
        <f>+F68+C70+D70+E70</f>
        <v>0</v>
      </c>
      <c r="G70" s="84">
        <f t="shared" si="5"/>
        <v>4775661.905927198</v>
      </c>
      <c r="I70" s="194">
        <v>38625</v>
      </c>
      <c r="J70" s="194">
        <f t="shared" si="11"/>
        <v>38625</v>
      </c>
      <c r="K70" s="187">
        <f t="shared" si="10"/>
        <v>1</v>
      </c>
      <c r="L70" s="187"/>
      <c r="M70" s="191">
        <v>5.7700000000000001E-2</v>
      </c>
      <c r="N70" s="92">
        <f t="shared" si="14"/>
        <v>754.95</v>
      </c>
      <c r="O70" s="84">
        <f t="shared" si="12"/>
        <v>22648.420000000002</v>
      </c>
      <c r="P70" s="84">
        <f t="shared" si="13"/>
        <v>447324.72999999992</v>
      </c>
    </row>
    <row r="71" spans="1:16" x14ac:dyDescent="0.25">
      <c r="A71" s="78"/>
      <c r="B71" s="65" t="s">
        <v>122</v>
      </c>
      <c r="C71" s="84"/>
      <c r="D71" s="84"/>
      <c r="E71" s="84"/>
      <c r="F71" s="84"/>
      <c r="G71" s="84">
        <f t="shared" si="5"/>
        <v>4775661.905927198</v>
      </c>
      <c r="I71" s="194">
        <v>38626</v>
      </c>
      <c r="J71" s="194">
        <f t="shared" si="11"/>
        <v>38655</v>
      </c>
      <c r="K71" s="187">
        <f t="shared" si="10"/>
        <v>30</v>
      </c>
      <c r="L71" s="187"/>
      <c r="M71" s="191">
        <v>6.2300000000000001E-2</v>
      </c>
      <c r="N71" s="92">
        <f t="shared" si="14"/>
        <v>24454.01</v>
      </c>
      <c r="O71" s="84">
        <f t="shared" si="12"/>
        <v>24454.01</v>
      </c>
      <c r="P71" s="84">
        <f t="shared" si="13"/>
        <v>471778.73999999993</v>
      </c>
    </row>
    <row r="72" spans="1:16" x14ac:dyDescent="0.25">
      <c r="A72" s="78"/>
      <c r="C72" s="84">
        <v>1035111.0738349855</v>
      </c>
      <c r="D72" s="84"/>
      <c r="E72" s="84"/>
      <c r="F72" s="84">
        <f>+F70+C72+D72+E72</f>
        <v>1035111.0738349855</v>
      </c>
      <c r="G72" s="84">
        <f t="shared" si="5"/>
        <v>5810772.9797621835</v>
      </c>
      <c r="I72" s="194">
        <v>38656</v>
      </c>
      <c r="J72" s="194">
        <f t="shared" si="11"/>
        <v>38656</v>
      </c>
      <c r="K72" s="187">
        <f t="shared" si="10"/>
        <v>1</v>
      </c>
      <c r="L72" s="187"/>
      <c r="M72" s="191">
        <v>6.2300000000000001E-2</v>
      </c>
      <c r="N72" s="92">
        <f t="shared" si="14"/>
        <v>991.81</v>
      </c>
      <c r="O72" s="84">
        <f t="shared" si="12"/>
        <v>25445.82</v>
      </c>
      <c r="P72" s="84">
        <f t="shared" si="13"/>
        <v>472770.54999999993</v>
      </c>
    </row>
    <row r="73" spans="1:16" x14ac:dyDescent="0.25">
      <c r="A73" s="78"/>
      <c r="B73" s="65" t="s">
        <v>121</v>
      </c>
      <c r="C73" s="84"/>
      <c r="D73" s="84"/>
      <c r="E73" s="84"/>
      <c r="F73" s="84"/>
      <c r="G73" s="84">
        <f t="shared" si="5"/>
        <v>5810772.9797621835</v>
      </c>
      <c r="I73" s="194">
        <v>38657</v>
      </c>
      <c r="J73" s="194">
        <f t="shared" si="11"/>
        <v>38685</v>
      </c>
      <c r="K73" s="187">
        <f t="shared" si="10"/>
        <v>29</v>
      </c>
      <c r="L73" s="187"/>
      <c r="M73" s="191">
        <v>6.2300000000000001E-2</v>
      </c>
      <c r="N73" s="92">
        <f t="shared" si="14"/>
        <v>28762.53</v>
      </c>
      <c r="O73" s="84">
        <f t="shared" si="12"/>
        <v>28762.53</v>
      </c>
      <c r="P73" s="84">
        <f t="shared" si="13"/>
        <v>501533.07999999996</v>
      </c>
    </row>
    <row r="74" spans="1:16" x14ac:dyDescent="0.25">
      <c r="A74" s="78"/>
      <c r="C74" s="84">
        <v>-485597.40796025749</v>
      </c>
      <c r="D74" s="84"/>
      <c r="E74" s="84"/>
      <c r="F74" s="84">
        <f>C74</f>
        <v>-485597.40796025749</v>
      </c>
      <c r="G74" s="84">
        <f t="shared" si="5"/>
        <v>5325175.571801926</v>
      </c>
      <c r="I74" s="194">
        <v>38686</v>
      </c>
      <c r="J74" s="194">
        <f t="shared" si="11"/>
        <v>38686</v>
      </c>
      <c r="K74" s="187">
        <f t="shared" si="10"/>
        <v>1</v>
      </c>
      <c r="L74" s="187"/>
      <c r="M74" s="191">
        <v>6.2300000000000001E-2</v>
      </c>
      <c r="N74" s="92">
        <f t="shared" si="14"/>
        <v>908.93</v>
      </c>
      <c r="O74" s="84">
        <f t="shared" si="12"/>
        <v>29671.46</v>
      </c>
      <c r="P74" s="84">
        <f t="shared" si="13"/>
        <v>502442.00999999995</v>
      </c>
    </row>
    <row r="75" spans="1:16" x14ac:dyDescent="0.25">
      <c r="A75" s="78"/>
      <c r="B75" s="65" t="s">
        <v>120</v>
      </c>
      <c r="C75" s="84"/>
      <c r="D75" s="84"/>
      <c r="E75" s="84"/>
      <c r="F75" s="84"/>
      <c r="G75" s="84">
        <f t="shared" si="5"/>
        <v>5325175.571801926</v>
      </c>
      <c r="I75" s="194">
        <v>38687</v>
      </c>
      <c r="J75" s="194">
        <f t="shared" si="11"/>
        <v>38716</v>
      </c>
      <c r="K75" s="187">
        <f t="shared" si="10"/>
        <v>30</v>
      </c>
      <c r="L75" s="187"/>
      <c r="M75" s="191">
        <v>6.2300000000000001E-2</v>
      </c>
      <c r="N75" s="92">
        <f t="shared" si="14"/>
        <v>27267.82</v>
      </c>
      <c r="O75" s="84">
        <f t="shared" si="12"/>
        <v>27267.82</v>
      </c>
      <c r="P75" s="84">
        <f t="shared" si="13"/>
        <v>529709.82999999996</v>
      </c>
    </row>
    <row r="76" spans="1:16" x14ac:dyDescent="0.25">
      <c r="A76" s="78"/>
      <c r="C76" s="84">
        <v>10321984.536463212</v>
      </c>
      <c r="D76" s="84"/>
      <c r="E76" s="84"/>
      <c r="F76" s="84">
        <f>C76</f>
        <v>10321984.536463212</v>
      </c>
      <c r="G76" s="84">
        <f t="shared" si="5"/>
        <v>15647160.108265139</v>
      </c>
      <c r="I76" s="194">
        <v>38717</v>
      </c>
      <c r="J76" s="194">
        <f t="shared" si="11"/>
        <v>38717</v>
      </c>
      <c r="K76" s="187">
        <f t="shared" si="10"/>
        <v>1</v>
      </c>
      <c r="L76" s="187"/>
      <c r="M76" s="191">
        <v>6.2300000000000001E-2</v>
      </c>
      <c r="N76" s="92">
        <f t="shared" si="14"/>
        <v>2670.73</v>
      </c>
      <c r="O76" s="84">
        <f t="shared" si="12"/>
        <v>29938.55</v>
      </c>
      <c r="P76" s="84">
        <f t="shared" si="13"/>
        <v>532380.55999999994</v>
      </c>
    </row>
    <row r="77" spans="1:16" x14ac:dyDescent="0.25">
      <c r="A77" s="78"/>
      <c r="B77" s="65" t="s">
        <v>131</v>
      </c>
      <c r="C77" s="84"/>
      <c r="D77" s="84"/>
      <c r="E77" s="84"/>
      <c r="F77" s="84"/>
      <c r="G77" s="84">
        <f t="shared" si="5"/>
        <v>15647160.108265139</v>
      </c>
      <c r="I77" s="194">
        <v>38718</v>
      </c>
      <c r="J77" s="194">
        <f t="shared" si="11"/>
        <v>38747</v>
      </c>
      <c r="K77" s="187">
        <f t="shared" si="10"/>
        <v>30</v>
      </c>
      <c r="L77" s="187"/>
      <c r="M77" s="191">
        <v>6.7799999999999999E-2</v>
      </c>
      <c r="N77" s="92">
        <f t="shared" si="14"/>
        <v>87195.41</v>
      </c>
      <c r="O77" s="84">
        <f t="shared" si="12"/>
        <v>87195.41</v>
      </c>
      <c r="P77" s="84">
        <f t="shared" si="13"/>
        <v>619575.97</v>
      </c>
    </row>
    <row r="78" spans="1:16" x14ac:dyDescent="0.25">
      <c r="A78" s="78"/>
      <c r="C78" s="84">
        <v>-2633303.9994967449</v>
      </c>
      <c r="D78" s="84"/>
      <c r="E78" s="84"/>
      <c r="F78" s="84">
        <f>+C78</f>
        <v>-2633303.9994967449</v>
      </c>
      <c r="G78" s="84">
        <f t="shared" si="5"/>
        <v>13013856.108768394</v>
      </c>
      <c r="I78" s="194">
        <v>38748</v>
      </c>
      <c r="J78" s="194">
        <f t="shared" si="11"/>
        <v>38748</v>
      </c>
      <c r="K78" s="187">
        <f t="shared" si="10"/>
        <v>1</v>
      </c>
      <c r="L78" s="187"/>
      <c r="M78" s="191">
        <v>6.7799999999999999E-2</v>
      </c>
      <c r="N78" s="92">
        <f t="shared" si="14"/>
        <v>2417.37</v>
      </c>
      <c r="O78" s="84">
        <f t="shared" si="12"/>
        <v>89612.78</v>
      </c>
      <c r="P78" s="84">
        <f t="shared" si="13"/>
        <v>621993.34</v>
      </c>
    </row>
    <row r="79" spans="1:16" x14ac:dyDescent="0.25">
      <c r="A79" s="78"/>
      <c r="B79" s="65" t="s">
        <v>130</v>
      </c>
      <c r="C79" s="84"/>
      <c r="D79" s="84"/>
      <c r="E79" s="84"/>
      <c r="F79" s="84"/>
      <c r="G79" s="84">
        <f t="shared" si="5"/>
        <v>13013856.108768394</v>
      </c>
      <c r="I79" s="194">
        <v>38749</v>
      </c>
      <c r="J79" s="194">
        <f t="shared" si="11"/>
        <v>38775</v>
      </c>
      <c r="K79" s="187">
        <f t="shared" si="10"/>
        <v>27</v>
      </c>
      <c r="L79" s="187"/>
      <c r="M79" s="191">
        <v>6.7799999999999999E-2</v>
      </c>
      <c r="N79" s="92">
        <f t="shared" si="14"/>
        <v>65268.95</v>
      </c>
      <c r="O79" s="84">
        <f t="shared" si="12"/>
        <v>65268.95</v>
      </c>
      <c r="P79" s="84">
        <f t="shared" si="13"/>
        <v>687262.28999999992</v>
      </c>
    </row>
    <row r="80" spans="1:16" x14ac:dyDescent="0.25">
      <c r="A80" s="78"/>
      <c r="C80" s="84">
        <v>2195554.6378052663</v>
      </c>
      <c r="D80" s="84"/>
      <c r="E80" s="84"/>
      <c r="F80" s="84">
        <f>+C80</f>
        <v>2195554.6378052663</v>
      </c>
      <c r="G80" s="84">
        <f t="shared" si="5"/>
        <v>15209410.746573661</v>
      </c>
      <c r="I80" s="195">
        <v>38776</v>
      </c>
      <c r="J80" s="194">
        <f t="shared" si="11"/>
        <v>38776</v>
      </c>
      <c r="K80" s="187">
        <f t="shared" si="10"/>
        <v>1</v>
      </c>
      <c r="L80" s="187"/>
      <c r="M80" s="191">
        <v>6.7799999999999999E-2</v>
      </c>
      <c r="N80" s="92">
        <f t="shared" si="14"/>
        <v>2825.2</v>
      </c>
      <c r="O80" s="84">
        <f t="shared" si="12"/>
        <v>68094.149999999994</v>
      </c>
      <c r="P80" s="84">
        <f t="shared" si="13"/>
        <v>690087.48999999987</v>
      </c>
    </row>
    <row r="81" spans="1:16" x14ac:dyDescent="0.25">
      <c r="A81" s="78"/>
      <c r="B81" s="65" t="s">
        <v>129</v>
      </c>
      <c r="C81" s="84"/>
      <c r="D81" s="84"/>
      <c r="E81" s="84"/>
      <c r="F81" s="84"/>
      <c r="G81" s="84">
        <f t="shared" si="5"/>
        <v>15209410.746573661</v>
      </c>
      <c r="I81" s="194">
        <v>38777</v>
      </c>
      <c r="J81" s="194">
        <f t="shared" si="11"/>
        <v>38806</v>
      </c>
      <c r="K81" s="187">
        <f t="shared" si="10"/>
        <v>30</v>
      </c>
      <c r="L81" s="187"/>
      <c r="M81" s="191">
        <v>6.7799999999999999E-2</v>
      </c>
      <c r="N81" s="92">
        <f t="shared" si="14"/>
        <v>84756</v>
      </c>
      <c r="O81" s="84">
        <f t="shared" si="12"/>
        <v>84756</v>
      </c>
      <c r="P81" s="84">
        <f t="shared" si="13"/>
        <v>774843.48999999987</v>
      </c>
    </row>
    <row r="82" spans="1:16" x14ac:dyDescent="0.25">
      <c r="A82" s="78"/>
      <c r="C82" s="84">
        <v>6977521.9056016635</v>
      </c>
      <c r="D82" s="84"/>
      <c r="E82" s="84"/>
      <c r="F82" s="84">
        <f>+C82</f>
        <v>6977521.9056016635</v>
      </c>
      <c r="G82" s="84">
        <f t="shared" si="5"/>
        <v>22186932.652175322</v>
      </c>
      <c r="I82" s="194">
        <v>38807</v>
      </c>
      <c r="J82" s="194">
        <f t="shared" si="11"/>
        <v>38807</v>
      </c>
      <c r="K82" s="187">
        <f t="shared" si="10"/>
        <v>1</v>
      </c>
      <c r="L82" s="187"/>
      <c r="M82" s="191">
        <v>6.7799999999999999E-2</v>
      </c>
      <c r="N82" s="92">
        <f t="shared" si="14"/>
        <v>4121.3</v>
      </c>
      <c r="O82" s="84">
        <f t="shared" si="12"/>
        <v>88877.3</v>
      </c>
      <c r="P82" s="84">
        <f t="shared" si="13"/>
        <v>778964.78999999992</v>
      </c>
    </row>
    <row r="83" spans="1:16" x14ac:dyDescent="0.25">
      <c r="A83" s="78"/>
      <c r="B83" s="65" t="s">
        <v>128</v>
      </c>
      <c r="C83" s="84"/>
      <c r="D83" s="84"/>
      <c r="E83" s="84"/>
      <c r="F83" s="84"/>
      <c r="G83" s="84">
        <f t="shared" si="5"/>
        <v>22186932.652175322</v>
      </c>
      <c r="I83" s="194">
        <v>38808</v>
      </c>
      <c r="J83" s="194">
        <f t="shared" si="11"/>
        <v>38836</v>
      </c>
      <c r="K83" s="187">
        <v>30</v>
      </c>
      <c r="L83" s="187"/>
      <c r="M83" s="186">
        <v>7.2999999999999995E-2</v>
      </c>
      <c r="N83" s="92">
        <f t="shared" si="14"/>
        <v>133121.60000000001</v>
      </c>
      <c r="O83" s="84">
        <f t="shared" si="12"/>
        <v>133121.60000000001</v>
      </c>
      <c r="P83" s="84">
        <f t="shared" si="13"/>
        <v>912086.3899999999</v>
      </c>
    </row>
    <row r="84" spans="1:16" x14ac:dyDescent="0.25">
      <c r="A84" s="78"/>
      <c r="C84" s="84">
        <v>-9427218.1285901181</v>
      </c>
      <c r="D84" s="84"/>
      <c r="E84" s="84"/>
      <c r="F84" s="84">
        <f>+C84</f>
        <v>-9427218.1285901181</v>
      </c>
      <c r="G84" s="84">
        <f t="shared" si="5"/>
        <v>12759714.523585204</v>
      </c>
      <c r="I84" s="194">
        <v>38837</v>
      </c>
      <c r="J84" s="194">
        <f t="shared" si="11"/>
        <v>38837</v>
      </c>
      <c r="K84" s="187">
        <f t="shared" ref="K84:K147" si="15">+IF(+J84="","",+J84-(I84-1))</f>
        <v>1</v>
      </c>
      <c r="L84" s="187"/>
      <c r="M84" s="186">
        <v>7.2999999999999995E-2</v>
      </c>
      <c r="N84" s="92">
        <f t="shared" si="14"/>
        <v>2551.94</v>
      </c>
      <c r="O84" s="84">
        <f t="shared" si="12"/>
        <v>135673.54</v>
      </c>
      <c r="P84" s="84">
        <f t="shared" si="13"/>
        <v>914638.32999999984</v>
      </c>
    </row>
    <row r="85" spans="1:16" x14ac:dyDescent="0.25">
      <c r="A85" s="78"/>
      <c r="B85" s="65" t="s">
        <v>127</v>
      </c>
      <c r="D85" s="84"/>
      <c r="E85" s="84"/>
      <c r="F85" s="84"/>
      <c r="G85" s="84">
        <f t="shared" si="5"/>
        <v>12759714.523585204</v>
      </c>
      <c r="I85" s="194">
        <v>38838</v>
      </c>
      <c r="J85" s="194">
        <f t="shared" si="11"/>
        <v>38867</v>
      </c>
      <c r="K85" s="187">
        <f t="shared" si="15"/>
        <v>30</v>
      </c>
      <c r="L85" s="187"/>
      <c r="M85" s="191">
        <v>7.2999999999999995E-2</v>
      </c>
      <c r="N85" s="92">
        <f>+IF(+K85&lt;&gt;" ", ROUND(M85*(K85/365)*G85,2),0)-7999.01</f>
        <v>68559.28</v>
      </c>
      <c r="O85" s="84">
        <f t="shared" si="12"/>
        <v>68559.28</v>
      </c>
      <c r="P85" s="84">
        <f t="shared" si="13"/>
        <v>983197.60999999987</v>
      </c>
    </row>
    <row r="86" spans="1:16" x14ac:dyDescent="0.25">
      <c r="A86" s="78"/>
      <c r="C86" s="84">
        <v>-7984052.617658006</v>
      </c>
      <c r="D86" s="84"/>
      <c r="E86" s="84"/>
      <c r="F86" s="84">
        <f>+C86</f>
        <v>-7984052.617658006</v>
      </c>
      <c r="G86" s="84">
        <f t="shared" si="5"/>
        <v>4775661.905927198</v>
      </c>
      <c r="I86" s="194">
        <v>38868</v>
      </c>
      <c r="J86" s="194">
        <f t="shared" si="11"/>
        <v>38868</v>
      </c>
      <c r="K86" s="187">
        <f t="shared" si="15"/>
        <v>1</v>
      </c>
      <c r="L86" s="187"/>
      <c r="M86" s="191">
        <v>7.2999999999999995E-2</v>
      </c>
      <c r="N86" s="92">
        <f>+IF(+K86&lt;&gt;" ", ROUND(M86*(K86/365)*G86,2),0)</f>
        <v>955.13</v>
      </c>
      <c r="O86" s="84">
        <f t="shared" si="12"/>
        <v>69514.41</v>
      </c>
      <c r="P86" s="84">
        <f t="shared" si="13"/>
        <v>984152.73999999987</v>
      </c>
    </row>
    <row r="87" spans="1:16" x14ac:dyDescent="0.25">
      <c r="A87" s="78"/>
      <c r="B87" s="65" t="s">
        <v>126</v>
      </c>
      <c r="D87" s="84"/>
      <c r="E87" s="84"/>
      <c r="F87" s="84"/>
      <c r="G87" s="84">
        <f t="shared" si="5"/>
        <v>4775661.905927198</v>
      </c>
      <c r="I87" s="194">
        <v>38869</v>
      </c>
      <c r="J87" s="194">
        <f t="shared" si="11"/>
        <v>38897</v>
      </c>
      <c r="K87" s="187">
        <f t="shared" si="15"/>
        <v>29</v>
      </c>
      <c r="L87" s="187"/>
      <c r="M87" s="191">
        <v>7.2999999999999995E-2</v>
      </c>
      <c r="N87" s="92">
        <f>+IF(+K87&lt;&gt;" ", ROUND(M87*(K87/365)*G87,2),0)-1472</f>
        <v>26226.84</v>
      </c>
      <c r="O87" s="84">
        <f t="shared" si="12"/>
        <v>26226.84</v>
      </c>
      <c r="P87" s="84">
        <f t="shared" si="13"/>
        <v>1010379.5799999998</v>
      </c>
    </row>
    <row r="88" spans="1:16" x14ac:dyDescent="0.25">
      <c r="A88" s="78"/>
      <c r="C88" s="84">
        <v>0</v>
      </c>
      <c r="D88" s="84"/>
      <c r="E88" s="84"/>
      <c r="F88" s="84">
        <f>+C88</f>
        <v>0</v>
      </c>
      <c r="G88" s="84">
        <f t="shared" si="5"/>
        <v>4775661.905927198</v>
      </c>
      <c r="I88" s="194">
        <v>38898</v>
      </c>
      <c r="J88" s="194">
        <v>38898</v>
      </c>
      <c r="K88" s="187">
        <f t="shared" si="15"/>
        <v>1</v>
      </c>
      <c r="L88" s="187"/>
      <c r="M88" s="191">
        <v>7.2999999999999995E-2</v>
      </c>
      <c r="N88" s="92">
        <f t="shared" ref="N88:N151" si="16">+IF(+K88&lt;&gt;" ", ROUND(M88*(K88/365)*G88,2),0)</f>
        <v>955.13</v>
      </c>
      <c r="O88" s="84">
        <f t="shared" si="12"/>
        <v>27181.97</v>
      </c>
      <c r="P88" s="84">
        <f t="shared" si="13"/>
        <v>1011334.7099999998</v>
      </c>
    </row>
    <row r="89" spans="1:16" x14ac:dyDescent="0.25">
      <c r="A89" s="65" t="s">
        <v>191</v>
      </c>
      <c r="B89" s="65" t="s">
        <v>125</v>
      </c>
      <c r="C89" s="84"/>
      <c r="D89" s="84"/>
      <c r="E89" s="84"/>
      <c r="F89" s="84"/>
      <c r="G89" s="84">
        <f t="shared" si="5"/>
        <v>4775661.905927198</v>
      </c>
      <c r="I89" s="194">
        <v>38899</v>
      </c>
      <c r="J89" s="194">
        <f>+I90-1</f>
        <v>38928</v>
      </c>
      <c r="K89" s="187">
        <f t="shared" si="15"/>
        <v>30</v>
      </c>
      <c r="L89" s="187"/>
      <c r="M89" s="191">
        <v>7.7399999999999997E-2</v>
      </c>
      <c r="N89" s="92">
        <f t="shared" si="16"/>
        <v>30381.06</v>
      </c>
      <c r="O89" s="84">
        <f>+N89</f>
        <v>30381.06</v>
      </c>
      <c r="P89" s="84">
        <f>+P88+N89</f>
        <v>1041715.7699999999</v>
      </c>
    </row>
    <row r="90" spans="1:16" x14ac:dyDescent="0.25">
      <c r="C90" s="84">
        <v>-2880448.2629797561</v>
      </c>
      <c r="D90" s="84"/>
      <c r="E90" s="84"/>
      <c r="F90" s="84">
        <f>+C90</f>
        <v>-2880448.2629797561</v>
      </c>
      <c r="G90" s="84">
        <f t="shared" si="5"/>
        <v>1895213.6429474419</v>
      </c>
      <c r="I90" s="194">
        <v>38929</v>
      </c>
      <c r="J90" s="194">
        <f t="shared" ref="J90:J99" si="17">IF(I90=I91,"",+I91-1)</f>
        <v>38929</v>
      </c>
      <c r="K90" s="187">
        <f t="shared" si="15"/>
        <v>1</v>
      </c>
      <c r="L90" s="187"/>
      <c r="M90" s="191">
        <v>7.7399999999999997E-2</v>
      </c>
      <c r="N90" s="92">
        <f t="shared" si="16"/>
        <v>401.89</v>
      </c>
      <c r="O90" s="84">
        <f t="shared" ref="O90:O153" si="18">IF(MONTH(+I90)&lt;&gt;MONTH(+I89),N90,+O89+N90)</f>
        <v>30782.95</v>
      </c>
      <c r="P90" s="84">
        <f>+P89+N90</f>
        <v>1042117.6599999999</v>
      </c>
    </row>
    <row r="91" spans="1:16" x14ac:dyDescent="0.25">
      <c r="B91" s="65" t="s">
        <v>124</v>
      </c>
      <c r="C91" s="84"/>
      <c r="D91" s="84"/>
      <c r="E91" s="84"/>
      <c r="F91" s="84"/>
      <c r="G91" s="84">
        <f t="shared" si="5"/>
        <v>1895213.6429474419</v>
      </c>
      <c r="I91" s="194">
        <v>38930</v>
      </c>
      <c r="J91" s="194">
        <f t="shared" si="17"/>
        <v>38959</v>
      </c>
      <c r="K91" s="187">
        <f t="shared" si="15"/>
        <v>30</v>
      </c>
      <c r="L91" s="187"/>
      <c r="M91" s="191">
        <v>7.7399999999999997E-2</v>
      </c>
      <c r="N91" s="92">
        <f t="shared" si="16"/>
        <v>12056.67</v>
      </c>
      <c r="O91" s="84">
        <f t="shared" si="18"/>
        <v>12056.67</v>
      </c>
      <c r="P91" s="84">
        <f t="shared" ref="P91:P154" si="19">P90+N91</f>
        <v>1054174.3299999998</v>
      </c>
    </row>
    <row r="92" spans="1:16" x14ac:dyDescent="0.25">
      <c r="C92" s="84">
        <v>-4677347.5255082687</v>
      </c>
      <c r="D92" s="84"/>
      <c r="E92" s="84"/>
      <c r="F92" s="84">
        <f>C92</f>
        <v>-4677347.5255082687</v>
      </c>
      <c r="G92" s="84">
        <f t="shared" si="5"/>
        <v>-2782133.8825608268</v>
      </c>
      <c r="I92" s="194">
        <v>38960</v>
      </c>
      <c r="J92" s="194">
        <f t="shared" si="17"/>
        <v>38960</v>
      </c>
      <c r="K92" s="187">
        <f t="shared" si="15"/>
        <v>1</v>
      </c>
      <c r="L92" s="187"/>
      <c r="M92" s="191">
        <v>7.7399999999999997E-2</v>
      </c>
      <c r="N92" s="92">
        <f t="shared" si="16"/>
        <v>-589.96</v>
      </c>
      <c r="O92" s="84">
        <f t="shared" si="18"/>
        <v>11466.71</v>
      </c>
      <c r="P92" s="84">
        <f t="shared" si="19"/>
        <v>1053584.3699999999</v>
      </c>
    </row>
    <row r="93" spans="1:16" x14ac:dyDescent="0.25">
      <c r="B93" s="65" t="s">
        <v>123</v>
      </c>
      <c r="C93" s="84"/>
      <c r="D93" s="84"/>
      <c r="E93" s="84"/>
      <c r="F93" s="84"/>
      <c r="G93" s="84">
        <f t="shared" si="5"/>
        <v>-2782133.8825608268</v>
      </c>
      <c r="I93" s="194">
        <v>38961</v>
      </c>
      <c r="J93" s="194">
        <f t="shared" si="17"/>
        <v>38989</v>
      </c>
      <c r="K93" s="187">
        <f t="shared" si="15"/>
        <v>29</v>
      </c>
      <c r="L93" s="187"/>
      <c r="M93" s="191">
        <v>7.7399999999999997E-2</v>
      </c>
      <c r="N93" s="92">
        <f t="shared" si="16"/>
        <v>-17108.98</v>
      </c>
      <c r="O93" s="84">
        <f t="shared" si="18"/>
        <v>-17108.98</v>
      </c>
      <c r="P93" s="84">
        <f t="shared" si="19"/>
        <v>1036475.3899999999</v>
      </c>
    </row>
    <row r="94" spans="1:16" x14ac:dyDescent="0.25">
      <c r="C94" s="84">
        <v>3667420.8745055292</v>
      </c>
      <c r="D94" s="84"/>
      <c r="E94" s="84"/>
      <c r="F94" s="84">
        <f>C94</f>
        <v>3667420.8745055292</v>
      </c>
      <c r="G94" s="84">
        <f t="shared" si="5"/>
        <v>885286.99194470234</v>
      </c>
      <c r="I94" s="194">
        <v>38990</v>
      </c>
      <c r="J94" s="194">
        <f t="shared" si="17"/>
        <v>38990</v>
      </c>
      <c r="K94" s="187">
        <f t="shared" si="15"/>
        <v>1</v>
      </c>
      <c r="L94" s="187"/>
      <c r="M94" s="191">
        <v>7.7399999999999997E-2</v>
      </c>
      <c r="N94" s="92">
        <f t="shared" si="16"/>
        <v>187.73</v>
      </c>
      <c r="O94" s="84">
        <f t="shared" si="18"/>
        <v>-16921.25</v>
      </c>
      <c r="P94" s="84">
        <f t="shared" si="19"/>
        <v>1036663.1199999999</v>
      </c>
    </row>
    <row r="95" spans="1:16" x14ac:dyDescent="0.25">
      <c r="B95" s="65" t="s">
        <v>122</v>
      </c>
      <c r="C95" s="84"/>
      <c r="D95" s="84"/>
      <c r="E95" s="84"/>
      <c r="F95" s="84"/>
      <c r="G95" s="84">
        <f t="shared" si="5"/>
        <v>885286.99194470234</v>
      </c>
      <c r="I95" s="194">
        <v>38991</v>
      </c>
      <c r="J95" s="194">
        <f t="shared" si="17"/>
        <v>39020</v>
      </c>
      <c r="K95" s="187">
        <f t="shared" si="15"/>
        <v>30</v>
      </c>
      <c r="L95" s="187"/>
      <c r="M95" s="191">
        <v>8.1699999999999995E-2</v>
      </c>
      <c r="N95" s="92">
        <f t="shared" si="16"/>
        <v>5944.76</v>
      </c>
      <c r="O95" s="84">
        <f t="shared" si="18"/>
        <v>5944.76</v>
      </c>
      <c r="P95" s="84">
        <f t="shared" si="19"/>
        <v>1042607.8799999999</v>
      </c>
    </row>
    <row r="96" spans="1:16" x14ac:dyDescent="0.25">
      <c r="C96" s="84">
        <v>3890374.9139824957</v>
      </c>
      <c r="D96" s="84"/>
      <c r="E96" s="84"/>
      <c r="F96" s="84">
        <f>C96</f>
        <v>3890374.9139824957</v>
      </c>
      <c r="G96" s="84">
        <f t="shared" si="5"/>
        <v>4775661.905927198</v>
      </c>
      <c r="I96" s="194">
        <v>39021</v>
      </c>
      <c r="J96" s="194">
        <f t="shared" si="17"/>
        <v>39021</v>
      </c>
      <c r="K96" s="187">
        <f t="shared" si="15"/>
        <v>1</v>
      </c>
      <c r="L96" s="187"/>
      <c r="M96" s="191">
        <v>8.1699999999999995E-2</v>
      </c>
      <c r="N96" s="92">
        <f t="shared" si="16"/>
        <v>1068.96</v>
      </c>
      <c r="O96" s="84">
        <f t="shared" si="18"/>
        <v>7013.72</v>
      </c>
      <c r="P96" s="84">
        <f t="shared" si="19"/>
        <v>1043676.8399999999</v>
      </c>
    </row>
    <row r="97" spans="1:16" x14ac:dyDescent="0.25">
      <c r="B97" s="65" t="s">
        <v>121</v>
      </c>
      <c r="C97" s="84"/>
      <c r="D97" s="84"/>
      <c r="E97" s="84"/>
      <c r="F97" s="84"/>
      <c r="G97" s="84">
        <f t="shared" si="5"/>
        <v>4775661.905927198</v>
      </c>
      <c r="I97" s="194">
        <v>39022</v>
      </c>
      <c r="J97" s="194">
        <f t="shared" si="17"/>
        <v>39050</v>
      </c>
      <c r="K97" s="187">
        <f t="shared" si="15"/>
        <v>29</v>
      </c>
      <c r="L97" s="187"/>
      <c r="M97" s="191">
        <v>8.1699999999999995E-2</v>
      </c>
      <c r="N97" s="92">
        <f t="shared" si="16"/>
        <v>30999.93</v>
      </c>
      <c r="O97" s="84">
        <f t="shared" si="18"/>
        <v>30999.93</v>
      </c>
      <c r="P97" s="84">
        <f t="shared" si="19"/>
        <v>1074676.7699999998</v>
      </c>
    </row>
    <row r="98" spans="1:16" x14ac:dyDescent="0.25">
      <c r="C98" s="84">
        <v>0</v>
      </c>
      <c r="D98" s="84"/>
      <c r="E98" s="84"/>
      <c r="F98" s="84">
        <f>C98</f>
        <v>0</v>
      </c>
      <c r="G98" s="84">
        <f t="shared" si="5"/>
        <v>4775661.905927198</v>
      </c>
      <c r="I98" s="194">
        <v>39051</v>
      </c>
      <c r="J98" s="194">
        <f t="shared" si="17"/>
        <v>39051</v>
      </c>
      <c r="K98" s="187">
        <f t="shared" si="15"/>
        <v>1</v>
      </c>
      <c r="L98" s="187"/>
      <c r="M98" s="191">
        <v>8.1699999999999995E-2</v>
      </c>
      <c r="N98" s="92">
        <f t="shared" si="16"/>
        <v>1068.96</v>
      </c>
      <c r="O98" s="84">
        <f t="shared" si="18"/>
        <v>32068.89</v>
      </c>
      <c r="P98" s="84">
        <f t="shared" si="19"/>
        <v>1075745.7299999997</v>
      </c>
    </row>
    <row r="99" spans="1:16" x14ac:dyDescent="0.25">
      <c r="B99" s="65" t="s">
        <v>120</v>
      </c>
      <c r="C99" s="84"/>
      <c r="D99" s="84"/>
      <c r="E99" s="84"/>
      <c r="F99" s="84"/>
      <c r="G99" s="84">
        <f t="shared" si="5"/>
        <v>4775661.905927198</v>
      </c>
      <c r="I99" s="194">
        <v>39052</v>
      </c>
      <c r="J99" s="194">
        <f t="shared" si="17"/>
        <v>39081</v>
      </c>
      <c r="K99" s="187">
        <f t="shared" si="15"/>
        <v>30</v>
      </c>
      <c r="L99" s="187"/>
      <c r="M99" s="191">
        <v>8.1699999999999995E-2</v>
      </c>
      <c r="N99" s="92">
        <f t="shared" si="16"/>
        <v>32068.9</v>
      </c>
      <c r="O99" s="84">
        <f t="shared" si="18"/>
        <v>32068.9</v>
      </c>
      <c r="P99" s="84">
        <f t="shared" si="19"/>
        <v>1107814.6299999997</v>
      </c>
    </row>
    <row r="100" spans="1:16" x14ac:dyDescent="0.25">
      <c r="C100" s="84">
        <v>0</v>
      </c>
      <c r="D100" s="84"/>
      <c r="E100" s="84"/>
      <c r="F100" s="84">
        <f>C100</f>
        <v>0</v>
      </c>
      <c r="G100" s="84">
        <f t="shared" si="5"/>
        <v>4775661.905927198</v>
      </c>
      <c r="I100" s="194">
        <v>39082</v>
      </c>
      <c r="J100" s="194">
        <v>39082</v>
      </c>
      <c r="K100" s="187">
        <f t="shared" si="15"/>
        <v>1</v>
      </c>
      <c r="L100" s="187"/>
      <c r="M100" s="191">
        <v>8.1699999999999995E-2</v>
      </c>
      <c r="N100" s="92">
        <f t="shared" si="16"/>
        <v>1068.96</v>
      </c>
      <c r="O100" s="84">
        <f t="shared" si="18"/>
        <v>33137.86</v>
      </c>
      <c r="P100" s="84">
        <f t="shared" si="19"/>
        <v>1108883.5899999996</v>
      </c>
    </row>
    <row r="101" spans="1:16" x14ac:dyDescent="0.25">
      <c r="A101" s="65" t="s">
        <v>190</v>
      </c>
      <c r="B101" s="65" t="s">
        <v>131</v>
      </c>
      <c r="G101" s="84">
        <f t="shared" si="5"/>
        <v>4775661.905927198</v>
      </c>
      <c r="I101" s="192">
        <v>39083</v>
      </c>
      <c r="J101" s="192">
        <v>39112</v>
      </c>
      <c r="K101" s="187">
        <f t="shared" si="15"/>
        <v>30</v>
      </c>
      <c r="L101" s="187"/>
      <c r="M101" s="191">
        <v>8.2500000000000004E-2</v>
      </c>
      <c r="N101" s="92">
        <f t="shared" si="16"/>
        <v>32382.91</v>
      </c>
      <c r="O101" s="84">
        <f t="shared" si="18"/>
        <v>32382.91</v>
      </c>
      <c r="P101" s="84">
        <f t="shared" si="19"/>
        <v>1141266.4999999995</v>
      </c>
    </row>
    <row r="102" spans="1:16" x14ac:dyDescent="0.25">
      <c r="A102" s="193" t="s">
        <v>189</v>
      </c>
      <c r="C102" s="84">
        <v>0</v>
      </c>
      <c r="F102" s="84">
        <f>C102</f>
        <v>0</v>
      </c>
      <c r="G102" s="84">
        <f t="shared" si="5"/>
        <v>4775661.905927198</v>
      </c>
      <c r="I102" s="192">
        <v>39113</v>
      </c>
      <c r="J102" s="192">
        <v>39113</v>
      </c>
      <c r="K102" s="187">
        <f t="shared" si="15"/>
        <v>1</v>
      </c>
      <c r="L102" s="187"/>
      <c r="M102" s="191">
        <v>8.2500000000000004E-2</v>
      </c>
      <c r="N102" s="92">
        <f t="shared" si="16"/>
        <v>1079.43</v>
      </c>
      <c r="O102" s="84">
        <f t="shared" si="18"/>
        <v>33462.339999999997</v>
      </c>
      <c r="P102" s="84">
        <f t="shared" si="19"/>
        <v>1142345.9299999995</v>
      </c>
    </row>
    <row r="103" spans="1:16" x14ac:dyDescent="0.25">
      <c r="B103" s="65" t="s">
        <v>130</v>
      </c>
      <c r="C103" s="84"/>
      <c r="G103" s="84">
        <f t="shared" si="5"/>
        <v>4775661.905927198</v>
      </c>
      <c r="I103" s="192">
        <v>39114</v>
      </c>
      <c r="J103" s="192">
        <v>39140</v>
      </c>
      <c r="K103" s="187">
        <f t="shared" si="15"/>
        <v>27</v>
      </c>
      <c r="L103" s="187"/>
      <c r="M103" s="191">
        <v>8.2500000000000004E-2</v>
      </c>
      <c r="N103" s="92">
        <f t="shared" si="16"/>
        <v>29144.62</v>
      </c>
      <c r="O103" s="84">
        <f t="shared" si="18"/>
        <v>29144.62</v>
      </c>
      <c r="P103" s="84">
        <f t="shared" si="19"/>
        <v>1171490.5499999996</v>
      </c>
    </row>
    <row r="104" spans="1:16" x14ac:dyDescent="0.25">
      <c r="C104" s="84">
        <v>0</v>
      </c>
      <c r="F104" s="84">
        <f>C104</f>
        <v>0</v>
      </c>
      <c r="G104" s="84">
        <f t="shared" si="5"/>
        <v>4775661.905927198</v>
      </c>
      <c r="I104" s="192">
        <v>39141</v>
      </c>
      <c r="J104" s="192">
        <v>39141</v>
      </c>
      <c r="K104" s="187">
        <f t="shared" si="15"/>
        <v>1</v>
      </c>
      <c r="L104" s="187"/>
      <c r="M104" s="191">
        <v>8.2500000000000004E-2</v>
      </c>
      <c r="N104" s="92">
        <f t="shared" si="16"/>
        <v>1079.43</v>
      </c>
      <c r="O104" s="84">
        <f t="shared" si="18"/>
        <v>30224.05</v>
      </c>
      <c r="P104" s="84">
        <f t="shared" si="19"/>
        <v>1172569.9799999995</v>
      </c>
    </row>
    <row r="105" spans="1:16" x14ac:dyDescent="0.25">
      <c r="B105" s="65" t="s">
        <v>129</v>
      </c>
      <c r="C105" s="84"/>
      <c r="G105" s="84">
        <f t="shared" si="5"/>
        <v>4775661.905927198</v>
      </c>
      <c r="I105" s="192">
        <v>39142</v>
      </c>
      <c r="J105" s="192">
        <v>39171</v>
      </c>
      <c r="K105" s="187">
        <f t="shared" si="15"/>
        <v>30</v>
      </c>
      <c r="L105" s="187"/>
      <c r="M105" s="191">
        <v>8.2500000000000004E-2</v>
      </c>
      <c r="N105" s="92">
        <f t="shared" si="16"/>
        <v>32382.91</v>
      </c>
      <c r="O105" s="84">
        <f t="shared" si="18"/>
        <v>32382.91</v>
      </c>
      <c r="P105" s="84">
        <f t="shared" si="19"/>
        <v>1204952.8899999994</v>
      </c>
    </row>
    <row r="106" spans="1:16" x14ac:dyDescent="0.25">
      <c r="C106" s="84">
        <v>0</v>
      </c>
      <c r="F106" s="84">
        <f>C106</f>
        <v>0</v>
      </c>
      <c r="G106" s="84">
        <f t="shared" ref="G106:G169" si="20">+G105+F106</f>
        <v>4775661.905927198</v>
      </c>
      <c r="I106" s="192">
        <v>39172</v>
      </c>
      <c r="J106" s="192">
        <v>39172</v>
      </c>
      <c r="K106" s="187">
        <f t="shared" si="15"/>
        <v>1</v>
      </c>
      <c r="L106" s="187"/>
      <c r="M106" s="191">
        <v>8.2500000000000004E-2</v>
      </c>
      <c r="N106" s="92">
        <f t="shared" si="16"/>
        <v>1079.43</v>
      </c>
      <c r="O106" s="84">
        <f t="shared" si="18"/>
        <v>33462.339999999997</v>
      </c>
      <c r="P106" s="84">
        <f t="shared" si="19"/>
        <v>1206032.3199999994</v>
      </c>
    </row>
    <row r="107" spans="1:16" x14ac:dyDescent="0.25">
      <c r="B107" s="65" t="s">
        <v>128</v>
      </c>
      <c r="C107" s="84"/>
      <c r="G107" s="84">
        <f t="shared" si="20"/>
        <v>4775661.905927198</v>
      </c>
      <c r="I107" s="192">
        <v>39173</v>
      </c>
      <c r="J107" s="192">
        <v>39201</v>
      </c>
      <c r="K107" s="187">
        <f t="shared" si="15"/>
        <v>29</v>
      </c>
      <c r="L107" s="187"/>
      <c r="M107" s="191">
        <v>8.2500000000000004E-2</v>
      </c>
      <c r="N107" s="92">
        <f t="shared" si="16"/>
        <v>31303.48</v>
      </c>
      <c r="O107" s="84">
        <f t="shared" si="18"/>
        <v>31303.48</v>
      </c>
      <c r="P107" s="84">
        <f t="shared" si="19"/>
        <v>1237335.7999999993</v>
      </c>
    </row>
    <row r="108" spans="1:16" x14ac:dyDescent="0.25">
      <c r="C108" s="84">
        <v>0</v>
      </c>
      <c r="F108" s="84">
        <f>C108</f>
        <v>0</v>
      </c>
      <c r="G108" s="84">
        <f t="shared" si="20"/>
        <v>4775661.905927198</v>
      </c>
      <c r="I108" s="192">
        <v>39202</v>
      </c>
      <c r="J108" s="192">
        <v>39202</v>
      </c>
      <c r="K108" s="187">
        <f t="shared" si="15"/>
        <v>1</v>
      </c>
      <c r="L108" s="187"/>
      <c r="M108" s="191">
        <v>8.2500000000000004E-2</v>
      </c>
      <c r="N108" s="92">
        <f t="shared" si="16"/>
        <v>1079.43</v>
      </c>
      <c r="O108" s="84">
        <f t="shared" si="18"/>
        <v>32382.91</v>
      </c>
      <c r="P108" s="84">
        <f t="shared" si="19"/>
        <v>1238415.2299999993</v>
      </c>
    </row>
    <row r="109" spans="1:16" x14ac:dyDescent="0.25">
      <c r="B109" s="65" t="s">
        <v>127</v>
      </c>
      <c r="C109" s="84"/>
      <c r="G109" s="84">
        <f t="shared" si="20"/>
        <v>4775661.905927198</v>
      </c>
      <c r="I109" s="192">
        <v>39203</v>
      </c>
      <c r="J109" s="192">
        <v>39232</v>
      </c>
      <c r="K109" s="187">
        <f t="shared" si="15"/>
        <v>30</v>
      </c>
      <c r="L109" s="187"/>
      <c r="M109" s="191">
        <v>8.2500000000000004E-2</v>
      </c>
      <c r="N109" s="92">
        <f t="shared" si="16"/>
        <v>32382.91</v>
      </c>
      <c r="O109" s="84">
        <f t="shared" si="18"/>
        <v>32382.91</v>
      </c>
      <c r="P109" s="84">
        <f t="shared" si="19"/>
        <v>1270798.1399999992</v>
      </c>
    </row>
    <row r="110" spans="1:16" x14ac:dyDescent="0.25">
      <c r="C110" s="84">
        <v>-481438.99310121685</v>
      </c>
      <c r="F110" s="84">
        <f>C110</f>
        <v>-481438.99310121685</v>
      </c>
      <c r="G110" s="84">
        <f t="shared" si="20"/>
        <v>4294222.9128259812</v>
      </c>
      <c r="I110" s="192">
        <v>39233</v>
      </c>
      <c r="J110" s="192">
        <v>39233</v>
      </c>
      <c r="K110" s="187">
        <f t="shared" si="15"/>
        <v>1</v>
      </c>
      <c r="L110" s="187"/>
      <c r="M110" s="191">
        <v>8.2500000000000004E-2</v>
      </c>
      <c r="N110" s="92">
        <f t="shared" si="16"/>
        <v>970.61</v>
      </c>
      <c r="O110" s="84">
        <f t="shared" si="18"/>
        <v>33353.519999999997</v>
      </c>
      <c r="P110" s="84">
        <f t="shared" si="19"/>
        <v>1271768.7499999993</v>
      </c>
    </row>
    <row r="111" spans="1:16" x14ac:dyDescent="0.25">
      <c r="B111" s="65" t="s">
        <v>126</v>
      </c>
      <c r="C111" s="84"/>
      <c r="G111" s="84">
        <f t="shared" si="20"/>
        <v>4294222.9128259812</v>
      </c>
      <c r="I111" s="192">
        <v>39234</v>
      </c>
      <c r="J111" s="192">
        <v>39262</v>
      </c>
      <c r="K111" s="187">
        <f t="shared" si="15"/>
        <v>29</v>
      </c>
      <c r="L111" s="187"/>
      <c r="M111" s="191">
        <v>8.2500000000000004E-2</v>
      </c>
      <c r="N111" s="92">
        <f t="shared" si="16"/>
        <v>28147.75</v>
      </c>
      <c r="O111" s="84">
        <f t="shared" si="18"/>
        <v>28147.75</v>
      </c>
      <c r="P111" s="84">
        <f t="shared" si="19"/>
        <v>1299916.4999999993</v>
      </c>
    </row>
    <row r="112" spans="1:16" x14ac:dyDescent="0.25">
      <c r="C112" s="84">
        <v>-3562728.1680413913</v>
      </c>
      <c r="F112" s="84">
        <f>C112</f>
        <v>-3562728.1680413913</v>
      </c>
      <c r="G112" s="84">
        <f t="shared" si="20"/>
        <v>731494.74478458986</v>
      </c>
      <c r="I112" s="192">
        <v>39263</v>
      </c>
      <c r="J112" s="192">
        <v>39263</v>
      </c>
      <c r="K112" s="187">
        <f t="shared" si="15"/>
        <v>1</v>
      </c>
      <c r="L112" s="187"/>
      <c r="M112" s="191">
        <v>8.2500000000000004E-2</v>
      </c>
      <c r="N112" s="92">
        <f t="shared" si="16"/>
        <v>165.34</v>
      </c>
      <c r="O112" s="84">
        <f t="shared" si="18"/>
        <v>28313.09</v>
      </c>
      <c r="P112" s="84">
        <f t="shared" si="19"/>
        <v>1300081.8399999994</v>
      </c>
    </row>
    <row r="113" spans="1:16" x14ac:dyDescent="0.25">
      <c r="B113" s="65" t="s">
        <v>125</v>
      </c>
      <c r="C113" s="84"/>
      <c r="G113" s="84">
        <f t="shared" si="20"/>
        <v>731494.74478458986</v>
      </c>
      <c r="I113" s="192">
        <v>39264</v>
      </c>
      <c r="J113" s="192">
        <v>39293</v>
      </c>
      <c r="K113" s="187">
        <f t="shared" si="15"/>
        <v>30</v>
      </c>
      <c r="L113" s="187"/>
      <c r="M113" s="191">
        <v>8.2500000000000004E-2</v>
      </c>
      <c r="N113" s="92">
        <f t="shared" si="16"/>
        <v>4960.1400000000003</v>
      </c>
      <c r="O113" s="84">
        <f t="shared" si="18"/>
        <v>4960.1400000000003</v>
      </c>
      <c r="P113" s="84">
        <f t="shared" si="19"/>
        <v>1305041.9799999993</v>
      </c>
    </row>
    <row r="114" spans="1:16" x14ac:dyDescent="0.25">
      <c r="C114" s="84">
        <v>-8578055.2410668563</v>
      </c>
      <c r="F114" s="84">
        <f>C114</f>
        <v>-8578055.2410668563</v>
      </c>
      <c r="G114" s="84">
        <f t="shared" si="20"/>
        <v>-7846560.4962822665</v>
      </c>
      <c r="I114" s="192">
        <v>39294</v>
      </c>
      <c r="J114" s="192">
        <v>39294</v>
      </c>
      <c r="K114" s="187">
        <f t="shared" si="15"/>
        <v>1</v>
      </c>
      <c r="L114" s="187"/>
      <c r="M114" s="191">
        <v>8.2500000000000004E-2</v>
      </c>
      <c r="N114" s="92">
        <f t="shared" si="16"/>
        <v>-1773.54</v>
      </c>
      <c r="O114" s="84">
        <f t="shared" si="18"/>
        <v>3186.6000000000004</v>
      </c>
      <c r="P114" s="84">
        <f t="shared" si="19"/>
        <v>1303268.4399999992</v>
      </c>
    </row>
    <row r="115" spans="1:16" x14ac:dyDescent="0.25">
      <c r="B115" s="65" t="s">
        <v>124</v>
      </c>
      <c r="C115" s="84"/>
      <c r="G115" s="84">
        <f t="shared" si="20"/>
        <v>-7846560.4962822665</v>
      </c>
      <c r="I115" s="192">
        <v>39295</v>
      </c>
      <c r="J115" s="192">
        <v>39324</v>
      </c>
      <c r="K115" s="187">
        <f t="shared" si="15"/>
        <v>30</v>
      </c>
      <c r="L115" s="187"/>
      <c r="M115" s="191">
        <v>8.2500000000000004E-2</v>
      </c>
      <c r="N115" s="92">
        <f t="shared" si="16"/>
        <v>-53206.13</v>
      </c>
      <c r="O115" s="84">
        <f t="shared" si="18"/>
        <v>-53206.13</v>
      </c>
      <c r="P115" s="84">
        <f t="shared" si="19"/>
        <v>1250062.3099999994</v>
      </c>
    </row>
    <row r="116" spans="1:16" x14ac:dyDescent="0.25">
      <c r="C116" s="84">
        <v>-3112395.4220868051</v>
      </c>
      <c r="F116" s="84">
        <f>C116</f>
        <v>-3112395.4220868051</v>
      </c>
      <c r="G116" s="84">
        <f t="shared" si="20"/>
        <v>-10958955.918369072</v>
      </c>
      <c r="I116" s="192">
        <v>39325</v>
      </c>
      <c r="J116" s="192">
        <v>39325</v>
      </c>
      <c r="K116" s="187">
        <f t="shared" si="15"/>
        <v>1</v>
      </c>
      <c r="L116" s="187"/>
      <c r="M116" s="191">
        <v>8.2500000000000004E-2</v>
      </c>
      <c r="N116" s="92">
        <f t="shared" si="16"/>
        <v>-2477.02</v>
      </c>
      <c r="O116" s="84">
        <f t="shared" si="18"/>
        <v>-55683.149999999994</v>
      </c>
      <c r="P116" s="84">
        <f t="shared" si="19"/>
        <v>1247585.2899999993</v>
      </c>
    </row>
    <row r="117" spans="1:16" x14ac:dyDescent="0.25">
      <c r="B117" s="65" t="s">
        <v>123</v>
      </c>
      <c r="C117" s="84"/>
      <c r="G117" s="84">
        <f t="shared" si="20"/>
        <v>-10958955.918369072</v>
      </c>
      <c r="I117" s="192">
        <v>39326</v>
      </c>
      <c r="J117" s="192">
        <v>39354</v>
      </c>
      <c r="K117" s="187">
        <f t="shared" si="15"/>
        <v>29</v>
      </c>
      <c r="L117" s="187"/>
      <c r="M117" s="191">
        <v>8.2500000000000004E-2</v>
      </c>
      <c r="N117" s="92">
        <f t="shared" si="16"/>
        <v>-71833.7</v>
      </c>
      <c r="O117" s="84">
        <f t="shared" si="18"/>
        <v>-71833.7</v>
      </c>
      <c r="P117" s="84">
        <f t="shared" si="19"/>
        <v>1175751.5899999994</v>
      </c>
    </row>
    <row r="118" spans="1:16" x14ac:dyDescent="0.25">
      <c r="C118" s="84">
        <v>1703889.809350837</v>
      </c>
      <c r="F118" s="84">
        <f>C118</f>
        <v>1703889.809350837</v>
      </c>
      <c r="G118" s="84">
        <f t="shared" si="20"/>
        <v>-9255066.1090182345</v>
      </c>
      <c r="I118" s="192">
        <v>39355</v>
      </c>
      <c r="J118" s="192">
        <v>39355</v>
      </c>
      <c r="K118" s="187">
        <f t="shared" si="15"/>
        <v>1</v>
      </c>
      <c r="L118" s="187"/>
      <c r="M118" s="191">
        <v>8.2500000000000004E-2</v>
      </c>
      <c r="N118" s="92">
        <f t="shared" si="16"/>
        <v>-2091.9</v>
      </c>
      <c r="O118" s="84">
        <f t="shared" si="18"/>
        <v>-73925.599999999991</v>
      </c>
      <c r="P118" s="84">
        <f t="shared" si="19"/>
        <v>1173659.6899999995</v>
      </c>
    </row>
    <row r="119" spans="1:16" x14ac:dyDescent="0.25">
      <c r="B119" s="65" t="s">
        <v>122</v>
      </c>
      <c r="C119" s="84"/>
      <c r="G119" s="84">
        <f t="shared" si="20"/>
        <v>-9255066.1090182345</v>
      </c>
      <c r="I119" s="192">
        <v>39356</v>
      </c>
      <c r="J119" s="192">
        <v>39385</v>
      </c>
      <c r="K119" s="187">
        <f t="shared" si="15"/>
        <v>30</v>
      </c>
      <c r="L119" s="187"/>
      <c r="M119" s="191">
        <v>8.2500000000000004E-2</v>
      </c>
      <c r="N119" s="92">
        <f t="shared" si="16"/>
        <v>-62756.959999999999</v>
      </c>
      <c r="O119" s="84">
        <f t="shared" si="18"/>
        <v>-62756.959999999999</v>
      </c>
      <c r="P119" s="84">
        <f t="shared" si="19"/>
        <v>1110902.7299999995</v>
      </c>
    </row>
    <row r="120" spans="1:16" x14ac:dyDescent="0.25">
      <c r="C120" s="84">
        <v>3938892.4819418266</v>
      </c>
      <c r="F120" s="84">
        <f>C120</f>
        <v>3938892.4819418266</v>
      </c>
      <c r="G120" s="84">
        <f t="shared" si="20"/>
        <v>-5316173.6270764079</v>
      </c>
      <c r="I120" s="192">
        <v>39386</v>
      </c>
      <c r="J120" s="192">
        <v>39386</v>
      </c>
      <c r="K120" s="187">
        <f t="shared" si="15"/>
        <v>1</v>
      </c>
      <c r="L120" s="187"/>
      <c r="M120" s="191">
        <v>8.2500000000000004E-2</v>
      </c>
      <c r="N120" s="92">
        <f t="shared" si="16"/>
        <v>-1201.5999999999999</v>
      </c>
      <c r="O120" s="84">
        <f t="shared" si="18"/>
        <v>-63958.559999999998</v>
      </c>
      <c r="P120" s="84">
        <f t="shared" si="19"/>
        <v>1109701.1299999994</v>
      </c>
    </row>
    <row r="121" spans="1:16" x14ac:dyDescent="0.25">
      <c r="B121" s="65" t="s">
        <v>121</v>
      </c>
      <c r="C121" s="84"/>
      <c r="G121" s="84">
        <f t="shared" si="20"/>
        <v>-5316173.6270764079</v>
      </c>
      <c r="I121" s="192">
        <v>39387</v>
      </c>
      <c r="J121" s="192">
        <v>39415</v>
      </c>
      <c r="K121" s="187">
        <f t="shared" si="15"/>
        <v>29</v>
      </c>
      <c r="L121" s="187"/>
      <c r="M121" s="191">
        <v>8.2500000000000004E-2</v>
      </c>
      <c r="N121" s="92">
        <f t="shared" si="16"/>
        <v>-34846.43</v>
      </c>
      <c r="O121" s="84">
        <f t="shared" si="18"/>
        <v>-34846.43</v>
      </c>
      <c r="P121" s="84">
        <f t="shared" si="19"/>
        <v>1074854.6999999995</v>
      </c>
    </row>
    <row r="122" spans="1:16" x14ac:dyDescent="0.25">
      <c r="C122" s="84">
        <v>1967072.8264042512</v>
      </c>
      <c r="F122" s="84">
        <f>C122</f>
        <v>1967072.8264042512</v>
      </c>
      <c r="G122" s="84">
        <f t="shared" si="20"/>
        <v>-3349100.8006721567</v>
      </c>
      <c r="I122" s="192">
        <v>39416</v>
      </c>
      <c r="J122" s="192">
        <v>39416</v>
      </c>
      <c r="K122" s="187">
        <f t="shared" si="15"/>
        <v>1</v>
      </c>
      <c r="L122" s="187"/>
      <c r="M122" s="191">
        <v>8.2500000000000004E-2</v>
      </c>
      <c r="N122" s="92">
        <f t="shared" si="16"/>
        <v>-756.99</v>
      </c>
      <c r="O122" s="84">
        <f t="shared" si="18"/>
        <v>-35603.42</v>
      </c>
      <c r="P122" s="84">
        <f t="shared" si="19"/>
        <v>1074097.7099999995</v>
      </c>
    </row>
    <row r="123" spans="1:16" x14ac:dyDescent="0.25">
      <c r="B123" s="65" t="s">
        <v>120</v>
      </c>
      <c r="C123" s="84"/>
      <c r="G123" s="84">
        <f t="shared" si="20"/>
        <v>-3349100.8006721567</v>
      </c>
      <c r="I123" s="192">
        <v>39417</v>
      </c>
      <c r="J123" s="192">
        <v>39446</v>
      </c>
      <c r="K123" s="187">
        <f t="shared" si="15"/>
        <v>30</v>
      </c>
      <c r="L123" s="187"/>
      <c r="M123" s="191">
        <v>8.2500000000000004E-2</v>
      </c>
      <c r="N123" s="92">
        <f t="shared" si="16"/>
        <v>-22709.66</v>
      </c>
      <c r="O123" s="84">
        <f t="shared" si="18"/>
        <v>-22709.66</v>
      </c>
      <c r="P123" s="84">
        <f t="shared" si="19"/>
        <v>1051388.0499999996</v>
      </c>
    </row>
    <row r="124" spans="1:16" x14ac:dyDescent="0.25">
      <c r="C124" s="84">
        <v>3018426.460826423</v>
      </c>
      <c r="F124" s="84">
        <f>C124</f>
        <v>3018426.460826423</v>
      </c>
      <c r="G124" s="84">
        <f t="shared" si="20"/>
        <v>-330674.33984573372</v>
      </c>
      <c r="I124" s="192">
        <v>39447</v>
      </c>
      <c r="J124" s="192">
        <v>39447</v>
      </c>
      <c r="K124" s="187">
        <f t="shared" si="15"/>
        <v>1</v>
      </c>
      <c r="L124" s="187"/>
      <c r="M124" s="191">
        <v>8.2500000000000004E-2</v>
      </c>
      <c r="N124" s="92">
        <f t="shared" si="16"/>
        <v>-74.739999999999995</v>
      </c>
      <c r="O124" s="84">
        <f t="shared" si="18"/>
        <v>-22784.400000000001</v>
      </c>
      <c r="P124" s="84">
        <f t="shared" si="19"/>
        <v>1051313.3099999996</v>
      </c>
    </row>
    <row r="125" spans="1:16" x14ac:dyDescent="0.25">
      <c r="A125" s="65" t="s">
        <v>188</v>
      </c>
      <c r="B125" s="65" t="s">
        <v>131</v>
      </c>
      <c r="G125" s="84">
        <f t="shared" si="20"/>
        <v>-330674.33984573372</v>
      </c>
      <c r="I125" s="192">
        <v>39448</v>
      </c>
      <c r="J125" s="192">
        <v>39477</v>
      </c>
      <c r="K125" s="187">
        <f t="shared" si="15"/>
        <v>30</v>
      </c>
      <c r="L125" s="187"/>
      <c r="M125" s="191">
        <v>7.7600000000000002E-2</v>
      </c>
      <c r="N125" s="92">
        <f t="shared" si="16"/>
        <v>-2109.0700000000002</v>
      </c>
      <c r="O125" s="84">
        <f t="shared" si="18"/>
        <v>-2109.0700000000002</v>
      </c>
      <c r="P125" s="84">
        <f t="shared" si="19"/>
        <v>1049204.2399999995</v>
      </c>
    </row>
    <row r="126" spans="1:16" x14ac:dyDescent="0.25">
      <c r="A126" s="193" t="s">
        <v>187</v>
      </c>
      <c r="C126" s="84">
        <v>0</v>
      </c>
      <c r="F126" s="84">
        <f>C126</f>
        <v>0</v>
      </c>
      <c r="G126" s="84">
        <f t="shared" si="20"/>
        <v>-330674.33984573372</v>
      </c>
      <c r="I126" s="192">
        <v>39478</v>
      </c>
      <c r="J126" s="192">
        <v>39478</v>
      </c>
      <c r="K126" s="187">
        <f t="shared" si="15"/>
        <v>1</v>
      </c>
      <c r="L126" s="187"/>
      <c r="M126" s="191">
        <v>7.7600000000000002E-2</v>
      </c>
      <c r="N126" s="92">
        <f t="shared" si="16"/>
        <v>-70.3</v>
      </c>
      <c r="O126" s="84">
        <f t="shared" si="18"/>
        <v>-2179.3700000000003</v>
      </c>
      <c r="P126" s="84">
        <f t="shared" si="19"/>
        <v>1049133.9399999995</v>
      </c>
    </row>
    <row r="127" spans="1:16" x14ac:dyDescent="0.25">
      <c r="B127" s="65" t="s">
        <v>130</v>
      </c>
      <c r="C127" s="84"/>
      <c r="G127" s="84">
        <f t="shared" si="20"/>
        <v>-330674.33984573372</v>
      </c>
      <c r="I127" s="192">
        <v>39479</v>
      </c>
      <c r="J127" s="192">
        <v>39506</v>
      </c>
      <c r="K127" s="187">
        <f t="shared" si="15"/>
        <v>28</v>
      </c>
      <c r="L127" s="187"/>
      <c r="M127" s="191">
        <v>7.7600000000000002E-2</v>
      </c>
      <c r="N127" s="92">
        <f t="shared" si="16"/>
        <v>-1968.46</v>
      </c>
      <c r="O127" s="84">
        <f t="shared" si="18"/>
        <v>-1968.46</v>
      </c>
      <c r="P127" s="84">
        <f t="shared" si="19"/>
        <v>1047165.4799999995</v>
      </c>
    </row>
    <row r="128" spans="1:16" x14ac:dyDescent="0.25">
      <c r="C128" s="84">
        <v>0</v>
      </c>
      <c r="F128" s="84">
        <f>C128</f>
        <v>0</v>
      </c>
      <c r="G128" s="84">
        <f t="shared" si="20"/>
        <v>-330674.33984573372</v>
      </c>
      <c r="I128" s="192">
        <v>39507</v>
      </c>
      <c r="J128" s="192">
        <v>39507</v>
      </c>
      <c r="K128" s="187">
        <f t="shared" si="15"/>
        <v>1</v>
      </c>
      <c r="L128" s="187"/>
      <c r="M128" s="191">
        <v>7.7600000000000002E-2</v>
      </c>
      <c r="N128" s="92">
        <f t="shared" si="16"/>
        <v>-70.3</v>
      </c>
      <c r="O128" s="84">
        <f t="shared" si="18"/>
        <v>-2038.76</v>
      </c>
      <c r="P128" s="84">
        <f t="shared" si="19"/>
        <v>1047095.1799999995</v>
      </c>
    </row>
    <row r="129" spans="2:16" x14ac:dyDescent="0.25">
      <c r="B129" s="65" t="s">
        <v>129</v>
      </c>
      <c r="C129" s="84"/>
      <c r="G129" s="84">
        <f t="shared" si="20"/>
        <v>-330674.33984573372</v>
      </c>
      <c r="I129" s="192">
        <v>39508</v>
      </c>
      <c r="J129" s="192">
        <v>39537</v>
      </c>
      <c r="K129" s="187">
        <f t="shared" si="15"/>
        <v>30</v>
      </c>
      <c r="L129" s="187"/>
      <c r="M129" s="191">
        <v>7.7600000000000002E-2</v>
      </c>
      <c r="N129" s="92">
        <f t="shared" si="16"/>
        <v>-2109.0700000000002</v>
      </c>
      <c r="O129" s="84">
        <f t="shared" si="18"/>
        <v>-2109.0700000000002</v>
      </c>
      <c r="P129" s="84">
        <f t="shared" si="19"/>
        <v>1044986.1099999995</v>
      </c>
    </row>
    <row r="130" spans="2:16" x14ac:dyDescent="0.25">
      <c r="C130" s="84">
        <v>0</v>
      </c>
      <c r="F130" s="84">
        <f>C130</f>
        <v>0</v>
      </c>
      <c r="G130" s="84">
        <f t="shared" si="20"/>
        <v>-330674.33984573372</v>
      </c>
      <c r="I130" s="192">
        <v>39538</v>
      </c>
      <c r="J130" s="192">
        <v>39538</v>
      </c>
      <c r="K130" s="187">
        <f t="shared" si="15"/>
        <v>1</v>
      </c>
      <c r="L130" s="187"/>
      <c r="M130" s="191">
        <v>7.7600000000000002E-2</v>
      </c>
      <c r="N130" s="92">
        <f t="shared" si="16"/>
        <v>-70.3</v>
      </c>
      <c r="O130" s="84">
        <f t="shared" si="18"/>
        <v>-2179.3700000000003</v>
      </c>
      <c r="P130" s="84">
        <f t="shared" si="19"/>
        <v>1044915.8099999995</v>
      </c>
    </row>
    <row r="131" spans="2:16" x14ac:dyDescent="0.25">
      <c r="B131" s="65" t="s">
        <v>128</v>
      </c>
      <c r="C131" s="84"/>
      <c r="G131" s="84">
        <f t="shared" si="20"/>
        <v>-330674.33984573372</v>
      </c>
      <c r="I131" s="192">
        <v>39539</v>
      </c>
      <c r="J131" s="192">
        <v>39567</v>
      </c>
      <c r="K131" s="187">
        <f t="shared" si="15"/>
        <v>29</v>
      </c>
      <c r="L131" s="187"/>
      <c r="M131" s="191">
        <v>6.7699999999999996E-2</v>
      </c>
      <c r="N131" s="92">
        <f t="shared" si="16"/>
        <v>-1778.67</v>
      </c>
      <c r="O131" s="84">
        <f t="shared" si="18"/>
        <v>-1778.67</v>
      </c>
      <c r="P131" s="84">
        <f t="shared" si="19"/>
        <v>1043137.1399999994</v>
      </c>
    </row>
    <row r="132" spans="2:16" x14ac:dyDescent="0.25">
      <c r="C132" s="84">
        <v>0</v>
      </c>
      <c r="F132" s="84">
        <f>C132</f>
        <v>0</v>
      </c>
      <c r="G132" s="84">
        <f t="shared" si="20"/>
        <v>-330674.33984573372</v>
      </c>
      <c r="I132" s="192">
        <v>39568</v>
      </c>
      <c r="J132" s="192">
        <v>39568</v>
      </c>
      <c r="K132" s="187">
        <f t="shared" si="15"/>
        <v>1</v>
      </c>
      <c r="L132" s="187"/>
      <c r="M132" s="191">
        <v>6.7699999999999996E-2</v>
      </c>
      <c r="N132" s="92">
        <f t="shared" si="16"/>
        <v>-61.33</v>
      </c>
      <c r="O132" s="84">
        <f t="shared" si="18"/>
        <v>-1840</v>
      </c>
      <c r="P132" s="84">
        <f t="shared" si="19"/>
        <v>1043075.8099999995</v>
      </c>
    </row>
    <row r="133" spans="2:16" x14ac:dyDescent="0.25">
      <c r="B133" s="65" t="s">
        <v>127</v>
      </c>
      <c r="C133" s="84"/>
      <c r="G133" s="84">
        <f t="shared" si="20"/>
        <v>-330674.33984573372</v>
      </c>
      <c r="I133" s="192">
        <v>39569</v>
      </c>
      <c r="J133" s="192">
        <v>39598</v>
      </c>
      <c r="K133" s="187">
        <f t="shared" si="15"/>
        <v>30</v>
      </c>
      <c r="L133" s="187"/>
      <c r="M133" s="191">
        <v>6.7699999999999996E-2</v>
      </c>
      <c r="N133" s="92">
        <f t="shared" si="16"/>
        <v>-1840</v>
      </c>
      <c r="O133" s="84">
        <f t="shared" si="18"/>
        <v>-1840</v>
      </c>
      <c r="P133" s="84">
        <f t="shared" si="19"/>
        <v>1041235.8099999995</v>
      </c>
    </row>
    <row r="134" spans="2:16" x14ac:dyDescent="0.25">
      <c r="C134" s="84">
        <v>-1097249.0278440118</v>
      </c>
      <c r="F134" s="84">
        <f>C134</f>
        <v>-1097249.0278440118</v>
      </c>
      <c r="G134" s="84">
        <f t="shared" si="20"/>
        <v>-1427923.3676897455</v>
      </c>
      <c r="I134" s="192">
        <v>39599</v>
      </c>
      <c r="J134" s="192">
        <v>39599</v>
      </c>
      <c r="K134" s="187">
        <f t="shared" si="15"/>
        <v>1</v>
      </c>
      <c r="L134" s="187"/>
      <c r="M134" s="191">
        <v>6.7699999999999996E-2</v>
      </c>
      <c r="N134" s="92">
        <f t="shared" si="16"/>
        <v>-264.85000000000002</v>
      </c>
      <c r="O134" s="84">
        <f t="shared" si="18"/>
        <v>-2104.85</v>
      </c>
      <c r="P134" s="84">
        <f t="shared" si="19"/>
        <v>1040970.9599999995</v>
      </c>
    </row>
    <row r="135" spans="2:16" x14ac:dyDescent="0.25">
      <c r="B135" s="65" t="s">
        <v>126</v>
      </c>
      <c r="C135" s="84"/>
      <c r="G135" s="84">
        <f t="shared" si="20"/>
        <v>-1427923.3676897455</v>
      </c>
      <c r="I135" s="192">
        <v>39600</v>
      </c>
      <c r="J135" s="192">
        <v>39628</v>
      </c>
      <c r="K135" s="187">
        <f t="shared" si="15"/>
        <v>29</v>
      </c>
      <c r="L135" s="187"/>
      <c r="M135" s="191">
        <v>6.7699999999999996E-2</v>
      </c>
      <c r="N135" s="92">
        <f t="shared" si="16"/>
        <v>-7680.66</v>
      </c>
      <c r="O135" s="84">
        <f t="shared" si="18"/>
        <v>-7680.66</v>
      </c>
      <c r="P135" s="84">
        <f t="shared" si="19"/>
        <v>1033290.2999999995</v>
      </c>
    </row>
    <row r="136" spans="2:16" x14ac:dyDescent="0.25">
      <c r="C136" s="84">
        <v>-4177912.5488511175</v>
      </c>
      <c r="F136" s="84">
        <f>C136</f>
        <v>-4177912.5488511175</v>
      </c>
      <c r="G136" s="84">
        <f t="shared" si="20"/>
        <v>-5605835.916540863</v>
      </c>
      <c r="I136" s="192">
        <v>39629</v>
      </c>
      <c r="J136" s="192">
        <v>39629</v>
      </c>
      <c r="K136" s="187">
        <f t="shared" si="15"/>
        <v>1</v>
      </c>
      <c r="L136" s="187"/>
      <c r="M136" s="191">
        <v>6.7699999999999996E-2</v>
      </c>
      <c r="N136" s="92">
        <f t="shared" si="16"/>
        <v>-1039.77</v>
      </c>
      <c r="O136" s="84">
        <f t="shared" si="18"/>
        <v>-8720.43</v>
      </c>
      <c r="P136" s="84">
        <f t="shared" si="19"/>
        <v>1032250.5299999994</v>
      </c>
    </row>
    <row r="137" spans="2:16" x14ac:dyDescent="0.25">
      <c r="B137" s="65" t="s">
        <v>125</v>
      </c>
      <c r="C137" s="84"/>
      <c r="G137" s="84">
        <f t="shared" si="20"/>
        <v>-5605835.916540863</v>
      </c>
      <c r="I137" s="192">
        <v>39630</v>
      </c>
      <c r="J137" s="192">
        <v>39659</v>
      </c>
      <c r="K137" s="187">
        <f t="shared" si="15"/>
        <v>30</v>
      </c>
      <c r="L137" s="187"/>
      <c r="M137" s="191">
        <v>5.2999999999999999E-2</v>
      </c>
      <c r="N137" s="92">
        <f t="shared" si="16"/>
        <v>-24419.94</v>
      </c>
      <c r="O137" s="84">
        <f t="shared" si="18"/>
        <v>-24419.94</v>
      </c>
      <c r="P137" s="84">
        <f t="shared" si="19"/>
        <v>1007830.5899999995</v>
      </c>
    </row>
    <row r="138" spans="2:16" x14ac:dyDescent="0.25">
      <c r="C138" s="84">
        <v>-4614015.4698272869</v>
      </c>
      <c r="F138" s="84">
        <f>C138</f>
        <v>-4614015.4698272869</v>
      </c>
      <c r="G138" s="84">
        <f t="shared" si="20"/>
        <v>-10219851.38636815</v>
      </c>
      <c r="I138" s="192">
        <v>39660</v>
      </c>
      <c r="J138" s="192">
        <v>39660</v>
      </c>
      <c r="K138" s="187">
        <f t="shared" si="15"/>
        <v>1</v>
      </c>
      <c r="L138" s="187"/>
      <c r="M138" s="191">
        <v>5.2999999999999999E-2</v>
      </c>
      <c r="N138" s="92">
        <f t="shared" si="16"/>
        <v>-1483.98</v>
      </c>
      <c r="O138" s="84">
        <f t="shared" si="18"/>
        <v>-25903.919999999998</v>
      </c>
      <c r="P138" s="84">
        <f t="shared" si="19"/>
        <v>1006346.6099999995</v>
      </c>
    </row>
    <row r="139" spans="2:16" x14ac:dyDescent="0.25">
      <c r="B139" s="65" t="s">
        <v>124</v>
      </c>
      <c r="C139" s="84"/>
      <c r="G139" s="84">
        <f t="shared" si="20"/>
        <v>-10219851.38636815</v>
      </c>
      <c r="I139" s="192">
        <v>39661</v>
      </c>
      <c r="J139" s="192">
        <v>39690</v>
      </c>
      <c r="K139" s="187">
        <f t="shared" si="15"/>
        <v>30</v>
      </c>
      <c r="L139" s="187"/>
      <c r="M139" s="191">
        <v>5.2999999999999999E-2</v>
      </c>
      <c r="N139" s="92">
        <f t="shared" si="16"/>
        <v>-44519.35</v>
      </c>
      <c r="O139" s="84">
        <f t="shared" si="18"/>
        <v>-44519.35</v>
      </c>
      <c r="P139" s="84">
        <f t="shared" si="19"/>
        <v>961827.25999999954</v>
      </c>
    </row>
    <row r="140" spans="2:16" x14ac:dyDescent="0.25">
      <c r="C140" s="84">
        <v>1426396.5385594778</v>
      </c>
      <c r="F140" s="84">
        <f>C140</f>
        <v>1426396.5385594778</v>
      </c>
      <c r="G140" s="84">
        <f t="shared" si="20"/>
        <v>-8793454.8478086721</v>
      </c>
      <c r="I140" s="192">
        <v>39691</v>
      </c>
      <c r="J140" s="192">
        <v>39691</v>
      </c>
      <c r="K140" s="187">
        <f t="shared" si="15"/>
        <v>1</v>
      </c>
      <c r="L140" s="187"/>
      <c r="M140" s="191">
        <v>5.2999999999999999E-2</v>
      </c>
      <c r="N140" s="92">
        <f t="shared" si="16"/>
        <v>-1276.8599999999999</v>
      </c>
      <c r="O140" s="84">
        <f t="shared" si="18"/>
        <v>-45796.21</v>
      </c>
      <c r="P140" s="84">
        <f t="shared" si="19"/>
        <v>960550.39999999956</v>
      </c>
    </row>
    <row r="141" spans="2:16" x14ac:dyDescent="0.25">
      <c r="B141" s="65" t="s">
        <v>123</v>
      </c>
      <c r="C141" s="84"/>
      <c r="G141" s="84">
        <f t="shared" si="20"/>
        <v>-8793454.8478086721</v>
      </c>
      <c r="I141" s="192">
        <v>39692</v>
      </c>
      <c r="J141" s="192">
        <v>39720</v>
      </c>
      <c r="K141" s="187">
        <f t="shared" si="15"/>
        <v>29</v>
      </c>
      <c r="L141" s="187"/>
      <c r="M141" s="191">
        <v>5.2999999999999999E-2</v>
      </c>
      <c r="N141" s="92">
        <f t="shared" si="16"/>
        <v>-37028.879999999997</v>
      </c>
      <c r="O141" s="84">
        <f t="shared" si="18"/>
        <v>-37028.879999999997</v>
      </c>
      <c r="P141" s="84">
        <f t="shared" si="19"/>
        <v>923521.51999999955</v>
      </c>
    </row>
    <row r="142" spans="2:16" x14ac:dyDescent="0.25">
      <c r="C142" s="84">
        <v>6378284.9512960985</v>
      </c>
      <c r="F142" s="84">
        <f>C142</f>
        <v>6378284.9512960985</v>
      </c>
      <c r="G142" s="84">
        <f t="shared" si="20"/>
        <v>-2415169.8965125736</v>
      </c>
      <c r="I142" s="192">
        <v>39721</v>
      </c>
      <c r="J142" s="192">
        <v>39721</v>
      </c>
      <c r="K142" s="187">
        <f t="shared" si="15"/>
        <v>1</v>
      </c>
      <c r="L142" s="187"/>
      <c r="M142" s="191">
        <v>5.2999999999999999E-2</v>
      </c>
      <c r="N142" s="92">
        <f t="shared" si="16"/>
        <v>-350.7</v>
      </c>
      <c r="O142" s="84">
        <f t="shared" si="18"/>
        <v>-37379.579999999994</v>
      </c>
      <c r="P142" s="84">
        <f t="shared" si="19"/>
        <v>923170.8199999996</v>
      </c>
    </row>
    <row r="143" spans="2:16" x14ac:dyDescent="0.25">
      <c r="B143" s="65" t="s">
        <v>122</v>
      </c>
      <c r="C143" s="84"/>
      <c r="G143" s="84">
        <f t="shared" si="20"/>
        <v>-2415169.8965125736</v>
      </c>
      <c r="I143" s="192">
        <v>39722</v>
      </c>
      <c r="J143" s="192">
        <v>39751</v>
      </c>
      <c r="K143" s="187">
        <f t="shared" si="15"/>
        <v>30</v>
      </c>
      <c r="L143" s="187"/>
      <c r="M143" s="191">
        <v>0.05</v>
      </c>
      <c r="N143" s="92">
        <f t="shared" si="16"/>
        <v>-9925.36</v>
      </c>
      <c r="O143" s="84">
        <f t="shared" si="18"/>
        <v>-9925.36</v>
      </c>
      <c r="P143" s="84">
        <f t="shared" si="19"/>
        <v>913245.45999999961</v>
      </c>
    </row>
    <row r="144" spans="2:16" x14ac:dyDescent="0.25">
      <c r="C144" s="84">
        <v>2084495.5566668399</v>
      </c>
      <c r="F144" s="84">
        <f>C144</f>
        <v>2084495.5566668399</v>
      </c>
      <c r="G144" s="84">
        <f t="shared" si="20"/>
        <v>-330674.33984573372</v>
      </c>
      <c r="I144" s="192">
        <v>39752</v>
      </c>
      <c r="J144" s="192">
        <v>39752</v>
      </c>
      <c r="K144" s="187">
        <f t="shared" si="15"/>
        <v>1</v>
      </c>
      <c r="L144" s="187"/>
      <c r="M144" s="191">
        <v>0.05</v>
      </c>
      <c r="N144" s="92">
        <f t="shared" si="16"/>
        <v>-45.3</v>
      </c>
      <c r="O144" s="84">
        <f t="shared" si="18"/>
        <v>-9970.66</v>
      </c>
      <c r="P144" s="84">
        <f t="shared" si="19"/>
        <v>913200.15999999957</v>
      </c>
    </row>
    <row r="145" spans="1:16" x14ac:dyDescent="0.25">
      <c r="B145" s="65" t="s">
        <v>121</v>
      </c>
      <c r="C145" s="84"/>
      <c r="G145" s="84">
        <f t="shared" si="20"/>
        <v>-330674.33984573372</v>
      </c>
      <c r="I145" s="192">
        <v>39753</v>
      </c>
      <c r="J145" s="192">
        <v>39781</v>
      </c>
      <c r="K145" s="187">
        <f t="shared" si="15"/>
        <v>29</v>
      </c>
      <c r="L145" s="187"/>
      <c r="M145" s="191">
        <v>0.05</v>
      </c>
      <c r="N145" s="92">
        <f t="shared" si="16"/>
        <v>-1313.64</v>
      </c>
      <c r="O145" s="84">
        <f t="shared" si="18"/>
        <v>-1313.64</v>
      </c>
      <c r="P145" s="84">
        <f t="shared" si="19"/>
        <v>911886.51999999955</v>
      </c>
    </row>
    <row r="146" spans="1:16" x14ac:dyDescent="0.25">
      <c r="C146" s="84">
        <v>0</v>
      </c>
      <c r="F146" s="84">
        <f>C146</f>
        <v>0</v>
      </c>
      <c r="G146" s="84">
        <f t="shared" si="20"/>
        <v>-330674.33984573372</v>
      </c>
      <c r="I146" s="192">
        <v>39782</v>
      </c>
      <c r="J146" s="192">
        <v>39782</v>
      </c>
      <c r="K146" s="187">
        <f t="shared" si="15"/>
        <v>1</v>
      </c>
      <c r="L146" s="187"/>
      <c r="M146" s="191">
        <v>0.05</v>
      </c>
      <c r="N146" s="92">
        <f t="shared" si="16"/>
        <v>-45.3</v>
      </c>
      <c r="O146" s="84">
        <f t="shared" si="18"/>
        <v>-1358.94</v>
      </c>
      <c r="P146" s="84">
        <f t="shared" si="19"/>
        <v>911841.21999999951</v>
      </c>
    </row>
    <row r="147" spans="1:16" x14ac:dyDescent="0.25">
      <c r="B147" s="65" t="s">
        <v>120</v>
      </c>
      <c r="C147" s="84"/>
      <c r="G147" s="84">
        <f t="shared" si="20"/>
        <v>-330674.33984573372</v>
      </c>
      <c r="I147" s="192">
        <v>39783</v>
      </c>
      <c r="J147" s="192">
        <v>39812</v>
      </c>
      <c r="K147" s="187">
        <f t="shared" si="15"/>
        <v>30</v>
      </c>
      <c r="L147" s="187"/>
      <c r="M147" s="191">
        <v>0.05</v>
      </c>
      <c r="N147" s="92">
        <f t="shared" si="16"/>
        <v>-1358.94</v>
      </c>
      <c r="O147" s="84">
        <f t="shared" si="18"/>
        <v>-1358.94</v>
      </c>
      <c r="P147" s="84">
        <f t="shared" si="19"/>
        <v>910482.27999999956</v>
      </c>
    </row>
    <row r="148" spans="1:16" x14ac:dyDescent="0.25">
      <c r="C148" s="84">
        <v>0</v>
      </c>
      <c r="F148" s="84">
        <f>C148</f>
        <v>0</v>
      </c>
      <c r="G148" s="84">
        <f t="shared" si="20"/>
        <v>-330674.33984573372</v>
      </c>
      <c r="I148" s="192">
        <v>39813</v>
      </c>
      <c r="J148" s="192">
        <v>39813</v>
      </c>
      <c r="K148" s="187">
        <f t="shared" ref="K148:K211" si="21">+IF(+J148="","",+J148-(I148-1))</f>
        <v>1</v>
      </c>
      <c r="L148" s="187"/>
      <c r="M148" s="191">
        <v>0.05</v>
      </c>
      <c r="N148" s="92">
        <f t="shared" si="16"/>
        <v>-45.3</v>
      </c>
      <c r="O148" s="84">
        <f t="shared" si="18"/>
        <v>-1404.24</v>
      </c>
      <c r="P148" s="84">
        <f t="shared" si="19"/>
        <v>910436.97999999952</v>
      </c>
    </row>
    <row r="149" spans="1:16" x14ac:dyDescent="0.25">
      <c r="A149" s="65" t="s">
        <v>186</v>
      </c>
      <c r="B149" s="65" t="s">
        <v>131</v>
      </c>
      <c r="G149" s="84">
        <f t="shared" si="20"/>
        <v>-330674.33984573372</v>
      </c>
      <c r="I149" s="192">
        <v>39814</v>
      </c>
      <c r="J149" s="192">
        <v>39843</v>
      </c>
      <c r="K149" s="187">
        <f t="shared" si="21"/>
        <v>30</v>
      </c>
      <c r="L149" s="187"/>
      <c r="M149" s="191">
        <v>4.5199999999999997E-2</v>
      </c>
      <c r="N149" s="92">
        <f t="shared" si="16"/>
        <v>-1228.48</v>
      </c>
      <c r="O149" s="84">
        <f t="shared" si="18"/>
        <v>-1228.48</v>
      </c>
      <c r="P149" s="84">
        <f t="shared" si="19"/>
        <v>909208.49999999953</v>
      </c>
    </row>
    <row r="150" spans="1:16" x14ac:dyDescent="0.25">
      <c r="A150" s="193" t="s">
        <v>185</v>
      </c>
      <c r="C150" s="84">
        <v>0</v>
      </c>
      <c r="F150" s="84">
        <f>C150</f>
        <v>0</v>
      </c>
      <c r="G150" s="84">
        <f t="shared" si="20"/>
        <v>-330674.33984573372</v>
      </c>
      <c r="I150" s="192">
        <v>39844</v>
      </c>
      <c r="J150" s="192">
        <v>39844</v>
      </c>
      <c r="K150" s="187">
        <f t="shared" si="21"/>
        <v>1</v>
      </c>
      <c r="L150" s="187"/>
      <c r="M150" s="191">
        <v>4.5199999999999997E-2</v>
      </c>
      <c r="N150" s="92">
        <f t="shared" si="16"/>
        <v>-40.950000000000003</v>
      </c>
      <c r="O150" s="84">
        <f t="shared" si="18"/>
        <v>-1269.43</v>
      </c>
      <c r="P150" s="84">
        <f t="shared" si="19"/>
        <v>909167.54999999958</v>
      </c>
    </row>
    <row r="151" spans="1:16" x14ac:dyDescent="0.25">
      <c r="B151" s="65" t="s">
        <v>130</v>
      </c>
      <c r="C151" s="84"/>
      <c r="G151" s="84">
        <f t="shared" si="20"/>
        <v>-330674.33984573372</v>
      </c>
      <c r="I151" s="192">
        <v>39845</v>
      </c>
      <c r="J151" s="192">
        <v>39871</v>
      </c>
      <c r="K151" s="187">
        <f t="shared" si="21"/>
        <v>27</v>
      </c>
      <c r="L151" s="187"/>
      <c r="M151" s="191">
        <v>4.5199999999999997E-2</v>
      </c>
      <c r="N151" s="92">
        <f t="shared" si="16"/>
        <v>-1105.6300000000001</v>
      </c>
      <c r="O151" s="84">
        <f t="shared" si="18"/>
        <v>-1105.6300000000001</v>
      </c>
      <c r="P151" s="84">
        <f t="shared" si="19"/>
        <v>908061.91999999958</v>
      </c>
    </row>
    <row r="152" spans="1:16" x14ac:dyDescent="0.25">
      <c r="C152" s="84">
        <v>0</v>
      </c>
      <c r="F152" s="84">
        <f>C152</f>
        <v>0</v>
      </c>
      <c r="G152" s="84">
        <f t="shared" si="20"/>
        <v>-330674.33984573372</v>
      </c>
      <c r="I152" s="192">
        <v>39872</v>
      </c>
      <c r="J152" s="192">
        <v>39872</v>
      </c>
      <c r="K152" s="187">
        <f t="shared" si="21"/>
        <v>1</v>
      </c>
      <c r="L152" s="187"/>
      <c r="M152" s="191">
        <v>4.5199999999999997E-2</v>
      </c>
      <c r="N152" s="92">
        <f t="shared" ref="N152:N215" si="22">+IF(+K152&lt;&gt;" ", ROUND(M152*(K152/365)*G152,2),0)</f>
        <v>-40.950000000000003</v>
      </c>
      <c r="O152" s="84">
        <f t="shared" si="18"/>
        <v>-1146.5800000000002</v>
      </c>
      <c r="P152" s="84">
        <f t="shared" si="19"/>
        <v>908020.96999999962</v>
      </c>
    </row>
    <row r="153" spans="1:16" x14ac:dyDescent="0.25">
      <c r="B153" s="65" t="s">
        <v>129</v>
      </c>
      <c r="C153" s="84"/>
      <c r="G153" s="84">
        <f t="shared" si="20"/>
        <v>-330674.33984573372</v>
      </c>
      <c r="I153" s="192">
        <v>39873</v>
      </c>
      <c r="J153" s="192">
        <v>39902</v>
      </c>
      <c r="K153" s="187">
        <f t="shared" si="21"/>
        <v>30</v>
      </c>
      <c r="L153" s="187"/>
      <c r="M153" s="191">
        <v>4.5199999999999997E-2</v>
      </c>
      <c r="N153" s="92">
        <f t="shared" si="22"/>
        <v>-1228.48</v>
      </c>
      <c r="O153" s="84">
        <f t="shared" si="18"/>
        <v>-1228.48</v>
      </c>
      <c r="P153" s="84">
        <f t="shared" si="19"/>
        <v>906792.48999999964</v>
      </c>
    </row>
    <row r="154" spans="1:16" x14ac:dyDescent="0.25">
      <c r="C154" s="84">
        <v>0</v>
      </c>
      <c r="F154" s="84">
        <f>C154</f>
        <v>0</v>
      </c>
      <c r="G154" s="84">
        <f t="shared" si="20"/>
        <v>-330674.33984573372</v>
      </c>
      <c r="I154" s="192">
        <v>39903</v>
      </c>
      <c r="J154" s="192">
        <v>39903</v>
      </c>
      <c r="K154" s="187">
        <f t="shared" si="21"/>
        <v>1</v>
      </c>
      <c r="L154" s="187"/>
      <c r="M154" s="191">
        <v>4.5199999999999997E-2</v>
      </c>
      <c r="N154" s="92">
        <f t="shared" si="22"/>
        <v>-40.950000000000003</v>
      </c>
      <c r="O154" s="84">
        <f t="shared" ref="O154:O217" si="23">IF(MONTH(+I154)&lt;&gt;MONTH(+I153),N154,+O153+N154)</f>
        <v>-1269.43</v>
      </c>
      <c r="P154" s="84">
        <f t="shared" si="19"/>
        <v>906751.53999999969</v>
      </c>
    </row>
    <row r="155" spans="1:16" x14ac:dyDescent="0.25">
      <c r="B155" s="65" t="s">
        <v>128</v>
      </c>
      <c r="C155" s="84"/>
      <c r="G155" s="84">
        <f t="shared" si="20"/>
        <v>-330674.33984573372</v>
      </c>
      <c r="I155" s="192">
        <v>39904</v>
      </c>
      <c r="J155" s="192">
        <v>39932</v>
      </c>
      <c r="K155" s="187">
        <f t="shared" si="21"/>
        <v>29</v>
      </c>
      <c r="L155" s="187"/>
      <c r="M155" s="191">
        <v>3.3700000000000001E-2</v>
      </c>
      <c r="N155" s="92">
        <f t="shared" si="22"/>
        <v>-885.39</v>
      </c>
      <c r="O155" s="84">
        <f t="shared" si="23"/>
        <v>-885.39</v>
      </c>
      <c r="P155" s="84">
        <f t="shared" ref="P155:P218" si="24">P154+N155</f>
        <v>905866.14999999967</v>
      </c>
    </row>
    <row r="156" spans="1:16" x14ac:dyDescent="0.25">
      <c r="C156" s="84">
        <v>0</v>
      </c>
      <c r="F156" s="84">
        <f>C156</f>
        <v>0</v>
      </c>
      <c r="G156" s="84">
        <f t="shared" si="20"/>
        <v>-330674.33984573372</v>
      </c>
      <c r="I156" s="192">
        <v>39933</v>
      </c>
      <c r="J156" s="192">
        <v>39933</v>
      </c>
      <c r="K156" s="187">
        <f t="shared" si="21"/>
        <v>1</v>
      </c>
      <c r="L156" s="187"/>
      <c r="M156" s="191">
        <v>3.3700000000000001E-2</v>
      </c>
      <c r="N156" s="92">
        <f t="shared" si="22"/>
        <v>-30.53</v>
      </c>
      <c r="O156" s="84">
        <f t="shared" si="23"/>
        <v>-915.92</v>
      </c>
      <c r="P156" s="84">
        <f t="shared" si="24"/>
        <v>905835.61999999965</v>
      </c>
    </row>
    <row r="157" spans="1:16" x14ac:dyDescent="0.25">
      <c r="B157" s="65" t="s">
        <v>127</v>
      </c>
      <c r="C157" s="84"/>
      <c r="G157" s="84">
        <f t="shared" si="20"/>
        <v>-330674.33984573372</v>
      </c>
      <c r="I157" s="192">
        <v>39934</v>
      </c>
      <c r="J157" s="192">
        <v>39963</v>
      </c>
      <c r="K157" s="187">
        <f t="shared" si="21"/>
        <v>30</v>
      </c>
      <c r="L157" s="187"/>
      <c r="M157" s="191">
        <v>3.3700000000000001E-2</v>
      </c>
      <c r="N157" s="92">
        <f t="shared" si="22"/>
        <v>-915.92</v>
      </c>
      <c r="O157" s="84">
        <f t="shared" si="23"/>
        <v>-915.92</v>
      </c>
      <c r="P157" s="84">
        <f t="shared" si="24"/>
        <v>904919.6999999996</v>
      </c>
    </row>
    <row r="158" spans="1:16" x14ac:dyDescent="0.25">
      <c r="C158" s="84">
        <v>-635934.09108923934</v>
      </c>
      <c r="F158" s="84">
        <f>C158</f>
        <v>-635934.09108923934</v>
      </c>
      <c r="G158" s="84">
        <f t="shared" si="20"/>
        <v>-966608.43093497306</v>
      </c>
      <c r="I158" s="192">
        <v>39964</v>
      </c>
      <c r="J158" s="192">
        <v>39964</v>
      </c>
      <c r="K158" s="187">
        <f t="shared" si="21"/>
        <v>1</v>
      </c>
      <c r="L158" s="187"/>
      <c r="M158" s="191">
        <v>3.3700000000000001E-2</v>
      </c>
      <c r="N158" s="92">
        <f t="shared" si="22"/>
        <v>-89.25</v>
      </c>
      <c r="O158" s="84">
        <f t="shared" si="23"/>
        <v>-1005.17</v>
      </c>
      <c r="P158" s="84">
        <f t="shared" si="24"/>
        <v>904830.4499999996</v>
      </c>
    </row>
    <row r="159" spans="1:16" x14ac:dyDescent="0.25">
      <c r="B159" s="65" t="s">
        <v>126</v>
      </c>
      <c r="C159" s="84"/>
      <c r="G159" s="84">
        <f t="shared" si="20"/>
        <v>-966608.43093497306</v>
      </c>
      <c r="I159" s="192">
        <v>39965</v>
      </c>
      <c r="J159" s="192">
        <v>39993</v>
      </c>
      <c r="K159" s="187">
        <f t="shared" si="21"/>
        <v>29</v>
      </c>
      <c r="L159" s="187"/>
      <c r="M159" s="191">
        <v>3.3700000000000001E-2</v>
      </c>
      <c r="N159" s="92">
        <f t="shared" si="22"/>
        <v>-2588.13</v>
      </c>
      <c r="O159" s="84">
        <f t="shared" si="23"/>
        <v>-2588.13</v>
      </c>
      <c r="P159" s="84">
        <f t="shared" si="24"/>
        <v>902242.3199999996</v>
      </c>
    </row>
    <row r="160" spans="1:16" x14ac:dyDescent="0.25">
      <c r="C160" s="84">
        <v>-548523.69778162427</v>
      </c>
      <c r="F160" s="84">
        <f>C160</f>
        <v>-548523.69778162427</v>
      </c>
      <c r="G160" s="84">
        <f t="shared" si="20"/>
        <v>-1515132.1287165973</v>
      </c>
      <c r="I160" s="192">
        <v>39994</v>
      </c>
      <c r="J160" s="192">
        <v>39994</v>
      </c>
      <c r="K160" s="187">
        <f t="shared" si="21"/>
        <v>1</v>
      </c>
      <c r="L160" s="187"/>
      <c r="M160" s="191">
        <v>3.3700000000000001E-2</v>
      </c>
      <c r="N160" s="92">
        <f t="shared" si="22"/>
        <v>-139.88999999999999</v>
      </c>
      <c r="O160" s="84">
        <f t="shared" si="23"/>
        <v>-2728.02</v>
      </c>
      <c r="P160" s="84">
        <f t="shared" si="24"/>
        <v>902102.42999999959</v>
      </c>
    </row>
    <row r="161" spans="1:16" x14ac:dyDescent="0.25">
      <c r="B161" s="65" t="s">
        <v>125</v>
      </c>
      <c r="C161" s="84"/>
      <c r="G161" s="84">
        <f t="shared" si="20"/>
        <v>-1515132.1287165973</v>
      </c>
      <c r="I161" s="192">
        <v>39995</v>
      </c>
      <c r="J161" s="192">
        <v>40024</v>
      </c>
      <c r="K161" s="187">
        <f t="shared" si="21"/>
        <v>30</v>
      </c>
      <c r="L161" s="187"/>
      <c r="M161" s="191">
        <v>3.2500000000000001E-2</v>
      </c>
      <c r="N161" s="92">
        <f t="shared" si="22"/>
        <v>-4047.27</v>
      </c>
      <c r="O161" s="84">
        <f t="shared" si="23"/>
        <v>-4047.27</v>
      </c>
      <c r="P161" s="84">
        <f t="shared" si="24"/>
        <v>898055.15999999957</v>
      </c>
    </row>
    <row r="162" spans="1:16" x14ac:dyDescent="0.25">
      <c r="C162" s="84">
        <v>-1403246.0013056528</v>
      </c>
      <c r="F162" s="84">
        <f>C162</f>
        <v>-1403246.0013056528</v>
      </c>
      <c r="G162" s="84">
        <f t="shared" si="20"/>
        <v>-2918378.1300222501</v>
      </c>
      <c r="I162" s="192">
        <v>40025</v>
      </c>
      <c r="J162" s="192">
        <v>40025</v>
      </c>
      <c r="K162" s="187">
        <f t="shared" si="21"/>
        <v>1</v>
      </c>
      <c r="L162" s="187"/>
      <c r="M162" s="191">
        <v>3.2500000000000001E-2</v>
      </c>
      <c r="N162" s="92">
        <f t="shared" si="22"/>
        <v>-259.86</v>
      </c>
      <c r="O162" s="84">
        <f t="shared" si="23"/>
        <v>-4307.13</v>
      </c>
      <c r="P162" s="84">
        <f t="shared" si="24"/>
        <v>897795.29999999958</v>
      </c>
    </row>
    <row r="163" spans="1:16" x14ac:dyDescent="0.25">
      <c r="B163" s="65" t="s">
        <v>124</v>
      </c>
      <c r="C163" s="84"/>
      <c r="G163" s="84">
        <f t="shared" si="20"/>
        <v>-2918378.1300222501</v>
      </c>
      <c r="I163" s="192">
        <v>40026</v>
      </c>
      <c r="J163" s="192">
        <v>40055</v>
      </c>
      <c r="K163" s="187">
        <f t="shared" si="21"/>
        <v>30</v>
      </c>
      <c r="L163" s="187"/>
      <c r="M163" s="191">
        <v>3.2500000000000001E-2</v>
      </c>
      <c r="N163" s="92">
        <f t="shared" si="22"/>
        <v>-7795.67</v>
      </c>
      <c r="O163" s="84">
        <f t="shared" si="23"/>
        <v>-7795.67</v>
      </c>
      <c r="P163" s="84">
        <f t="shared" si="24"/>
        <v>889999.62999999954</v>
      </c>
    </row>
    <row r="164" spans="1:16" x14ac:dyDescent="0.25">
      <c r="C164" s="84">
        <v>608624.51344915107</v>
      </c>
      <c r="F164" s="84">
        <f>C164</f>
        <v>608624.51344915107</v>
      </c>
      <c r="G164" s="84">
        <f t="shared" si="20"/>
        <v>-2309753.616573099</v>
      </c>
      <c r="I164" s="192">
        <v>40056</v>
      </c>
      <c r="J164" s="192">
        <v>40056</v>
      </c>
      <c r="K164" s="187">
        <f t="shared" si="21"/>
        <v>1</v>
      </c>
      <c r="L164" s="187"/>
      <c r="M164" s="191">
        <v>3.2500000000000001E-2</v>
      </c>
      <c r="N164" s="92">
        <f t="shared" si="22"/>
        <v>-205.66</v>
      </c>
      <c r="O164" s="84">
        <f t="shared" si="23"/>
        <v>-8001.33</v>
      </c>
      <c r="P164" s="84">
        <f t="shared" si="24"/>
        <v>889793.96999999951</v>
      </c>
    </row>
    <row r="165" spans="1:16" x14ac:dyDescent="0.25">
      <c r="B165" s="65" t="s">
        <v>123</v>
      </c>
      <c r="C165" s="84"/>
      <c r="G165" s="84">
        <f t="shared" si="20"/>
        <v>-2309753.616573099</v>
      </c>
      <c r="I165" s="192">
        <v>40057</v>
      </c>
      <c r="J165" s="192">
        <v>40085</v>
      </c>
      <c r="K165" s="187">
        <f t="shared" si="21"/>
        <v>29</v>
      </c>
      <c r="L165" s="187"/>
      <c r="M165" s="191">
        <v>3.2500000000000001E-2</v>
      </c>
      <c r="N165" s="92">
        <f t="shared" si="22"/>
        <v>-5964.23</v>
      </c>
      <c r="O165" s="84">
        <f t="shared" si="23"/>
        <v>-5964.23</v>
      </c>
      <c r="P165" s="84">
        <f t="shared" si="24"/>
        <v>883829.73999999953</v>
      </c>
    </row>
    <row r="166" spans="1:16" x14ac:dyDescent="0.25">
      <c r="C166" s="84">
        <v>1979079.2767273653</v>
      </c>
      <c r="F166" s="84">
        <f>C166</f>
        <v>1979079.2767273653</v>
      </c>
      <c r="G166" s="84">
        <f t="shared" si="20"/>
        <v>-330674.33984573372</v>
      </c>
      <c r="I166" s="192">
        <v>40086</v>
      </c>
      <c r="J166" s="192">
        <v>40086</v>
      </c>
      <c r="K166" s="187">
        <f t="shared" si="21"/>
        <v>1</v>
      </c>
      <c r="L166" s="187"/>
      <c r="M166" s="191">
        <v>3.2500000000000001E-2</v>
      </c>
      <c r="N166" s="92">
        <f t="shared" si="22"/>
        <v>-29.44</v>
      </c>
      <c r="O166" s="84">
        <f t="shared" si="23"/>
        <v>-5993.6699999999992</v>
      </c>
      <c r="P166" s="84">
        <f t="shared" si="24"/>
        <v>883800.29999999958</v>
      </c>
    </row>
    <row r="167" spans="1:16" x14ac:dyDescent="0.25">
      <c r="B167" s="65" t="s">
        <v>122</v>
      </c>
      <c r="C167" s="84"/>
      <c r="G167" s="84">
        <f t="shared" si="20"/>
        <v>-330674.33984573372</v>
      </c>
      <c r="I167" s="192">
        <v>40087</v>
      </c>
      <c r="J167" s="192">
        <v>40116</v>
      </c>
      <c r="K167" s="187">
        <f t="shared" si="21"/>
        <v>30</v>
      </c>
      <c r="L167" s="187"/>
      <c r="M167" s="191">
        <v>3.2500000000000001E-2</v>
      </c>
      <c r="N167" s="92">
        <f t="shared" si="22"/>
        <v>-883.31</v>
      </c>
      <c r="O167" s="84">
        <f t="shared" si="23"/>
        <v>-883.31</v>
      </c>
      <c r="P167" s="84">
        <f t="shared" si="24"/>
        <v>882916.98999999953</v>
      </c>
    </row>
    <row r="168" spans="1:16" x14ac:dyDescent="0.25">
      <c r="C168" s="84">
        <v>0</v>
      </c>
      <c r="F168" s="84">
        <f>C168</f>
        <v>0</v>
      </c>
      <c r="G168" s="84">
        <f t="shared" si="20"/>
        <v>-330674.33984573372</v>
      </c>
      <c r="I168" s="192">
        <v>40117</v>
      </c>
      <c r="J168" s="192">
        <v>40117</v>
      </c>
      <c r="K168" s="187">
        <f t="shared" si="21"/>
        <v>1</v>
      </c>
      <c r="L168" s="187"/>
      <c r="M168" s="191">
        <v>3.2500000000000001E-2</v>
      </c>
      <c r="N168" s="92">
        <f t="shared" si="22"/>
        <v>-29.44</v>
      </c>
      <c r="O168" s="84">
        <f t="shared" si="23"/>
        <v>-912.75</v>
      </c>
      <c r="P168" s="84">
        <f t="shared" si="24"/>
        <v>882887.54999999958</v>
      </c>
    </row>
    <row r="169" spans="1:16" x14ac:dyDescent="0.25">
      <c r="B169" s="65" t="s">
        <v>121</v>
      </c>
      <c r="C169" s="84"/>
      <c r="G169" s="84">
        <f t="shared" si="20"/>
        <v>-330674.33984573372</v>
      </c>
      <c r="I169" s="192">
        <v>40118</v>
      </c>
      <c r="J169" s="192">
        <v>40146</v>
      </c>
      <c r="K169" s="187">
        <f t="shared" si="21"/>
        <v>29</v>
      </c>
      <c r="L169" s="187"/>
      <c r="M169" s="191">
        <v>3.2500000000000001E-2</v>
      </c>
      <c r="N169" s="92">
        <f t="shared" si="22"/>
        <v>-853.86</v>
      </c>
      <c r="O169" s="84">
        <f t="shared" si="23"/>
        <v>-853.86</v>
      </c>
      <c r="P169" s="84">
        <f t="shared" si="24"/>
        <v>882033.68999999959</v>
      </c>
    </row>
    <row r="170" spans="1:16" x14ac:dyDescent="0.25">
      <c r="C170" s="84">
        <v>0</v>
      </c>
      <c r="F170" s="84">
        <f>C170</f>
        <v>0</v>
      </c>
      <c r="G170" s="84">
        <f t="shared" ref="G170:G233" si="25">+G169+F170</f>
        <v>-330674.33984573372</v>
      </c>
      <c r="I170" s="192">
        <v>40147</v>
      </c>
      <c r="J170" s="192">
        <v>40147</v>
      </c>
      <c r="K170" s="187">
        <f t="shared" si="21"/>
        <v>1</v>
      </c>
      <c r="L170" s="187"/>
      <c r="M170" s="191">
        <v>3.2500000000000001E-2</v>
      </c>
      <c r="N170" s="92">
        <f t="shared" si="22"/>
        <v>-29.44</v>
      </c>
      <c r="O170" s="84">
        <f t="shared" si="23"/>
        <v>-883.30000000000007</v>
      </c>
      <c r="P170" s="84">
        <f t="shared" si="24"/>
        <v>882004.24999999965</v>
      </c>
    </row>
    <row r="171" spans="1:16" x14ac:dyDescent="0.25">
      <c r="B171" s="65" t="s">
        <v>120</v>
      </c>
      <c r="C171" s="84"/>
      <c r="G171" s="84">
        <f t="shared" si="25"/>
        <v>-330674.33984573372</v>
      </c>
      <c r="I171" s="192">
        <v>40148</v>
      </c>
      <c r="J171" s="192">
        <v>40177</v>
      </c>
      <c r="K171" s="187">
        <f t="shared" si="21"/>
        <v>30</v>
      </c>
      <c r="L171" s="187"/>
      <c r="M171" s="191">
        <v>3.2500000000000001E-2</v>
      </c>
      <c r="N171" s="92">
        <f t="shared" si="22"/>
        <v>-883.31</v>
      </c>
      <c r="O171" s="84">
        <f t="shared" si="23"/>
        <v>-883.31</v>
      </c>
      <c r="P171" s="84">
        <f t="shared" si="24"/>
        <v>881120.93999999959</v>
      </c>
    </row>
    <row r="172" spans="1:16" x14ac:dyDescent="0.25">
      <c r="C172" s="84">
        <v>5135048.7285339981</v>
      </c>
      <c r="F172" s="84">
        <f>C172</f>
        <v>5135048.7285339981</v>
      </c>
      <c r="G172" s="84">
        <f t="shared" si="25"/>
        <v>4804374.3886882644</v>
      </c>
      <c r="I172" s="192">
        <v>40178</v>
      </c>
      <c r="J172" s="192">
        <v>40178</v>
      </c>
      <c r="K172" s="187">
        <f t="shared" si="21"/>
        <v>1</v>
      </c>
      <c r="L172" s="187"/>
      <c r="M172" s="191">
        <v>3.2500000000000001E-2</v>
      </c>
      <c r="N172" s="92">
        <f t="shared" si="22"/>
        <v>427.79</v>
      </c>
      <c r="O172" s="84">
        <f t="shared" si="23"/>
        <v>-455.51999999999992</v>
      </c>
      <c r="P172" s="84">
        <f t="shared" si="24"/>
        <v>881548.72999999963</v>
      </c>
    </row>
    <row r="173" spans="1:16" x14ac:dyDescent="0.25">
      <c r="A173" s="65" t="s">
        <v>184</v>
      </c>
      <c r="B173" s="65" t="s">
        <v>131</v>
      </c>
      <c r="G173" s="84">
        <f t="shared" si="25"/>
        <v>4804374.3886882644</v>
      </c>
      <c r="I173" s="192">
        <v>40179</v>
      </c>
      <c r="J173" s="192">
        <v>40208</v>
      </c>
      <c r="K173" s="187">
        <f t="shared" si="21"/>
        <v>30</v>
      </c>
      <c r="L173" s="187"/>
      <c r="M173" s="191">
        <v>3.2500000000000001E-2</v>
      </c>
      <c r="N173" s="92">
        <f t="shared" si="22"/>
        <v>12833.6</v>
      </c>
      <c r="O173" s="84">
        <f t="shared" si="23"/>
        <v>12833.6</v>
      </c>
      <c r="P173" s="84">
        <f t="shared" si="24"/>
        <v>894382.32999999961</v>
      </c>
    </row>
    <row r="174" spans="1:16" x14ac:dyDescent="0.25">
      <c r="A174" s="193" t="s">
        <v>183</v>
      </c>
      <c r="C174" s="84">
        <v>0</v>
      </c>
      <c r="F174" s="84">
        <f>C174</f>
        <v>0</v>
      </c>
      <c r="G174" s="84">
        <f t="shared" si="25"/>
        <v>4804374.3886882644</v>
      </c>
      <c r="I174" s="192">
        <v>40209</v>
      </c>
      <c r="J174" s="192">
        <v>40209</v>
      </c>
      <c r="K174" s="187">
        <f t="shared" si="21"/>
        <v>1</v>
      </c>
      <c r="L174" s="187"/>
      <c r="M174" s="191">
        <v>3.2500000000000001E-2</v>
      </c>
      <c r="N174" s="92">
        <f t="shared" si="22"/>
        <v>427.79</v>
      </c>
      <c r="O174" s="84">
        <f t="shared" si="23"/>
        <v>13261.390000000001</v>
      </c>
      <c r="P174" s="84">
        <f t="shared" si="24"/>
        <v>894810.11999999965</v>
      </c>
    </row>
    <row r="175" spans="1:16" x14ac:dyDescent="0.25">
      <c r="B175" s="65" t="s">
        <v>130</v>
      </c>
      <c r="C175" s="84"/>
      <c r="G175" s="84">
        <f t="shared" si="25"/>
        <v>4804374.3886882644</v>
      </c>
      <c r="I175" s="192">
        <v>40210</v>
      </c>
      <c r="J175" s="192">
        <v>40236</v>
      </c>
      <c r="K175" s="187">
        <f t="shared" si="21"/>
        <v>27</v>
      </c>
      <c r="L175" s="187"/>
      <c r="M175" s="191">
        <v>3.2500000000000001E-2</v>
      </c>
      <c r="N175" s="92">
        <f t="shared" si="22"/>
        <v>11550.24</v>
      </c>
      <c r="O175" s="84">
        <f t="shared" si="23"/>
        <v>11550.24</v>
      </c>
      <c r="P175" s="84">
        <f t="shared" si="24"/>
        <v>906360.35999999964</v>
      </c>
    </row>
    <row r="176" spans="1:16" x14ac:dyDescent="0.25">
      <c r="C176" s="84">
        <v>2423631.801070381</v>
      </c>
      <c r="F176" s="84">
        <f>C176</f>
        <v>2423631.801070381</v>
      </c>
      <c r="G176" s="84">
        <f t="shared" si="25"/>
        <v>7228006.1897586454</v>
      </c>
      <c r="I176" s="192">
        <v>40237</v>
      </c>
      <c r="J176" s="192">
        <v>40237</v>
      </c>
      <c r="K176" s="187">
        <f t="shared" si="21"/>
        <v>1</v>
      </c>
      <c r="L176" s="187"/>
      <c r="M176" s="191">
        <v>3.2500000000000001E-2</v>
      </c>
      <c r="N176" s="92">
        <f t="shared" si="22"/>
        <v>643.59</v>
      </c>
      <c r="O176" s="84">
        <f t="shared" si="23"/>
        <v>12193.83</v>
      </c>
      <c r="P176" s="84">
        <f t="shared" si="24"/>
        <v>907003.9499999996</v>
      </c>
    </row>
    <row r="177" spans="2:16" x14ac:dyDescent="0.25">
      <c r="B177" s="65" t="s">
        <v>129</v>
      </c>
      <c r="C177" s="84"/>
      <c r="G177" s="84">
        <f t="shared" si="25"/>
        <v>7228006.1897586454</v>
      </c>
      <c r="I177" s="192">
        <v>40238</v>
      </c>
      <c r="J177" s="192">
        <v>40267</v>
      </c>
      <c r="K177" s="187">
        <f t="shared" si="21"/>
        <v>30</v>
      </c>
      <c r="L177" s="187"/>
      <c r="M177" s="191">
        <v>3.2500000000000001E-2</v>
      </c>
      <c r="N177" s="92">
        <f t="shared" si="22"/>
        <v>19307.689999999999</v>
      </c>
      <c r="O177" s="84">
        <f t="shared" si="23"/>
        <v>19307.689999999999</v>
      </c>
      <c r="P177" s="84">
        <f t="shared" si="24"/>
        <v>926311.63999999955</v>
      </c>
    </row>
    <row r="178" spans="2:16" x14ac:dyDescent="0.25">
      <c r="C178" s="84">
        <v>5498029.6531072073</v>
      </c>
      <c r="F178" s="84">
        <f>C178</f>
        <v>5498029.6531072073</v>
      </c>
      <c r="G178" s="84">
        <f t="shared" si="25"/>
        <v>12726035.842865853</v>
      </c>
      <c r="I178" s="192">
        <v>40268</v>
      </c>
      <c r="J178" s="192">
        <v>40268</v>
      </c>
      <c r="K178" s="187">
        <f t="shared" si="21"/>
        <v>1</v>
      </c>
      <c r="L178" s="187"/>
      <c r="M178" s="191">
        <v>3.2500000000000001E-2</v>
      </c>
      <c r="N178" s="92">
        <f t="shared" si="22"/>
        <v>1133.1400000000001</v>
      </c>
      <c r="O178" s="84">
        <f t="shared" si="23"/>
        <v>20440.829999999998</v>
      </c>
      <c r="P178" s="84">
        <f t="shared" si="24"/>
        <v>927444.77999999956</v>
      </c>
    </row>
    <row r="179" spans="2:16" x14ac:dyDescent="0.25">
      <c r="B179" s="65" t="s">
        <v>128</v>
      </c>
      <c r="C179" s="84"/>
      <c r="G179" s="84">
        <f t="shared" si="25"/>
        <v>12726035.842865853</v>
      </c>
      <c r="I179" s="192">
        <v>40269</v>
      </c>
      <c r="J179" s="192">
        <v>40297</v>
      </c>
      <c r="K179" s="187">
        <f t="shared" si="21"/>
        <v>29</v>
      </c>
      <c r="L179" s="187"/>
      <c r="M179" s="191">
        <v>3.2500000000000001E-2</v>
      </c>
      <c r="N179" s="92">
        <f t="shared" si="22"/>
        <v>32861.07</v>
      </c>
      <c r="O179" s="84">
        <f t="shared" si="23"/>
        <v>32861.07</v>
      </c>
      <c r="P179" s="84">
        <f t="shared" si="24"/>
        <v>960305.84999999951</v>
      </c>
    </row>
    <row r="180" spans="2:16" x14ac:dyDescent="0.25">
      <c r="C180" s="84">
        <v>-2907013.1197292283</v>
      </c>
      <c r="F180" s="84">
        <f>C180</f>
        <v>-2907013.1197292283</v>
      </c>
      <c r="G180" s="84">
        <f t="shared" si="25"/>
        <v>9819022.7231366243</v>
      </c>
      <c r="I180" s="192">
        <v>40298</v>
      </c>
      <c r="J180" s="192">
        <v>40298</v>
      </c>
      <c r="K180" s="187">
        <f t="shared" si="21"/>
        <v>1</v>
      </c>
      <c r="L180" s="187"/>
      <c r="M180" s="191">
        <v>3.2500000000000001E-2</v>
      </c>
      <c r="N180" s="92">
        <f t="shared" si="22"/>
        <v>874.3</v>
      </c>
      <c r="O180" s="84">
        <f t="shared" si="23"/>
        <v>33735.370000000003</v>
      </c>
      <c r="P180" s="84">
        <f t="shared" si="24"/>
        <v>961180.14999999956</v>
      </c>
    </row>
    <row r="181" spans="2:16" x14ac:dyDescent="0.25">
      <c r="B181" s="65" t="s">
        <v>127</v>
      </c>
      <c r="C181" s="84"/>
      <c r="G181" s="84">
        <f t="shared" si="25"/>
        <v>9819022.7231366243</v>
      </c>
      <c r="I181" s="192">
        <v>40299</v>
      </c>
      <c r="J181" s="192">
        <v>40328</v>
      </c>
      <c r="K181" s="187">
        <f t="shared" si="21"/>
        <v>30</v>
      </c>
      <c r="L181" s="187"/>
      <c r="M181" s="191">
        <v>3.2500000000000001E-2</v>
      </c>
      <c r="N181" s="92">
        <f t="shared" si="22"/>
        <v>26228.9</v>
      </c>
      <c r="O181" s="84">
        <f t="shared" si="23"/>
        <v>26228.9</v>
      </c>
      <c r="P181" s="84">
        <f t="shared" si="24"/>
        <v>987409.04999999958</v>
      </c>
    </row>
    <row r="182" spans="2:16" x14ac:dyDescent="0.25">
      <c r="C182" s="84">
        <v>-5014648.3344483599</v>
      </c>
      <c r="F182" s="84">
        <f>C182</f>
        <v>-5014648.3344483599</v>
      </c>
      <c r="G182" s="84">
        <f t="shared" si="25"/>
        <v>4804374.3886882644</v>
      </c>
      <c r="I182" s="192">
        <v>40329</v>
      </c>
      <c r="J182" s="192">
        <v>40329</v>
      </c>
      <c r="K182" s="187">
        <f t="shared" si="21"/>
        <v>1</v>
      </c>
      <c r="L182" s="187"/>
      <c r="M182" s="191">
        <v>3.2500000000000001E-2</v>
      </c>
      <c r="N182" s="92">
        <f t="shared" si="22"/>
        <v>427.79</v>
      </c>
      <c r="O182" s="84">
        <f t="shared" si="23"/>
        <v>26656.690000000002</v>
      </c>
      <c r="P182" s="84">
        <f t="shared" si="24"/>
        <v>987836.83999999962</v>
      </c>
    </row>
    <row r="183" spans="2:16" x14ac:dyDescent="0.25">
      <c r="B183" s="65" t="s">
        <v>126</v>
      </c>
      <c r="C183" s="84"/>
      <c r="G183" s="84">
        <f t="shared" si="25"/>
        <v>4804374.3886882644</v>
      </c>
      <c r="I183" s="192">
        <v>40330</v>
      </c>
      <c r="J183" s="192">
        <v>40358</v>
      </c>
      <c r="K183" s="187">
        <f t="shared" si="21"/>
        <v>29</v>
      </c>
      <c r="L183" s="187"/>
      <c r="M183" s="191">
        <v>3.2500000000000001E-2</v>
      </c>
      <c r="N183" s="92">
        <f t="shared" si="22"/>
        <v>12405.82</v>
      </c>
      <c r="O183" s="84">
        <f t="shared" si="23"/>
        <v>12405.82</v>
      </c>
      <c r="P183" s="84">
        <f t="shared" si="24"/>
        <v>1000242.6599999996</v>
      </c>
    </row>
    <row r="184" spans="2:16" x14ac:dyDescent="0.25">
      <c r="C184" s="84">
        <v>2907376.7569421828</v>
      </c>
      <c r="F184" s="84">
        <f>C184</f>
        <v>2907376.7569421828</v>
      </c>
      <c r="G184" s="84">
        <f t="shared" si="25"/>
        <v>7711751.1456304472</v>
      </c>
      <c r="I184" s="192">
        <v>40359</v>
      </c>
      <c r="J184" s="192">
        <v>40359</v>
      </c>
      <c r="K184" s="187">
        <f t="shared" si="21"/>
        <v>1</v>
      </c>
      <c r="L184" s="187"/>
      <c r="M184" s="191">
        <v>3.2500000000000001E-2</v>
      </c>
      <c r="N184" s="92">
        <f t="shared" si="22"/>
        <v>686.66</v>
      </c>
      <c r="O184" s="84">
        <f t="shared" si="23"/>
        <v>13092.48</v>
      </c>
      <c r="P184" s="84">
        <f t="shared" si="24"/>
        <v>1000929.3199999996</v>
      </c>
    </row>
    <row r="185" spans="2:16" x14ac:dyDescent="0.25">
      <c r="B185" s="65" t="s">
        <v>125</v>
      </c>
      <c r="C185" s="84"/>
      <c r="G185" s="84">
        <f t="shared" si="25"/>
        <v>7711751.1456304472</v>
      </c>
      <c r="I185" s="192">
        <v>40360</v>
      </c>
      <c r="J185" s="192">
        <v>40389</v>
      </c>
      <c r="K185" s="187">
        <f t="shared" si="21"/>
        <v>30</v>
      </c>
      <c r="L185" s="187"/>
      <c r="M185" s="191">
        <v>3.2500000000000001E-2</v>
      </c>
      <c r="N185" s="92">
        <f t="shared" si="22"/>
        <v>20599.88</v>
      </c>
      <c r="O185" s="84">
        <f t="shared" si="23"/>
        <v>20599.88</v>
      </c>
      <c r="P185" s="84">
        <f t="shared" si="24"/>
        <v>1021529.1999999996</v>
      </c>
    </row>
    <row r="186" spans="2:16" x14ac:dyDescent="0.25">
      <c r="C186" s="84">
        <v>-2907376.7569421828</v>
      </c>
      <c r="F186" s="84">
        <f>C186</f>
        <v>-2907376.7569421828</v>
      </c>
      <c r="G186" s="84">
        <f t="shared" si="25"/>
        <v>4804374.3886882644</v>
      </c>
      <c r="I186" s="192">
        <v>40390</v>
      </c>
      <c r="J186" s="192">
        <v>40390</v>
      </c>
      <c r="K186" s="187">
        <f t="shared" si="21"/>
        <v>1</v>
      </c>
      <c r="L186" s="187"/>
      <c r="M186" s="191">
        <v>3.2500000000000001E-2</v>
      </c>
      <c r="N186" s="92">
        <f t="shared" si="22"/>
        <v>427.79</v>
      </c>
      <c r="O186" s="84">
        <f t="shared" si="23"/>
        <v>21027.670000000002</v>
      </c>
      <c r="P186" s="84">
        <f t="shared" si="24"/>
        <v>1021956.9899999996</v>
      </c>
    </row>
    <row r="187" spans="2:16" x14ac:dyDescent="0.25">
      <c r="B187" s="65" t="s">
        <v>124</v>
      </c>
      <c r="C187" s="84"/>
      <c r="G187" s="84">
        <f t="shared" si="25"/>
        <v>4804374.3886882644</v>
      </c>
      <c r="I187" s="192">
        <v>40391</v>
      </c>
      <c r="J187" s="192">
        <v>40420</v>
      </c>
      <c r="K187" s="187">
        <f t="shared" si="21"/>
        <v>30</v>
      </c>
      <c r="L187" s="187"/>
      <c r="M187" s="191">
        <v>3.2500000000000001E-2</v>
      </c>
      <c r="N187" s="92">
        <f t="shared" si="22"/>
        <v>12833.6</v>
      </c>
      <c r="O187" s="84">
        <f t="shared" si="23"/>
        <v>12833.6</v>
      </c>
      <c r="P187" s="84">
        <f t="shared" si="24"/>
        <v>1034790.5899999996</v>
      </c>
    </row>
    <row r="188" spans="2:16" x14ac:dyDescent="0.25">
      <c r="C188" s="84">
        <v>0</v>
      </c>
      <c r="F188" s="84">
        <f>C188</f>
        <v>0</v>
      </c>
      <c r="G188" s="84">
        <f t="shared" si="25"/>
        <v>4804374.3886882644</v>
      </c>
      <c r="I188" s="192">
        <v>40421</v>
      </c>
      <c r="J188" s="192">
        <v>40421</v>
      </c>
      <c r="K188" s="187">
        <f t="shared" si="21"/>
        <v>1</v>
      </c>
      <c r="L188" s="187"/>
      <c r="M188" s="191">
        <v>3.2500000000000001E-2</v>
      </c>
      <c r="N188" s="92">
        <f t="shared" si="22"/>
        <v>427.79</v>
      </c>
      <c r="O188" s="84">
        <f t="shared" si="23"/>
        <v>13261.390000000001</v>
      </c>
      <c r="P188" s="84">
        <f t="shared" si="24"/>
        <v>1035218.3799999997</v>
      </c>
    </row>
    <row r="189" spans="2:16" x14ac:dyDescent="0.25">
      <c r="B189" s="65" t="s">
        <v>123</v>
      </c>
      <c r="C189" s="84"/>
      <c r="G189" s="84">
        <f t="shared" si="25"/>
        <v>4804374.3886882644</v>
      </c>
      <c r="I189" s="192">
        <v>40422</v>
      </c>
      <c r="J189" s="192">
        <v>40450</v>
      </c>
      <c r="K189" s="187">
        <f t="shared" si="21"/>
        <v>29</v>
      </c>
      <c r="L189" s="187"/>
      <c r="M189" s="191">
        <v>3.2500000000000001E-2</v>
      </c>
      <c r="N189" s="92">
        <f t="shared" si="22"/>
        <v>12405.82</v>
      </c>
      <c r="O189" s="84">
        <f t="shared" si="23"/>
        <v>12405.82</v>
      </c>
      <c r="P189" s="84">
        <f t="shared" si="24"/>
        <v>1047624.1999999996</v>
      </c>
    </row>
    <row r="190" spans="2:16" x14ac:dyDescent="0.25">
      <c r="C190" s="84">
        <v>940763.75851666555</v>
      </c>
      <c r="F190" s="84">
        <f>C190</f>
        <v>940763.75851666555</v>
      </c>
      <c r="G190" s="84">
        <f t="shared" si="25"/>
        <v>5745138.14720493</v>
      </c>
      <c r="I190" s="192">
        <v>40451</v>
      </c>
      <c r="J190" s="192">
        <v>40451</v>
      </c>
      <c r="K190" s="187">
        <f t="shared" si="21"/>
        <v>1</v>
      </c>
      <c r="L190" s="187"/>
      <c r="M190" s="191">
        <v>3.2500000000000001E-2</v>
      </c>
      <c r="N190" s="92">
        <f t="shared" si="22"/>
        <v>511.55</v>
      </c>
      <c r="O190" s="84">
        <f t="shared" si="23"/>
        <v>12917.369999999999</v>
      </c>
      <c r="P190" s="84">
        <f t="shared" si="24"/>
        <v>1048135.7499999997</v>
      </c>
    </row>
    <row r="191" spans="2:16" x14ac:dyDescent="0.25">
      <c r="B191" s="65" t="s">
        <v>122</v>
      </c>
      <c r="C191" s="84"/>
      <c r="G191" s="84">
        <f t="shared" si="25"/>
        <v>5745138.14720493</v>
      </c>
      <c r="I191" s="192">
        <v>40452</v>
      </c>
      <c r="J191" s="192">
        <v>40481</v>
      </c>
      <c r="K191" s="187">
        <f t="shared" si="21"/>
        <v>30</v>
      </c>
      <c r="L191" s="187"/>
      <c r="M191" s="191">
        <v>3.2500000000000001E-2</v>
      </c>
      <c r="N191" s="92">
        <f t="shared" si="22"/>
        <v>15346.6</v>
      </c>
      <c r="O191" s="84">
        <f t="shared" si="23"/>
        <v>15346.6</v>
      </c>
      <c r="P191" s="84">
        <f t="shared" si="24"/>
        <v>1063482.3499999996</v>
      </c>
    </row>
    <row r="192" spans="2:16" x14ac:dyDescent="0.25">
      <c r="C192" s="84">
        <v>2471130.3310148884</v>
      </c>
      <c r="F192" s="84">
        <f>C192</f>
        <v>2471130.3310148884</v>
      </c>
      <c r="G192" s="84">
        <f t="shared" si="25"/>
        <v>8216268.4782198183</v>
      </c>
      <c r="I192" s="192">
        <v>40482</v>
      </c>
      <c r="J192" s="192">
        <v>40482</v>
      </c>
      <c r="K192" s="187">
        <f t="shared" si="21"/>
        <v>1</v>
      </c>
      <c r="L192" s="187"/>
      <c r="M192" s="191">
        <v>3.2500000000000001E-2</v>
      </c>
      <c r="N192" s="92">
        <f t="shared" si="22"/>
        <v>731.59</v>
      </c>
      <c r="O192" s="84">
        <f t="shared" si="23"/>
        <v>16078.19</v>
      </c>
      <c r="P192" s="84">
        <f t="shared" si="24"/>
        <v>1064213.9399999997</v>
      </c>
    </row>
    <row r="193" spans="1:16" x14ac:dyDescent="0.25">
      <c r="B193" s="65" t="s">
        <v>121</v>
      </c>
      <c r="C193" s="84"/>
      <c r="G193" s="84">
        <f t="shared" si="25"/>
        <v>8216268.4782198183</v>
      </c>
      <c r="I193" s="192">
        <v>40483</v>
      </c>
      <c r="J193" s="192">
        <v>40511</v>
      </c>
      <c r="K193" s="187">
        <f t="shared" si="21"/>
        <v>29</v>
      </c>
      <c r="L193" s="187"/>
      <c r="M193" s="191">
        <v>3.2500000000000001E-2</v>
      </c>
      <c r="N193" s="92">
        <f t="shared" si="22"/>
        <v>21215.98</v>
      </c>
      <c r="O193" s="84">
        <f t="shared" si="23"/>
        <v>21215.98</v>
      </c>
      <c r="P193" s="84">
        <f t="shared" si="24"/>
        <v>1085429.9199999997</v>
      </c>
    </row>
    <row r="194" spans="1:16" x14ac:dyDescent="0.25">
      <c r="C194" s="84">
        <v>259586.59570912831</v>
      </c>
      <c r="F194" s="84">
        <f>C194</f>
        <v>259586.59570912831</v>
      </c>
      <c r="G194" s="84">
        <f t="shared" si="25"/>
        <v>8475855.0739289466</v>
      </c>
      <c r="I194" s="192">
        <v>40512</v>
      </c>
      <c r="J194" s="192">
        <v>40512</v>
      </c>
      <c r="K194" s="187">
        <f t="shared" si="21"/>
        <v>1</v>
      </c>
      <c r="L194" s="187"/>
      <c r="M194" s="191">
        <v>3.2500000000000001E-2</v>
      </c>
      <c r="N194" s="92">
        <f t="shared" si="22"/>
        <v>754.7</v>
      </c>
      <c r="O194" s="84">
        <f t="shared" si="23"/>
        <v>21970.68</v>
      </c>
      <c r="P194" s="84">
        <f t="shared" si="24"/>
        <v>1086184.6199999996</v>
      </c>
    </row>
    <row r="195" spans="1:16" x14ac:dyDescent="0.25">
      <c r="B195" s="65" t="s">
        <v>120</v>
      </c>
      <c r="C195" s="84"/>
      <c r="G195" s="84">
        <f t="shared" si="25"/>
        <v>8475855.0739289466</v>
      </c>
      <c r="I195" s="192">
        <v>40513</v>
      </c>
      <c r="J195" s="192">
        <v>40542</v>
      </c>
      <c r="K195" s="187">
        <f t="shared" si="21"/>
        <v>30</v>
      </c>
      <c r="L195" s="187"/>
      <c r="M195" s="191">
        <v>3.2500000000000001E-2</v>
      </c>
      <c r="N195" s="92">
        <f t="shared" si="22"/>
        <v>22640.98</v>
      </c>
      <c r="O195" s="84">
        <f t="shared" si="23"/>
        <v>22640.98</v>
      </c>
      <c r="P195" s="84">
        <f t="shared" si="24"/>
        <v>1108825.5999999996</v>
      </c>
    </row>
    <row r="196" spans="1:16" x14ac:dyDescent="0.25">
      <c r="C196" s="84">
        <v>4410283.4311429486</v>
      </c>
      <c r="F196" s="84">
        <f>C196</f>
        <v>4410283.4311429486</v>
      </c>
      <c r="G196" s="84">
        <f t="shared" si="25"/>
        <v>12886138.505071895</v>
      </c>
      <c r="I196" s="192">
        <v>40543</v>
      </c>
      <c r="J196" s="192">
        <v>40543</v>
      </c>
      <c r="K196" s="187">
        <f t="shared" si="21"/>
        <v>1</v>
      </c>
      <c r="L196" s="187"/>
      <c r="M196" s="191">
        <v>3.2500000000000001E-2</v>
      </c>
      <c r="N196" s="92">
        <f t="shared" si="22"/>
        <v>1147.4000000000001</v>
      </c>
      <c r="O196" s="84">
        <f t="shared" si="23"/>
        <v>23788.38</v>
      </c>
      <c r="P196" s="84">
        <f t="shared" si="24"/>
        <v>1109972.9999999995</v>
      </c>
    </row>
    <row r="197" spans="1:16" x14ac:dyDescent="0.25">
      <c r="A197" s="65" t="s">
        <v>182</v>
      </c>
      <c r="B197" s="65" t="s">
        <v>131</v>
      </c>
      <c r="G197" s="84">
        <f t="shared" si="25"/>
        <v>12886138.505071895</v>
      </c>
      <c r="I197" s="192">
        <v>40544</v>
      </c>
      <c r="J197" s="192">
        <v>40573</v>
      </c>
      <c r="K197" s="187">
        <f t="shared" si="21"/>
        <v>30</v>
      </c>
      <c r="L197" s="187"/>
      <c r="M197" s="191">
        <v>3.2500000000000001E-2</v>
      </c>
      <c r="N197" s="92">
        <f t="shared" si="22"/>
        <v>34421.879999999997</v>
      </c>
      <c r="O197" s="84">
        <f t="shared" si="23"/>
        <v>34421.879999999997</v>
      </c>
      <c r="P197" s="84">
        <f t="shared" si="24"/>
        <v>1144394.8799999994</v>
      </c>
    </row>
    <row r="198" spans="1:16" x14ac:dyDescent="0.25">
      <c r="A198" s="193" t="s">
        <v>181</v>
      </c>
      <c r="C198" s="84">
        <v>0</v>
      </c>
      <c r="F198" s="84">
        <f>C198</f>
        <v>0</v>
      </c>
      <c r="G198" s="84">
        <f t="shared" si="25"/>
        <v>12886138.505071895</v>
      </c>
      <c r="I198" s="192">
        <v>40574</v>
      </c>
      <c r="J198" s="192">
        <v>40574</v>
      </c>
      <c r="K198" s="187">
        <f t="shared" si="21"/>
        <v>1</v>
      </c>
      <c r="L198" s="187"/>
      <c r="M198" s="191">
        <v>3.2500000000000001E-2</v>
      </c>
      <c r="N198" s="92">
        <f t="shared" si="22"/>
        <v>1147.4000000000001</v>
      </c>
      <c r="O198" s="84">
        <f t="shared" si="23"/>
        <v>35569.279999999999</v>
      </c>
      <c r="P198" s="84">
        <f t="shared" si="24"/>
        <v>1145542.2799999993</v>
      </c>
    </row>
    <row r="199" spans="1:16" x14ac:dyDescent="0.25">
      <c r="B199" s="65" t="s">
        <v>130</v>
      </c>
      <c r="C199" s="84"/>
      <c r="G199" s="84">
        <f t="shared" si="25"/>
        <v>12886138.505071895</v>
      </c>
      <c r="I199" s="192">
        <v>40575</v>
      </c>
      <c r="J199" s="192">
        <v>40601</v>
      </c>
      <c r="K199" s="187">
        <f t="shared" si="21"/>
        <v>27</v>
      </c>
      <c r="L199" s="187"/>
      <c r="M199" s="191">
        <v>3.2500000000000001E-2</v>
      </c>
      <c r="N199" s="92">
        <f t="shared" si="22"/>
        <v>30979.69</v>
      </c>
      <c r="O199" s="84">
        <f t="shared" si="23"/>
        <v>30979.69</v>
      </c>
      <c r="P199" s="84">
        <f t="shared" si="24"/>
        <v>1176521.9699999993</v>
      </c>
    </row>
    <row r="200" spans="1:16" x14ac:dyDescent="0.25">
      <c r="C200" s="84">
        <v>0</v>
      </c>
      <c r="F200" s="84">
        <f>C200</f>
        <v>0</v>
      </c>
      <c r="G200" s="84">
        <f t="shared" si="25"/>
        <v>12886138.505071895</v>
      </c>
      <c r="I200" s="192">
        <v>40602</v>
      </c>
      <c r="J200" s="192">
        <v>40602</v>
      </c>
      <c r="K200" s="187">
        <f t="shared" si="21"/>
        <v>1</v>
      </c>
      <c r="L200" s="187"/>
      <c r="M200" s="191">
        <v>3.2500000000000001E-2</v>
      </c>
      <c r="N200" s="92">
        <f t="shared" si="22"/>
        <v>1147.4000000000001</v>
      </c>
      <c r="O200" s="84">
        <f t="shared" si="23"/>
        <v>32127.09</v>
      </c>
      <c r="P200" s="84">
        <f t="shared" si="24"/>
        <v>1177669.3699999992</v>
      </c>
    </row>
    <row r="201" spans="1:16" x14ac:dyDescent="0.25">
      <c r="B201" s="65" t="s">
        <v>129</v>
      </c>
      <c r="C201" s="84"/>
      <c r="G201" s="84">
        <f t="shared" si="25"/>
        <v>12886138.505071895</v>
      </c>
      <c r="I201" s="192">
        <v>40603</v>
      </c>
      <c r="J201" s="192">
        <v>40632</v>
      </c>
      <c r="K201" s="187">
        <f t="shared" si="21"/>
        <v>30</v>
      </c>
      <c r="L201" s="187"/>
      <c r="M201" s="191">
        <v>3.2500000000000001E-2</v>
      </c>
      <c r="N201" s="92">
        <f t="shared" si="22"/>
        <v>34421.879999999997</v>
      </c>
      <c r="O201" s="84">
        <f t="shared" si="23"/>
        <v>34421.879999999997</v>
      </c>
      <c r="P201" s="84">
        <f t="shared" si="24"/>
        <v>1212091.2499999991</v>
      </c>
    </row>
    <row r="202" spans="1:16" ht="14.25" customHeight="1" x14ac:dyDescent="0.25">
      <c r="C202" s="84">
        <v>0</v>
      </c>
      <c r="F202" s="84">
        <f>C202</f>
        <v>0</v>
      </c>
      <c r="G202" s="84">
        <f t="shared" si="25"/>
        <v>12886138.505071895</v>
      </c>
      <c r="I202" s="192">
        <v>40633</v>
      </c>
      <c r="J202" s="192">
        <v>40633</v>
      </c>
      <c r="K202" s="187">
        <f t="shared" si="21"/>
        <v>1</v>
      </c>
      <c r="L202" s="187"/>
      <c r="M202" s="191">
        <v>3.2500000000000001E-2</v>
      </c>
      <c r="N202" s="92">
        <f t="shared" si="22"/>
        <v>1147.4000000000001</v>
      </c>
      <c r="O202" s="84">
        <f t="shared" si="23"/>
        <v>35569.279999999999</v>
      </c>
      <c r="P202" s="84">
        <f t="shared" si="24"/>
        <v>1213238.649999999</v>
      </c>
    </row>
    <row r="203" spans="1:16" x14ac:dyDescent="0.25">
      <c r="B203" s="65" t="s">
        <v>128</v>
      </c>
      <c r="C203" s="84"/>
      <c r="G203" s="84">
        <f t="shared" si="25"/>
        <v>12886138.505071895</v>
      </c>
      <c r="I203" s="192">
        <v>40634</v>
      </c>
      <c r="J203" s="192">
        <v>40662</v>
      </c>
      <c r="K203" s="187">
        <f t="shared" si="21"/>
        <v>29</v>
      </c>
      <c r="L203" s="187"/>
      <c r="M203" s="191">
        <v>3.2500000000000001E-2</v>
      </c>
      <c r="N203" s="92">
        <f t="shared" si="22"/>
        <v>33274.480000000003</v>
      </c>
      <c r="O203" s="84">
        <f t="shared" si="23"/>
        <v>33274.480000000003</v>
      </c>
      <c r="P203" s="84">
        <f t="shared" si="24"/>
        <v>1246513.129999999</v>
      </c>
    </row>
    <row r="204" spans="1:16" x14ac:dyDescent="0.25">
      <c r="C204" s="84">
        <v>0</v>
      </c>
      <c r="F204" s="84">
        <f>C204</f>
        <v>0</v>
      </c>
      <c r="G204" s="84">
        <f t="shared" si="25"/>
        <v>12886138.505071895</v>
      </c>
      <c r="I204" s="192">
        <v>40663</v>
      </c>
      <c r="J204" s="192">
        <v>40663</v>
      </c>
      <c r="K204" s="187">
        <f t="shared" si="21"/>
        <v>1</v>
      </c>
      <c r="L204" s="187"/>
      <c r="M204" s="191">
        <v>3.2500000000000001E-2</v>
      </c>
      <c r="N204" s="92">
        <f t="shared" si="22"/>
        <v>1147.4000000000001</v>
      </c>
      <c r="O204" s="84">
        <f t="shared" si="23"/>
        <v>34421.880000000005</v>
      </c>
      <c r="P204" s="84">
        <f t="shared" si="24"/>
        <v>1247660.5299999989</v>
      </c>
    </row>
    <row r="205" spans="1:16" x14ac:dyDescent="0.25">
      <c r="B205" s="65" t="s">
        <v>127</v>
      </c>
      <c r="C205" s="84"/>
      <c r="G205" s="84">
        <f t="shared" si="25"/>
        <v>12886138.505071895</v>
      </c>
      <c r="I205" s="192">
        <v>40664</v>
      </c>
      <c r="J205" s="192">
        <v>40693</v>
      </c>
      <c r="K205" s="187">
        <f t="shared" si="21"/>
        <v>30</v>
      </c>
      <c r="L205" s="187"/>
      <c r="M205" s="191">
        <v>3.2500000000000001E-2</v>
      </c>
      <c r="N205" s="92">
        <f t="shared" si="22"/>
        <v>34421.879999999997</v>
      </c>
      <c r="O205" s="84">
        <f t="shared" si="23"/>
        <v>34421.879999999997</v>
      </c>
      <c r="P205" s="84">
        <f t="shared" si="24"/>
        <v>1282082.4099999988</v>
      </c>
    </row>
    <row r="206" spans="1:16" x14ac:dyDescent="0.25">
      <c r="C206" s="84">
        <v>-6056321.5016561672</v>
      </c>
      <c r="F206" s="84">
        <f>C206</f>
        <v>-6056321.5016561672</v>
      </c>
      <c r="G206" s="84">
        <f t="shared" si="25"/>
        <v>6829817.003415728</v>
      </c>
      <c r="I206" s="192">
        <v>40694</v>
      </c>
      <c r="J206" s="192">
        <v>40694</v>
      </c>
      <c r="K206" s="187">
        <f t="shared" si="21"/>
        <v>1</v>
      </c>
      <c r="L206" s="187"/>
      <c r="M206" s="191">
        <v>3.2500000000000001E-2</v>
      </c>
      <c r="N206" s="92">
        <f t="shared" si="22"/>
        <v>608.13</v>
      </c>
      <c r="O206" s="84">
        <f t="shared" si="23"/>
        <v>35030.009999999995</v>
      </c>
      <c r="P206" s="84">
        <f t="shared" si="24"/>
        <v>1282690.5399999986</v>
      </c>
    </row>
    <row r="207" spans="1:16" x14ac:dyDescent="0.25">
      <c r="B207" s="65" t="s">
        <v>126</v>
      </c>
      <c r="C207" s="84"/>
      <c r="G207" s="84">
        <f t="shared" si="25"/>
        <v>6829817.003415728</v>
      </c>
      <c r="I207" s="192">
        <v>40695</v>
      </c>
      <c r="J207" s="192">
        <v>40723</v>
      </c>
      <c r="K207" s="187">
        <f t="shared" si="21"/>
        <v>29</v>
      </c>
      <c r="L207" s="187"/>
      <c r="M207" s="191">
        <v>3.2500000000000001E-2</v>
      </c>
      <c r="N207" s="92">
        <f t="shared" si="22"/>
        <v>17635.900000000001</v>
      </c>
      <c r="O207" s="84">
        <f t="shared" si="23"/>
        <v>17635.900000000001</v>
      </c>
      <c r="P207" s="84">
        <f t="shared" si="24"/>
        <v>1300326.4399999985</v>
      </c>
    </row>
    <row r="208" spans="1:16" x14ac:dyDescent="0.25">
      <c r="C208" s="84">
        <v>1689533.2241270356</v>
      </c>
      <c r="F208" s="84">
        <f>C208</f>
        <v>1689533.2241270356</v>
      </c>
      <c r="G208" s="84">
        <f t="shared" si="25"/>
        <v>8519350.2275427636</v>
      </c>
      <c r="I208" s="192">
        <v>40724</v>
      </c>
      <c r="J208" s="192">
        <v>40724</v>
      </c>
      <c r="K208" s="187">
        <f t="shared" si="21"/>
        <v>1</v>
      </c>
      <c r="L208" s="187"/>
      <c r="M208" s="191">
        <v>3.2500000000000001E-2</v>
      </c>
      <c r="N208" s="92">
        <f t="shared" si="22"/>
        <v>758.57</v>
      </c>
      <c r="O208" s="84">
        <f t="shared" si="23"/>
        <v>18394.47</v>
      </c>
      <c r="P208" s="84">
        <f t="shared" si="24"/>
        <v>1301085.0099999986</v>
      </c>
    </row>
    <row r="209" spans="1:16" x14ac:dyDescent="0.25">
      <c r="B209" s="65" t="s">
        <v>125</v>
      </c>
      <c r="C209" s="84"/>
      <c r="G209" s="84">
        <f t="shared" si="25"/>
        <v>8519350.2275427636</v>
      </c>
      <c r="I209" s="192">
        <v>40725</v>
      </c>
      <c r="J209" s="192">
        <v>40754</v>
      </c>
      <c r="K209" s="187">
        <f t="shared" si="21"/>
        <v>30</v>
      </c>
      <c r="L209" s="187"/>
      <c r="M209" s="191">
        <v>3.2500000000000001E-2</v>
      </c>
      <c r="N209" s="92">
        <f t="shared" si="22"/>
        <v>22757.17</v>
      </c>
      <c r="O209" s="84">
        <f t="shared" si="23"/>
        <v>22757.17</v>
      </c>
      <c r="P209" s="84">
        <f t="shared" si="24"/>
        <v>1323842.1799999985</v>
      </c>
    </row>
    <row r="210" spans="1:16" x14ac:dyDescent="0.25">
      <c r="C210" s="84">
        <v>-4967037.5397893079</v>
      </c>
      <c r="F210" s="84">
        <f>C210</f>
        <v>-4967037.5397893079</v>
      </c>
      <c r="G210" s="84">
        <f t="shared" si="25"/>
        <v>3552312.6877534557</v>
      </c>
      <c r="I210" s="192">
        <v>40755</v>
      </c>
      <c r="J210" s="192">
        <v>40755</v>
      </c>
      <c r="K210" s="187">
        <f t="shared" si="21"/>
        <v>1</v>
      </c>
      <c r="L210" s="187"/>
      <c r="M210" s="191">
        <v>3.2500000000000001E-2</v>
      </c>
      <c r="N210" s="92">
        <f t="shared" si="22"/>
        <v>316.3</v>
      </c>
      <c r="O210" s="84">
        <f t="shared" si="23"/>
        <v>23073.469999999998</v>
      </c>
      <c r="P210" s="84">
        <f t="shared" si="24"/>
        <v>1324158.4799999986</v>
      </c>
    </row>
    <row r="211" spans="1:16" x14ac:dyDescent="0.25">
      <c r="B211" s="65" t="s">
        <v>124</v>
      </c>
      <c r="C211" s="84"/>
      <c r="G211" s="84">
        <f t="shared" si="25"/>
        <v>3552312.6877534557</v>
      </c>
      <c r="I211" s="192">
        <v>40756</v>
      </c>
      <c r="J211" s="192">
        <v>40785</v>
      </c>
      <c r="K211" s="187">
        <f t="shared" si="21"/>
        <v>30</v>
      </c>
      <c r="L211" s="187"/>
      <c r="M211" s="191">
        <v>3.2500000000000001E-2</v>
      </c>
      <c r="N211" s="92">
        <f t="shared" si="22"/>
        <v>9489.0499999999993</v>
      </c>
      <c r="O211" s="84">
        <f t="shared" si="23"/>
        <v>9489.0499999999993</v>
      </c>
      <c r="P211" s="84">
        <f t="shared" si="24"/>
        <v>1333647.5299999986</v>
      </c>
    </row>
    <row r="212" spans="1:16" x14ac:dyDescent="0.25">
      <c r="C212" s="84">
        <v>-6419099.9273890406</v>
      </c>
      <c r="F212" s="84">
        <f>C212</f>
        <v>-6419099.9273890406</v>
      </c>
      <c r="G212" s="84">
        <f t="shared" si="25"/>
        <v>-2866787.2396355849</v>
      </c>
      <c r="I212" s="192">
        <v>40786</v>
      </c>
      <c r="J212" s="192">
        <v>40786</v>
      </c>
      <c r="K212" s="187">
        <f t="shared" ref="K212:K275" si="26">+IF(+J212="","",+J212-(I212-1))</f>
        <v>1</v>
      </c>
      <c r="L212" s="187"/>
      <c r="M212" s="191">
        <v>3.2500000000000001E-2</v>
      </c>
      <c r="N212" s="92">
        <f t="shared" si="22"/>
        <v>-255.26</v>
      </c>
      <c r="O212" s="84">
        <f t="shared" si="23"/>
        <v>9233.7899999999991</v>
      </c>
      <c r="P212" s="84">
        <f t="shared" si="24"/>
        <v>1333392.2699999986</v>
      </c>
    </row>
    <row r="213" spans="1:16" x14ac:dyDescent="0.25">
      <c r="B213" s="65" t="s">
        <v>123</v>
      </c>
      <c r="C213" s="84"/>
      <c r="G213" s="84">
        <f t="shared" si="25"/>
        <v>-2866787.2396355849</v>
      </c>
      <c r="I213" s="192">
        <v>40787</v>
      </c>
      <c r="J213" s="192">
        <v>40815</v>
      </c>
      <c r="K213" s="187">
        <f t="shared" si="26"/>
        <v>29</v>
      </c>
      <c r="L213" s="187"/>
      <c r="M213" s="191">
        <v>3.2500000000000001E-2</v>
      </c>
      <c r="N213" s="92">
        <f t="shared" si="22"/>
        <v>-7402.59</v>
      </c>
      <c r="O213" s="84">
        <f t="shared" si="23"/>
        <v>-7402.59</v>
      </c>
      <c r="P213" s="84">
        <f t="shared" si="24"/>
        <v>1325989.6799999985</v>
      </c>
    </row>
    <row r="214" spans="1:16" x14ac:dyDescent="0.25">
      <c r="C214" s="84">
        <v>2646758.9382936172</v>
      </c>
      <c r="F214" s="84">
        <f>C214</f>
        <v>2646758.9382936172</v>
      </c>
      <c r="G214" s="84">
        <f t="shared" si="25"/>
        <v>-220028.30134196766</v>
      </c>
      <c r="I214" s="192">
        <v>40816</v>
      </c>
      <c r="J214" s="192">
        <v>40816</v>
      </c>
      <c r="K214" s="187">
        <f t="shared" si="26"/>
        <v>1</v>
      </c>
      <c r="L214" s="187"/>
      <c r="M214" s="191">
        <v>3.2500000000000001E-2</v>
      </c>
      <c r="N214" s="92">
        <f t="shared" si="22"/>
        <v>-19.59</v>
      </c>
      <c r="O214" s="84">
        <f t="shared" si="23"/>
        <v>-7422.18</v>
      </c>
      <c r="P214" s="84">
        <f t="shared" si="24"/>
        <v>1325970.0899999985</v>
      </c>
    </row>
    <row r="215" spans="1:16" x14ac:dyDescent="0.25">
      <c r="B215" s="65" t="s">
        <v>122</v>
      </c>
      <c r="C215" s="84"/>
      <c r="G215" s="84">
        <f t="shared" si="25"/>
        <v>-220028.30134196766</v>
      </c>
      <c r="I215" s="192">
        <v>40817</v>
      </c>
      <c r="J215" s="192">
        <v>40846</v>
      </c>
      <c r="K215" s="187">
        <f t="shared" si="26"/>
        <v>30</v>
      </c>
      <c r="L215" s="187"/>
      <c r="M215" s="191">
        <v>3.2500000000000001E-2</v>
      </c>
      <c r="N215" s="92">
        <f t="shared" si="22"/>
        <v>-587.75</v>
      </c>
      <c r="O215" s="84">
        <f t="shared" si="23"/>
        <v>-587.75</v>
      </c>
      <c r="P215" s="84">
        <f t="shared" si="24"/>
        <v>1325382.3399999985</v>
      </c>
    </row>
    <row r="216" spans="1:16" x14ac:dyDescent="0.25">
      <c r="C216" s="84">
        <v>3299561.9208000563</v>
      </c>
      <c r="F216" s="84">
        <f>C216</f>
        <v>3299561.9208000563</v>
      </c>
      <c r="G216" s="84">
        <f t="shared" si="25"/>
        <v>3079533.6194580887</v>
      </c>
      <c r="I216" s="192">
        <v>40847</v>
      </c>
      <c r="J216" s="192">
        <v>40847</v>
      </c>
      <c r="K216" s="187">
        <f t="shared" si="26"/>
        <v>1</v>
      </c>
      <c r="L216" s="187"/>
      <c r="M216" s="191">
        <v>3.2500000000000001E-2</v>
      </c>
      <c r="N216" s="92">
        <f t="shared" ref="N216:N279" si="27">+IF(+K216&lt;&gt;" ", ROUND(M216*(K216/365)*G216,2),0)</f>
        <v>274.20999999999998</v>
      </c>
      <c r="O216" s="84">
        <f t="shared" si="23"/>
        <v>-313.54000000000002</v>
      </c>
      <c r="P216" s="84">
        <f t="shared" si="24"/>
        <v>1325656.5499999984</v>
      </c>
    </row>
    <row r="217" spans="1:16" x14ac:dyDescent="0.25">
      <c r="B217" s="65" t="s">
        <v>121</v>
      </c>
      <c r="C217" s="84"/>
      <c r="G217" s="84">
        <f t="shared" si="25"/>
        <v>3079533.6194580887</v>
      </c>
      <c r="I217" s="192">
        <v>40848</v>
      </c>
      <c r="J217" s="192">
        <v>40876</v>
      </c>
      <c r="K217" s="187">
        <f t="shared" si="26"/>
        <v>29</v>
      </c>
      <c r="L217" s="187"/>
      <c r="M217" s="191">
        <v>3.2500000000000001E-2</v>
      </c>
      <c r="N217" s="92">
        <f t="shared" si="27"/>
        <v>7951.95</v>
      </c>
      <c r="O217" s="84">
        <f t="shared" si="23"/>
        <v>7951.95</v>
      </c>
      <c r="P217" s="84">
        <f t="shared" si="24"/>
        <v>1333608.4999999984</v>
      </c>
    </row>
    <row r="218" spans="1:16" x14ac:dyDescent="0.25">
      <c r="C218" s="84">
        <v>1163427.2930584177</v>
      </c>
      <c r="F218" s="84">
        <f>C218</f>
        <v>1163427.2930584177</v>
      </c>
      <c r="G218" s="84">
        <f t="shared" si="25"/>
        <v>4242960.9125165064</v>
      </c>
      <c r="I218" s="192">
        <v>40877</v>
      </c>
      <c r="J218" s="192">
        <v>40877</v>
      </c>
      <c r="K218" s="187">
        <f t="shared" si="26"/>
        <v>1</v>
      </c>
      <c r="L218" s="187"/>
      <c r="M218" s="191">
        <v>3.2500000000000001E-2</v>
      </c>
      <c r="N218" s="92">
        <f t="shared" si="27"/>
        <v>377.8</v>
      </c>
      <c r="O218" s="84">
        <f t="shared" ref="O218:O281" si="28">IF(MONTH(+I218)&lt;&gt;MONTH(+I217),N218,+O217+N218)</f>
        <v>8329.75</v>
      </c>
      <c r="P218" s="84">
        <f t="shared" si="24"/>
        <v>1333986.2999999984</v>
      </c>
    </row>
    <row r="219" spans="1:16" x14ac:dyDescent="0.25">
      <c r="B219" s="65" t="s">
        <v>120</v>
      </c>
      <c r="C219" s="84"/>
      <c r="G219" s="84">
        <f t="shared" si="25"/>
        <v>4242960.9125165064</v>
      </c>
      <c r="I219" s="192">
        <v>40878</v>
      </c>
      <c r="J219" s="192">
        <v>40907</v>
      </c>
      <c r="K219" s="187">
        <f t="shared" si="26"/>
        <v>30</v>
      </c>
      <c r="L219" s="187"/>
      <c r="M219" s="191">
        <v>3.2500000000000001E-2</v>
      </c>
      <c r="N219" s="92">
        <f t="shared" si="27"/>
        <v>11333.94</v>
      </c>
      <c r="O219" s="84">
        <f t="shared" si="28"/>
        <v>11333.94</v>
      </c>
      <c r="P219" s="84">
        <f t="shared" ref="P219:P282" si="29">P218+N219</f>
        <v>1345320.2399999984</v>
      </c>
    </row>
    <row r="220" spans="1:16" x14ac:dyDescent="0.25">
      <c r="C220" s="84">
        <v>1229268.8318022862</v>
      </c>
      <c r="F220" s="84">
        <f>C220</f>
        <v>1229268.8318022862</v>
      </c>
      <c r="G220" s="84">
        <f t="shared" si="25"/>
        <v>5472229.7443187926</v>
      </c>
      <c r="I220" s="192">
        <v>40908</v>
      </c>
      <c r="J220" s="192">
        <v>40908</v>
      </c>
      <c r="K220" s="187">
        <f t="shared" si="26"/>
        <v>1</v>
      </c>
      <c r="L220" s="187"/>
      <c r="M220" s="191">
        <v>3.2500000000000001E-2</v>
      </c>
      <c r="N220" s="92">
        <f t="shared" si="27"/>
        <v>487.25</v>
      </c>
      <c r="O220" s="84">
        <f t="shared" si="28"/>
        <v>11821.19</v>
      </c>
      <c r="P220" s="84">
        <f t="shared" si="29"/>
        <v>1345807.4899999984</v>
      </c>
    </row>
    <row r="221" spans="1:16" x14ac:dyDescent="0.25">
      <c r="A221" s="65" t="s">
        <v>180</v>
      </c>
      <c r="B221" s="65" t="s">
        <v>131</v>
      </c>
      <c r="G221" s="84">
        <f t="shared" si="25"/>
        <v>5472229.7443187926</v>
      </c>
      <c r="I221" s="192">
        <v>40909</v>
      </c>
      <c r="J221" s="192">
        <v>40938</v>
      </c>
      <c r="K221" s="187">
        <f t="shared" si="26"/>
        <v>30</v>
      </c>
      <c r="L221" s="187"/>
      <c r="M221" s="191">
        <v>3.2500000000000001E-2</v>
      </c>
      <c r="N221" s="92">
        <f t="shared" si="27"/>
        <v>14617.6</v>
      </c>
      <c r="O221" s="84">
        <f t="shared" si="28"/>
        <v>14617.6</v>
      </c>
      <c r="P221" s="84">
        <f t="shared" si="29"/>
        <v>1360425.0899999985</v>
      </c>
    </row>
    <row r="222" spans="1:16" x14ac:dyDescent="0.25">
      <c r="A222" s="193" t="s">
        <v>179</v>
      </c>
      <c r="C222" s="84">
        <v>0</v>
      </c>
      <c r="F222" s="84">
        <f>C222</f>
        <v>0</v>
      </c>
      <c r="G222" s="84">
        <f t="shared" si="25"/>
        <v>5472229.7443187926</v>
      </c>
      <c r="I222" s="192">
        <v>40939</v>
      </c>
      <c r="J222" s="192">
        <v>40939</v>
      </c>
      <c r="K222" s="187">
        <f t="shared" si="26"/>
        <v>1</v>
      </c>
      <c r="L222" s="187"/>
      <c r="M222" s="191">
        <v>3.2500000000000001E-2</v>
      </c>
      <c r="N222" s="92">
        <f t="shared" si="27"/>
        <v>487.25</v>
      </c>
      <c r="O222" s="84">
        <f t="shared" si="28"/>
        <v>15104.85</v>
      </c>
      <c r="P222" s="84">
        <f t="shared" si="29"/>
        <v>1360912.3399999985</v>
      </c>
    </row>
    <row r="223" spans="1:16" x14ac:dyDescent="0.25">
      <c r="B223" s="65" t="s">
        <v>130</v>
      </c>
      <c r="C223" s="84"/>
      <c r="G223" s="84">
        <f t="shared" si="25"/>
        <v>5472229.7443187926</v>
      </c>
      <c r="I223" s="192">
        <v>40940</v>
      </c>
      <c r="J223" s="192">
        <v>40967</v>
      </c>
      <c r="K223" s="187">
        <f t="shared" si="26"/>
        <v>28</v>
      </c>
      <c r="L223" s="187"/>
      <c r="M223" s="191">
        <v>3.2500000000000001E-2</v>
      </c>
      <c r="N223" s="92">
        <f t="shared" si="27"/>
        <v>13643.09</v>
      </c>
      <c r="O223" s="84">
        <f t="shared" si="28"/>
        <v>13643.09</v>
      </c>
      <c r="P223" s="84">
        <f t="shared" si="29"/>
        <v>1374555.4299999985</v>
      </c>
    </row>
    <row r="224" spans="1:16" x14ac:dyDescent="0.25">
      <c r="C224" s="84">
        <v>0</v>
      </c>
      <c r="F224" s="84">
        <f>C224</f>
        <v>0</v>
      </c>
      <c r="G224" s="84">
        <f t="shared" si="25"/>
        <v>5472229.7443187926</v>
      </c>
      <c r="I224" s="192">
        <v>40968</v>
      </c>
      <c r="J224" s="192">
        <v>40968</v>
      </c>
      <c r="K224" s="187">
        <f t="shared" si="26"/>
        <v>1</v>
      </c>
      <c r="L224" s="187"/>
      <c r="M224" s="191">
        <v>3.2500000000000001E-2</v>
      </c>
      <c r="N224" s="92">
        <f t="shared" si="27"/>
        <v>487.25</v>
      </c>
      <c r="O224" s="84">
        <f t="shared" si="28"/>
        <v>14130.34</v>
      </c>
      <c r="P224" s="84">
        <f t="shared" si="29"/>
        <v>1375042.6799999985</v>
      </c>
    </row>
    <row r="225" spans="2:16" x14ac:dyDescent="0.25">
      <c r="B225" s="65" t="s">
        <v>129</v>
      </c>
      <c r="C225" s="84"/>
      <c r="G225" s="84">
        <f t="shared" si="25"/>
        <v>5472229.7443187926</v>
      </c>
      <c r="I225" s="192">
        <v>40969</v>
      </c>
      <c r="J225" s="192">
        <v>40998</v>
      </c>
      <c r="K225" s="187">
        <f t="shared" si="26"/>
        <v>30</v>
      </c>
      <c r="L225" s="187"/>
      <c r="M225" s="191">
        <v>3.2500000000000001E-2</v>
      </c>
      <c r="N225" s="92">
        <f t="shared" si="27"/>
        <v>14617.6</v>
      </c>
      <c r="O225" s="84">
        <f t="shared" si="28"/>
        <v>14617.6</v>
      </c>
      <c r="P225" s="84">
        <f t="shared" si="29"/>
        <v>1389660.2799999986</v>
      </c>
    </row>
    <row r="226" spans="2:16" ht="14.25" customHeight="1" x14ac:dyDescent="0.25">
      <c r="C226" s="84">
        <v>-5788844.2089271396</v>
      </c>
      <c r="F226" s="84">
        <f>C226</f>
        <v>-5788844.2089271396</v>
      </c>
      <c r="G226" s="84">
        <f t="shared" si="25"/>
        <v>-316614.46460834704</v>
      </c>
      <c r="I226" s="192">
        <v>40999</v>
      </c>
      <c r="J226" s="192">
        <v>40999</v>
      </c>
      <c r="K226" s="187">
        <f t="shared" si="26"/>
        <v>1</v>
      </c>
      <c r="L226" s="187"/>
      <c r="M226" s="191">
        <v>3.2500000000000001E-2</v>
      </c>
      <c r="N226" s="92">
        <f t="shared" si="27"/>
        <v>-28.19</v>
      </c>
      <c r="O226" s="84">
        <f t="shared" si="28"/>
        <v>14589.41</v>
      </c>
      <c r="P226" s="84">
        <f t="shared" si="29"/>
        <v>1389632.0899999987</v>
      </c>
    </row>
    <row r="227" spans="2:16" x14ac:dyDescent="0.25">
      <c r="B227" s="65" t="s">
        <v>128</v>
      </c>
      <c r="C227" s="84"/>
      <c r="G227" s="84">
        <f t="shared" si="25"/>
        <v>-316614.46460834704</v>
      </c>
      <c r="I227" s="192">
        <v>41000</v>
      </c>
      <c r="J227" s="192">
        <v>41028</v>
      </c>
      <c r="K227" s="187">
        <f t="shared" si="26"/>
        <v>29</v>
      </c>
      <c r="L227" s="187"/>
      <c r="M227" s="191">
        <v>3.2500000000000001E-2</v>
      </c>
      <c r="N227" s="92">
        <f t="shared" si="27"/>
        <v>-817.56</v>
      </c>
      <c r="O227" s="84">
        <f t="shared" si="28"/>
        <v>-817.56</v>
      </c>
      <c r="P227" s="84">
        <f t="shared" si="29"/>
        <v>1388814.5299999986</v>
      </c>
    </row>
    <row r="228" spans="2:16" x14ac:dyDescent="0.25">
      <c r="C228" s="84">
        <v>-13870205.434479572</v>
      </c>
      <c r="F228" s="84">
        <f>C228</f>
        <v>-13870205.434479572</v>
      </c>
      <c r="G228" s="84">
        <f t="shared" si="25"/>
        <v>-14186819.899087919</v>
      </c>
      <c r="I228" s="192">
        <v>41029</v>
      </c>
      <c r="J228" s="192">
        <v>41029</v>
      </c>
      <c r="K228" s="187">
        <f t="shared" si="26"/>
        <v>1</v>
      </c>
      <c r="L228" s="187"/>
      <c r="M228" s="191">
        <v>3.2500000000000001E-2</v>
      </c>
      <c r="N228" s="92">
        <f t="shared" si="27"/>
        <v>-1263.21</v>
      </c>
      <c r="O228" s="84">
        <f t="shared" si="28"/>
        <v>-2080.77</v>
      </c>
      <c r="P228" s="84">
        <f t="shared" si="29"/>
        <v>1387551.3199999987</v>
      </c>
    </row>
    <row r="229" spans="2:16" x14ac:dyDescent="0.25">
      <c r="B229" s="65" t="s">
        <v>127</v>
      </c>
      <c r="C229" s="84"/>
      <c r="G229" s="92">
        <f t="shared" si="25"/>
        <v>-14186819.899087919</v>
      </c>
      <c r="I229" s="192">
        <v>41030</v>
      </c>
      <c r="J229" s="192">
        <v>41059</v>
      </c>
      <c r="K229" s="187">
        <f t="shared" si="26"/>
        <v>30</v>
      </c>
      <c r="L229" s="187"/>
      <c r="M229" s="191">
        <v>3.2500000000000001E-2</v>
      </c>
      <c r="N229" s="92">
        <f t="shared" si="27"/>
        <v>-37896.300000000003</v>
      </c>
      <c r="O229" s="84">
        <f t="shared" si="28"/>
        <v>-37896.300000000003</v>
      </c>
      <c r="P229" s="84">
        <f t="shared" si="29"/>
        <v>1349655.0199999986</v>
      </c>
    </row>
    <row r="230" spans="2:16" x14ac:dyDescent="0.25">
      <c r="C230" s="84">
        <v>-8621582.7622564156</v>
      </c>
      <c r="F230" s="84">
        <f>C230</f>
        <v>-8621582.7622564156</v>
      </c>
      <c r="G230" s="84">
        <f t="shared" si="25"/>
        <v>-22808402.661344334</v>
      </c>
      <c r="I230" s="192">
        <v>41060</v>
      </c>
      <c r="J230" s="192">
        <v>41060</v>
      </c>
      <c r="K230" s="187">
        <f t="shared" si="26"/>
        <v>1</v>
      </c>
      <c r="L230" s="187"/>
      <c r="M230" s="191">
        <v>3.2500000000000001E-2</v>
      </c>
      <c r="N230" s="92">
        <f t="shared" si="27"/>
        <v>-2030.89</v>
      </c>
      <c r="O230" s="84">
        <f t="shared" si="28"/>
        <v>-39927.19</v>
      </c>
      <c r="P230" s="84">
        <f t="shared" si="29"/>
        <v>1347624.1299999987</v>
      </c>
    </row>
    <row r="231" spans="2:16" x14ac:dyDescent="0.25">
      <c r="B231" s="65" t="s">
        <v>126</v>
      </c>
      <c r="C231" s="84"/>
      <c r="G231" s="84">
        <f t="shared" si="25"/>
        <v>-22808402.661344334</v>
      </c>
      <c r="I231" s="192">
        <v>41061</v>
      </c>
      <c r="J231" s="192">
        <v>41089</v>
      </c>
      <c r="K231" s="187">
        <f t="shared" si="26"/>
        <v>29</v>
      </c>
      <c r="L231" s="187"/>
      <c r="M231" s="191">
        <v>3.2500000000000001E-2</v>
      </c>
      <c r="N231" s="92">
        <f t="shared" si="27"/>
        <v>-58895.67</v>
      </c>
      <c r="O231" s="84">
        <f t="shared" si="28"/>
        <v>-58895.67</v>
      </c>
      <c r="P231" s="84">
        <f t="shared" si="29"/>
        <v>1288728.4599999988</v>
      </c>
    </row>
    <row r="232" spans="2:16" x14ac:dyDescent="0.25">
      <c r="C232" s="84">
        <v>2088435.904519029</v>
      </c>
      <c r="F232" s="84">
        <f>C232</f>
        <v>2088435.904519029</v>
      </c>
      <c r="G232" s="84">
        <f t="shared" si="25"/>
        <v>-20719966.756825306</v>
      </c>
      <c r="I232" s="192">
        <v>41090</v>
      </c>
      <c r="J232" s="192">
        <v>41090</v>
      </c>
      <c r="K232" s="187">
        <f t="shared" si="26"/>
        <v>1</v>
      </c>
      <c r="L232" s="187"/>
      <c r="M232" s="191">
        <v>3.2500000000000001E-2</v>
      </c>
      <c r="N232" s="92">
        <f t="shared" si="27"/>
        <v>-1844.93</v>
      </c>
      <c r="O232" s="84">
        <f t="shared" si="28"/>
        <v>-60740.6</v>
      </c>
      <c r="P232" s="84">
        <f t="shared" si="29"/>
        <v>1286883.5299999989</v>
      </c>
    </row>
    <row r="233" spans="2:16" x14ac:dyDescent="0.25">
      <c r="B233" s="65" t="s">
        <v>125</v>
      </c>
      <c r="C233" s="84"/>
      <c r="G233" s="84">
        <f t="shared" si="25"/>
        <v>-20719966.756825306</v>
      </c>
      <c r="I233" s="192">
        <v>41091</v>
      </c>
      <c r="J233" s="192">
        <v>41120</v>
      </c>
      <c r="K233" s="187">
        <f t="shared" si="26"/>
        <v>30</v>
      </c>
      <c r="L233" s="187"/>
      <c r="M233" s="191">
        <v>3.2500000000000001E-2</v>
      </c>
      <c r="N233" s="92">
        <f t="shared" si="27"/>
        <v>-55347.86</v>
      </c>
      <c r="O233" s="84">
        <f t="shared" si="28"/>
        <v>-55347.86</v>
      </c>
      <c r="P233" s="84">
        <f t="shared" si="29"/>
        <v>1231535.6699999988</v>
      </c>
    </row>
    <row r="234" spans="2:16" x14ac:dyDescent="0.25">
      <c r="C234" s="84">
        <v>1921453.5823402256</v>
      </c>
      <c r="F234" s="84">
        <f>C234</f>
        <v>1921453.5823402256</v>
      </c>
      <c r="G234" s="84">
        <f t="shared" ref="G234:G297" si="30">+G233+F234</f>
        <v>-18798513.17448508</v>
      </c>
      <c r="I234" s="192">
        <v>41121</v>
      </c>
      <c r="J234" s="192">
        <v>41121</v>
      </c>
      <c r="K234" s="187">
        <f t="shared" si="26"/>
        <v>1</v>
      </c>
      <c r="L234" s="187"/>
      <c r="M234" s="191">
        <v>3.2500000000000001E-2</v>
      </c>
      <c r="N234" s="92">
        <f t="shared" si="27"/>
        <v>-1673.84</v>
      </c>
      <c r="O234" s="84">
        <f t="shared" si="28"/>
        <v>-57021.7</v>
      </c>
      <c r="P234" s="84">
        <f t="shared" si="29"/>
        <v>1229861.8299999987</v>
      </c>
    </row>
    <row r="235" spans="2:16" x14ac:dyDescent="0.25">
      <c r="B235" s="65" t="s">
        <v>124</v>
      </c>
      <c r="C235" s="84"/>
      <c r="G235" s="84">
        <f t="shared" si="30"/>
        <v>-18798513.17448508</v>
      </c>
      <c r="I235" s="192">
        <v>41122</v>
      </c>
      <c r="J235" s="192">
        <v>41151</v>
      </c>
      <c r="K235" s="187">
        <f t="shared" si="26"/>
        <v>30</v>
      </c>
      <c r="L235" s="187"/>
      <c r="M235" s="191">
        <v>3.2500000000000001E-2</v>
      </c>
      <c r="N235" s="92">
        <f t="shared" si="27"/>
        <v>-50215.21</v>
      </c>
      <c r="O235" s="84">
        <f t="shared" si="28"/>
        <v>-50215.21</v>
      </c>
      <c r="P235" s="84">
        <f t="shared" si="29"/>
        <v>1179646.6199999987</v>
      </c>
    </row>
    <row r="236" spans="2:16" x14ac:dyDescent="0.25">
      <c r="C236" s="84">
        <v>1889889.9711744785</v>
      </c>
      <c r="F236" s="84">
        <f>C236</f>
        <v>1889889.9711744785</v>
      </c>
      <c r="G236" s="84">
        <f t="shared" si="30"/>
        <v>-16908623.203310601</v>
      </c>
      <c r="I236" s="192">
        <v>41152</v>
      </c>
      <c r="J236" s="192">
        <v>41152</v>
      </c>
      <c r="K236" s="187">
        <f t="shared" si="26"/>
        <v>1</v>
      </c>
      <c r="L236" s="187"/>
      <c r="M236" s="191">
        <v>3.2500000000000001E-2</v>
      </c>
      <c r="N236" s="92">
        <f t="shared" si="27"/>
        <v>-1505.56</v>
      </c>
      <c r="O236" s="84">
        <f t="shared" si="28"/>
        <v>-51720.77</v>
      </c>
      <c r="P236" s="84">
        <f t="shared" si="29"/>
        <v>1178141.0599999987</v>
      </c>
    </row>
    <row r="237" spans="2:16" x14ac:dyDescent="0.25">
      <c r="B237" s="65" t="s">
        <v>123</v>
      </c>
      <c r="C237" s="84"/>
      <c r="G237" s="84">
        <f t="shared" si="30"/>
        <v>-16908623.203310601</v>
      </c>
      <c r="I237" s="192">
        <v>41153</v>
      </c>
      <c r="J237" s="192">
        <v>41181</v>
      </c>
      <c r="K237" s="187">
        <f t="shared" si="26"/>
        <v>29</v>
      </c>
      <c r="L237" s="187"/>
      <c r="M237" s="191">
        <v>3.2500000000000001E-2</v>
      </c>
      <c r="N237" s="92">
        <f t="shared" si="27"/>
        <v>-43661.31</v>
      </c>
      <c r="O237" s="84">
        <f t="shared" si="28"/>
        <v>-43661.31</v>
      </c>
      <c r="P237" s="84">
        <f t="shared" si="29"/>
        <v>1134479.7499999986</v>
      </c>
    </row>
    <row r="238" spans="2:16" x14ac:dyDescent="0.25">
      <c r="C238" s="84">
        <v>12442630.395919027</v>
      </c>
      <c r="F238" s="84">
        <f>C238</f>
        <v>12442630.395919027</v>
      </c>
      <c r="G238" s="84">
        <f t="shared" si="30"/>
        <v>-4465992.8073915746</v>
      </c>
      <c r="I238" s="192">
        <v>41182</v>
      </c>
      <c r="J238" s="192">
        <v>41182</v>
      </c>
      <c r="K238" s="187">
        <f t="shared" si="26"/>
        <v>1</v>
      </c>
      <c r="L238" s="187"/>
      <c r="M238" s="191">
        <v>3.2500000000000001E-2</v>
      </c>
      <c r="N238" s="92">
        <f t="shared" si="27"/>
        <v>-397.66</v>
      </c>
      <c r="O238" s="84">
        <f t="shared" si="28"/>
        <v>-44058.97</v>
      </c>
      <c r="P238" s="84">
        <f t="shared" si="29"/>
        <v>1134082.0899999987</v>
      </c>
    </row>
    <row r="239" spans="2:16" x14ac:dyDescent="0.25">
      <c r="B239" s="65" t="s">
        <v>122</v>
      </c>
      <c r="C239" s="84"/>
      <c r="G239" s="84">
        <f t="shared" si="30"/>
        <v>-4465992.8073915746</v>
      </c>
      <c r="I239" s="192">
        <v>41183</v>
      </c>
      <c r="J239" s="192">
        <v>41212</v>
      </c>
      <c r="K239" s="187">
        <f t="shared" si="26"/>
        <v>30</v>
      </c>
      <c r="L239" s="187"/>
      <c r="M239" s="191">
        <v>3.2500000000000001E-2</v>
      </c>
      <c r="N239" s="92">
        <f t="shared" si="27"/>
        <v>-11929.71</v>
      </c>
      <c r="O239" s="84">
        <f t="shared" si="28"/>
        <v>-11929.71</v>
      </c>
      <c r="P239" s="84">
        <f t="shared" si="29"/>
        <v>1122152.3799999987</v>
      </c>
    </row>
    <row r="240" spans="2:16" x14ac:dyDescent="0.25">
      <c r="C240" s="84">
        <v>2486148.2031997852</v>
      </c>
      <c r="F240" s="84">
        <f>C240</f>
        <v>2486148.2031997852</v>
      </c>
      <c r="G240" s="84">
        <f t="shared" si="30"/>
        <v>-1979844.6041917894</v>
      </c>
      <c r="I240" s="192">
        <v>41213</v>
      </c>
      <c r="J240" s="192">
        <v>41213</v>
      </c>
      <c r="K240" s="187">
        <f t="shared" si="26"/>
        <v>1</v>
      </c>
      <c r="L240" s="187"/>
      <c r="M240" s="191">
        <v>3.2500000000000001E-2</v>
      </c>
      <c r="N240" s="92">
        <f t="shared" si="27"/>
        <v>-176.29</v>
      </c>
      <c r="O240" s="84">
        <f t="shared" si="28"/>
        <v>-12106</v>
      </c>
      <c r="P240" s="84">
        <f t="shared" si="29"/>
        <v>1121976.0899999987</v>
      </c>
    </row>
    <row r="241" spans="1:16" x14ac:dyDescent="0.25">
      <c r="B241" s="65" t="s">
        <v>121</v>
      </c>
      <c r="C241" s="84"/>
      <c r="G241" s="84">
        <f t="shared" si="30"/>
        <v>-1979844.6041917894</v>
      </c>
      <c r="I241" s="192">
        <v>41214</v>
      </c>
      <c r="J241" s="192">
        <v>41242</v>
      </c>
      <c r="K241" s="187">
        <f t="shared" si="26"/>
        <v>29</v>
      </c>
      <c r="L241" s="187"/>
      <c r="M241" s="191">
        <v>3.2500000000000001E-2</v>
      </c>
      <c r="N241" s="92">
        <f t="shared" si="27"/>
        <v>-5112.34</v>
      </c>
      <c r="O241" s="84">
        <f t="shared" si="28"/>
        <v>-5112.34</v>
      </c>
      <c r="P241" s="84">
        <f t="shared" si="29"/>
        <v>1116863.7499999986</v>
      </c>
    </row>
    <row r="242" spans="1:16" x14ac:dyDescent="0.25">
      <c r="C242" s="84">
        <v>4293361.0231290031</v>
      </c>
      <c r="F242" s="84">
        <f>C242</f>
        <v>4293361.0231290031</v>
      </c>
      <c r="G242" s="84">
        <f t="shared" si="30"/>
        <v>2313516.4189372137</v>
      </c>
      <c r="I242" s="192">
        <v>41243</v>
      </c>
      <c r="J242" s="192">
        <v>41243</v>
      </c>
      <c r="K242" s="187">
        <f t="shared" si="26"/>
        <v>1</v>
      </c>
      <c r="L242" s="187"/>
      <c r="M242" s="191">
        <v>3.2500000000000001E-2</v>
      </c>
      <c r="N242" s="92">
        <f t="shared" si="27"/>
        <v>206</v>
      </c>
      <c r="O242" s="84">
        <f t="shared" si="28"/>
        <v>-4906.34</v>
      </c>
      <c r="P242" s="84">
        <f t="shared" si="29"/>
        <v>1117069.7499999986</v>
      </c>
    </row>
    <row r="243" spans="1:16" x14ac:dyDescent="0.25">
      <c r="B243" s="65" t="s">
        <v>120</v>
      </c>
      <c r="C243" s="84"/>
      <c r="G243" s="84">
        <f t="shared" si="30"/>
        <v>2313516.4189372137</v>
      </c>
      <c r="I243" s="192">
        <v>41244</v>
      </c>
      <c r="J243" s="192">
        <v>41273</v>
      </c>
      <c r="K243" s="187">
        <f t="shared" si="26"/>
        <v>30</v>
      </c>
      <c r="L243" s="187"/>
      <c r="M243" s="191">
        <v>3.2500000000000001E-2</v>
      </c>
      <c r="N243" s="92">
        <f t="shared" si="27"/>
        <v>6179.94</v>
      </c>
      <c r="O243" s="84">
        <f t="shared" si="28"/>
        <v>6179.94</v>
      </c>
      <c r="P243" s="84">
        <f t="shared" si="29"/>
        <v>1123249.6899999985</v>
      </c>
    </row>
    <row r="244" spans="1:16" x14ac:dyDescent="0.25">
      <c r="C244" s="84">
        <v>336431.34688021429</v>
      </c>
      <c r="F244" s="84">
        <f>C244</f>
        <v>336431.34688021429</v>
      </c>
      <c r="G244" s="84">
        <f t="shared" si="30"/>
        <v>2649947.765817428</v>
      </c>
      <c r="I244" s="192">
        <v>41274</v>
      </c>
      <c r="J244" s="192">
        <v>41274</v>
      </c>
      <c r="K244" s="187">
        <f t="shared" si="26"/>
        <v>1</v>
      </c>
      <c r="L244" s="187"/>
      <c r="M244" s="191">
        <v>3.2500000000000001E-2</v>
      </c>
      <c r="N244" s="92">
        <f t="shared" si="27"/>
        <v>235.95</v>
      </c>
      <c r="O244" s="84">
        <f t="shared" si="28"/>
        <v>6415.8899999999994</v>
      </c>
      <c r="P244" s="84">
        <f t="shared" si="29"/>
        <v>1123485.6399999985</v>
      </c>
    </row>
    <row r="245" spans="1:16" s="117" customFormat="1" x14ac:dyDescent="0.25">
      <c r="A245" s="117" t="s">
        <v>178</v>
      </c>
      <c r="B245" s="117" t="s">
        <v>131</v>
      </c>
      <c r="G245" s="92">
        <f t="shared" si="30"/>
        <v>2649947.765817428</v>
      </c>
      <c r="I245" s="188">
        <v>41275</v>
      </c>
      <c r="J245" s="188">
        <v>41304</v>
      </c>
      <c r="K245" s="187">
        <f t="shared" si="26"/>
        <v>30</v>
      </c>
      <c r="L245" s="187"/>
      <c r="M245" s="186">
        <v>3.2500000000000001E-2</v>
      </c>
      <c r="N245" s="92">
        <f t="shared" si="27"/>
        <v>7078.63</v>
      </c>
      <c r="O245" s="92">
        <f t="shared" si="28"/>
        <v>7078.63</v>
      </c>
      <c r="P245" s="92">
        <f t="shared" si="29"/>
        <v>1130564.2699999984</v>
      </c>
    </row>
    <row r="246" spans="1:16" s="117" customFormat="1" x14ac:dyDescent="0.25">
      <c r="A246" s="190" t="s">
        <v>177</v>
      </c>
      <c r="C246" s="92">
        <v>0</v>
      </c>
      <c r="F246" s="92">
        <f>C246</f>
        <v>0</v>
      </c>
      <c r="G246" s="92">
        <f t="shared" si="30"/>
        <v>2649947.765817428</v>
      </c>
      <c r="I246" s="188">
        <v>41305</v>
      </c>
      <c r="J246" s="188">
        <v>41305</v>
      </c>
      <c r="K246" s="187">
        <f t="shared" si="26"/>
        <v>1</v>
      </c>
      <c r="L246" s="187"/>
      <c r="M246" s="186">
        <v>3.2500000000000001E-2</v>
      </c>
      <c r="N246" s="92">
        <f t="shared" si="27"/>
        <v>235.95</v>
      </c>
      <c r="O246" s="92">
        <f t="shared" si="28"/>
        <v>7314.58</v>
      </c>
      <c r="P246" s="92">
        <f t="shared" si="29"/>
        <v>1130800.2199999983</v>
      </c>
    </row>
    <row r="247" spans="1:16" s="117" customFormat="1" x14ac:dyDescent="0.25">
      <c r="B247" s="117" t="s">
        <v>130</v>
      </c>
      <c r="C247" s="92"/>
      <c r="G247" s="92">
        <f t="shared" si="30"/>
        <v>2649947.765817428</v>
      </c>
      <c r="I247" s="188">
        <v>41306</v>
      </c>
      <c r="J247" s="188">
        <v>41332</v>
      </c>
      <c r="K247" s="187">
        <f t="shared" si="26"/>
        <v>27</v>
      </c>
      <c r="L247" s="187"/>
      <c r="M247" s="186">
        <v>3.2500000000000001E-2</v>
      </c>
      <c r="N247" s="92">
        <f t="shared" si="27"/>
        <v>6370.76</v>
      </c>
      <c r="O247" s="92">
        <f t="shared" si="28"/>
        <v>6370.76</v>
      </c>
      <c r="P247" s="92">
        <f t="shared" si="29"/>
        <v>1137170.9799999984</v>
      </c>
    </row>
    <row r="248" spans="1:16" s="117" customFormat="1" x14ac:dyDescent="0.25">
      <c r="C248" s="92">
        <v>0</v>
      </c>
      <c r="F248" s="92">
        <f>C248</f>
        <v>0</v>
      </c>
      <c r="G248" s="92">
        <f t="shared" si="30"/>
        <v>2649947.765817428</v>
      </c>
      <c r="I248" s="188">
        <v>41333</v>
      </c>
      <c r="J248" s="188">
        <v>41333</v>
      </c>
      <c r="K248" s="187">
        <f t="shared" si="26"/>
        <v>1</v>
      </c>
      <c r="L248" s="187"/>
      <c r="M248" s="186">
        <v>3.2500000000000001E-2</v>
      </c>
      <c r="N248" s="92">
        <f t="shared" si="27"/>
        <v>235.95</v>
      </c>
      <c r="O248" s="92">
        <f t="shared" si="28"/>
        <v>6606.71</v>
      </c>
      <c r="P248" s="92">
        <f t="shared" si="29"/>
        <v>1137406.9299999983</v>
      </c>
    </row>
    <row r="249" spans="1:16" s="117" customFormat="1" x14ac:dyDescent="0.25">
      <c r="B249" s="117" t="s">
        <v>129</v>
      </c>
      <c r="C249" s="92"/>
      <c r="G249" s="92">
        <f t="shared" si="30"/>
        <v>2649947.765817428</v>
      </c>
      <c r="I249" s="188">
        <v>41334</v>
      </c>
      <c r="J249" s="188">
        <v>41363</v>
      </c>
      <c r="K249" s="187">
        <f t="shared" si="26"/>
        <v>30</v>
      </c>
      <c r="L249" s="187"/>
      <c r="M249" s="186">
        <v>3.2500000000000001E-2</v>
      </c>
      <c r="N249" s="92">
        <f t="shared" si="27"/>
        <v>7078.63</v>
      </c>
      <c r="O249" s="92">
        <f t="shared" si="28"/>
        <v>7078.63</v>
      </c>
      <c r="P249" s="92">
        <f t="shared" si="29"/>
        <v>1144485.5599999982</v>
      </c>
    </row>
    <row r="250" spans="1:16" s="117" customFormat="1" ht="14.25" customHeight="1" x14ac:dyDescent="0.25">
      <c r="C250" s="92">
        <v>0</v>
      </c>
      <c r="F250" s="92">
        <f>C250</f>
        <v>0</v>
      </c>
      <c r="G250" s="92">
        <f t="shared" si="30"/>
        <v>2649947.765817428</v>
      </c>
      <c r="I250" s="188">
        <v>41364</v>
      </c>
      <c r="J250" s="188">
        <v>41364</v>
      </c>
      <c r="K250" s="187">
        <f t="shared" si="26"/>
        <v>1</v>
      </c>
      <c r="L250" s="187"/>
      <c r="M250" s="186">
        <v>3.2500000000000001E-2</v>
      </c>
      <c r="N250" s="92">
        <f t="shared" si="27"/>
        <v>235.95</v>
      </c>
      <c r="O250" s="92">
        <f t="shared" si="28"/>
        <v>7314.58</v>
      </c>
      <c r="P250" s="92">
        <f t="shared" si="29"/>
        <v>1144721.5099999981</v>
      </c>
    </row>
    <row r="251" spans="1:16" s="117" customFormat="1" x14ac:dyDescent="0.25">
      <c r="B251" s="117" t="s">
        <v>128</v>
      </c>
      <c r="C251" s="92"/>
      <c r="G251" s="92">
        <f t="shared" si="30"/>
        <v>2649947.765817428</v>
      </c>
      <c r="I251" s="188">
        <v>41365</v>
      </c>
      <c r="J251" s="188">
        <v>41393</v>
      </c>
      <c r="K251" s="187">
        <f t="shared" si="26"/>
        <v>29</v>
      </c>
      <c r="L251" s="187"/>
      <c r="M251" s="186">
        <v>3.2500000000000001E-2</v>
      </c>
      <c r="N251" s="92">
        <f t="shared" si="27"/>
        <v>6842.67</v>
      </c>
      <c r="O251" s="92">
        <f t="shared" si="28"/>
        <v>6842.67</v>
      </c>
      <c r="P251" s="92">
        <f t="shared" si="29"/>
        <v>1151564.1799999981</v>
      </c>
    </row>
    <row r="252" spans="1:16" s="117" customFormat="1" x14ac:dyDescent="0.25">
      <c r="C252" s="92">
        <v>-4247681.3139492068</v>
      </c>
      <c r="F252" s="92">
        <f>C252</f>
        <v>-4247681.3139492068</v>
      </c>
      <c r="G252" s="92">
        <f t="shared" si="30"/>
        <v>-1597733.5481317788</v>
      </c>
      <c r="I252" s="188">
        <v>41394</v>
      </c>
      <c r="J252" s="188">
        <v>41394</v>
      </c>
      <c r="K252" s="187">
        <f t="shared" si="26"/>
        <v>1</v>
      </c>
      <c r="L252" s="187"/>
      <c r="M252" s="186">
        <v>3.2500000000000001E-2</v>
      </c>
      <c r="N252" s="92">
        <f t="shared" si="27"/>
        <v>-142.26</v>
      </c>
      <c r="O252" s="92">
        <f t="shared" si="28"/>
        <v>6700.41</v>
      </c>
      <c r="P252" s="92">
        <f t="shared" si="29"/>
        <v>1151421.9199999981</v>
      </c>
    </row>
    <row r="253" spans="1:16" s="117" customFormat="1" x14ac:dyDescent="0.25">
      <c r="B253" s="117" t="s">
        <v>127</v>
      </c>
      <c r="C253" s="92"/>
      <c r="G253" s="92">
        <f t="shared" si="30"/>
        <v>-1597733.5481317788</v>
      </c>
      <c r="I253" s="188">
        <v>41395</v>
      </c>
      <c r="J253" s="188">
        <v>41424</v>
      </c>
      <c r="K253" s="187">
        <f t="shared" si="26"/>
        <v>30</v>
      </c>
      <c r="L253" s="187"/>
      <c r="M253" s="186">
        <v>3.2500000000000001E-2</v>
      </c>
      <c r="N253" s="92">
        <f t="shared" si="27"/>
        <v>-4267.92</v>
      </c>
      <c r="O253" s="92">
        <f t="shared" si="28"/>
        <v>-4267.92</v>
      </c>
      <c r="P253" s="92">
        <f t="shared" si="29"/>
        <v>1147153.9999999981</v>
      </c>
    </row>
    <row r="254" spans="1:16" s="117" customFormat="1" x14ac:dyDescent="0.25">
      <c r="C254" s="92">
        <v>-4194083.2077836264</v>
      </c>
      <c r="F254" s="92">
        <f>C254</f>
        <v>-4194083.2077836264</v>
      </c>
      <c r="G254" s="92">
        <f t="shared" si="30"/>
        <v>-5791816.7559154052</v>
      </c>
      <c r="I254" s="188">
        <v>41425</v>
      </c>
      <c r="J254" s="188">
        <v>41425</v>
      </c>
      <c r="K254" s="187">
        <f t="shared" si="26"/>
        <v>1</v>
      </c>
      <c r="L254" s="187"/>
      <c r="M254" s="186">
        <v>3.2500000000000001E-2</v>
      </c>
      <c r="N254" s="92">
        <f t="shared" si="27"/>
        <v>-515.71</v>
      </c>
      <c r="O254" s="92">
        <f t="shared" si="28"/>
        <v>-4783.63</v>
      </c>
      <c r="P254" s="92">
        <f t="shared" si="29"/>
        <v>1146638.2899999982</v>
      </c>
    </row>
    <row r="255" spans="1:16" s="117" customFormat="1" x14ac:dyDescent="0.25">
      <c r="B255" s="117" t="s">
        <v>126</v>
      </c>
      <c r="C255" s="92"/>
      <c r="G255" s="92">
        <f t="shared" si="30"/>
        <v>-5791816.7559154052</v>
      </c>
      <c r="I255" s="188">
        <v>41426</v>
      </c>
      <c r="J255" s="188">
        <v>41454</v>
      </c>
      <c r="K255" s="187">
        <f t="shared" si="26"/>
        <v>29</v>
      </c>
      <c r="L255" s="187"/>
      <c r="M255" s="186">
        <v>3.2500000000000001E-2</v>
      </c>
      <c r="N255" s="92">
        <f t="shared" si="27"/>
        <v>-14955.58</v>
      </c>
      <c r="O255" s="92">
        <f t="shared" si="28"/>
        <v>-14955.58</v>
      </c>
      <c r="P255" s="92">
        <f t="shared" si="29"/>
        <v>1131682.7099999981</v>
      </c>
    </row>
    <row r="256" spans="1:16" s="117" customFormat="1" x14ac:dyDescent="0.25">
      <c r="C256" s="92">
        <v>-1065512.9265041091</v>
      </c>
      <c r="F256" s="92">
        <f>C256</f>
        <v>-1065512.9265041091</v>
      </c>
      <c r="G256" s="92">
        <f t="shared" si="30"/>
        <v>-6857329.6824195143</v>
      </c>
      <c r="I256" s="188">
        <v>41455</v>
      </c>
      <c r="J256" s="188">
        <v>41455</v>
      </c>
      <c r="K256" s="187">
        <f t="shared" si="26"/>
        <v>1</v>
      </c>
      <c r="L256" s="187"/>
      <c r="M256" s="186">
        <v>3.2500000000000001E-2</v>
      </c>
      <c r="N256" s="92">
        <f t="shared" si="27"/>
        <v>-610.58000000000004</v>
      </c>
      <c r="O256" s="92">
        <f t="shared" si="28"/>
        <v>-15566.16</v>
      </c>
      <c r="P256" s="92">
        <f t="shared" si="29"/>
        <v>1131072.129999998</v>
      </c>
    </row>
    <row r="257" spans="1:16" s="117" customFormat="1" x14ac:dyDescent="0.25">
      <c r="B257" s="117" t="s">
        <v>125</v>
      </c>
      <c r="C257" s="92"/>
      <c r="G257" s="92">
        <f t="shared" si="30"/>
        <v>-6857329.6824195143</v>
      </c>
      <c r="I257" s="188">
        <v>41456</v>
      </c>
      <c r="J257" s="188">
        <v>41485</v>
      </c>
      <c r="K257" s="187">
        <f t="shared" si="26"/>
        <v>30</v>
      </c>
      <c r="L257" s="187"/>
      <c r="M257" s="186">
        <v>3.2500000000000001E-2</v>
      </c>
      <c r="N257" s="92">
        <f t="shared" si="27"/>
        <v>-18317.52</v>
      </c>
      <c r="O257" s="92">
        <f t="shared" si="28"/>
        <v>-18317.52</v>
      </c>
      <c r="P257" s="92">
        <f t="shared" si="29"/>
        <v>1112754.609999998</v>
      </c>
    </row>
    <row r="258" spans="1:16" s="117" customFormat="1" x14ac:dyDescent="0.25">
      <c r="C258" s="92">
        <v>-5433518.7040832303</v>
      </c>
      <c r="F258" s="92">
        <f>C258</f>
        <v>-5433518.7040832303</v>
      </c>
      <c r="G258" s="92">
        <f t="shared" si="30"/>
        <v>-12290848.386502745</v>
      </c>
      <c r="I258" s="188">
        <v>41486</v>
      </c>
      <c r="J258" s="188">
        <v>41486</v>
      </c>
      <c r="K258" s="187">
        <f t="shared" si="26"/>
        <v>1</v>
      </c>
      <c r="L258" s="187"/>
      <c r="M258" s="186">
        <v>3.2500000000000001E-2</v>
      </c>
      <c r="N258" s="92">
        <f t="shared" si="27"/>
        <v>-1094.3900000000001</v>
      </c>
      <c r="O258" s="92">
        <f t="shared" si="28"/>
        <v>-19411.91</v>
      </c>
      <c r="P258" s="92">
        <f t="shared" si="29"/>
        <v>1111660.2199999981</v>
      </c>
    </row>
    <row r="259" spans="1:16" s="117" customFormat="1" x14ac:dyDescent="0.25">
      <c r="B259" s="117" t="s">
        <v>124</v>
      </c>
      <c r="C259" s="92"/>
      <c r="G259" s="92">
        <f t="shared" si="30"/>
        <v>-12290848.386502745</v>
      </c>
      <c r="I259" s="188">
        <v>41487</v>
      </c>
      <c r="J259" s="188">
        <v>41516</v>
      </c>
      <c r="K259" s="187">
        <f t="shared" si="26"/>
        <v>30</v>
      </c>
      <c r="L259" s="187"/>
      <c r="M259" s="186">
        <v>3.2500000000000001E-2</v>
      </c>
      <c r="N259" s="92">
        <f t="shared" si="27"/>
        <v>-32831.72</v>
      </c>
      <c r="O259" s="92">
        <f t="shared" si="28"/>
        <v>-32831.72</v>
      </c>
      <c r="P259" s="92">
        <f t="shared" si="29"/>
        <v>1078828.4999999981</v>
      </c>
    </row>
    <row r="260" spans="1:16" s="117" customFormat="1" x14ac:dyDescent="0.25">
      <c r="C260" s="92">
        <v>-3140270.4154616632</v>
      </c>
      <c r="F260" s="92">
        <f>C260</f>
        <v>-3140270.4154616632</v>
      </c>
      <c r="G260" s="92">
        <f t="shared" si="30"/>
        <v>-15431118.801964408</v>
      </c>
      <c r="I260" s="188">
        <v>41517</v>
      </c>
      <c r="J260" s="188">
        <v>41517</v>
      </c>
      <c r="K260" s="187">
        <f t="shared" si="26"/>
        <v>1</v>
      </c>
      <c r="L260" s="187"/>
      <c r="M260" s="186">
        <v>3.2500000000000001E-2</v>
      </c>
      <c r="N260" s="92">
        <f t="shared" si="27"/>
        <v>-1374</v>
      </c>
      <c r="O260" s="92">
        <f t="shared" si="28"/>
        <v>-34205.72</v>
      </c>
      <c r="P260" s="92">
        <f t="shared" si="29"/>
        <v>1077454.4999999981</v>
      </c>
    </row>
    <row r="261" spans="1:16" s="117" customFormat="1" x14ac:dyDescent="0.25">
      <c r="B261" s="117" t="s">
        <v>123</v>
      </c>
      <c r="C261" s="92"/>
      <c r="G261" s="92">
        <f t="shared" si="30"/>
        <v>-15431118.801964408</v>
      </c>
      <c r="I261" s="188">
        <v>41518</v>
      </c>
      <c r="J261" s="188">
        <v>41546</v>
      </c>
      <c r="K261" s="187">
        <f t="shared" si="26"/>
        <v>29</v>
      </c>
      <c r="L261" s="187"/>
      <c r="M261" s="186">
        <v>3.2500000000000001E-2</v>
      </c>
      <c r="N261" s="92">
        <f t="shared" si="27"/>
        <v>-39846.11</v>
      </c>
      <c r="O261" s="92">
        <f t="shared" si="28"/>
        <v>-39846.11</v>
      </c>
      <c r="P261" s="92">
        <f t="shared" si="29"/>
        <v>1037608.3899999982</v>
      </c>
    </row>
    <row r="262" spans="1:16" s="117" customFormat="1" x14ac:dyDescent="0.25">
      <c r="C262" s="92">
        <v>-2197477.9712012503</v>
      </c>
      <c r="F262" s="92">
        <f>C262</f>
        <v>-2197477.9712012503</v>
      </c>
      <c r="G262" s="92">
        <f t="shared" si="30"/>
        <v>-17628596.773165658</v>
      </c>
      <c r="I262" s="188">
        <v>41547</v>
      </c>
      <c r="J262" s="188">
        <v>41547</v>
      </c>
      <c r="K262" s="187">
        <f t="shared" si="26"/>
        <v>1</v>
      </c>
      <c r="L262" s="187"/>
      <c r="M262" s="186">
        <v>3.2500000000000001E-2</v>
      </c>
      <c r="N262" s="92">
        <f t="shared" si="27"/>
        <v>-1569.67</v>
      </c>
      <c r="O262" s="92">
        <f t="shared" si="28"/>
        <v>-41415.78</v>
      </c>
      <c r="P262" s="92">
        <f t="shared" si="29"/>
        <v>1036038.7199999981</v>
      </c>
    </row>
    <row r="263" spans="1:16" s="117" customFormat="1" x14ac:dyDescent="0.25">
      <c r="B263" s="117" t="s">
        <v>122</v>
      </c>
      <c r="C263" s="92"/>
      <c r="G263" s="92">
        <f t="shared" si="30"/>
        <v>-17628596.773165658</v>
      </c>
      <c r="I263" s="188">
        <v>41548</v>
      </c>
      <c r="J263" s="188">
        <v>41577</v>
      </c>
      <c r="K263" s="187">
        <f t="shared" si="26"/>
        <v>30</v>
      </c>
      <c r="L263" s="187"/>
      <c r="M263" s="186">
        <v>3.2500000000000001E-2</v>
      </c>
      <c r="N263" s="92">
        <f t="shared" si="27"/>
        <v>-47090.09</v>
      </c>
      <c r="O263" s="92">
        <f t="shared" si="28"/>
        <v>-47090.09</v>
      </c>
      <c r="P263" s="92">
        <f t="shared" si="29"/>
        <v>988948.62999999814</v>
      </c>
    </row>
    <row r="264" spans="1:16" s="117" customFormat="1" x14ac:dyDescent="0.25">
      <c r="C264" s="92">
        <v>-2051019.1502261162</v>
      </c>
      <c r="F264" s="92">
        <f>C264</f>
        <v>-2051019.1502261162</v>
      </c>
      <c r="G264" s="92">
        <f t="shared" si="30"/>
        <v>-19679615.923391774</v>
      </c>
      <c r="I264" s="188">
        <v>41578</v>
      </c>
      <c r="J264" s="188">
        <v>41578</v>
      </c>
      <c r="K264" s="187">
        <f t="shared" si="26"/>
        <v>1</v>
      </c>
      <c r="L264" s="187"/>
      <c r="M264" s="186">
        <v>3.2500000000000001E-2</v>
      </c>
      <c r="N264" s="92">
        <f t="shared" si="27"/>
        <v>-1752.29</v>
      </c>
      <c r="O264" s="92">
        <f t="shared" si="28"/>
        <v>-48842.38</v>
      </c>
      <c r="P264" s="92">
        <f t="shared" si="29"/>
        <v>987196.3399999981</v>
      </c>
    </row>
    <row r="265" spans="1:16" s="117" customFormat="1" x14ac:dyDescent="0.25">
      <c r="B265" s="117" t="s">
        <v>121</v>
      </c>
      <c r="C265" s="92"/>
      <c r="G265" s="92">
        <f t="shared" si="30"/>
        <v>-19679615.923391774</v>
      </c>
      <c r="I265" s="188">
        <v>41579</v>
      </c>
      <c r="J265" s="188">
        <v>41607</v>
      </c>
      <c r="K265" s="187">
        <f t="shared" si="26"/>
        <v>29</v>
      </c>
      <c r="L265" s="187"/>
      <c r="M265" s="186">
        <v>3.2500000000000001E-2</v>
      </c>
      <c r="N265" s="92">
        <f t="shared" si="27"/>
        <v>-50816.54</v>
      </c>
      <c r="O265" s="92">
        <f t="shared" si="28"/>
        <v>-50816.54</v>
      </c>
      <c r="P265" s="92">
        <f t="shared" si="29"/>
        <v>936379.79999999807</v>
      </c>
    </row>
    <row r="266" spans="1:16" s="117" customFormat="1" x14ac:dyDescent="0.25">
      <c r="C266" s="92">
        <v>10351452.06285744</v>
      </c>
      <c r="F266" s="92">
        <f>C266</f>
        <v>10351452.06285744</v>
      </c>
      <c r="G266" s="92">
        <f t="shared" si="30"/>
        <v>-9328163.8605343346</v>
      </c>
      <c r="I266" s="188">
        <v>41608</v>
      </c>
      <c r="J266" s="188">
        <v>41608</v>
      </c>
      <c r="K266" s="187">
        <f t="shared" si="26"/>
        <v>1</v>
      </c>
      <c r="L266" s="187"/>
      <c r="M266" s="186">
        <v>3.2500000000000001E-2</v>
      </c>
      <c r="N266" s="92">
        <f t="shared" si="27"/>
        <v>-830.59</v>
      </c>
      <c r="O266" s="92">
        <f t="shared" si="28"/>
        <v>-51647.13</v>
      </c>
      <c r="P266" s="92">
        <f t="shared" si="29"/>
        <v>935549.2099999981</v>
      </c>
    </row>
    <row r="267" spans="1:16" s="117" customFormat="1" x14ac:dyDescent="0.25">
      <c r="B267" s="117" t="s">
        <v>120</v>
      </c>
      <c r="C267" s="92"/>
      <c r="G267" s="92">
        <f t="shared" si="30"/>
        <v>-9328163.8605343346</v>
      </c>
      <c r="I267" s="188">
        <v>41609</v>
      </c>
      <c r="J267" s="188">
        <v>41638</v>
      </c>
      <c r="K267" s="187">
        <f t="shared" si="26"/>
        <v>30</v>
      </c>
      <c r="L267" s="187"/>
      <c r="M267" s="186">
        <v>3.2500000000000001E-2</v>
      </c>
      <c r="N267" s="92">
        <f t="shared" si="27"/>
        <v>-24917.7</v>
      </c>
      <c r="O267" s="92">
        <f t="shared" si="28"/>
        <v>-24917.7</v>
      </c>
      <c r="P267" s="92">
        <f t="shared" si="29"/>
        <v>910631.50999999815</v>
      </c>
    </row>
    <row r="268" spans="1:16" s="117" customFormat="1" x14ac:dyDescent="0.25">
      <c r="C268" s="92">
        <v>2958670.2984363995</v>
      </c>
      <c r="F268" s="92">
        <f>C268</f>
        <v>2958670.2984363995</v>
      </c>
      <c r="G268" s="92">
        <f t="shared" si="30"/>
        <v>-6369493.562097935</v>
      </c>
      <c r="I268" s="188">
        <v>41639</v>
      </c>
      <c r="J268" s="188">
        <v>41639</v>
      </c>
      <c r="K268" s="187">
        <f t="shared" si="26"/>
        <v>1</v>
      </c>
      <c r="L268" s="187"/>
      <c r="M268" s="186">
        <v>3.2500000000000001E-2</v>
      </c>
      <c r="N268" s="92">
        <f t="shared" si="27"/>
        <v>-567.15</v>
      </c>
      <c r="O268" s="92">
        <f t="shared" si="28"/>
        <v>-25484.850000000002</v>
      </c>
      <c r="P268" s="92">
        <f t="shared" si="29"/>
        <v>910064.35999999812</v>
      </c>
    </row>
    <row r="269" spans="1:16" s="117" customFormat="1" x14ac:dyDescent="0.25">
      <c r="A269" s="117" t="s">
        <v>176</v>
      </c>
      <c r="B269" s="117" t="s">
        <v>131</v>
      </c>
      <c r="G269" s="92">
        <f t="shared" si="30"/>
        <v>-6369493.562097935</v>
      </c>
      <c r="I269" s="188">
        <v>41640</v>
      </c>
      <c r="J269" s="188">
        <v>41669</v>
      </c>
      <c r="K269" s="187">
        <f t="shared" si="26"/>
        <v>30</v>
      </c>
      <c r="L269" s="187"/>
      <c r="M269" s="186">
        <v>3.2500000000000001E-2</v>
      </c>
      <c r="N269" s="92">
        <f t="shared" si="27"/>
        <v>-17014.400000000001</v>
      </c>
      <c r="O269" s="92">
        <f t="shared" si="28"/>
        <v>-17014.400000000001</v>
      </c>
      <c r="P269" s="92">
        <f t="shared" si="29"/>
        <v>893049.9599999981</v>
      </c>
    </row>
    <row r="270" spans="1:16" s="117" customFormat="1" ht="13.75" customHeight="1" x14ac:dyDescent="0.25">
      <c r="A270" s="190" t="s">
        <v>175</v>
      </c>
      <c r="C270" s="92">
        <v>0</v>
      </c>
      <c r="F270" s="92">
        <f>C270</f>
        <v>0</v>
      </c>
      <c r="G270" s="92">
        <f t="shared" si="30"/>
        <v>-6369493.562097935</v>
      </c>
      <c r="I270" s="188">
        <v>41670</v>
      </c>
      <c r="J270" s="188">
        <v>41670</v>
      </c>
      <c r="K270" s="187">
        <f t="shared" si="26"/>
        <v>1</v>
      </c>
      <c r="L270" s="187"/>
      <c r="M270" s="186">
        <v>3.2500000000000001E-2</v>
      </c>
      <c r="N270" s="92">
        <f t="shared" si="27"/>
        <v>-567.15</v>
      </c>
      <c r="O270" s="92">
        <f t="shared" si="28"/>
        <v>-17581.550000000003</v>
      </c>
      <c r="P270" s="92">
        <f t="shared" si="29"/>
        <v>892482.80999999808</v>
      </c>
    </row>
    <row r="271" spans="1:16" s="117" customFormat="1" x14ac:dyDescent="0.25">
      <c r="B271" s="117" t="s">
        <v>130</v>
      </c>
      <c r="C271" s="92"/>
      <c r="G271" s="92">
        <f t="shared" si="30"/>
        <v>-6369493.562097935</v>
      </c>
      <c r="I271" s="188">
        <v>41671</v>
      </c>
      <c r="J271" s="188">
        <v>41697</v>
      </c>
      <c r="K271" s="187">
        <f t="shared" si="26"/>
        <v>27</v>
      </c>
      <c r="L271" s="187"/>
      <c r="M271" s="186">
        <v>3.2500000000000001E-2</v>
      </c>
      <c r="N271" s="92">
        <f t="shared" si="27"/>
        <v>-15312.96</v>
      </c>
      <c r="O271" s="92">
        <f t="shared" si="28"/>
        <v>-15312.96</v>
      </c>
      <c r="P271" s="92">
        <f t="shared" si="29"/>
        <v>877169.84999999811</v>
      </c>
    </row>
    <row r="272" spans="1:16" s="117" customFormat="1" x14ac:dyDescent="0.25">
      <c r="C272" s="92">
        <v>239948.90752594173</v>
      </c>
      <c r="F272" s="92">
        <f>C272</f>
        <v>239948.90752594173</v>
      </c>
      <c r="G272" s="92">
        <f t="shared" si="30"/>
        <v>-6129544.6545719933</v>
      </c>
      <c r="I272" s="188">
        <v>41698</v>
      </c>
      <c r="J272" s="188">
        <v>41698</v>
      </c>
      <c r="K272" s="187">
        <f t="shared" si="26"/>
        <v>1</v>
      </c>
      <c r="L272" s="187"/>
      <c r="M272" s="186">
        <v>3.2500000000000001E-2</v>
      </c>
      <c r="N272" s="92">
        <f t="shared" si="27"/>
        <v>-545.78</v>
      </c>
      <c r="O272" s="92">
        <f t="shared" si="28"/>
        <v>-15858.74</v>
      </c>
      <c r="P272" s="92">
        <f t="shared" si="29"/>
        <v>876624.06999999809</v>
      </c>
    </row>
    <row r="273" spans="2:16" s="117" customFormat="1" x14ac:dyDescent="0.25">
      <c r="B273" s="117" t="s">
        <v>129</v>
      </c>
      <c r="C273" s="92"/>
      <c r="G273" s="92">
        <f t="shared" si="30"/>
        <v>-6129544.6545719933</v>
      </c>
      <c r="I273" s="188">
        <v>41699</v>
      </c>
      <c r="J273" s="188">
        <v>41728</v>
      </c>
      <c r="K273" s="187">
        <f t="shared" si="26"/>
        <v>30</v>
      </c>
      <c r="L273" s="187"/>
      <c r="M273" s="186">
        <v>3.2500000000000001E-2</v>
      </c>
      <c r="N273" s="92">
        <f t="shared" si="27"/>
        <v>-16373.44</v>
      </c>
      <c r="O273" s="92">
        <f t="shared" si="28"/>
        <v>-16373.44</v>
      </c>
      <c r="P273" s="92">
        <f t="shared" si="29"/>
        <v>860250.62999999814</v>
      </c>
    </row>
    <row r="274" spans="2:16" s="117" customFormat="1" ht="14.25" customHeight="1" x14ac:dyDescent="0.25">
      <c r="C274" s="92">
        <v>-239948.90752594173</v>
      </c>
      <c r="F274" s="92">
        <f>C274</f>
        <v>-239948.90752594173</v>
      </c>
      <c r="G274" s="92">
        <f t="shared" si="30"/>
        <v>-6369493.562097935</v>
      </c>
      <c r="I274" s="188">
        <v>41729</v>
      </c>
      <c r="J274" s="188">
        <v>41729</v>
      </c>
      <c r="K274" s="187">
        <f t="shared" si="26"/>
        <v>1</v>
      </c>
      <c r="L274" s="187"/>
      <c r="M274" s="186">
        <v>3.2500000000000001E-2</v>
      </c>
      <c r="N274" s="92">
        <f t="shared" si="27"/>
        <v>-567.15</v>
      </c>
      <c r="O274" s="92">
        <f t="shared" si="28"/>
        <v>-16940.59</v>
      </c>
      <c r="P274" s="92">
        <f t="shared" si="29"/>
        <v>859683.47999999812</v>
      </c>
    </row>
    <row r="275" spans="2:16" s="117" customFormat="1" x14ac:dyDescent="0.25">
      <c r="B275" s="117" t="s">
        <v>128</v>
      </c>
      <c r="C275" s="92"/>
      <c r="G275" s="92">
        <f t="shared" si="30"/>
        <v>-6369493.562097935</v>
      </c>
      <c r="I275" s="188">
        <v>41730</v>
      </c>
      <c r="J275" s="188">
        <v>41758</v>
      </c>
      <c r="K275" s="187">
        <f t="shared" si="26"/>
        <v>29</v>
      </c>
      <c r="L275" s="187"/>
      <c r="M275" s="186">
        <v>3.2500000000000001E-2</v>
      </c>
      <c r="N275" s="92">
        <f t="shared" si="27"/>
        <v>-16447.25</v>
      </c>
      <c r="O275" s="92">
        <f t="shared" si="28"/>
        <v>-16447.25</v>
      </c>
      <c r="P275" s="92">
        <f t="shared" si="29"/>
        <v>843236.22999999812</v>
      </c>
    </row>
    <row r="276" spans="2:16" s="117" customFormat="1" x14ac:dyDescent="0.25">
      <c r="C276" s="92">
        <v>0</v>
      </c>
      <c r="F276" s="92">
        <f>C276</f>
        <v>0</v>
      </c>
      <c r="G276" s="92">
        <f t="shared" si="30"/>
        <v>-6369493.562097935</v>
      </c>
      <c r="I276" s="188">
        <v>41759</v>
      </c>
      <c r="J276" s="188">
        <v>41759</v>
      </c>
      <c r="K276" s="187">
        <f t="shared" ref="K276:K318" si="31">+IF(+J276="","",+J276-(I276-1))</f>
        <v>1</v>
      </c>
      <c r="L276" s="187"/>
      <c r="M276" s="186">
        <v>3.2500000000000001E-2</v>
      </c>
      <c r="N276" s="92">
        <f t="shared" si="27"/>
        <v>-567.15</v>
      </c>
      <c r="O276" s="92">
        <f t="shared" si="28"/>
        <v>-17014.400000000001</v>
      </c>
      <c r="P276" s="92">
        <f t="shared" si="29"/>
        <v>842669.0799999981</v>
      </c>
    </row>
    <row r="277" spans="2:16" s="117" customFormat="1" x14ac:dyDescent="0.25">
      <c r="B277" s="117" t="s">
        <v>127</v>
      </c>
      <c r="C277" s="92"/>
      <c r="G277" s="92">
        <f t="shared" si="30"/>
        <v>-6369493.562097935</v>
      </c>
      <c r="I277" s="188">
        <v>41760</v>
      </c>
      <c r="J277" s="188">
        <v>41789</v>
      </c>
      <c r="K277" s="187">
        <f t="shared" si="31"/>
        <v>30</v>
      </c>
      <c r="L277" s="187"/>
      <c r="M277" s="186">
        <v>3.2500000000000001E-2</v>
      </c>
      <c r="N277" s="92">
        <f t="shared" si="27"/>
        <v>-17014.400000000001</v>
      </c>
      <c r="O277" s="92">
        <f t="shared" si="28"/>
        <v>-17014.400000000001</v>
      </c>
      <c r="P277" s="92">
        <f t="shared" si="29"/>
        <v>825654.67999999807</v>
      </c>
    </row>
    <row r="278" spans="2:16" s="117" customFormat="1" x14ac:dyDescent="0.25">
      <c r="C278" s="92">
        <v>0</v>
      </c>
      <c r="F278" s="92">
        <f>C278</f>
        <v>0</v>
      </c>
      <c r="G278" s="92">
        <f t="shared" si="30"/>
        <v>-6369493.562097935</v>
      </c>
      <c r="I278" s="188">
        <v>41790</v>
      </c>
      <c r="J278" s="188">
        <v>41790</v>
      </c>
      <c r="K278" s="187">
        <f t="shared" si="31"/>
        <v>1</v>
      </c>
      <c r="L278" s="187"/>
      <c r="M278" s="186">
        <v>3.2500000000000001E-2</v>
      </c>
      <c r="N278" s="92">
        <f t="shared" si="27"/>
        <v>-567.15</v>
      </c>
      <c r="O278" s="92">
        <f t="shared" si="28"/>
        <v>-17581.550000000003</v>
      </c>
      <c r="P278" s="92">
        <f t="shared" si="29"/>
        <v>825087.52999999805</v>
      </c>
    </row>
    <row r="279" spans="2:16" s="117" customFormat="1" x14ac:dyDescent="0.25">
      <c r="B279" s="117" t="s">
        <v>126</v>
      </c>
      <c r="C279" s="92"/>
      <c r="G279" s="92">
        <f t="shared" si="30"/>
        <v>-6369493.562097935</v>
      </c>
      <c r="I279" s="188">
        <v>41791</v>
      </c>
      <c r="J279" s="188">
        <v>41819</v>
      </c>
      <c r="K279" s="187">
        <f t="shared" si="31"/>
        <v>29</v>
      </c>
      <c r="L279" s="187"/>
      <c r="M279" s="186">
        <v>3.2500000000000001E-2</v>
      </c>
      <c r="N279" s="92">
        <f t="shared" si="27"/>
        <v>-16447.25</v>
      </c>
      <c r="O279" s="92">
        <f t="shared" si="28"/>
        <v>-16447.25</v>
      </c>
      <c r="P279" s="92">
        <f t="shared" si="29"/>
        <v>808640.27999999805</v>
      </c>
    </row>
    <row r="280" spans="2:16" s="117" customFormat="1" x14ac:dyDescent="0.25">
      <c r="C280" s="92">
        <v>0</v>
      </c>
      <c r="F280" s="92">
        <f>C280</f>
        <v>0</v>
      </c>
      <c r="G280" s="92">
        <f t="shared" si="30"/>
        <v>-6369493.562097935</v>
      </c>
      <c r="I280" s="188">
        <v>41820</v>
      </c>
      <c r="J280" s="188">
        <v>41820</v>
      </c>
      <c r="K280" s="187">
        <f t="shared" si="31"/>
        <v>1</v>
      </c>
      <c r="L280" s="187"/>
      <c r="M280" s="186">
        <v>3.2500000000000001E-2</v>
      </c>
      <c r="N280" s="92">
        <f t="shared" ref="N280:N343" si="32">+IF(+K280&lt;&gt;" ", ROUND(M280*(K280/365)*G280,2),0)</f>
        <v>-567.15</v>
      </c>
      <c r="O280" s="92">
        <f t="shared" si="28"/>
        <v>-17014.400000000001</v>
      </c>
      <c r="P280" s="92">
        <f t="shared" si="29"/>
        <v>808073.12999999803</v>
      </c>
    </row>
    <row r="281" spans="2:16" s="117" customFormat="1" x14ac:dyDescent="0.25">
      <c r="B281" s="117" t="s">
        <v>125</v>
      </c>
      <c r="C281" s="92"/>
      <c r="G281" s="92">
        <f t="shared" si="30"/>
        <v>-6369493.562097935</v>
      </c>
      <c r="I281" s="188">
        <v>41821</v>
      </c>
      <c r="J281" s="188">
        <v>41850</v>
      </c>
      <c r="K281" s="187">
        <f t="shared" si="31"/>
        <v>30</v>
      </c>
      <c r="L281" s="187"/>
      <c r="M281" s="186">
        <v>3.2500000000000001E-2</v>
      </c>
      <c r="N281" s="92">
        <f t="shared" si="32"/>
        <v>-17014.400000000001</v>
      </c>
      <c r="O281" s="92">
        <f t="shared" si="28"/>
        <v>-17014.400000000001</v>
      </c>
      <c r="P281" s="92">
        <f t="shared" si="29"/>
        <v>791058.729999998</v>
      </c>
    </row>
    <row r="282" spans="2:16" s="117" customFormat="1" x14ac:dyDescent="0.25">
      <c r="C282" s="92">
        <v>0</v>
      </c>
      <c r="F282" s="92">
        <f>C282</f>
        <v>0</v>
      </c>
      <c r="G282" s="92">
        <f t="shared" si="30"/>
        <v>-6369493.562097935</v>
      </c>
      <c r="I282" s="188">
        <v>41851</v>
      </c>
      <c r="J282" s="188">
        <v>41851</v>
      </c>
      <c r="K282" s="187">
        <f t="shared" si="31"/>
        <v>1</v>
      </c>
      <c r="L282" s="187"/>
      <c r="M282" s="186">
        <v>3.2500000000000001E-2</v>
      </c>
      <c r="N282" s="92">
        <f t="shared" si="32"/>
        <v>-567.15</v>
      </c>
      <c r="O282" s="92">
        <f t="shared" ref="O282:O345" si="33">IF(MONTH(+I282)&lt;&gt;MONTH(+I281),N282,+O281+N282)</f>
        <v>-17581.550000000003</v>
      </c>
      <c r="P282" s="92">
        <f t="shared" si="29"/>
        <v>790491.57999999798</v>
      </c>
    </row>
    <row r="283" spans="2:16" s="117" customFormat="1" x14ac:dyDescent="0.25">
      <c r="B283" s="117" t="s">
        <v>124</v>
      </c>
      <c r="C283" s="92"/>
      <c r="G283" s="92">
        <f t="shared" si="30"/>
        <v>-6369493.562097935</v>
      </c>
      <c r="I283" s="188">
        <v>41852</v>
      </c>
      <c r="J283" s="188">
        <v>41881</v>
      </c>
      <c r="K283" s="187">
        <f t="shared" si="31"/>
        <v>30</v>
      </c>
      <c r="L283" s="187"/>
      <c r="M283" s="186">
        <v>3.2500000000000001E-2</v>
      </c>
      <c r="N283" s="92">
        <f t="shared" si="32"/>
        <v>-17014.400000000001</v>
      </c>
      <c r="O283" s="92">
        <f t="shared" si="33"/>
        <v>-17014.400000000001</v>
      </c>
      <c r="P283" s="92">
        <f t="shared" ref="P283:P346" si="34">P282+N283</f>
        <v>773477.17999999796</v>
      </c>
    </row>
    <row r="284" spans="2:16" s="117" customFormat="1" x14ac:dyDescent="0.25">
      <c r="C284" s="92">
        <v>0</v>
      </c>
      <c r="F284" s="92">
        <f>C284</f>
        <v>0</v>
      </c>
      <c r="G284" s="92">
        <f t="shared" si="30"/>
        <v>-6369493.562097935</v>
      </c>
      <c r="I284" s="188">
        <v>41882</v>
      </c>
      <c r="J284" s="188">
        <v>41882</v>
      </c>
      <c r="K284" s="187">
        <f t="shared" si="31"/>
        <v>1</v>
      </c>
      <c r="L284" s="187"/>
      <c r="M284" s="186">
        <v>3.2500000000000001E-2</v>
      </c>
      <c r="N284" s="92">
        <f t="shared" si="32"/>
        <v>-567.15</v>
      </c>
      <c r="O284" s="92">
        <f t="shared" si="33"/>
        <v>-17581.550000000003</v>
      </c>
      <c r="P284" s="92">
        <f t="shared" si="34"/>
        <v>772910.02999999793</v>
      </c>
    </row>
    <row r="285" spans="2:16" s="117" customFormat="1" x14ac:dyDescent="0.25">
      <c r="B285" s="117" t="s">
        <v>123</v>
      </c>
      <c r="C285" s="92"/>
      <c r="G285" s="92">
        <f t="shared" si="30"/>
        <v>-6369493.562097935</v>
      </c>
      <c r="I285" s="188">
        <v>41883</v>
      </c>
      <c r="J285" s="188">
        <v>41911</v>
      </c>
      <c r="K285" s="187">
        <f t="shared" si="31"/>
        <v>29</v>
      </c>
      <c r="L285" s="187"/>
      <c r="M285" s="186">
        <v>3.2500000000000001E-2</v>
      </c>
      <c r="N285" s="92">
        <f t="shared" si="32"/>
        <v>-16447.25</v>
      </c>
      <c r="O285" s="92">
        <f t="shared" si="33"/>
        <v>-16447.25</v>
      </c>
      <c r="P285" s="92">
        <f t="shared" si="34"/>
        <v>756462.77999999793</v>
      </c>
    </row>
    <row r="286" spans="2:16" s="117" customFormat="1" x14ac:dyDescent="0.25">
      <c r="C286" s="92">
        <v>3927930.365749184</v>
      </c>
      <c r="F286" s="92">
        <f>C286</f>
        <v>3927930.365749184</v>
      </c>
      <c r="G286" s="92">
        <f t="shared" si="30"/>
        <v>-2441563.196348751</v>
      </c>
      <c r="I286" s="188">
        <v>41912</v>
      </c>
      <c r="J286" s="188">
        <v>41912</v>
      </c>
      <c r="K286" s="187">
        <f t="shared" si="31"/>
        <v>1</v>
      </c>
      <c r="L286" s="187"/>
      <c r="M286" s="186">
        <v>3.2500000000000001E-2</v>
      </c>
      <c r="N286" s="92">
        <f t="shared" si="32"/>
        <v>-217.4</v>
      </c>
      <c r="O286" s="92">
        <f t="shared" si="33"/>
        <v>-16664.650000000001</v>
      </c>
      <c r="P286" s="92">
        <f t="shared" si="34"/>
        <v>756245.37999999791</v>
      </c>
    </row>
    <row r="287" spans="2:16" s="117" customFormat="1" x14ac:dyDescent="0.25">
      <c r="B287" s="117" t="s">
        <v>122</v>
      </c>
      <c r="C287" s="92"/>
      <c r="G287" s="92">
        <f t="shared" si="30"/>
        <v>-2441563.196348751</v>
      </c>
      <c r="I287" s="188">
        <v>41913</v>
      </c>
      <c r="J287" s="188">
        <v>41942</v>
      </c>
      <c r="K287" s="187">
        <f t="shared" si="31"/>
        <v>30</v>
      </c>
      <c r="L287" s="187"/>
      <c r="M287" s="186">
        <v>3.2500000000000001E-2</v>
      </c>
      <c r="N287" s="92">
        <f t="shared" si="32"/>
        <v>-6521.98</v>
      </c>
      <c r="O287" s="92">
        <f t="shared" si="33"/>
        <v>-6521.98</v>
      </c>
      <c r="P287" s="92">
        <f t="shared" si="34"/>
        <v>749723.39999999793</v>
      </c>
    </row>
    <row r="288" spans="2:16" s="117" customFormat="1" x14ac:dyDescent="0.25">
      <c r="C288" s="92">
        <v>2756545.3609444443</v>
      </c>
      <c r="F288" s="92">
        <f>C288</f>
        <v>2756545.3609444443</v>
      </c>
      <c r="G288" s="92">
        <f t="shared" si="30"/>
        <v>314982.16459569335</v>
      </c>
      <c r="I288" s="188">
        <v>41943</v>
      </c>
      <c r="J288" s="188">
        <v>41943</v>
      </c>
      <c r="K288" s="187">
        <f t="shared" si="31"/>
        <v>1</v>
      </c>
      <c r="L288" s="187"/>
      <c r="M288" s="186">
        <v>3.2500000000000001E-2</v>
      </c>
      <c r="N288" s="92">
        <f t="shared" si="32"/>
        <v>28.05</v>
      </c>
      <c r="O288" s="92">
        <f t="shared" si="33"/>
        <v>-6493.9299999999994</v>
      </c>
      <c r="P288" s="92">
        <f t="shared" si="34"/>
        <v>749751.44999999797</v>
      </c>
    </row>
    <row r="289" spans="1:16" s="117" customFormat="1" x14ac:dyDescent="0.25">
      <c r="B289" s="117" t="s">
        <v>121</v>
      </c>
      <c r="C289" s="92"/>
      <c r="G289" s="92">
        <f t="shared" si="30"/>
        <v>314982.16459569335</v>
      </c>
      <c r="I289" s="188">
        <v>41944</v>
      </c>
      <c r="J289" s="188">
        <v>41972</v>
      </c>
      <c r="K289" s="187">
        <f t="shared" si="31"/>
        <v>29</v>
      </c>
      <c r="L289" s="187"/>
      <c r="M289" s="186">
        <v>3.2500000000000001E-2</v>
      </c>
      <c r="N289" s="92">
        <f t="shared" si="32"/>
        <v>813.34</v>
      </c>
      <c r="O289" s="92">
        <f t="shared" si="33"/>
        <v>813.34</v>
      </c>
      <c r="P289" s="92">
        <f t="shared" si="34"/>
        <v>750564.78999999794</v>
      </c>
    </row>
    <row r="290" spans="1:16" s="117" customFormat="1" x14ac:dyDescent="0.25">
      <c r="C290" s="92">
        <v>2280585.4469123017</v>
      </c>
      <c r="F290" s="92">
        <f>C290</f>
        <v>2280585.4469123017</v>
      </c>
      <c r="G290" s="92">
        <f t="shared" si="30"/>
        <v>2595567.6115079951</v>
      </c>
      <c r="I290" s="188">
        <v>41973</v>
      </c>
      <c r="J290" s="188">
        <v>41973</v>
      </c>
      <c r="K290" s="187">
        <f t="shared" si="31"/>
        <v>1</v>
      </c>
      <c r="L290" s="187"/>
      <c r="M290" s="186">
        <v>3.2500000000000001E-2</v>
      </c>
      <c r="N290" s="92">
        <f t="shared" si="32"/>
        <v>231.11</v>
      </c>
      <c r="O290" s="92">
        <f t="shared" si="33"/>
        <v>1044.45</v>
      </c>
      <c r="P290" s="92">
        <f t="shared" si="34"/>
        <v>750795.89999999793</v>
      </c>
    </row>
    <row r="291" spans="1:16" s="117" customFormat="1" x14ac:dyDescent="0.25">
      <c r="B291" s="117" t="s">
        <v>120</v>
      </c>
      <c r="C291" s="92"/>
      <c r="G291" s="92">
        <f t="shared" si="30"/>
        <v>2595567.6115079951</v>
      </c>
      <c r="I291" s="188">
        <v>41974</v>
      </c>
      <c r="J291" s="188">
        <v>42003</v>
      </c>
      <c r="K291" s="187">
        <f t="shared" si="31"/>
        <v>30</v>
      </c>
      <c r="L291" s="187"/>
      <c r="M291" s="186">
        <v>3.2500000000000001E-2</v>
      </c>
      <c r="N291" s="92">
        <f t="shared" si="32"/>
        <v>6933.37</v>
      </c>
      <c r="O291" s="92">
        <f t="shared" si="33"/>
        <v>6933.37</v>
      </c>
      <c r="P291" s="92">
        <f t="shared" si="34"/>
        <v>757729.26999999792</v>
      </c>
    </row>
    <row r="292" spans="1:16" s="117" customFormat="1" x14ac:dyDescent="0.25">
      <c r="C292" s="92">
        <v>858775.95871226862</v>
      </c>
      <c r="F292" s="92">
        <f>C292</f>
        <v>858775.95871226862</v>
      </c>
      <c r="G292" s="92">
        <f t="shared" si="30"/>
        <v>3454343.5702202637</v>
      </c>
      <c r="I292" s="188">
        <v>42004</v>
      </c>
      <c r="J292" s="188">
        <v>42004</v>
      </c>
      <c r="K292" s="187">
        <f t="shared" si="31"/>
        <v>1</v>
      </c>
      <c r="L292" s="187"/>
      <c r="M292" s="186">
        <v>3.2500000000000001E-2</v>
      </c>
      <c r="N292" s="92">
        <f t="shared" si="32"/>
        <v>307.58</v>
      </c>
      <c r="O292" s="92">
        <f t="shared" si="33"/>
        <v>7240.95</v>
      </c>
      <c r="P292" s="92">
        <f t="shared" si="34"/>
        <v>758036.84999999788</v>
      </c>
    </row>
    <row r="293" spans="1:16" s="117" customFormat="1" x14ac:dyDescent="0.25">
      <c r="A293" s="117" t="s">
        <v>174</v>
      </c>
      <c r="B293" s="117" t="s">
        <v>131</v>
      </c>
      <c r="G293" s="92">
        <f t="shared" si="30"/>
        <v>3454343.5702202637</v>
      </c>
      <c r="I293" s="188">
        <v>42005</v>
      </c>
      <c r="J293" s="188">
        <v>42034</v>
      </c>
      <c r="K293" s="187">
        <f t="shared" si="31"/>
        <v>30</v>
      </c>
      <c r="L293" s="187"/>
      <c r="M293" s="186">
        <v>3.2500000000000001E-2</v>
      </c>
      <c r="N293" s="92">
        <f t="shared" si="32"/>
        <v>9227.36</v>
      </c>
      <c r="O293" s="92">
        <f t="shared" si="33"/>
        <v>9227.36</v>
      </c>
      <c r="P293" s="92">
        <f t="shared" si="34"/>
        <v>767264.20999999787</v>
      </c>
    </row>
    <row r="294" spans="1:16" s="117" customFormat="1" ht="13.75" customHeight="1" x14ac:dyDescent="0.25">
      <c r="A294" s="190" t="s">
        <v>173</v>
      </c>
      <c r="C294" s="92">
        <v>0</v>
      </c>
      <c r="F294" s="92">
        <f>C294</f>
        <v>0</v>
      </c>
      <c r="G294" s="92">
        <f t="shared" si="30"/>
        <v>3454343.5702202637</v>
      </c>
      <c r="I294" s="188">
        <v>42035</v>
      </c>
      <c r="J294" s="188">
        <v>42035</v>
      </c>
      <c r="K294" s="187">
        <f t="shared" si="31"/>
        <v>1</v>
      </c>
      <c r="L294" s="187"/>
      <c r="M294" s="186">
        <v>3.2500000000000001E-2</v>
      </c>
      <c r="N294" s="92">
        <f t="shared" si="32"/>
        <v>307.58</v>
      </c>
      <c r="O294" s="92">
        <f t="shared" si="33"/>
        <v>9534.94</v>
      </c>
      <c r="P294" s="92">
        <f t="shared" si="34"/>
        <v>767571.78999999783</v>
      </c>
    </row>
    <row r="295" spans="1:16" s="117" customFormat="1" x14ac:dyDescent="0.25">
      <c r="B295" s="117" t="s">
        <v>130</v>
      </c>
      <c r="C295" s="92"/>
      <c r="G295" s="92">
        <f t="shared" si="30"/>
        <v>3454343.5702202637</v>
      </c>
      <c r="I295" s="188">
        <v>42036</v>
      </c>
      <c r="J295" s="188">
        <v>42062</v>
      </c>
      <c r="K295" s="187">
        <f t="shared" si="31"/>
        <v>27</v>
      </c>
      <c r="L295" s="187"/>
      <c r="M295" s="186">
        <v>3.2500000000000001E-2</v>
      </c>
      <c r="N295" s="92">
        <f t="shared" si="32"/>
        <v>8304.6200000000008</v>
      </c>
      <c r="O295" s="92">
        <f t="shared" si="33"/>
        <v>8304.6200000000008</v>
      </c>
      <c r="P295" s="92">
        <f t="shared" si="34"/>
        <v>775876.40999999782</v>
      </c>
    </row>
    <row r="296" spans="1:16" s="117" customFormat="1" x14ac:dyDescent="0.25">
      <c r="C296" s="92">
        <v>0</v>
      </c>
      <c r="F296" s="92">
        <f>C296</f>
        <v>0</v>
      </c>
      <c r="G296" s="92">
        <f t="shared" si="30"/>
        <v>3454343.5702202637</v>
      </c>
      <c r="I296" s="188">
        <v>42063</v>
      </c>
      <c r="J296" s="188">
        <v>42063</v>
      </c>
      <c r="K296" s="187">
        <f t="shared" si="31"/>
        <v>1</v>
      </c>
      <c r="L296" s="187"/>
      <c r="M296" s="186">
        <v>3.2500000000000001E-2</v>
      </c>
      <c r="N296" s="92">
        <f t="shared" si="32"/>
        <v>307.58</v>
      </c>
      <c r="O296" s="92">
        <f t="shared" si="33"/>
        <v>8612.2000000000007</v>
      </c>
      <c r="P296" s="92">
        <f t="shared" si="34"/>
        <v>776183.98999999778</v>
      </c>
    </row>
    <row r="297" spans="1:16" s="117" customFormat="1" x14ac:dyDescent="0.25">
      <c r="B297" s="117" t="s">
        <v>129</v>
      </c>
      <c r="C297" s="92"/>
      <c r="G297" s="92">
        <f t="shared" si="30"/>
        <v>3454343.5702202637</v>
      </c>
      <c r="I297" s="188">
        <v>42064</v>
      </c>
      <c r="J297" s="188">
        <v>42093</v>
      </c>
      <c r="K297" s="187">
        <f t="shared" si="31"/>
        <v>30</v>
      </c>
      <c r="L297" s="187"/>
      <c r="M297" s="186">
        <v>3.2500000000000001E-2</v>
      </c>
      <c r="N297" s="92">
        <f t="shared" si="32"/>
        <v>9227.36</v>
      </c>
      <c r="O297" s="92">
        <f t="shared" si="33"/>
        <v>9227.36</v>
      </c>
      <c r="P297" s="92">
        <f t="shared" si="34"/>
        <v>785411.34999999776</v>
      </c>
    </row>
    <row r="298" spans="1:16" s="117" customFormat="1" ht="14.25" customHeight="1" x14ac:dyDescent="0.25">
      <c r="C298" s="92">
        <v>0</v>
      </c>
      <c r="F298" s="92">
        <f>C298</f>
        <v>0</v>
      </c>
      <c r="G298" s="92">
        <f t="shared" ref="G298:G361" si="35">+G297+F298</f>
        <v>3454343.5702202637</v>
      </c>
      <c r="I298" s="188">
        <v>42094</v>
      </c>
      <c r="J298" s="188">
        <v>42094</v>
      </c>
      <c r="K298" s="187">
        <f t="shared" si="31"/>
        <v>1</v>
      </c>
      <c r="L298" s="187"/>
      <c r="M298" s="186">
        <v>3.2500000000000001E-2</v>
      </c>
      <c r="N298" s="92">
        <f t="shared" si="32"/>
        <v>307.58</v>
      </c>
      <c r="O298" s="92">
        <f t="shared" si="33"/>
        <v>9534.94</v>
      </c>
      <c r="P298" s="92">
        <f t="shared" si="34"/>
        <v>785718.92999999772</v>
      </c>
    </row>
    <row r="299" spans="1:16" s="117" customFormat="1" x14ac:dyDescent="0.25">
      <c r="B299" s="117" t="s">
        <v>128</v>
      </c>
      <c r="C299" s="92"/>
      <c r="G299" s="92">
        <f t="shared" si="35"/>
        <v>3454343.5702202637</v>
      </c>
      <c r="I299" s="188">
        <v>42095</v>
      </c>
      <c r="J299" s="188">
        <v>42123</v>
      </c>
      <c r="K299" s="187">
        <f t="shared" si="31"/>
        <v>29</v>
      </c>
      <c r="L299" s="187"/>
      <c r="M299" s="186">
        <v>3.2500000000000001E-2</v>
      </c>
      <c r="N299" s="92">
        <f t="shared" si="32"/>
        <v>8919.7800000000007</v>
      </c>
      <c r="O299" s="92">
        <f t="shared" si="33"/>
        <v>8919.7800000000007</v>
      </c>
      <c r="P299" s="92">
        <f t="shared" si="34"/>
        <v>794638.70999999775</v>
      </c>
    </row>
    <row r="300" spans="1:16" s="117" customFormat="1" x14ac:dyDescent="0.25">
      <c r="C300" s="92">
        <v>0</v>
      </c>
      <c r="F300" s="92">
        <f>C300</f>
        <v>0</v>
      </c>
      <c r="G300" s="92">
        <f t="shared" si="35"/>
        <v>3454343.5702202637</v>
      </c>
      <c r="I300" s="188">
        <v>42124</v>
      </c>
      <c r="J300" s="188">
        <v>42124</v>
      </c>
      <c r="K300" s="187">
        <f t="shared" si="31"/>
        <v>1</v>
      </c>
      <c r="L300" s="187"/>
      <c r="M300" s="186">
        <v>3.2500000000000001E-2</v>
      </c>
      <c r="N300" s="92">
        <f t="shared" si="32"/>
        <v>307.58</v>
      </c>
      <c r="O300" s="92">
        <f t="shared" si="33"/>
        <v>9227.36</v>
      </c>
      <c r="P300" s="92">
        <f t="shared" si="34"/>
        <v>794946.28999999771</v>
      </c>
    </row>
    <row r="301" spans="1:16" s="117" customFormat="1" x14ac:dyDescent="0.25">
      <c r="B301" s="117" t="s">
        <v>127</v>
      </c>
      <c r="C301" s="92"/>
      <c r="G301" s="92">
        <f t="shared" si="35"/>
        <v>3454343.5702202637</v>
      </c>
      <c r="I301" s="188">
        <v>42125</v>
      </c>
      <c r="J301" s="188">
        <v>42154</v>
      </c>
      <c r="K301" s="187">
        <f t="shared" si="31"/>
        <v>30</v>
      </c>
      <c r="L301" s="187"/>
      <c r="M301" s="186">
        <v>3.2500000000000001E-2</v>
      </c>
      <c r="N301" s="92">
        <f t="shared" si="32"/>
        <v>9227.36</v>
      </c>
      <c r="O301" s="92">
        <f t="shared" si="33"/>
        <v>9227.36</v>
      </c>
      <c r="P301" s="92">
        <f t="shared" si="34"/>
        <v>804173.64999999769</v>
      </c>
    </row>
    <row r="302" spans="1:16" s="117" customFormat="1" x14ac:dyDescent="0.25">
      <c r="C302" s="92">
        <v>0</v>
      </c>
      <c r="F302" s="92">
        <f>C302</f>
        <v>0</v>
      </c>
      <c r="G302" s="92">
        <f t="shared" si="35"/>
        <v>3454343.5702202637</v>
      </c>
      <c r="I302" s="188">
        <v>42155</v>
      </c>
      <c r="J302" s="188">
        <v>42155</v>
      </c>
      <c r="K302" s="187">
        <f t="shared" si="31"/>
        <v>1</v>
      </c>
      <c r="L302" s="187"/>
      <c r="M302" s="186">
        <v>3.2500000000000001E-2</v>
      </c>
      <c r="N302" s="92">
        <f t="shared" si="32"/>
        <v>307.58</v>
      </c>
      <c r="O302" s="92">
        <f t="shared" si="33"/>
        <v>9534.94</v>
      </c>
      <c r="P302" s="92">
        <f t="shared" si="34"/>
        <v>804481.22999999765</v>
      </c>
    </row>
    <row r="303" spans="1:16" s="117" customFormat="1" x14ac:dyDescent="0.25">
      <c r="B303" s="117" t="s">
        <v>126</v>
      </c>
      <c r="C303" s="92"/>
      <c r="G303" s="92">
        <f t="shared" si="35"/>
        <v>3454343.5702202637</v>
      </c>
      <c r="I303" s="188">
        <v>42156</v>
      </c>
      <c r="J303" s="188">
        <v>42184</v>
      </c>
      <c r="K303" s="187">
        <f t="shared" si="31"/>
        <v>29</v>
      </c>
      <c r="L303" s="187"/>
      <c r="M303" s="186">
        <v>3.2500000000000001E-2</v>
      </c>
      <c r="N303" s="92">
        <f t="shared" si="32"/>
        <v>8919.7800000000007</v>
      </c>
      <c r="O303" s="92">
        <f t="shared" si="33"/>
        <v>8919.7800000000007</v>
      </c>
      <c r="P303" s="92">
        <f t="shared" si="34"/>
        <v>813401.00999999768</v>
      </c>
    </row>
    <row r="304" spans="1:16" s="117" customFormat="1" x14ac:dyDescent="0.25">
      <c r="C304" s="92">
        <v>0</v>
      </c>
      <c r="F304" s="92">
        <f>C304</f>
        <v>0</v>
      </c>
      <c r="G304" s="92">
        <f t="shared" si="35"/>
        <v>3454343.5702202637</v>
      </c>
      <c r="I304" s="188">
        <v>42185</v>
      </c>
      <c r="J304" s="188">
        <v>42185</v>
      </c>
      <c r="K304" s="187">
        <f t="shared" si="31"/>
        <v>1</v>
      </c>
      <c r="L304" s="187"/>
      <c r="M304" s="186">
        <v>3.2500000000000001E-2</v>
      </c>
      <c r="N304" s="92">
        <f t="shared" si="32"/>
        <v>307.58</v>
      </c>
      <c r="O304" s="92">
        <f t="shared" si="33"/>
        <v>9227.36</v>
      </c>
      <c r="P304" s="92">
        <f t="shared" si="34"/>
        <v>813708.58999999764</v>
      </c>
    </row>
    <row r="305" spans="1:16" s="117" customFormat="1" x14ac:dyDescent="0.25">
      <c r="B305" s="117" t="s">
        <v>125</v>
      </c>
      <c r="C305" s="92"/>
      <c r="G305" s="92">
        <f t="shared" si="35"/>
        <v>3454343.5702202637</v>
      </c>
      <c r="I305" s="188">
        <v>42186</v>
      </c>
      <c r="J305" s="188">
        <v>42215</v>
      </c>
      <c r="K305" s="187">
        <f t="shared" si="31"/>
        <v>30</v>
      </c>
      <c r="L305" s="187"/>
      <c r="M305" s="186">
        <v>3.2500000000000001E-2</v>
      </c>
      <c r="N305" s="92">
        <f t="shared" si="32"/>
        <v>9227.36</v>
      </c>
      <c r="O305" s="92">
        <f t="shared" si="33"/>
        <v>9227.36</v>
      </c>
      <c r="P305" s="92">
        <f t="shared" si="34"/>
        <v>822935.94999999763</v>
      </c>
    </row>
    <row r="306" spans="1:16" s="117" customFormat="1" x14ac:dyDescent="0.25">
      <c r="C306" s="92">
        <v>0</v>
      </c>
      <c r="F306" s="92">
        <f>C306</f>
        <v>0</v>
      </c>
      <c r="G306" s="92">
        <f t="shared" si="35"/>
        <v>3454343.5702202637</v>
      </c>
      <c r="I306" s="188">
        <v>42216</v>
      </c>
      <c r="J306" s="188">
        <v>42216</v>
      </c>
      <c r="K306" s="187">
        <f t="shared" si="31"/>
        <v>1</v>
      </c>
      <c r="L306" s="187"/>
      <c r="M306" s="186">
        <v>3.2500000000000001E-2</v>
      </c>
      <c r="N306" s="92">
        <f t="shared" si="32"/>
        <v>307.58</v>
      </c>
      <c r="O306" s="92">
        <f t="shared" si="33"/>
        <v>9534.94</v>
      </c>
      <c r="P306" s="92">
        <f t="shared" si="34"/>
        <v>823243.52999999758</v>
      </c>
    </row>
    <row r="307" spans="1:16" s="117" customFormat="1" x14ac:dyDescent="0.25">
      <c r="B307" s="117" t="s">
        <v>124</v>
      </c>
      <c r="C307" s="92"/>
      <c r="G307" s="92">
        <f t="shared" si="35"/>
        <v>3454343.5702202637</v>
      </c>
      <c r="I307" s="188">
        <v>42217</v>
      </c>
      <c r="J307" s="188">
        <v>42246</v>
      </c>
      <c r="K307" s="187">
        <f t="shared" si="31"/>
        <v>30</v>
      </c>
      <c r="L307" s="187"/>
      <c r="M307" s="186">
        <v>3.2500000000000001E-2</v>
      </c>
      <c r="N307" s="92">
        <f t="shared" si="32"/>
        <v>9227.36</v>
      </c>
      <c r="O307" s="92">
        <f t="shared" si="33"/>
        <v>9227.36</v>
      </c>
      <c r="P307" s="92">
        <f t="shared" si="34"/>
        <v>832470.88999999757</v>
      </c>
    </row>
    <row r="308" spans="1:16" s="117" customFormat="1" x14ac:dyDescent="0.25">
      <c r="C308" s="92">
        <v>0</v>
      </c>
      <c r="F308" s="92">
        <f>C308</f>
        <v>0</v>
      </c>
      <c r="G308" s="92">
        <f t="shared" si="35"/>
        <v>3454343.5702202637</v>
      </c>
      <c r="I308" s="188">
        <v>42247</v>
      </c>
      <c r="J308" s="188">
        <v>42247</v>
      </c>
      <c r="K308" s="187">
        <f t="shared" si="31"/>
        <v>1</v>
      </c>
      <c r="L308" s="187"/>
      <c r="M308" s="186">
        <v>3.2500000000000001E-2</v>
      </c>
      <c r="N308" s="92">
        <f t="shared" si="32"/>
        <v>307.58</v>
      </c>
      <c r="O308" s="92">
        <f t="shared" si="33"/>
        <v>9534.94</v>
      </c>
      <c r="P308" s="92">
        <f t="shared" si="34"/>
        <v>832778.46999999753</v>
      </c>
    </row>
    <row r="309" spans="1:16" s="117" customFormat="1" x14ac:dyDescent="0.25">
      <c r="B309" s="117" t="s">
        <v>123</v>
      </c>
      <c r="C309" s="92"/>
      <c r="G309" s="92">
        <f t="shared" si="35"/>
        <v>3454343.5702202637</v>
      </c>
      <c r="I309" s="188">
        <v>42248</v>
      </c>
      <c r="J309" s="188">
        <v>42276</v>
      </c>
      <c r="K309" s="187">
        <f t="shared" si="31"/>
        <v>29</v>
      </c>
      <c r="L309" s="187"/>
      <c r="M309" s="186">
        <v>3.2500000000000001E-2</v>
      </c>
      <c r="N309" s="92">
        <f t="shared" si="32"/>
        <v>8919.7800000000007</v>
      </c>
      <c r="O309" s="92">
        <f t="shared" si="33"/>
        <v>8919.7800000000007</v>
      </c>
      <c r="P309" s="92">
        <f t="shared" si="34"/>
        <v>841698.24999999756</v>
      </c>
    </row>
    <row r="310" spans="1:16" s="117" customFormat="1" x14ac:dyDescent="0.25">
      <c r="C310" s="92">
        <v>0</v>
      </c>
      <c r="F310" s="92">
        <f>C310</f>
        <v>0</v>
      </c>
      <c r="G310" s="92">
        <f t="shared" si="35"/>
        <v>3454343.5702202637</v>
      </c>
      <c r="I310" s="188">
        <v>42277</v>
      </c>
      <c r="J310" s="188">
        <v>42277</v>
      </c>
      <c r="K310" s="187">
        <f t="shared" si="31"/>
        <v>1</v>
      </c>
      <c r="L310" s="187"/>
      <c r="M310" s="186">
        <v>3.2500000000000001E-2</v>
      </c>
      <c r="N310" s="92">
        <f t="shared" si="32"/>
        <v>307.58</v>
      </c>
      <c r="O310" s="92">
        <f t="shared" si="33"/>
        <v>9227.36</v>
      </c>
      <c r="P310" s="92">
        <f t="shared" si="34"/>
        <v>842005.82999999751</v>
      </c>
    </row>
    <row r="311" spans="1:16" s="117" customFormat="1" x14ac:dyDescent="0.25">
      <c r="B311" s="117" t="s">
        <v>122</v>
      </c>
      <c r="C311" s="92"/>
      <c r="G311" s="92">
        <f t="shared" si="35"/>
        <v>3454343.5702202637</v>
      </c>
      <c r="I311" s="188">
        <v>42278</v>
      </c>
      <c r="J311" s="188">
        <v>42307</v>
      </c>
      <c r="K311" s="187">
        <f t="shared" si="31"/>
        <v>30</v>
      </c>
      <c r="L311" s="187"/>
      <c r="M311" s="186">
        <v>3.2500000000000001E-2</v>
      </c>
      <c r="N311" s="92">
        <f t="shared" si="32"/>
        <v>9227.36</v>
      </c>
      <c r="O311" s="92">
        <f t="shared" si="33"/>
        <v>9227.36</v>
      </c>
      <c r="P311" s="92">
        <f t="shared" si="34"/>
        <v>851233.1899999975</v>
      </c>
    </row>
    <row r="312" spans="1:16" s="117" customFormat="1" x14ac:dyDescent="0.25">
      <c r="C312" s="92">
        <v>0</v>
      </c>
      <c r="F312" s="92">
        <f>C312</f>
        <v>0</v>
      </c>
      <c r="G312" s="92">
        <f t="shared" si="35"/>
        <v>3454343.5702202637</v>
      </c>
      <c r="I312" s="188">
        <v>42308</v>
      </c>
      <c r="J312" s="188">
        <v>42308</v>
      </c>
      <c r="K312" s="187">
        <f t="shared" si="31"/>
        <v>1</v>
      </c>
      <c r="L312" s="187"/>
      <c r="M312" s="186">
        <v>3.2500000000000001E-2</v>
      </c>
      <c r="N312" s="92">
        <f t="shared" si="32"/>
        <v>307.58</v>
      </c>
      <c r="O312" s="92">
        <f t="shared" si="33"/>
        <v>9534.94</v>
      </c>
      <c r="P312" s="92">
        <f t="shared" si="34"/>
        <v>851540.76999999746</v>
      </c>
    </row>
    <row r="313" spans="1:16" s="117" customFormat="1" x14ac:dyDescent="0.25">
      <c r="B313" s="117" t="s">
        <v>121</v>
      </c>
      <c r="C313" s="92"/>
      <c r="G313" s="92">
        <f t="shared" si="35"/>
        <v>3454343.5702202637</v>
      </c>
      <c r="I313" s="188">
        <v>42309</v>
      </c>
      <c r="J313" s="188">
        <v>42337</v>
      </c>
      <c r="K313" s="187">
        <f t="shared" si="31"/>
        <v>29</v>
      </c>
      <c r="L313" s="187"/>
      <c r="M313" s="186">
        <v>3.2500000000000001E-2</v>
      </c>
      <c r="N313" s="92">
        <f t="shared" si="32"/>
        <v>8919.7800000000007</v>
      </c>
      <c r="O313" s="92">
        <f t="shared" si="33"/>
        <v>8919.7800000000007</v>
      </c>
      <c r="P313" s="92">
        <f t="shared" si="34"/>
        <v>860460.54999999749</v>
      </c>
    </row>
    <row r="314" spans="1:16" s="117" customFormat="1" x14ac:dyDescent="0.25">
      <c r="C314" s="92">
        <v>0</v>
      </c>
      <c r="F314" s="92">
        <f>C314</f>
        <v>0</v>
      </c>
      <c r="G314" s="92">
        <f t="shared" si="35"/>
        <v>3454343.5702202637</v>
      </c>
      <c r="I314" s="188">
        <v>42338</v>
      </c>
      <c r="J314" s="188">
        <v>42338</v>
      </c>
      <c r="K314" s="187">
        <f t="shared" si="31"/>
        <v>1</v>
      </c>
      <c r="L314" s="187"/>
      <c r="M314" s="186">
        <v>3.2500000000000001E-2</v>
      </c>
      <c r="N314" s="92">
        <f t="shared" si="32"/>
        <v>307.58</v>
      </c>
      <c r="O314" s="92">
        <f t="shared" si="33"/>
        <v>9227.36</v>
      </c>
      <c r="P314" s="92">
        <f t="shared" si="34"/>
        <v>860768.12999999744</v>
      </c>
    </row>
    <row r="315" spans="1:16" s="117" customFormat="1" x14ac:dyDescent="0.25">
      <c r="B315" s="117" t="s">
        <v>120</v>
      </c>
      <c r="C315" s="92"/>
      <c r="G315" s="92">
        <f t="shared" si="35"/>
        <v>3454343.5702202637</v>
      </c>
      <c r="I315" s="188">
        <v>42339</v>
      </c>
      <c r="J315" s="188">
        <v>42368</v>
      </c>
      <c r="K315" s="187">
        <f t="shared" si="31"/>
        <v>30</v>
      </c>
      <c r="L315" s="187"/>
      <c r="M315" s="186">
        <v>3.2500000000000001E-2</v>
      </c>
      <c r="N315" s="92">
        <f t="shared" si="32"/>
        <v>9227.36</v>
      </c>
      <c r="O315" s="92">
        <f t="shared" si="33"/>
        <v>9227.36</v>
      </c>
      <c r="P315" s="92">
        <f t="shared" si="34"/>
        <v>869995.48999999743</v>
      </c>
    </row>
    <row r="316" spans="1:16" s="117" customFormat="1" x14ac:dyDescent="0.25">
      <c r="C316" s="92">
        <v>0</v>
      </c>
      <c r="F316" s="92">
        <f>C316</f>
        <v>0</v>
      </c>
      <c r="G316" s="92">
        <f t="shared" si="35"/>
        <v>3454343.5702202637</v>
      </c>
      <c r="I316" s="188">
        <v>42369</v>
      </c>
      <c r="J316" s="188">
        <v>42369</v>
      </c>
      <c r="K316" s="187">
        <f t="shared" si="31"/>
        <v>1</v>
      </c>
      <c r="L316" s="187"/>
      <c r="M316" s="186">
        <v>3.2500000000000001E-2</v>
      </c>
      <c r="N316" s="92">
        <f t="shared" si="32"/>
        <v>307.58</v>
      </c>
      <c r="O316" s="92">
        <f t="shared" si="33"/>
        <v>9534.94</v>
      </c>
      <c r="P316" s="92">
        <f t="shared" si="34"/>
        <v>870303.06999999739</v>
      </c>
    </row>
    <row r="317" spans="1:16" s="117" customFormat="1" x14ac:dyDescent="0.25">
      <c r="A317" s="117" t="s">
        <v>172</v>
      </c>
      <c r="B317" s="117" t="s">
        <v>131</v>
      </c>
      <c r="G317" s="92">
        <f t="shared" si="35"/>
        <v>3454343.5702202637</v>
      </c>
      <c r="I317" s="188">
        <v>42370</v>
      </c>
      <c r="J317" s="188">
        <v>42399</v>
      </c>
      <c r="K317" s="187">
        <f t="shared" si="31"/>
        <v>30</v>
      </c>
      <c r="L317" s="187"/>
      <c r="M317" s="186">
        <v>3.2500000000000001E-2</v>
      </c>
      <c r="N317" s="92">
        <f t="shared" si="32"/>
        <v>9227.36</v>
      </c>
      <c r="O317" s="92">
        <f t="shared" si="33"/>
        <v>9227.36</v>
      </c>
      <c r="P317" s="92">
        <f t="shared" si="34"/>
        <v>879530.42999999737</v>
      </c>
    </row>
    <row r="318" spans="1:16" s="117" customFormat="1" ht="13.75" customHeight="1" x14ac:dyDescent="0.25">
      <c r="A318" s="190" t="s">
        <v>171</v>
      </c>
      <c r="C318" s="92">
        <v>0</v>
      </c>
      <c r="F318" s="92">
        <f>C318</f>
        <v>0</v>
      </c>
      <c r="G318" s="92">
        <f t="shared" si="35"/>
        <v>3454343.5702202637</v>
      </c>
      <c r="I318" s="188">
        <v>42400</v>
      </c>
      <c r="J318" s="188">
        <v>42400</v>
      </c>
      <c r="K318" s="187">
        <f t="shared" si="31"/>
        <v>1</v>
      </c>
      <c r="L318" s="187"/>
      <c r="M318" s="186">
        <v>3.2500000000000001E-2</v>
      </c>
      <c r="N318" s="92">
        <f t="shared" si="32"/>
        <v>307.58</v>
      </c>
      <c r="O318" s="92">
        <f t="shared" si="33"/>
        <v>9534.94</v>
      </c>
      <c r="P318" s="92">
        <f t="shared" si="34"/>
        <v>879838.00999999733</v>
      </c>
    </row>
    <row r="319" spans="1:16" s="117" customFormat="1" x14ac:dyDescent="0.25">
      <c r="B319" s="117" t="s">
        <v>130</v>
      </c>
      <c r="C319" s="92"/>
      <c r="G319" s="92">
        <f t="shared" si="35"/>
        <v>3454343.5702202637</v>
      </c>
      <c r="I319" s="188">
        <v>42401</v>
      </c>
      <c r="J319" s="188">
        <v>42428</v>
      </c>
      <c r="K319" s="187">
        <v>28</v>
      </c>
      <c r="L319" s="187"/>
      <c r="M319" s="186">
        <v>3.2500000000000001E-2</v>
      </c>
      <c r="N319" s="92">
        <f t="shared" si="32"/>
        <v>8612.2000000000007</v>
      </c>
      <c r="O319" s="92">
        <f t="shared" si="33"/>
        <v>8612.2000000000007</v>
      </c>
      <c r="P319" s="92">
        <f t="shared" si="34"/>
        <v>888450.20999999729</v>
      </c>
    </row>
    <row r="320" spans="1:16" s="117" customFormat="1" x14ac:dyDescent="0.25">
      <c r="C320" s="92">
        <v>0</v>
      </c>
      <c r="F320" s="92">
        <f>C320</f>
        <v>0</v>
      </c>
      <c r="G320" s="92">
        <f t="shared" si="35"/>
        <v>3454343.5702202637</v>
      </c>
      <c r="I320" s="188">
        <v>42429</v>
      </c>
      <c r="J320" s="188">
        <v>42429</v>
      </c>
      <c r="K320" s="187">
        <f t="shared" ref="K320:K342" si="36">+IF(+J320="","",+J320-(I320-1))</f>
        <v>1</v>
      </c>
      <c r="L320" s="187"/>
      <c r="M320" s="186">
        <v>3.2500000000000001E-2</v>
      </c>
      <c r="N320" s="92">
        <f t="shared" si="32"/>
        <v>307.58</v>
      </c>
      <c r="O320" s="92">
        <f t="shared" si="33"/>
        <v>8919.7800000000007</v>
      </c>
      <c r="P320" s="92">
        <f t="shared" si="34"/>
        <v>888757.78999999724</v>
      </c>
    </row>
    <row r="321" spans="2:16" s="117" customFormat="1" x14ac:dyDescent="0.25">
      <c r="B321" s="117" t="s">
        <v>129</v>
      </c>
      <c r="C321" s="92"/>
      <c r="G321" s="92">
        <f t="shared" si="35"/>
        <v>3454343.5702202637</v>
      </c>
      <c r="I321" s="188">
        <v>42430</v>
      </c>
      <c r="J321" s="188">
        <v>42459</v>
      </c>
      <c r="K321" s="187">
        <f t="shared" si="36"/>
        <v>30</v>
      </c>
      <c r="L321" s="187"/>
      <c r="M321" s="186">
        <v>3.2500000000000001E-2</v>
      </c>
      <c r="N321" s="92">
        <f t="shared" si="32"/>
        <v>9227.36</v>
      </c>
      <c r="O321" s="92">
        <f t="shared" si="33"/>
        <v>9227.36</v>
      </c>
      <c r="P321" s="92">
        <f t="shared" si="34"/>
        <v>897985.14999999723</v>
      </c>
    </row>
    <row r="322" spans="2:16" s="117" customFormat="1" ht="14.25" customHeight="1" x14ac:dyDescent="0.25">
      <c r="C322" s="92">
        <v>0</v>
      </c>
      <c r="F322" s="92">
        <f>C322</f>
        <v>0</v>
      </c>
      <c r="G322" s="92">
        <f t="shared" si="35"/>
        <v>3454343.5702202637</v>
      </c>
      <c r="I322" s="188">
        <v>42460</v>
      </c>
      <c r="J322" s="188">
        <v>42460</v>
      </c>
      <c r="K322" s="187">
        <f t="shared" si="36"/>
        <v>1</v>
      </c>
      <c r="L322" s="187"/>
      <c r="M322" s="186">
        <v>3.2500000000000001E-2</v>
      </c>
      <c r="N322" s="92">
        <f t="shared" si="32"/>
        <v>307.58</v>
      </c>
      <c r="O322" s="92">
        <f t="shared" si="33"/>
        <v>9534.94</v>
      </c>
      <c r="P322" s="92">
        <f t="shared" si="34"/>
        <v>898292.72999999719</v>
      </c>
    </row>
    <row r="323" spans="2:16" s="117" customFormat="1" x14ac:dyDescent="0.25">
      <c r="B323" s="117" t="s">
        <v>128</v>
      </c>
      <c r="C323" s="92"/>
      <c r="G323" s="92">
        <f t="shared" si="35"/>
        <v>3454343.5702202637</v>
      </c>
      <c r="I323" s="188">
        <v>42461</v>
      </c>
      <c r="J323" s="188">
        <v>42489</v>
      </c>
      <c r="K323" s="187">
        <f t="shared" si="36"/>
        <v>29</v>
      </c>
      <c r="L323" s="187"/>
      <c r="M323" s="186">
        <v>3.4599999999999999E-2</v>
      </c>
      <c r="N323" s="92">
        <f t="shared" si="32"/>
        <v>9496.1299999999992</v>
      </c>
      <c r="O323" s="92">
        <f t="shared" si="33"/>
        <v>9496.1299999999992</v>
      </c>
      <c r="P323" s="92">
        <f t="shared" si="34"/>
        <v>907788.85999999719</v>
      </c>
    </row>
    <row r="324" spans="2:16" s="117" customFormat="1" x14ac:dyDescent="0.25">
      <c r="C324" s="92">
        <v>0</v>
      </c>
      <c r="F324" s="92">
        <f>C324</f>
        <v>0</v>
      </c>
      <c r="G324" s="92">
        <f t="shared" si="35"/>
        <v>3454343.5702202637</v>
      </c>
      <c r="I324" s="188">
        <v>42490</v>
      </c>
      <c r="J324" s="188">
        <v>42490</v>
      </c>
      <c r="K324" s="187">
        <f t="shared" si="36"/>
        <v>1</v>
      </c>
      <c r="L324" s="187"/>
      <c r="M324" s="186">
        <v>3.4599999999999999E-2</v>
      </c>
      <c r="N324" s="92">
        <f t="shared" si="32"/>
        <v>327.45</v>
      </c>
      <c r="O324" s="92">
        <f t="shared" si="33"/>
        <v>9823.58</v>
      </c>
      <c r="P324" s="92">
        <f t="shared" si="34"/>
        <v>908116.30999999715</v>
      </c>
    </row>
    <row r="325" spans="2:16" s="117" customFormat="1" x14ac:dyDescent="0.25">
      <c r="B325" s="117" t="s">
        <v>127</v>
      </c>
      <c r="C325" s="92"/>
      <c r="G325" s="92">
        <f t="shared" si="35"/>
        <v>3454343.5702202637</v>
      </c>
      <c r="I325" s="188">
        <v>42491</v>
      </c>
      <c r="J325" s="188">
        <v>42520</v>
      </c>
      <c r="K325" s="187">
        <f t="shared" si="36"/>
        <v>30</v>
      </c>
      <c r="L325" s="187"/>
      <c r="M325" s="186">
        <v>3.4599999999999999E-2</v>
      </c>
      <c r="N325" s="92">
        <f t="shared" si="32"/>
        <v>9823.59</v>
      </c>
      <c r="O325" s="92">
        <f t="shared" si="33"/>
        <v>9823.59</v>
      </c>
      <c r="P325" s="92">
        <f t="shared" si="34"/>
        <v>917939.89999999711</v>
      </c>
    </row>
    <row r="326" spans="2:16" s="117" customFormat="1" x14ac:dyDescent="0.25">
      <c r="C326" s="92">
        <v>0</v>
      </c>
      <c r="F326" s="92">
        <f>C326</f>
        <v>0</v>
      </c>
      <c r="G326" s="92">
        <f t="shared" si="35"/>
        <v>3454343.5702202637</v>
      </c>
      <c r="I326" s="188">
        <v>42521</v>
      </c>
      <c r="J326" s="188">
        <v>42521</v>
      </c>
      <c r="K326" s="187">
        <f t="shared" si="36"/>
        <v>1</v>
      </c>
      <c r="L326" s="187"/>
      <c r="M326" s="186">
        <v>3.4599999999999999E-2</v>
      </c>
      <c r="N326" s="92">
        <f t="shared" si="32"/>
        <v>327.45</v>
      </c>
      <c r="O326" s="92">
        <f t="shared" si="33"/>
        <v>10151.040000000001</v>
      </c>
      <c r="P326" s="92">
        <f t="shared" si="34"/>
        <v>918267.34999999707</v>
      </c>
    </row>
    <row r="327" spans="2:16" s="117" customFormat="1" x14ac:dyDescent="0.25">
      <c r="B327" s="117" t="s">
        <v>126</v>
      </c>
      <c r="C327" s="92"/>
      <c r="G327" s="92">
        <f t="shared" si="35"/>
        <v>3454343.5702202637</v>
      </c>
      <c r="I327" s="188">
        <v>42522</v>
      </c>
      <c r="J327" s="188">
        <v>42550</v>
      </c>
      <c r="K327" s="187">
        <f t="shared" si="36"/>
        <v>29</v>
      </c>
      <c r="L327" s="187"/>
      <c r="M327" s="186">
        <v>3.4599999999999999E-2</v>
      </c>
      <c r="N327" s="92">
        <f t="shared" si="32"/>
        <v>9496.1299999999992</v>
      </c>
      <c r="O327" s="92">
        <f t="shared" si="33"/>
        <v>9496.1299999999992</v>
      </c>
      <c r="P327" s="92">
        <f t="shared" si="34"/>
        <v>927763.47999999707</v>
      </c>
    </row>
    <row r="328" spans="2:16" s="117" customFormat="1" x14ac:dyDescent="0.25">
      <c r="C328" s="92">
        <v>0</v>
      </c>
      <c r="F328" s="92">
        <f>C328</f>
        <v>0</v>
      </c>
      <c r="G328" s="92">
        <f t="shared" si="35"/>
        <v>3454343.5702202637</v>
      </c>
      <c r="I328" s="188">
        <v>42551</v>
      </c>
      <c r="J328" s="188">
        <v>42551</v>
      </c>
      <c r="K328" s="187">
        <f t="shared" si="36"/>
        <v>1</v>
      </c>
      <c r="L328" s="187"/>
      <c r="M328" s="186">
        <v>3.4599999999999999E-2</v>
      </c>
      <c r="N328" s="92">
        <f t="shared" si="32"/>
        <v>327.45</v>
      </c>
      <c r="O328" s="92">
        <f t="shared" si="33"/>
        <v>9823.58</v>
      </c>
      <c r="P328" s="92">
        <f t="shared" si="34"/>
        <v>928090.92999999702</v>
      </c>
    </row>
    <row r="329" spans="2:16" s="117" customFormat="1" x14ac:dyDescent="0.25">
      <c r="B329" s="117" t="s">
        <v>125</v>
      </c>
      <c r="C329" s="92"/>
      <c r="G329" s="92">
        <f t="shared" si="35"/>
        <v>3454343.5702202637</v>
      </c>
      <c r="I329" s="188">
        <v>42552</v>
      </c>
      <c r="J329" s="188">
        <v>42581</v>
      </c>
      <c r="K329" s="187">
        <f t="shared" si="36"/>
        <v>30</v>
      </c>
      <c r="L329" s="187"/>
      <c r="M329" s="186">
        <v>3.5000000000000003E-2</v>
      </c>
      <c r="N329" s="92">
        <f t="shared" si="32"/>
        <v>9937.15</v>
      </c>
      <c r="O329" s="92">
        <f t="shared" si="33"/>
        <v>9937.15</v>
      </c>
      <c r="P329" s="92">
        <f t="shared" si="34"/>
        <v>938028.07999999705</v>
      </c>
    </row>
    <row r="330" spans="2:16" s="117" customFormat="1" x14ac:dyDescent="0.25">
      <c r="C330" s="92">
        <v>0</v>
      </c>
      <c r="F330" s="92">
        <f>C330</f>
        <v>0</v>
      </c>
      <c r="G330" s="92">
        <f t="shared" si="35"/>
        <v>3454343.5702202637</v>
      </c>
      <c r="I330" s="188">
        <v>42582</v>
      </c>
      <c r="J330" s="188">
        <v>42582</v>
      </c>
      <c r="K330" s="187">
        <f t="shared" si="36"/>
        <v>1</v>
      </c>
      <c r="L330" s="187"/>
      <c r="M330" s="186">
        <v>3.5000000000000003E-2</v>
      </c>
      <c r="N330" s="92">
        <f t="shared" si="32"/>
        <v>331.24</v>
      </c>
      <c r="O330" s="92">
        <f t="shared" si="33"/>
        <v>10268.39</v>
      </c>
      <c r="P330" s="92">
        <f t="shared" si="34"/>
        <v>938359.31999999704</v>
      </c>
    </row>
    <row r="331" spans="2:16" s="117" customFormat="1" x14ac:dyDescent="0.25">
      <c r="B331" s="117" t="s">
        <v>124</v>
      </c>
      <c r="C331" s="92"/>
      <c r="G331" s="92">
        <f t="shared" si="35"/>
        <v>3454343.5702202637</v>
      </c>
      <c r="I331" s="188">
        <v>42583</v>
      </c>
      <c r="J331" s="188">
        <v>42612</v>
      </c>
      <c r="K331" s="187">
        <f t="shared" si="36"/>
        <v>30</v>
      </c>
      <c r="L331" s="187"/>
      <c r="M331" s="186">
        <v>3.5000000000000003E-2</v>
      </c>
      <c r="N331" s="92">
        <f t="shared" si="32"/>
        <v>9937.15</v>
      </c>
      <c r="O331" s="92">
        <f t="shared" si="33"/>
        <v>9937.15</v>
      </c>
      <c r="P331" s="92">
        <f t="shared" si="34"/>
        <v>948296.46999999706</v>
      </c>
    </row>
    <row r="332" spans="2:16" s="117" customFormat="1" x14ac:dyDescent="0.25">
      <c r="C332" s="92">
        <v>0</v>
      </c>
      <c r="F332" s="92">
        <f>C332</f>
        <v>0</v>
      </c>
      <c r="G332" s="92">
        <f t="shared" si="35"/>
        <v>3454343.5702202637</v>
      </c>
      <c r="I332" s="188">
        <v>42613</v>
      </c>
      <c r="J332" s="188">
        <v>42613</v>
      </c>
      <c r="K332" s="187">
        <f t="shared" si="36"/>
        <v>1</v>
      </c>
      <c r="L332" s="187"/>
      <c r="M332" s="186">
        <v>3.5000000000000003E-2</v>
      </c>
      <c r="N332" s="92">
        <f t="shared" si="32"/>
        <v>331.24</v>
      </c>
      <c r="O332" s="92">
        <f t="shared" si="33"/>
        <v>10268.39</v>
      </c>
      <c r="P332" s="92">
        <f t="shared" si="34"/>
        <v>948627.70999999705</v>
      </c>
    </row>
    <row r="333" spans="2:16" s="117" customFormat="1" x14ac:dyDescent="0.25">
      <c r="B333" s="117" t="s">
        <v>123</v>
      </c>
      <c r="C333" s="92"/>
      <c r="G333" s="92">
        <f t="shared" si="35"/>
        <v>3454343.5702202637</v>
      </c>
      <c r="I333" s="188">
        <v>42614</v>
      </c>
      <c r="J333" s="188">
        <v>42642</v>
      </c>
      <c r="K333" s="187">
        <f t="shared" si="36"/>
        <v>29</v>
      </c>
      <c r="L333" s="187"/>
      <c r="M333" s="186">
        <v>3.5000000000000003E-2</v>
      </c>
      <c r="N333" s="92">
        <f t="shared" si="32"/>
        <v>9605.91</v>
      </c>
      <c r="O333" s="92">
        <f t="shared" si="33"/>
        <v>9605.91</v>
      </c>
      <c r="P333" s="92">
        <f t="shared" si="34"/>
        <v>958233.61999999708</v>
      </c>
    </row>
    <row r="334" spans="2:16" s="117" customFormat="1" x14ac:dyDescent="0.25">
      <c r="C334" s="92">
        <v>0</v>
      </c>
      <c r="F334" s="92">
        <f>C334</f>
        <v>0</v>
      </c>
      <c r="G334" s="92">
        <f t="shared" si="35"/>
        <v>3454343.5702202637</v>
      </c>
      <c r="I334" s="188">
        <v>42643</v>
      </c>
      <c r="J334" s="188">
        <v>42643</v>
      </c>
      <c r="K334" s="187">
        <f t="shared" si="36"/>
        <v>1</v>
      </c>
      <c r="L334" s="187"/>
      <c r="M334" s="186">
        <v>3.5000000000000003E-2</v>
      </c>
      <c r="N334" s="92">
        <f t="shared" si="32"/>
        <v>331.24</v>
      </c>
      <c r="O334" s="92">
        <f t="shared" si="33"/>
        <v>9937.15</v>
      </c>
      <c r="P334" s="92">
        <f t="shared" si="34"/>
        <v>958564.85999999708</v>
      </c>
    </row>
    <row r="335" spans="2:16" s="117" customFormat="1" x14ac:dyDescent="0.25">
      <c r="B335" s="117" t="s">
        <v>122</v>
      </c>
      <c r="C335" s="92"/>
      <c r="G335" s="92">
        <f t="shared" si="35"/>
        <v>3454343.5702202637</v>
      </c>
      <c r="I335" s="188">
        <v>42644</v>
      </c>
      <c r="J335" s="188">
        <v>42673</v>
      </c>
      <c r="K335" s="187">
        <f t="shared" si="36"/>
        <v>30</v>
      </c>
      <c r="L335" s="187"/>
      <c r="M335" s="186">
        <v>3.5000000000000003E-2</v>
      </c>
      <c r="N335" s="92">
        <f t="shared" si="32"/>
        <v>9937.15</v>
      </c>
      <c r="O335" s="92">
        <f t="shared" si="33"/>
        <v>9937.15</v>
      </c>
      <c r="P335" s="92">
        <f t="shared" si="34"/>
        <v>968502.0099999971</v>
      </c>
    </row>
    <row r="336" spans="2:16" s="117" customFormat="1" x14ac:dyDescent="0.25">
      <c r="C336" s="92">
        <v>0</v>
      </c>
      <c r="F336" s="92">
        <f>C336</f>
        <v>0</v>
      </c>
      <c r="G336" s="92">
        <f t="shared" si="35"/>
        <v>3454343.5702202637</v>
      </c>
      <c r="I336" s="188">
        <v>42674</v>
      </c>
      <c r="J336" s="188">
        <v>42674</v>
      </c>
      <c r="K336" s="187">
        <f t="shared" si="36"/>
        <v>1</v>
      </c>
      <c r="L336" s="187"/>
      <c r="M336" s="186">
        <v>3.5000000000000003E-2</v>
      </c>
      <c r="N336" s="92">
        <f t="shared" si="32"/>
        <v>331.24</v>
      </c>
      <c r="O336" s="92">
        <f t="shared" si="33"/>
        <v>10268.39</v>
      </c>
      <c r="P336" s="92">
        <f t="shared" si="34"/>
        <v>968833.24999999709</v>
      </c>
    </row>
    <row r="337" spans="1:16" s="117" customFormat="1" x14ac:dyDescent="0.25">
      <c r="B337" s="117" t="s">
        <v>121</v>
      </c>
      <c r="C337" s="92"/>
      <c r="G337" s="92">
        <f t="shared" si="35"/>
        <v>3454343.5702202637</v>
      </c>
      <c r="I337" s="188">
        <v>42675</v>
      </c>
      <c r="J337" s="188">
        <v>42703</v>
      </c>
      <c r="K337" s="187">
        <f t="shared" si="36"/>
        <v>29</v>
      </c>
      <c r="L337" s="187"/>
      <c r="M337" s="186">
        <v>3.5000000000000003E-2</v>
      </c>
      <c r="N337" s="92">
        <f t="shared" si="32"/>
        <v>9605.91</v>
      </c>
      <c r="O337" s="92">
        <f t="shared" si="33"/>
        <v>9605.91</v>
      </c>
      <c r="P337" s="92">
        <f t="shared" si="34"/>
        <v>978439.15999999712</v>
      </c>
    </row>
    <row r="338" spans="1:16" s="117" customFormat="1" x14ac:dyDescent="0.25">
      <c r="C338" s="92">
        <v>0</v>
      </c>
      <c r="F338" s="92">
        <f>C338</f>
        <v>0</v>
      </c>
      <c r="G338" s="92">
        <f t="shared" si="35"/>
        <v>3454343.5702202637</v>
      </c>
      <c r="I338" s="188">
        <v>42704</v>
      </c>
      <c r="J338" s="188">
        <v>42704</v>
      </c>
      <c r="K338" s="187">
        <f t="shared" si="36"/>
        <v>1</v>
      </c>
      <c r="L338" s="187"/>
      <c r="M338" s="186">
        <v>3.5000000000000003E-2</v>
      </c>
      <c r="N338" s="92">
        <f t="shared" si="32"/>
        <v>331.24</v>
      </c>
      <c r="O338" s="92">
        <f t="shared" si="33"/>
        <v>9937.15</v>
      </c>
      <c r="P338" s="92">
        <f t="shared" si="34"/>
        <v>978770.39999999711</v>
      </c>
    </row>
    <row r="339" spans="1:16" s="117" customFormat="1" x14ac:dyDescent="0.25">
      <c r="B339" s="117" t="s">
        <v>120</v>
      </c>
      <c r="C339" s="92"/>
      <c r="G339" s="92">
        <f t="shared" si="35"/>
        <v>3454343.5702202637</v>
      </c>
      <c r="I339" s="188">
        <v>42705</v>
      </c>
      <c r="J339" s="188">
        <v>42734</v>
      </c>
      <c r="K339" s="187">
        <f t="shared" si="36"/>
        <v>30</v>
      </c>
      <c r="L339" s="187"/>
      <c r="M339" s="186">
        <v>3.5000000000000003E-2</v>
      </c>
      <c r="N339" s="92">
        <f t="shared" si="32"/>
        <v>9937.15</v>
      </c>
      <c r="O339" s="92">
        <f t="shared" si="33"/>
        <v>9937.15</v>
      </c>
      <c r="P339" s="92">
        <f t="shared" si="34"/>
        <v>988707.54999999714</v>
      </c>
    </row>
    <row r="340" spans="1:16" s="117" customFormat="1" x14ac:dyDescent="0.25">
      <c r="C340" s="92">
        <v>0</v>
      </c>
      <c r="F340" s="92">
        <f>C340</f>
        <v>0</v>
      </c>
      <c r="G340" s="92">
        <f t="shared" si="35"/>
        <v>3454343.5702202637</v>
      </c>
      <c r="I340" s="188">
        <v>42735</v>
      </c>
      <c r="J340" s="188">
        <v>42735</v>
      </c>
      <c r="K340" s="187">
        <f t="shared" si="36"/>
        <v>1</v>
      </c>
      <c r="L340" s="187"/>
      <c r="M340" s="186">
        <v>3.5000000000000003E-2</v>
      </c>
      <c r="N340" s="92">
        <f t="shared" si="32"/>
        <v>331.24</v>
      </c>
      <c r="O340" s="92">
        <f t="shared" si="33"/>
        <v>10268.39</v>
      </c>
      <c r="P340" s="92">
        <f t="shared" si="34"/>
        <v>989038.78999999713</v>
      </c>
    </row>
    <row r="341" spans="1:16" s="117" customFormat="1" x14ac:dyDescent="0.25">
      <c r="A341" s="117" t="s">
        <v>170</v>
      </c>
      <c r="B341" s="117" t="s">
        <v>131</v>
      </c>
      <c r="G341" s="92">
        <f t="shared" si="35"/>
        <v>3454343.5702202637</v>
      </c>
      <c r="I341" s="188">
        <v>42736</v>
      </c>
      <c r="J341" s="188">
        <v>42765</v>
      </c>
      <c r="K341" s="187">
        <f t="shared" si="36"/>
        <v>30</v>
      </c>
      <c r="L341" s="187"/>
      <c r="M341" s="186">
        <v>3.5000000000000003E-2</v>
      </c>
      <c r="N341" s="92">
        <f t="shared" si="32"/>
        <v>9937.15</v>
      </c>
      <c r="O341" s="92">
        <f t="shared" si="33"/>
        <v>9937.15</v>
      </c>
      <c r="P341" s="92">
        <f t="shared" si="34"/>
        <v>998975.93999999715</v>
      </c>
    </row>
    <row r="342" spans="1:16" s="117" customFormat="1" ht="13.75" customHeight="1" x14ac:dyDescent="0.25">
      <c r="A342" s="190" t="s">
        <v>169</v>
      </c>
      <c r="C342" s="92">
        <v>0</v>
      </c>
      <c r="F342" s="92">
        <f>C342</f>
        <v>0</v>
      </c>
      <c r="G342" s="92">
        <f t="shared" si="35"/>
        <v>3454343.5702202637</v>
      </c>
      <c r="I342" s="188">
        <v>42766</v>
      </c>
      <c r="J342" s="188">
        <v>42766</v>
      </c>
      <c r="K342" s="187">
        <f t="shared" si="36"/>
        <v>1</v>
      </c>
      <c r="L342" s="187"/>
      <c r="M342" s="186">
        <v>3.5000000000000003E-2</v>
      </c>
      <c r="N342" s="92">
        <f t="shared" si="32"/>
        <v>331.24</v>
      </c>
      <c r="O342" s="92">
        <f t="shared" si="33"/>
        <v>10268.39</v>
      </c>
      <c r="P342" s="92">
        <f t="shared" si="34"/>
        <v>999307.17999999714</v>
      </c>
    </row>
    <row r="343" spans="1:16" s="117" customFormat="1" x14ac:dyDescent="0.25">
      <c r="B343" s="117" t="s">
        <v>130</v>
      </c>
      <c r="C343" s="92"/>
      <c r="G343" s="92">
        <f t="shared" si="35"/>
        <v>3454343.5702202637</v>
      </c>
      <c r="I343" s="188">
        <v>42767</v>
      </c>
      <c r="J343" s="188">
        <v>42793</v>
      </c>
      <c r="K343" s="187">
        <v>27</v>
      </c>
      <c r="L343" s="187"/>
      <c r="M343" s="186">
        <v>3.5000000000000003E-2</v>
      </c>
      <c r="N343" s="92">
        <f t="shared" si="32"/>
        <v>8943.44</v>
      </c>
      <c r="O343" s="92">
        <f t="shared" si="33"/>
        <v>8943.44</v>
      </c>
      <c r="P343" s="92">
        <f t="shared" si="34"/>
        <v>1008250.6199999971</v>
      </c>
    </row>
    <row r="344" spans="1:16" s="117" customFormat="1" x14ac:dyDescent="0.25">
      <c r="C344" s="92">
        <v>0</v>
      </c>
      <c r="F344" s="92">
        <f>C344</f>
        <v>0</v>
      </c>
      <c r="G344" s="92">
        <f t="shared" si="35"/>
        <v>3454343.5702202637</v>
      </c>
      <c r="I344" s="188">
        <v>42794</v>
      </c>
      <c r="J344" s="188">
        <v>42794</v>
      </c>
      <c r="K344" s="187">
        <f t="shared" ref="K344:K366" si="37">+IF(+J344="","",+J344-(I344-1))</f>
        <v>1</v>
      </c>
      <c r="L344" s="187"/>
      <c r="M344" s="186">
        <v>3.5000000000000003E-2</v>
      </c>
      <c r="N344" s="92">
        <f t="shared" ref="N344:N386" si="38">+IF(+K344&lt;&gt;" ", ROUND(M344*(K344/365)*G344,2),0)</f>
        <v>331.24</v>
      </c>
      <c r="O344" s="92">
        <f t="shared" si="33"/>
        <v>9274.68</v>
      </c>
      <c r="P344" s="92">
        <f t="shared" si="34"/>
        <v>1008581.8599999971</v>
      </c>
    </row>
    <row r="345" spans="1:16" s="117" customFormat="1" x14ac:dyDescent="0.25">
      <c r="B345" s="117" t="s">
        <v>129</v>
      </c>
      <c r="C345" s="92"/>
      <c r="G345" s="92">
        <f t="shared" si="35"/>
        <v>3454343.5702202637</v>
      </c>
      <c r="I345" s="188">
        <v>42795</v>
      </c>
      <c r="J345" s="188">
        <v>42824</v>
      </c>
      <c r="K345" s="187">
        <f t="shared" si="37"/>
        <v>30</v>
      </c>
      <c r="L345" s="187"/>
      <c r="M345" s="186">
        <v>3.5000000000000003E-2</v>
      </c>
      <c r="N345" s="92">
        <f t="shared" si="38"/>
        <v>9937.15</v>
      </c>
      <c r="O345" s="92">
        <f t="shared" si="33"/>
        <v>9937.15</v>
      </c>
      <c r="P345" s="92">
        <f t="shared" si="34"/>
        <v>1018519.0099999971</v>
      </c>
    </row>
    <row r="346" spans="1:16" s="117" customFormat="1" ht="14.25" customHeight="1" x14ac:dyDescent="0.25">
      <c r="C346" s="92">
        <v>0</v>
      </c>
      <c r="F346" s="92">
        <f>C346</f>
        <v>0</v>
      </c>
      <c r="G346" s="92">
        <f t="shared" si="35"/>
        <v>3454343.5702202637</v>
      </c>
      <c r="I346" s="188">
        <v>42825</v>
      </c>
      <c r="J346" s="188">
        <v>42825</v>
      </c>
      <c r="K346" s="187">
        <f t="shared" si="37"/>
        <v>1</v>
      </c>
      <c r="L346" s="187"/>
      <c r="M346" s="186">
        <v>3.5000000000000003E-2</v>
      </c>
      <c r="N346" s="92">
        <f t="shared" si="38"/>
        <v>331.24</v>
      </c>
      <c r="O346" s="92">
        <f t="shared" ref="O346:O409" si="39">IF(MONTH(+I346)&lt;&gt;MONTH(+I345),N346,+O345+N346)</f>
        <v>10268.39</v>
      </c>
      <c r="P346" s="92">
        <f t="shared" si="34"/>
        <v>1018850.2499999971</v>
      </c>
    </row>
    <row r="347" spans="1:16" s="117" customFormat="1" x14ac:dyDescent="0.25">
      <c r="B347" s="117" t="s">
        <v>128</v>
      </c>
      <c r="C347" s="92"/>
      <c r="G347" s="92">
        <f t="shared" si="35"/>
        <v>3454343.5702202637</v>
      </c>
      <c r="I347" s="188">
        <v>42826</v>
      </c>
      <c r="J347" s="188">
        <v>42854</v>
      </c>
      <c r="K347" s="187">
        <f t="shared" si="37"/>
        <v>29</v>
      </c>
      <c r="L347" s="187"/>
      <c r="M347" s="186">
        <v>3.7100000000000001E-2</v>
      </c>
      <c r="N347" s="92">
        <f t="shared" si="38"/>
        <v>10182.27</v>
      </c>
      <c r="O347" s="92">
        <f t="shared" si="39"/>
        <v>10182.27</v>
      </c>
      <c r="P347" s="92">
        <f t="shared" ref="P347:P410" si="40">P346+N347</f>
        <v>1029032.5199999971</v>
      </c>
    </row>
    <row r="348" spans="1:16" s="117" customFormat="1" x14ac:dyDescent="0.25">
      <c r="C348" s="92">
        <v>0</v>
      </c>
      <c r="F348" s="92">
        <f>C348</f>
        <v>0</v>
      </c>
      <c r="G348" s="92">
        <f t="shared" si="35"/>
        <v>3454343.5702202637</v>
      </c>
      <c r="I348" s="188">
        <v>42855</v>
      </c>
      <c r="J348" s="188">
        <v>42855</v>
      </c>
      <c r="K348" s="187">
        <f t="shared" si="37"/>
        <v>1</v>
      </c>
      <c r="L348" s="187"/>
      <c r="M348" s="186">
        <v>3.7100000000000001E-2</v>
      </c>
      <c r="N348" s="92">
        <f t="shared" si="38"/>
        <v>351.11</v>
      </c>
      <c r="O348" s="92">
        <f t="shared" si="39"/>
        <v>10533.380000000001</v>
      </c>
      <c r="P348" s="92">
        <f t="shared" si="40"/>
        <v>1029383.6299999971</v>
      </c>
    </row>
    <row r="349" spans="1:16" s="117" customFormat="1" x14ac:dyDescent="0.25">
      <c r="B349" s="117" t="s">
        <v>127</v>
      </c>
      <c r="C349" s="92"/>
      <c r="G349" s="92">
        <f t="shared" si="35"/>
        <v>3454343.5702202637</v>
      </c>
      <c r="I349" s="188">
        <v>42856</v>
      </c>
      <c r="J349" s="188">
        <v>42885</v>
      </c>
      <c r="K349" s="187">
        <f t="shared" si="37"/>
        <v>30</v>
      </c>
      <c r="L349" s="187"/>
      <c r="M349" s="186">
        <v>3.7100000000000001E-2</v>
      </c>
      <c r="N349" s="92">
        <f t="shared" si="38"/>
        <v>10533.38</v>
      </c>
      <c r="O349" s="92">
        <f t="shared" si="39"/>
        <v>10533.38</v>
      </c>
      <c r="P349" s="92">
        <f t="shared" si="40"/>
        <v>1039917.0099999971</v>
      </c>
    </row>
    <row r="350" spans="1:16" s="117" customFormat="1" x14ac:dyDescent="0.25">
      <c r="C350" s="92">
        <v>0</v>
      </c>
      <c r="F350" s="92">
        <f>C350</f>
        <v>0</v>
      </c>
      <c r="G350" s="92">
        <f t="shared" si="35"/>
        <v>3454343.5702202637</v>
      </c>
      <c r="I350" s="188">
        <v>42886</v>
      </c>
      <c r="J350" s="188">
        <v>42886</v>
      </c>
      <c r="K350" s="187">
        <f t="shared" si="37"/>
        <v>1</v>
      </c>
      <c r="L350" s="187"/>
      <c r="M350" s="186">
        <v>3.7100000000000001E-2</v>
      </c>
      <c r="N350" s="92">
        <f t="shared" si="38"/>
        <v>351.11</v>
      </c>
      <c r="O350" s="92">
        <f t="shared" si="39"/>
        <v>10884.49</v>
      </c>
      <c r="P350" s="92">
        <f t="shared" si="40"/>
        <v>1040268.1199999971</v>
      </c>
    </row>
    <row r="351" spans="1:16" s="117" customFormat="1" x14ac:dyDescent="0.25">
      <c r="B351" s="117" t="s">
        <v>126</v>
      </c>
      <c r="C351" s="92"/>
      <c r="G351" s="92">
        <f t="shared" si="35"/>
        <v>3454343.5702202637</v>
      </c>
      <c r="I351" s="188">
        <v>42887</v>
      </c>
      <c r="J351" s="188">
        <v>42915</v>
      </c>
      <c r="K351" s="187">
        <f t="shared" si="37"/>
        <v>29</v>
      </c>
      <c r="L351" s="187"/>
      <c r="M351" s="186">
        <v>3.7100000000000001E-2</v>
      </c>
      <c r="N351" s="92">
        <f t="shared" si="38"/>
        <v>10182.27</v>
      </c>
      <c r="O351" s="92">
        <f t="shared" si="39"/>
        <v>10182.27</v>
      </c>
      <c r="P351" s="92">
        <f t="shared" si="40"/>
        <v>1050450.3899999971</v>
      </c>
    </row>
    <row r="352" spans="1:16" s="117" customFormat="1" x14ac:dyDescent="0.25">
      <c r="C352" s="92">
        <v>0</v>
      </c>
      <c r="F352" s="92">
        <f>C352</f>
        <v>0</v>
      </c>
      <c r="G352" s="92">
        <f t="shared" si="35"/>
        <v>3454343.5702202637</v>
      </c>
      <c r="I352" s="188">
        <v>42916</v>
      </c>
      <c r="J352" s="188">
        <v>42916</v>
      </c>
      <c r="K352" s="187">
        <f t="shared" si="37"/>
        <v>1</v>
      </c>
      <c r="L352" s="187"/>
      <c r="M352" s="186">
        <v>3.7100000000000001E-2</v>
      </c>
      <c r="N352" s="92">
        <f t="shared" si="38"/>
        <v>351.11</v>
      </c>
      <c r="O352" s="92">
        <f t="shared" si="39"/>
        <v>10533.380000000001</v>
      </c>
      <c r="P352" s="92">
        <f t="shared" si="40"/>
        <v>1050801.4999999972</v>
      </c>
    </row>
    <row r="353" spans="1:16" s="117" customFormat="1" x14ac:dyDescent="0.25">
      <c r="B353" s="117" t="s">
        <v>125</v>
      </c>
      <c r="C353" s="92"/>
      <c r="G353" s="92">
        <f t="shared" si="35"/>
        <v>3454343.5702202637</v>
      </c>
      <c r="I353" s="188">
        <v>42917</v>
      </c>
      <c r="J353" s="188">
        <v>42946</v>
      </c>
      <c r="K353" s="187">
        <f t="shared" si="37"/>
        <v>30</v>
      </c>
      <c r="L353" s="187"/>
      <c r="M353" s="186">
        <v>3.9600000000000003E-2</v>
      </c>
      <c r="N353" s="92">
        <f t="shared" si="38"/>
        <v>11243.18</v>
      </c>
      <c r="O353" s="92">
        <f t="shared" si="39"/>
        <v>11243.18</v>
      </c>
      <c r="P353" s="92">
        <f t="shared" si="40"/>
        <v>1062044.6799999971</v>
      </c>
    </row>
    <row r="354" spans="1:16" s="117" customFormat="1" x14ac:dyDescent="0.25">
      <c r="C354" s="92">
        <v>0</v>
      </c>
      <c r="F354" s="92">
        <f>C354</f>
        <v>0</v>
      </c>
      <c r="G354" s="92">
        <f t="shared" si="35"/>
        <v>3454343.5702202637</v>
      </c>
      <c r="I354" s="188">
        <v>42947</v>
      </c>
      <c r="J354" s="188">
        <v>42947</v>
      </c>
      <c r="K354" s="187">
        <f t="shared" si="37"/>
        <v>1</v>
      </c>
      <c r="L354" s="187"/>
      <c r="M354" s="186">
        <v>3.9600000000000003E-2</v>
      </c>
      <c r="N354" s="92">
        <f t="shared" si="38"/>
        <v>374.77</v>
      </c>
      <c r="O354" s="92">
        <f t="shared" si="39"/>
        <v>11617.95</v>
      </c>
      <c r="P354" s="92">
        <f t="shared" si="40"/>
        <v>1062419.4499999972</v>
      </c>
    </row>
    <row r="355" spans="1:16" s="117" customFormat="1" x14ac:dyDescent="0.25">
      <c r="B355" s="117" t="s">
        <v>124</v>
      </c>
      <c r="C355" s="92"/>
      <c r="G355" s="92">
        <f t="shared" si="35"/>
        <v>3454343.5702202637</v>
      </c>
      <c r="I355" s="188">
        <v>42948</v>
      </c>
      <c r="J355" s="188">
        <v>42977</v>
      </c>
      <c r="K355" s="187">
        <f t="shared" si="37"/>
        <v>30</v>
      </c>
      <c r="L355" s="187"/>
      <c r="M355" s="186">
        <v>3.9600000000000003E-2</v>
      </c>
      <c r="N355" s="92">
        <f t="shared" si="38"/>
        <v>11243.18</v>
      </c>
      <c r="O355" s="92">
        <f t="shared" si="39"/>
        <v>11243.18</v>
      </c>
      <c r="P355" s="92">
        <f t="shared" si="40"/>
        <v>1073662.6299999971</v>
      </c>
    </row>
    <row r="356" spans="1:16" s="117" customFormat="1" x14ac:dyDescent="0.25">
      <c r="C356" s="92">
        <v>0</v>
      </c>
      <c r="F356" s="92">
        <f>C356</f>
        <v>0</v>
      </c>
      <c r="G356" s="92">
        <f t="shared" si="35"/>
        <v>3454343.5702202637</v>
      </c>
      <c r="I356" s="188">
        <v>42978</v>
      </c>
      <c r="J356" s="188">
        <v>42978</v>
      </c>
      <c r="K356" s="187">
        <f t="shared" si="37"/>
        <v>1</v>
      </c>
      <c r="L356" s="187"/>
      <c r="M356" s="186">
        <v>3.9600000000000003E-2</v>
      </c>
      <c r="N356" s="92">
        <f t="shared" si="38"/>
        <v>374.77</v>
      </c>
      <c r="O356" s="92">
        <f t="shared" si="39"/>
        <v>11617.95</v>
      </c>
      <c r="P356" s="92">
        <f t="shared" si="40"/>
        <v>1074037.3999999971</v>
      </c>
    </row>
    <row r="357" spans="1:16" s="117" customFormat="1" x14ac:dyDescent="0.25">
      <c r="B357" s="117" t="s">
        <v>123</v>
      </c>
      <c r="C357" s="92"/>
      <c r="G357" s="92">
        <f t="shared" si="35"/>
        <v>3454343.5702202637</v>
      </c>
      <c r="I357" s="188">
        <v>42979</v>
      </c>
      <c r="J357" s="188">
        <v>43007</v>
      </c>
      <c r="K357" s="187">
        <f t="shared" si="37"/>
        <v>29</v>
      </c>
      <c r="L357" s="187"/>
      <c r="M357" s="186">
        <v>3.9600000000000003E-2</v>
      </c>
      <c r="N357" s="92">
        <f t="shared" si="38"/>
        <v>10868.41</v>
      </c>
      <c r="O357" s="92">
        <f t="shared" si="39"/>
        <v>10868.41</v>
      </c>
      <c r="P357" s="92">
        <f t="shared" si="40"/>
        <v>1084905.809999997</v>
      </c>
    </row>
    <row r="358" spans="1:16" s="117" customFormat="1" x14ac:dyDescent="0.25">
      <c r="C358" s="92">
        <v>0</v>
      </c>
      <c r="F358" s="92">
        <f>C358</f>
        <v>0</v>
      </c>
      <c r="G358" s="92">
        <f t="shared" si="35"/>
        <v>3454343.5702202637</v>
      </c>
      <c r="I358" s="188">
        <v>43008</v>
      </c>
      <c r="J358" s="188">
        <v>43008</v>
      </c>
      <c r="K358" s="187">
        <f t="shared" si="37"/>
        <v>1</v>
      </c>
      <c r="L358" s="187"/>
      <c r="M358" s="186">
        <v>3.9600000000000003E-2</v>
      </c>
      <c r="N358" s="92">
        <f t="shared" si="38"/>
        <v>374.77</v>
      </c>
      <c r="O358" s="92">
        <f t="shared" si="39"/>
        <v>11243.18</v>
      </c>
      <c r="P358" s="92">
        <f t="shared" si="40"/>
        <v>1085280.579999997</v>
      </c>
    </row>
    <row r="359" spans="1:16" s="117" customFormat="1" x14ac:dyDescent="0.25">
      <c r="B359" s="117" t="s">
        <v>122</v>
      </c>
      <c r="C359" s="92"/>
      <c r="G359" s="92">
        <f t="shared" si="35"/>
        <v>3454343.5702202637</v>
      </c>
      <c r="I359" s="188">
        <v>43009</v>
      </c>
      <c r="J359" s="188">
        <v>43038</v>
      </c>
      <c r="K359" s="187">
        <f t="shared" si="37"/>
        <v>30</v>
      </c>
      <c r="L359" s="187"/>
      <c r="M359" s="186">
        <v>4.2099999999999999E-2</v>
      </c>
      <c r="N359" s="92">
        <f t="shared" si="38"/>
        <v>11952.98</v>
      </c>
      <c r="O359" s="92">
        <f t="shared" si="39"/>
        <v>11952.98</v>
      </c>
      <c r="P359" s="92">
        <f t="shared" si="40"/>
        <v>1097233.559999997</v>
      </c>
    </row>
    <row r="360" spans="1:16" s="117" customFormat="1" x14ac:dyDescent="0.25">
      <c r="C360" s="92">
        <v>0</v>
      </c>
      <c r="F360" s="92">
        <f>C360</f>
        <v>0</v>
      </c>
      <c r="G360" s="92">
        <f t="shared" si="35"/>
        <v>3454343.5702202637</v>
      </c>
      <c r="I360" s="188">
        <v>43039</v>
      </c>
      <c r="J360" s="188">
        <v>43039</v>
      </c>
      <c r="K360" s="187">
        <f t="shared" si="37"/>
        <v>1</v>
      </c>
      <c r="L360" s="187"/>
      <c r="M360" s="186">
        <v>4.2099999999999999E-2</v>
      </c>
      <c r="N360" s="92">
        <f t="shared" si="38"/>
        <v>398.43</v>
      </c>
      <c r="O360" s="92">
        <f t="shared" si="39"/>
        <v>12351.41</v>
      </c>
      <c r="P360" s="92">
        <f t="shared" si="40"/>
        <v>1097631.989999997</v>
      </c>
    </row>
    <row r="361" spans="1:16" s="117" customFormat="1" x14ac:dyDescent="0.25">
      <c r="B361" s="117" t="s">
        <v>121</v>
      </c>
      <c r="C361" s="92"/>
      <c r="G361" s="92">
        <f t="shared" si="35"/>
        <v>3454343.5702202637</v>
      </c>
      <c r="I361" s="188">
        <v>43040</v>
      </c>
      <c r="J361" s="188">
        <v>43068</v>
      </c>
      <c r="K361" s="187">
        <f t="shared" si="37"/>
        <v>29</v>
      </c>
      <c r="L361" s="187"/>
      <c r="M361" s="186">
        <v>4.2099999999999999E-2</v>
      </c>
      <c r="N361" s="92">
        <f t="shared" si="38"/>
        <v>11554.54</v>
      </c>
      <c r="O361" s="92">
        <f t="shared" si="39"/>
        <v>11554.54</v>
      </c>
      <c r="P361" s="92">
        <f t="shared" si="40"/>
        <v>1109186.529999997</v>
      </c>
    </row>
    <row r="362" spans="1:16" s="117" customFormat="1" x14ac:dyDescent="0.25">
      <c r="C362" s="92">
        <v>0</v>
      </c>
      <c r="F362" s="92">
        <f>C362</f>
        <v>0</v>
      </c>
      <c r="G362" s="92">
        <f t="shared" ref="G362:G425" si="41">+G361+F362</f>
        <v>3454343.5702202637</v>
      </c>
      <c r="I362" s="188">
        <v>43069</v>
      </c>
      <c r="J362" s="188">
        <v>43069</v>
      </c>
      <c r="K362" s="187">
        <f t="shared" si="37"/>
        <v>1</v>
      </c>
      <c r="L362" s="187"/>
      <c r="M362" s="186">
        <v>4.2099999999999999E-2</v>
      </c>
      <c r="N362" s="92">
        <f t="shared" si="38"/>
        <v>398.43</v>
      </c>
      <c r="O362" s="92">
        <f t="shared" si="39"/>
        <v>11952.970000000001</v>
      </c>
      <c r="P362" s="92">
        <f t="shared" si="40"/>
        <v>1109584.9599999969</v>
      </c>
    </row>
    <row r="363" spans="1:16" s="117" customFormat="1" x14ac:dyDescent="0.25">
      <c r="B363" s="117" t="s">
        <v>120</v>
      </c>
      <c r="C363" s="92"/>
      <c r="G363" s="92">
        <f t="shared" si="41"/>
        <v>3454343.5702202637</v>
      </c>
      <c r="I363" s="188">
        <v>43070</v>
      </c>
      <c r="J363" s="188">
        <v>43099</v>
      </c>
      <c r="K363" s="187">
        <f t="shared" si="37"/>
        <v>30</v>
      </c>
      <c r="L363" s="187"/>
      <c r="M363" s="186">
        <v>4.2099999999999999E-2</v>
      </c>
      <c r="N363" s="92">
        <f t="shared" si="38"/>
        <v>11952.98</v>
      </c>
      <c r="O363" s="92">
        <f t="shared" si="39"/>
        <v>11952.98</v>
      </c>
      <c r="P363" s="92">
        <f t="shared" si="40"/>
        <v>1121537.9399999969</v>
      </c>
    </row>
    <row r="364" spans="1:16" s="117" customFormat="1" x14ac:dyDescent="0.25">
      <c r="C364" s="92">
        <v>0</v>
      </c>
      <c r="F364" s="92">
        <f>C364</f>
        <v>0</v>
      </c>
      <c r="G364" s="92">
        <f t="shared" si="41"/>
        <v>3454343.5702202637</v>
      </c>
      <c r="I364" s="188">
        <v>43100</v>
      </c>
      <c r="J364" s="188">
        <v>43100</v>
      </c>
      <c r="K364" s="187">
        <f t="shared" si="37"/>
        <v>1</v>
      </c>
      <c r="L364" s="187"/>
      <c r="M364" s="186">
        <v>4.2099999999999999E-2</v>
      </c>
      <c r="N364" s="92">
        <f t="shared" si="38"/>
        <v>398.43</v>
      </c>
      <c r="O364" s="92">
        <f t="shared" si="39"/>
        <v>12351.41</v>
      </c>
      <c r="P364" s="92">
        <f t="shared" si="40"/>
        <v>1121936.3699999969</v>
      </c>
    </row>
    <row r="365" spans="1:16" s="117" customFormat="1" x14ac:dyDescent="0.25">
      <c r="A365" s="117" t="s">
        <v>168</v>
      </c>
      <c r="B365" s="117" t="s">
        <v>131</v>
      </c>
      <c r="G365" s="92">
        <f t="shared" si="41"/>
        <v>3454343.5702202637</v>
      </c>
      <c r="I365" s="188">
        <v>43101</v>
      </c>
      <c r="J365" s="188">
        <v>43130</v>
      </c>
      <c r="K365" s="187">
        <f t="shared" si="37"/>
        <v>30</v>
      </c>
      <c r="L365" s="187"/>
      <c r="M365" s="186">
        <v>4.2500000000000003E-2</v>
      </c>
      <c r="N365" s="92">
        <f t="shared" si="38"/>
        <v>12066.54</v>
      </c>
      <c r="O365" s="92">
        <f t="shared" si="39"/>
        <v>12066.54</v>
      </c>
      <c r="P365" s="92">
        <f t="shared" si="40"/>
        <v>1134002.9099999969</v>
      </c>
    </row>
    <row r="366" spans="1:16" s="117" customFormat="1" ht="13.75" customHeight="1" x14ac:dyDescent="0.25">
      <c r="A366" s="190" t="s">
        <v>167</v>
      </c>
      <c r="C366" s="92">
        <v>0</v>
      </c>
      <c r="F366" s="92">
        <f>C366</f>
        <v>0</v>
      </c>
      <c r="G366" s="92">
        <f t="shared" si="41"/>
        <v>3454343.5702202637</v>
      </c>
      <c r="I366" s="188">
        <v>43131</v>
      </c>
      <c r="J366" s="188">
        <v>43131</v>
      </c>
      <c r="K366" s="187">
        <f t="shared" si="37"/>
        <v>1</v>
      </c>
      <c r="L366" s="187"/>
      <c r="M366" s="186">
        <v>4.2500000000000003E-2</v>
      </c>
      <c r="N366" s="92">
        <f t="shared" si="38"/>
        <v>402.22</v>
      </c>
      <c r="O366" s="92">
        <f t="shared" si="39"/>
        <v>12468.76</v>
      </c>
      <c r="P366" s="92">
        <f t="shared" si="40"/>
        <v>1134405.1299999969</v>
      </c>
    </row>
    <row r="367" spans="1:16" s="117" customFormat="1" x14ac:dyDescent="0.25">
      <c r="B367" s="117" t="s">
        <v>130</v>
      </c>
      <c r="C367" s="92"/>
      <c r="G367" s="92">
        <f t="shared" si="41"/>
        <v>3454343.5702202637</v>
      </c>
      <c r="I367" s="188">
        <v>43132</v>
      </c>
      <c r="J367" s="188">
        <v>43158</v>
      </c>
      <c r="K367" s="187">
        <v>27</v>
      </c>
      <c r="L367" s="187"/>
      <c r="M367" s="186">
        <v>4.2500000000000003E-2</v>
      </c>
      <c r="N367" s="92">
        <f t="shared" si="38"/>
        <v>10859.89</v>
      </c>
      <c r="O367" s="92">
        <f t="shared" si="39"/>
        <v>10859.89</v>
      </c>
      <c r="P367" s="92">
        <f t="shared" si="40"/>
        <v>1145265.0199999968</v>
      </c>
    </row>
    <row r="368" spans="1:16" s="117" customFormat="1" x14ac:dyDescent="0.25">
      <c r="C368" s="92">
        <v>0</v>
      </c>
      <c r="F368" s="92">
        <f>C368</f>
        <v>0</v>
      </c>
      <c r="G368" s="92">
        <f t="shared" si="41"/>
        <v>3454343.5702202637</v>
      </c>
      <c r="I368" s="188">
        <v>43159</v>
      </c>
      <c r="J368" s="188">
        <v>43159</v>
      </c>
      <c r="K368" s="187">
        <f t="shared" ref="K368:K390" si="42">+IF(+J368="","",+J368-(I368-1))</f>
        <v>1</v>
      </c>
      <c r="L368" s="187"/>
      <c r="M368" s="186">
        <v>4.2500000000000003E-2</v>
      </c>
      <c r="N368" s="92">
        <f t="shared" si="38"/>
        <v>402.22</v>
      </c>
      <c r="O368" s="92">
        <f t="shared" si="39"/>
        <v>11262.109999999999</v>
      </c>
      <c r="P368" s="92">
        <f t="shared" si="40"/>
        <v>1145667.2399999967</v>
      </c>
    </row>
    <row r="369" spans="2:16" s="117" customFormat="1" x14ac:dyDescent="0.25">
      <c r="B369" s="117" t="s">
        <v>129</v>
      </c>
      <c r="C369" s="92"/>
      <c r="G369" s="92">
        <f t="shared" si="41"/>
        <v>3454343.5702202637</v>
      </c>
      <c r="I369" s="188">
        <v>43160</v>
      </c>
      <c r="J369" s="188">
        <v>43189</v>
      </c>
      <c r="K369" s="187">
        <f t="shared" si="42"/>
        <v>30</v>
      </c>
      <c r="L369" s="187"/>
      <c r="M369" s="186">
        <v>4.2500000000000003E-2</v>
      </c>
      <c r="N369" s="92">
        <f t="shared" si="38"/>
        <v>12066.54</v>
      </c>
      <c r="O369" s="92">
        <f t="shared" si="39"/>
        <v>12066.54</v>
      </c>
      <c r="P369" s="92">
        <f t="shared" si="40"/>
        <v>1157733.7799999968</v>
      </c>
    </row>
    <row r="370" spans="2:16" s="117" customFormat="1" ht="14.25" customHeight="1" x14ac:dyDescent="0.25">
      <c r="C370" s="92">
        <v>0</v>
      </c>
      <c r="F370" s="92">
        <f>C370</f>
        <v>0</v>
      </c>
      <c r="G370" s="92">
        <f t="shared" si="41"/>
        <v>3454343.5702202637</v>
      </c>
      <c r="I370" s="188">
        <v>43190</v>
      </c>
      <c r="J370" s="188">
        <v>43190</v>
      </c>
      <c r="K370" s="187">
        <f t="shared" si="42"/>
        <v>1</v>
      </c>
      <c r="L370" s="187"/>
      <c r="M370" s="186">
        <v>4.2500000000000003E-2</v>
      </c>
      <c r="N370" s="92">
        <f t="shared" si="38"/>
        <v>402.22</v>
      </c>
      <c r="O370" s="92">
        <f t="shared" si="39"/>
        <v>12468.76</v>
      </c>
      <c r="P370" s="92">
        <f t="shared" si="40"/>
        <v>1158135.9999999967</v>
      </c>
    </row>
    <row r="371" spans="2:16" s="117" customFormat="1" x14ac:dyDescent="0.25">
      <c r="B371" s="117" t="s">
        <v>128</v>
      </c>
      <c r="C371" s="92"/>
      <c r="G371" s="92">
        <f t="shared" si="41"/>
        <v>3454343.5702202637</v>
      </c>
      <c r="I371" s="188">
        <v>43191</v>
      </c>
      <c r="J371" s="188">
        <v>43219</v>
      </c>
      <c r="K371" s="187">
        <f t="shared" si="42"/>
        <v>29</v>
      </c>
      <c r="L371" s="187"/>
      <c r="M371" s="186">
        <v>4.4699999999999997E-2</v>
      </c>
      <c r="N371" s="92">
        <f t="shared" si="38"/>
        <v>12268.12</v>
      </c>
      <c r="O371" s="92">
        <f t="shared" si="39"/>
        <v>12268.12</v>
      </c>
      <c r="P371" s="92">
        <f t="shared" si="40"/>
        <v>1170404.1199999969</v>
      </c>
    </row>
    <row r="372" spans="2:16" s="117" customFormat="1" x14ac:dyDescent="0.25">
      <c r="C372" s="92">
        <v>0</v>
      </c>
      <c r="F372" s="92">
        <f>C372</f>
        <v>0</v>
      </c>
      <c r="G372" s="92">
        <f t="shared" si="41"/>
        <v>3454343.5702202637</v>
      </c>
      <c r="I372" s="188">
        <v>43220</v>
      </c>
      <c r="J372" s="188">
        <v>43220</v>
      </c>
      <c r="K372" s="187">
        <f t="shared" si="42"/>
        <v>1</v>
      </c>
      <c r="L372" s="187"/>
      <c r="M372" s="186">
        <v>4.4699999999999997E-2</v>
      </c>
      <c r="N372" s="92">
        <f t="shared" si="38"/>
        <v>423.04</v>
      </c>
      <c r="O372" s="92">
        <f t="shared" si="39"/>
        <v>12691.160000000002</v>
      </c>
      <c r="P372" s="92">
        <f t="shared" si="40"/>
        <v>1170827.1599999969</v>
      </c>
    </row>
    <row r="373" spans="2:16" s="117" customFormat="1" x14ac:dyDescent="0.25">
      <c r="B373" s="117" t="s">
        <v>127</v>
      </c>
      <c r="C373" s="92"/>
      <c r="G373" s="92">
        <f t="shared" si="41"/>
        <v>3454343.5702202637</v>
      </c>
      <c r="I373" s="188">
        <v>43221</v>
      </c>
      <c r="J373" s="188">
        <v>43250</v>
      </c>
      <c r="K373" s="187">
        <f t="shared" si="42"/>
        <v>30</v>
      </c>
      <c r="L373" s="187"/>
      <c r="M373" s="186">
        <v>4.4699999999999997E-2</v>
      </c>
      <c r="N373" s="92">
        <f t="shared" si="38"/>
        <v>12691.16</v>
      </c>
      <c r="O373" s="92">
        <f t="shared" si="39"/>
        <v>12691.16</v>
      </c>
      <c r="P373" s="92">
        <f t="shared" si="40"/>
        <v>1183518.3199999968</v>
      </c>
    </row>
    <row r="374" spans="2:16" s="117" customFormat="1" x14ac:dyDescent="0.25">
      <c r="C374" s="92">
        <v>0</v>
      </c>
      <c r="F374" s="92">
        <f>C374</f>
        <v>0</v>
      </c>
      <c r="G374" s="92">
        <f t="shared" si="41"/>
        <v>3454343.5702202637</v>
      </c>
      <c r="I374" s="188">
        <v>43251</v>
      </c>
      <c r="J374" s="188">
        <v>43251</v>
      </c>
      <c r="K374" s="187">
        <f t="shared" si="42"/>
        <v>1</v>
      </c>
      <c r="L374" s="187"/>
      <c r="M374" s="186">
        <v>4.4699999999999997E-2</v>
      </c>
      <c r="N374" s="92">
        <f t="shared" si="38"/>
        <v>423.04</v>
      </c>
      <c r="O374" s="92">
        <f t="shared" si="39"/>
        <v>13114.2</v>
      </c>
      <c r="P374" s="92">
        <f t="shared" si="40"/>
        <v>1183941.3599999968</v>
      </c>
    </row>
    <row r="375" spans="2:16" s="117" customFormat="1" x14ac:dyDescent="0.25">
      <c r="B375" s="117" t="s">
        <v>126</v>
      </c>
      <c r="C375" s="92"/>
      <c r="G375" s="92">
        <f t="shared" si="41"/>
        <v>3454343.5702202637</v>
      </c>
      <c r="I375" s="188">
        <v>43252</v>
      </c>
      <c r="J375" s="188">
        <v>43280</v>
      </c>
      <c r="K375" s="187">
        <f t="shared" si="42"/>
        <v>29</v>
      </c>
      <c r="L375" s="187"/>
      <c r="M375" s="186">
        <v>4.4699999999999997E-2</v>
      </c>
      <c r="N375" s="92">
        <f t="shared" si="38"/>
        <v>12268.12</v>
      </c>
      <c r="O375" s="92">
        <f t="shared" si="39"/>
        <v>12268.12</v>
      </c>
      <c r="P375" s="92">
        <f t="shared" si="40"/>
        <v>1196209.479999997</v>
      </c>
    </row>
    <row r="376" spans="2:16" s="117" customFormat="1" x14ac:dyDescent="0.25">
      <c r="C376" s="92">
        <v>0</v>
      </c>
      <c r="F376" s="92">
        <f>C376</f>
        <v>0</v>
      </c>
      <c r="G376" s="92">
        <f t="shared" si="41"/>
        <v>3454343.5702202637</v>
      </c>
      <c r="I376" s="188">
        <v>43281</v>
      </c>
      <c r="J376" s="188">
        <v>43281</v>
      </c>
      <c r="K376" s="187">
        <f t="shared" si="42"/>
        <v>1</v>
      </c>
      <c r="L376" s="187"/>
      <c r="M376" s="186">
        <v>4.4699999999999997E-2</v>
      </c>
      <c r="N376" s="92">
        <f t="shared" si="38"/>
        <v>423.04</v>
      </c>
      <c r="O376" s="92">
        <f t="shared" si="39"/>
        <v>12691.160000000002</v>
      </c>
      <c r="P376" s="92">
        <f t="shared" si="40"/>
        <v>1196632.519999997</v>
      </c>
    </row>
    <row r="377" spans="2:16" s="117" customFormat="1" x14ac:dyDescent="0.25">
      <c r="B377" s="117" t="s">
        <v>125</v>
      </c>
      <c r="C377" s="92"/>
      <c r="G377" s="92">
        <f t="shared" si="41"/>
        <v>3454343.5702202637</v>
      </c>
      <c r="I377" s="188">
        <v>43282</v>
      </c>
      <c r="J377" s="188">
        <v>43311</v>
      </c>
      <c r="K377" s="187">
        <f t="shared" si="42"/>
        <v>30</v>
      </c>
      <c r="L377" s="187"/>
      <c r="M377" s="186">
        <v>4.6899999999999997E-2</v>
      </c>
      <c r="N377" s="92">
        <f t="shared" si="38"/>
        <v>13315.78</v>
      </c>
      <c r="O377" s="92">
        <f t="shared" si="39"/>
        <v>13315.78</v>
      </c>
      <c r="P377" s="92">
        <f t="shared" si="40"/>
        <v>1209948.299999997</v>
      </c>
    </row>
    <row r="378" spans="2:16" s="117" customFormat="1" x14ac:dyDescent="0.25">
      <c r="C378" s="92">
        <v>0</v>
      </c>
      <c r="F378" s="92">
        <f>C378</f>
        <v>0</v>
      </c>
      <c r="G378" s="92">
        <f t="shared" si="41"/>
        <v>3454343.5702202637</v>
      </c>
      <c r="I378" s="188">
        <v>43312</v>
      </c>
      <c r="J378" s="188">
        <v>43312</v>
      </c>
      <c r="K378" s="187">
        <f t="shared" si="42"/>
        <v>1</v>
      </c>
      <c r="L378" s="187"/>
      <c r="M378" s="186">
        <v>4.6899999999999997E-2</v>
      </c>
      <c r="N378" s="92">
        <f t="shared" si="38"/>
        <v>443.86</v>
      </c>
      <c r="O378" s="92">
        <f t="shared" si="39"/>
        <v>13759.640000000001</v>
      </c>
      <c r="P378" s="92">
        <f t="shared" si="40"/>
        <v>1210392.1599999971</v>
      </c>
    </row>
    <row r="379" spans="2:16" s="117" customFormat="1" x14ac:dyDescent="0.25">
      <c r="B379" s="117" t="s">
        <v>124</v>
      </c>
      <c r="C379" s="92"/>
      <c r="G379" s="92">
        <f t="shared" si="41"/>
        <v>3454343.5702202637</v>
      </c>
      <c r="I379" s="188">
        <v>43313</v>
      </c>
      <c r="J379" s="188">
        <v>43342</v>
      </c>
      <c r="K379" s="187">
        <f t="shared" si="42"/>
        <v>30</v>
      </c>
      <c r="L379" s="187"/>
      <c r="M379" s="186">
        <v>4.6899999999999997E-2</v>
      </c>
      <c r="N379" s="92">
        <f t="shared" si="38"/>
        <v>13315.78</v>
      </c>
      <c r="O379" s="92">
        <f t="shared" si="39"/>
        <v>13315.78</v>
      </c>
      <c r="P379" s="92">
        <f t="shared" si="40"/>
        <v>1223707.9399999972</v>
      </c>
    </row>
    <row r="380" spans="2:16" s="117" customFormat="1" x14ac:dyDescent="0.25">
      <c r="C380" s="92">
        <v>0</v>
      </c>
      <c r="F380" s="92">
        <f>C380</f>
        <v>0</v>
      </c>
      <c r="G380" s="92">
        <f t="shared" si="41"/>
        <v>3454343.5702202637</v>
      </c>
      <c r="I380" s="188">
        <v>43343</v>
      </c>
      <c r="J380" s="188">
        <v>43343</v>
      </c>
      <c r="K380" s="187">
        <f t="shared" si="42"/>
        <v>1</v>
      </c>
      <c r="L380" s="187"/>
      <c r="M380" s="186">
        <v>4.6899999999999997E-2</v>
      </c>
      <c r="N380" s="92">
        <f t="shared" si="38"/>
        <v>443.86</v>
      </c>
      <c r="O380" s="92">
        <f t="shared" si="39"/>
        <v>13759.640000000001</v>
      </c>
      <c r="P380" s="92">
        <f t="shared" si="40"/>
        <v>1224151.7999999973</v>
      </c>
    </row>
    <row r="381" spans="2:16" s="117" customFormat="1" x14ac:dyDescent="0.25">
      <c r="B381" s="117" t="s">
        <v>123</v>
      </c>
      <c r="C381" s="92"/>
      <c r="G381" s="92">
        <f t="shared" si="41"/>
        <v>3454343.5702202637</v>
      </c>
      <c r="I381" s="188">
        <v>43344</v>
      </c>
      <c r="J381" s="188">
        <v>43372</v>
      </c>
      <c r="K381" s="187">
        <f t="shared" si="42"/>
        <v>29</v>
      </c>
      <c r="L381" s="187"/>
      <c r="M381" s="186">
        <v>4.6899999999999997E-2</v>
      </c>
      <c r="N381" s="92">
        <f t="shared" si="38"/>
        <v>12871.93</v>
      </c>
      <c r="O381" s="92">
        <f t="shared" si="39"/>
        <v>12871.93</v>
      </c>
      <c r="P381" s="92">
        <f t="shared" si="40"/>
        <v>1237023.7299999972</v>
      </c>
    </row>
    <row r="382" spans="2:16" s="117" customFormat="1" x14ac:dyDescent="0.25">
      <c r="C382" s="92">
        <v>0</v>
      </c>
      <c r="F382" s="92">
        <f>C382</f>
        <v>0</v>
      </c>
      <c r="G382" s="92">
        <f t="shared" si="41"/>
        <v>3454343.5702202637</v>
      </c>
      <c r="I382" s="188">
        <v>43373</v>
      </c>
      <c r="J382" s="188">
        <v>43373</v>
      </c>
      <c r="K382" s="187">
        <f t="shared" si="42"/>
        <v>1</v>
      </c>
      <c r="L382" s="187"/>
      <c r="M382" s="186">
        <v>4.6899999999999997E-2</v>
      </c>
      <c r="N382" s="92">
        <f t="shared" si="38"/>
        <v>443.86</v>
      </c>
      <c r="O382" s="92">
        <f t="shared" si="39"/>
        <v>13315.79</v>
      </c>
      <c r="P382" s="92">
        <f t="shared" si="40"/>
        <v>1237467.5899999973</v>
      </c>
    </row>
    <row r="383" spans="2:16" s="117" customFormat="1" x14ac:dyDescent="0.25">
      <c r="B383" s="117" t="s">
        <v>122</v>
      </c>
      <c r="C383" s="92"/>
      <c r="G383" s="92">
        <f t="shared" si="41"/>
        <v>3454343.5702202637</v>
      </c>
      <c r="I383" s="188">
        <v>43374</v>
      </c>
      <c r="J383" s="188">
        <v>43403</v>
      </c>
      <c r="K383" s="187">
        <f t="shared" si="42"/>
        <v>30</v>
      </c>
      <c r="L383" s="187"/>
      <c r="M383" s="186">
        <v>4.9599999999999998E-2</v>
      </c>
      <c r="N383" s="92">
        <f t="shared" si="38"/>
        <v>14082.37</v>
      </c>
      <c r="O383" s="92">
        <f t="shared" si="39"/>
        <v>14082.37</v>
      </c>
      <c r="P383" s="92">
        <f t="shared" si="40"/>
        <v>1251549.9599999974</v>
      </c>
    </row>
    <row r="384" spans="2:16" s="117" customFormat="1" x14ac:dyDescent="0.25">
      <c r="C384" s="92">
        <v>0</v>
      </c>
      <c r="F384" s="92">
        <f>C384</f>
        <v>0</v>
      </c>
      <c r="G384" s="92">
        <f t="shared" si="41"/>
        <v>3454343.5702202637</v>
      </c>
      <c r="I384" s="188">
        <v>43404</v>
      </c>
      <c r="J384" s="188">
        <v>43404</v>
      </c>
      <c r="K384" s="187">
        <f t="shared" si="42"/>
        <v>1</v>
      </c>
      <c r="L384" s="187"/>
      <c r="M384" s="186">
        <v>4.9599999999999998E-2</v>
      </c>
      <c r="N384" s="92">
        <f t="shared" si="38"/>
        <v>469.41</v>
      </c>
      <c r="O384" s="92">
        <f t="shared" si="39"/>
        <v>14551.78</v>
      </c>
      <c r="P384" s="92">
        <f t="shared" si="40"/>
        <v>1252019.3699999973</v>
      </c>
    </row>
    <row r="385" spans="1:16" s="117" customFormat="1" x14ac:dyDescent="0.25">
      <c r="B385" s="117" t="s">
        <v>121</v>
      </c>
      <c r="C385" s="92"/>
      <c r="G385" s="92">
        <f t="shared" si="41"/>
        <v>3454343.5702202637</v>
      </c>
      <c r="I385" s="188">
        <v>43405</v>
      </c>
      <c r="J385" s="188">
        <v>43433</v>
      </c>
      <c r="K385" s="187">
        <f t="shared" si="42"/>
        <v>29</v>
      </c>
      <c r="L385" s="187"/>
      <c r="M385" s="186">
        <v>4.9599999999999998E-2</v>
      </c>
      <c r="N385" s="92">
        <f t="shared" si="38"/>
        <v>13612.95</v>
      </c>
      <c r="O385" s="92">
        <f t="shared" si="39"/>
        <v>13612.95</v>
      </c>
      <c r="P385" s="92">
        <f t="shared" si="40"/>
        <v>1265632.3199999973</v>
      </c>
    </row>
    <row r="386" spans="1:16" s="117" customFormat="1" x14ac:dyDescent="0.25">
      <c r="C386" s="92">
        <v>0</v>
      </c>
      <c r="F386" s="92">
        <f>C386</f>
        <v>0</v>
      </c>
      <c r="G386" s="92">
        <f t="shared" si="41"/>
        <v>3454343.5702202637</v>
      </c>
      <c r="I386" s="188">
        <v>43434</v>
      </c>
      <c r="J386" s="188">
        <v>43434</v>
      </c>
      <c r="K386" s="187">
        <f t="shared" si="42"/>
        <v>1</v>
      </c>
      <c r="L386" s="187"/>
      <c r="M386" s="186">
        <v>4.9599999999999998E-2</v>
      </c>
      <c r="N386" s="92">
        <f t="shared" si="38"/>
        <v>469.41</v>
      </c>
      <c r="O386" s="92">
        <f t="shared" si="39"/>
        <v>14082.36</v>
      </c>
      <c r="P386" s="92">
        <f t="shared" si="40"/>
        <v>1266101.7299999972</v>
      </c>
    </row>
    <row r="387" spans="1:16" s="117" customFormat="1" x14ac:dyDescent="0.25">
      <c r="B387" s="117" t="s">
        <v>120</v>
      </c>
      <c r="C387" s="92"/>
      <c r="G387" s="92">
        <f t="shared" si="41"/>
        <v>3454343.5702202637</v>
      </c>
      <c r="I387" s="188">
        <v>43435</v>
      </c>
      <c r="J387" s="188">
        <v>43464</v>
      </c>
      <c r="K387" s="187">
        <f t="shared" si="42"/>
        <v>30</v>
      </c>
      <c r="L387" s="187"/>
      <c r="M387" s="186">
        <v>4.9599999999999998E-2</v>
      </c>
      <c r="N387" s="92">
        <f>+IF(+K387&lt;&gt;" ", ROUND(M387*(K387/365)*G387,2),0)-14082.37</f>
        <v>0</v>
      </c>
      <c r="O387" s="92">
        <f t="shared" si="39"/>
        <v>0</v>
      </c>
      <c r="P387" s="92">
        <f t="shared" si="40"/>
        <v>1266101.7299999972</v>
      </c>
    </row>
    <row r="388" spans="1:16" s="117" customFormat="1" x14ac:dyDescent="0.25">
      <c r="C388" s="92">
        <v>0</v>
      </c>
      <c r="F388" s="92">
        <f>C388</f>
        <v>0</v>
      </c>
      <c r="G388" s="92">
        <f t="shared" si="41"/>
        <v>3454343.5702202637</v>
      </c>
      <c r="I388" s="188">
        <v>43465</v>
      </c>
      <c r="J388" s="188">
        <v>43465</v>
      </c>
      <c r="K388" s="187">
        <f t="shared" si="42"/>
        <v>1</v>
      </c>
      <c r="L388" s="187"/>
      <c r="M388" s="186">
        <v>4.9599999999999998E-2</v>
      </c>
      <c r="N388" s="92">
        <f>+IF(+K388&lt;&gt;" ", ROUND(M388*(K388/365)*G388,2),0)-469.41</f>
        <v>0</v>
      </c>
      <c r="O388" s="92">
        <f t="shared" si="39"/>
        <v>0</v>
      </c>
      <c r="P388" s="92">
        <f t="shared" si="40"/>
        <v>1266101.7299999972</v>
      </c>
    </row>
    <row r="389" spans="1:16" s="117" customFormat="1" x14ac:dyDescent="0.25">
      <c r="A389" s="117" t="s">
        <v>166</v>
      </c>
      <c r="B389" s="117" t="s">
        <v>131</v>
      </c>
      <c r="G389" s="92">
        <f t="shared" si="41"/>
        <v>3454343.5702202637</v>
      </c>
      <c r="I389" s="188">
        <v>43466</v>
      </c>
      <c r="J389" s="188">
        <v>43495</v>
      </c>
      <c r="K389" s="187">
        <f t="shared" si="42"/>
        <v>30</v>
      </c>
      <c r="L389" s="187"/>
      <c r="M389" s="186">
        <v>5.1799999999999999E-2</v>
      </c>
      <c r="N389" s="92">
        <f t="shared" ref="N389:N434" si="43">+IF(+K389&lt;&gt;" ", ROUND(M389*(K389/365)*G389,2),0)</f>
        <v>14706.99</v>
      </c>
      <c r="O389" s="92">
        <f t="shared" si="39"/>
        <v>14706.99</v>
      </c>
      <c r="P389" s="92">
        <f t="shared" si="40"/>
        <v>1280808.7199999972</v>
      </c>
    </row>
    <row r="390" spans="1:16" s="117" customFormat="1" ht="13.75" customHeight="1" x14ac:dyDescent="0.25">
      <c r="A390" s="190" t="s">
        <v>165</v>
      </c>
      <c r="C390" s="92">
        <v>0</v>
      </c>
      <c r="F390" s="92">
        <f>C390</f>
        <v>0</v>
      </c>
      <c r="G390" s="92">
        <f t="shared" si="41"/>
        <v>3454343.5702202637</v>
      </c>
      <c r="I390" s="188">
        <v>43496</v>
      </c>
      <c r="J390" s="188">
        <v>43496</v>
      </c>
      <c r="K390" s="187">
        <f t="shared" si="42"/>
        <v>1</v>
      </c>
      <c r="L390" s="187"/>
      <c r="M390" s="186">
        <v>5.1799999999999999E-2</v>
      </c>
      <c r="N390" s="92">
        <f t="shared" si="43"/>
        <v>490.23</v>
      </c>
      <c r="O390" s="92">
        <f t="shared" si="39"/>
        <v>15197.22</v>
      </c>
      <c r="P390" s="92">
        <f t="shared" si="40"/>
        <v>1281298.9499999972</v>
      </c>
    </row>
    <row r="391" spans="1:16" s="117" customFormat="1" x14ac:dyDescent="0.25">
      <c r="B391" s="117" t="s">
        <v>130</v>
      </c>
      <c r="C391" s="92"/>
      <c r="G391" s="92">
        <f t="shared" si="41"/>
        <v>3454343.5702202637</v>
      </c>
      <c r="I391" s="188">
        <v>43497</v>
      </c>
      <c r="J391" s="188">
        <v>43523</v>
      </c>
      <c r="K391" s="187">
        <v>27</v>
      </c>
      <c r="L391" s="187"/>
      <c r="M391" s="186">
        <v>5.1799999999999999E-2</v>
      </c>
      <c r="N391" s="92">
        <f t="shared" si="43"/>
        <v>13236.29</v>
      </c>
      <c r="O391" s="92">
        <f t="shared" si="39"/>
        <v>13236.29</v>
      </c>
      <c r="P391" s="92">
        <f t="shared" si="40"/>
        <v>1294535.2399999972</v>
      </c>
    </row>
    <row r="392" spans="1:16" s="117" customFormat="1" x14ac:dyDescent="0.25">
      <c r="C392" s="92">
        <v>1957455.9197439104</v>
      </c>
      <c r="F392" s="92">
        <f>C392</f>
        <v>1957455.9197439104</v>
      </c>
      <c r="G392" s="92">
        <f t="shared" si="41"/>
        <v>5411799.4899641741</v>
      </c>
      <c r="I392" s="188">
        <v>43524</v>
      </c>
      <c r="J392" s="188">
        <v>43524</v>
      </c>
      <c r="K392" s="187">
        <f t="shared" ref="K392:K414" si="44">+IF(+J392="","",+J392-(I392-1))</f>
        <v>1</v>
      </c>
      <c r="L392" s="187"/>
      <c r="M392" s="186">
        <v>5.1799999999999999E-2</v>
      </c>
      <c r="N392" s="92">
        <f t="shared" si="43"/>
        <v>768.03</v>
      </c>
      <c r="O392" s="92">
        <f t="shared" si="39"/>
        <v>14004.320000000002</v>
      </c>
      <c r="P392" s="92">
        <f t="shared" si="40"/>
        <v>1295303.2699999972</v>
      </c>
    </row>
    <row r="393" spans="1:16" s="117" customFormat="1" x14ac:dyDescent="0.25">
      <c r="B393" s="117" t="s">
        <v>129</v>
      </c>
      <c r="C393" s="92"/>
      <c r="G393" s="92">
        <f t="shared" si="41"/>
        <v>5411799.4899641741</v>
      </c>
      <c r="I393" s="188">
        <v>43525</v>
      </c>
      <c r="J393" s="188">
        <v>43554</v>
      </c>
      <c r="K393" s="187">
        <f t="shared" si="44"/>
        <v>30</v>
      </c>
      <c r="L393" s="187"/>
      <c r="M393" s="186">
        <v>5.1799999999999999E-2</v>
      </c>
      <c r="N393" s="92">
        <f t="shared" si="43"/>
        <v>23040.92</v>
      </c>
      <c r="O393" s="92">
        <f t="shared" si="39"/>
        <v>23040.92</v>
      </c>
      <c r="P393" s="92">
        <f t="shared" si="40"/>
        <v>1318344.1899999972</v>
      </c>
    </row>
    <row r="394" spans="1:16" s="117" customFormat="1" ht="14.25" customHeight="1" x14ac:dyDescent="0.25">
      <c r="C394" s="92">
        <v>12376294.12727583</v>
      </c>
      <c r="F394" s="92">
        <f>C394</f>
        <v>12376294.12727583</v>
      </c>
      <c r="G394" s="92">
        <f t="shared" si="41"/>
        <v>17788093.617240004</v>
      </c>
      <c r="I394" s="188">
        <v>43555</v>
      </c>
      <c r="J394" s="188">
        <v>43555</v>
      </c>
      <c r="K394" s="187">
        <f t="shared" si="44"/>
        <v>1</v>
      </c>
      <c r="L394" s="187"/>
      <c r="M394" s="186">
        <v>5.1799999999999999E-2</v>
      </c>
      <c r="N394" s="92">
        <f t="shared" si="43"/>
        <v>2524.4499999999998</v>
      </c>
      <c r="O394" s="92">
        <f t="shared" si="39"/>
        <v>25565.37</v>
      </c>
      <c r="P394" s="92">
        <f t="shared" si="40"/>
        <v>1320868.6399999971</v>
      </c>
    </row>
    <row r="395" spans="1:16" s="117" customFormat="1" x14ac:dyDescent="0.25">
      <c r="B395" s="117" t="s">
        <v>128</v>
      </c>
      <c r="C395" s="92"/>
      <c r="G395" s="92">
        <f t="shared" si="41"/>
        <v>17788093.617240004</v>
      </c>
      <c r="I395" s="188">
        <v>43556</v>
      </c>
      <c r="J395" s="188">
        <v>43584</v>
      </c>
      <c r="K395" s="187">
        <f t="shared" si="44"/>
        <v>29</v>
      </c>
      <c r="L395" s="187"/>
      <c r="M395" s="186">
        <v>5.45E-2</v>
      </c>
      <c r="N395" s="92">
        <f t="shared" si="43"/>
        <v>77024.88</v>
      </c>
      <c r="O395" s="92">
        <f t="shared" si="39"/>
        <v>77024.88</v>
      </c>
      <c r="P395" s="92">
        <f t="shared" si="40"/>
        <v>1397893.5199999972</v>
      </c>
    </row>
    <row r="396" spans="1:16" s="117" customFormat="1" x14ac:dyDescent="0.25">
      <c r="C396" s="92">
        <v>1772025.9031812996</v>
      </c>
      <c r="F396" s="92">
        <f>C396</f>
        <v>1772025.9031812996</v>
      </c>
      <c r="G396" s="92">
        <f t="shared" si="41"/>
        <v>19560119.520421304</v>
      </c>
      <c r="I396" s="188">
        <v>43585</v>
      </c>
      <c r="J396" s="188">
        <v>43585</v>
      </c>
      <c r="K396" s="187">
        <f t="shared" si="44"/>
        <v>1</v>
      </c>
      <c r="L396" s="187"/>
      <c r="M396" s="186">
        <v>5.45E-2</v>
      </c>
      <c r="N396" s="92">
        <f t="shared" si="43"/>
        <v>2920.62</v>
      </c>
      <c r="O396" s="92">
        <f t="shared" si="39"/>
        <v>79945.5</v>
      </c>
      <c r="P396" s="92">
        <f t="shared" si="40"/>
        <v>1400814.1399999973</v>
      </c>
    </row>
    <row r="397" spans="1:16" s="117" customFormat="1" x14ac:dyDescent="0.25">
      <c r="B397" s="117" t="s">
        <v>127</v>
      </c>
      <c r="C397" s="92"/>
      <c r="G397" s="92">
        <f t="shared" si="41"/>
        <v>19560119.520421304</v>
      </c>
      <c r="I397" s="188">
        <v>43586</v>
      </c>
      <c r="J397" s="188">
        <v>43615</v>
      </c>
      <c r="K397" s="187">
        <f t="shared" si="44"/>
        <v>30</v>
      </c>
      <c r="L397" s="187"/>
      <c r="M397" s="186">
        <v>5.45E-2</v>
      </c>
      <c r="N397" s="92">
        <f t="shared" si="43"/>
        <v>87618.62</v>
      </c>
      <c r="O397" s="92">
        <f t="shared" si="39"/>
        <v>87618.62</v>
      </c>
      <c r="P397" s="92">
        <f t="shared" si="40"/>
        <v>1488432.7599999974</v>
      </c>
    </row>
    <row r="398" spans="1:16" s="117" customFormat="1" x14ac:dyDescent="0.25">
      <c r="C398" s="92">
        <v>850807.42485476285</v>
      </c>
      <c r="F398" s="92">
        <f>C398</f>
        <v>850807.42485476285</v>
      </c>
      <c r="G398" s="92">
        <f t="shared" si="41"/>
        <v>20410926.945276067</v>
      </c>
      <c r="I398" s="188">
        <v>43616</v>
      </c>
      <c r="J398" s="188">
        <v>43616</v>
      </c>
      <c r="K398" s="187">
        <f t="shared" si="44"/>
        <v>1</v>
      </c>
      <c r="L398" s="187"/>
      <c r="M398" s="186">
        <v>5.45E-2</v>
      </c>
      <c r="N398" s="92">
        <f t="shared" si="43"/>
        <v>3047.66</v>
      </c>
      <c r="O398" s="92">
        <f t="shared" si="39"/>
        <v>90666.28</v>
      </c>
      <c r="P398" s="92">
        <f t="shared" si="40"/>
        <v>1491480.4199999974</v>
      </c>
    </row>
    <row r="399" spans="1:16" s="117" customFormat="1" x14ac:dyDescent="0.25">
      <c r="B399" s="117" t="s">
        <v>126</v>
      </c>
      <c r="C399" s="92"/>
      <c r="G399" s="92">
        <f t="shared" si="41"/>
        <v>20410926.945276067</v>
      </c>
      <c r="I399" s="188">
        <v>43617</v>
      </c>
      <c r="J399" s="188">
        <v>43645</v>
      </c>
      <c r="K399" s="187">
        <f t="shared" si="44"/>
        <v>29</v>
      </c>
      <c r="L399" s="187"/>
      <c r="M399" s="186">
        <v>5.45E-2</v>
      </c>
      <c r="N399" s="92">
        <f t="shared" si="43"/>
        <v>88382.11</v>
      </c>
      <c r="O399" s="92">
        <f t="shared" si="39"/>
        <v>88382.11</v>
      </c>
      <c r="P399" s="92">
        <f t="shared" si="40"/>
        <v>1579862.5299999975</v>
      </c>
    </row>
    <row r="400" spans="1:16" s="117" customFormat="1" x14ac:dyDescent="0.25">
      <c r="C400" s="92">
        <v>301599.23319329321</v>
      </c>
      <c r="F400" s="92">
        <f>C400</f>
        <v>301599.23319329321</v>
      </c>
      <c r="G400" s="92">
        <f t="shared" si="41"/>
        <v>20712526.17846936</v>
      </c>
      <c r="I400" s="188">
        <v>43646</v>
      </c>
      <c r="J400" s="188">
        <v>43646</v>
      </c>
      <c r="K400" s="187">
        <f t="shared" si="44"/>
        <v>1</v>
      </c>
      <c r="L400" s="187"/>
      <c r="M400" s="186">
        <v>5.45E-2</v>
      </c>
      <c r="N400" s="92">
        <f t="shared" si="43"/>
        <v>3092.69</v>
      </c>
      <c r="O400" s="92">
        <f t="shared" si="39"/>
        <v>91474.8</v>
      </c>
      <c r="P400" s="92">
        <f t="shared" si="40"/>
        <v>1582955.2199999974</v>
      </c>
    </row>
    <row r="401" spans="1:16" s="117" customFormat="1" x14ac:dyDescent="0.25">
      <c r="B401" s="117" t="s">
        <v>125</v>
      </c>
      <c r="C401" s="92"/>
      <c r="G401" s="92">
        <f t="shared" si="41"/>
        <v>20712526.17846936</v>
      </c>
      <c r="I401" s="188">
        <v>43647</v>
      </c>
      <c r="J401" s="188">
        <v>43676</v>
      </c>
      <c r="K401" s="187">
        <f t="shared" si="44"/>
        <v>30</v>
      </c>
      <c r="L401" s="187"/>
      <c r="M401" s="186">
        <v>5.5E-2</v>
      </c>
      <c r="N401" s="92">
        <f t="shared" si="43"/>
        <v>93631.97</v>
      </c>
      <c r="O401" s="92">
        <f t="shared" si="39"/>
        <v>93631.97</v>
      </c>
      <c r="P401" s="92">
        <f t="shared" si="40"/>
        <v>1676587.1899999974</v>
      </c>
    </row>
    <row r="402" spans="1:16" s="117" customFormat="1" x14ac:dyDescent="0.25">
      <c r="C402" s="92">
        <v>798335.38193107396</v>
      </c>
      <c r="F402" s="92">
        <f>C402</f>
        <v>798335.38193107396</v>
      </c>
      <c r="G402" s="92">
        <f t="shared" si="41"/>
        <v>21510861.560400434</v>
      </c>
      <c r="I402" s="188">
        <v>43677</v>
      </c>
      <c r="J402" s="188">
        <v>43677</v>
      </c>
      <c r="K402" s="187">
        <f t="shared" si="44"/>
        <v>1</v>
      </c>
      <c r="L402" s="187"/>
      <c r="M402" s="186">
        <v>5.5E-2</v>
      </c>
      <c r="N402" s="92">
        <f t="shared" si="43"/>
        <v>3241.36</v>
      </c>
      <c r="O402" s="92">
        <f t="shared" si="39"/>
        <v>96873.33</v>
      </c>
      <c r="P402" s="92">
        <f t="shared" si="40"/>
        <v>1679828.5499999975</v>
      </c>
    </row>
    <row r="403" spans="1:16" s="117" customFormat="1" x14ac:dyDescent="0.25">
      <c r="B403" s="117" t="s">
        <v>124</v>
      </c>
      <c r="C403" s="92"/>
      <c r="G403" s="92">
        <f t="shared" si="41"/>
        <v>21510861.560400434</v>
      </c>
      <c r="I403" s="188">
        <v>43678</v>
      </c>
      <c r="J403" s="188">
        <v>43707</v>
      </c>
      <c r="K403" s="187">
        <f t="shared" si="44"/>
        <v>30</v>
      </c>
      <c r="L403" s="187"/>
      <c r="M403" s="186">
        <v>5.5E-2</v>
      </c>
      <c r="N403" s="92">
        <f t="shared" si="43"/>
        <v>97240.88</v>
      </c>
      <c r="O403" s="92">
        <f t="shared" si="39"/>
        <v>97240.88</v>
      </c>
      <c r="P403" s="92">
        <f t="shared" si="40"/>
        <v>1777069.4299999974</v>
      </c>
    </row>
    <row r="404" spans="1:16" s="117" customFormat="1" x14ac:dyDescent="0.25">
      <c r="C404" s="92">
        <v>-1594301.9205967188</v>
      </c>
      <c r="F404" s="92">
        <f>C404</f>
        <v>-1594301.9205967188</v>
      </c>
      <c r="G404" s="92">
        <f t="shared" si="41"/>
        <v>19916559.639803715</v>
      </c>
      <c r="I404" s="188">
        <v>43708</v>
      </c>
      <c r="J404" s="188">
        <v>43708</v>
      </c>
      <c r="K404" s="187">
        <f t="shared" si="44"/>
        <v>1</v>
      </c>
      <c r="L404" s="187"/>
      <c r="M404" s="186">
        <v>5.5E-2</v>
      </c>
      <c r="N404" s="92">
        <f t="shared" si="43"/>
        <v>3001.13</v>
      </c>
      <c r="O404" s="92">
        <f t="shared" si="39"/>
        <v>100242.01000000001</v>
      </c>
      <c r="P404" s="92">
        <f t="shared" si="40"/>
        <v>1780070.5599999973</v>
      </c>
    </row>
    <row r="405" spans="1:16" s="117" customFormat="1" x14ac:dyDescent="0.25">
      <c r="B405" s="117" t="s">
        <v>123</v>
      </c>
      <c r="C405" s="92"/>
      <c r="G405" s="92">
        <f t="shared" si="41"/>
        <v>19916559.639803715</v>
      </c>
      <c r="I405" s="188">
        <v>43709</v>
      </c>
      <c r="J405" s="188">
        <v>43737</v>
      </c>
      <c r="K405" s="187">
        <f t="shared" si="44"/>
        <v>29</v>
      </c>
      <c r="L405" s="187"/>
      <c r="M405" s="186">
        <v>5.5E-2</v>
      </c>
      <c r="N405" s="92">
        <f t="shared" si="43"/>
        <v>87032.639999999999</v>
      </c>
      <c r="O405" s="92">
        <f t="shared" si="39"/>
        <v>87032.639999999999</v>
      </c>
      <c r="P405" s="92">
        <f t="shared" si="40"/>
        <v>1867103.1999999972</v>
      </c>
    </row>
    <row r="406" spans="1:16" s="117" customFormat="1" x14ac:dyDescent="0.25">
      <c r="C406" s="92">
        <v>3008471.9336344153</v>
      </c>
      <c r="F406" s="92">
        <f>C406</f>
        <v>3008471.9336344153</v>
      </c>
      <c r="G406" s="92">
        <f t="shared" si="41"/>
        <v>22925031.57343813</v>
      </c>
      <c r="I406" s="188">
        <v>43738</v>
      </c>
      <c r="J406" s="188">
        <v>43738</v>
      </c>
      <c r="K406" s="187">
        <f t="shared" si="44"/>
        <v>1</v>
      </c>
      <c r="L406" s="187"/>
      <c r="M406" s="186">
        <v>5.5E-2</v>
      </c>
      <c r="N406" s="92">
        <f t="shared" si="43"/>
        <v>3454.46</v>
      </c>
      <c r="O406" s="92">
        <f t="shared" si="39"/>
        <v>90487.1</v>
      </c>
      <c r="P406" s="92">
        <f t="shared" si="40"/>
        <v>1870557.6599999971</v>
      </c>
    </row>
    <row r="407" spans="1:16" s="117" customFormat="1" x14ac:dyDescent="0.25">
      <c r="B407" s="117" t="s">
        <v>122</v>
      </c>
      <c r="C407" s="92"/>
      <c r="G407" s="92">
        <f t="shared" si="41"/>
        <v>22925031.57343813</v>
      </c>
      <c r="I407" s="188">
        <v>43739</v>
      </c>
      <c r="J407" s="188">
        <v>43768</v>
      </c>
      <c r="K407" s="187">
        <f t="shared" si="44"/>
        <v>30</v>
      </c>
      <c r="L407" s="187"/>
      <c r="M407" s="186">
        <v>5.4199999999999998E-2</v>
      </c>
      <c r="N407" s="92">
        <f t="shared" si="43"/>
        <v>102126.31</v>
      </c>
      <c r="O407" s="92">
        <f t="shared" si="39"/>
        <v>102126.31</v>
      </c>
      <c r="P407" s="92">
        <f t="shared" si="40"/>
        <v>1972683.9699999972</v>
      </c>
    </row>
    <row r="408" spans="1:16" s="117" customFormat="1" x14ac:dyDescent="0.25">
      <c r="C408" s="92">
        <v>6476282.8692039773</v>
      </c>
      <c r="F408" s="92">
        <f>C408</f>
        <v>6476282.8692039773</v>
      </c>
      <c r="G408" s="92">
        <f t="shared" si="41"/>
        <v>29401314.442642108</v>
      </c>
      <c r="I408" s="188">
        <v>43769</v>
      </c>
      <c r="J408" s="188">
        <v>43769</v>
      </c>
      <c r="K408" s="187">
        <f t="shared" si="44"/>
        <v>1</v>
      </c>
      <c r="L408" s="187"/>
      <c r="M408" s="186">
        <v>5.4199999999999998E-2</v>
      </c>
      <c r="N408" s="92">
        <f t="shared" si="43"/>
        <v>4365.8900000000003</v>
      </c>
      <c r="O408" s="92">
        <f t="shared" si="39"/>
        <v>106492.2</v>
      </c>
      <c r="P408" s="92">
        <f t="shared" si="40"/>
        <v>1977049.8599999971</v>
      </c>
    </row>
    <row r="409" spans="1:16" s="117" customFormat="1" x14ac:dyDescent="0.25">
      <c r="B409" s="117" t="s">
        <v>121</v>
      </c>
      <c r="C409" s="92"/>
      <c r="G409" s="92">
        <f t="shared" si="41"/>
        <v>29401314.442642108</v>
      </c>
      <c r="I409" s="188">
        <v>43770</v>
      </c>
      <c r="J409" s="188">
        <v>43798</v>
      </c>
      <c r="K409" s="187">
        <f t="shared" si="44"/>
        <v>29</v>
      </c>
      <c r="L409" s="187"/>
      <c r="M409" s="186">
        <v>5.4199999999999998E-2</v>
      </c>
      <c r="N409" s="92">
        <f t="shared" si="43"/>
        <v>126610.92</v>
      </c>
      <c r="O409" s="92">
        <f t="shared" si="39"/>
        <v>126610.92</v>
      </c>
      <c r="P409" s="92">
        <f t="shared" si="40"/>
        <v>2103660.779999997</v>
      </c>
    </row>
    <row r="410" spans="1:16" s="117" customFormat="1" x14ac:dyDescent="0.25">
      <c r="C410" s="92">
        <v>4843568.7362388968</v>
      </c>
      <c r="F410" s="92">
        <f>C410</f>
        <v>4843568.7362388968</v>
      </c>
      <c r="G410" s="92">
        <f t="shared" si="41"/>
        <v>34244883.178881004</v>
      </c>
      <c r="I410" s="188">
        <v>43799</v>
      </c>
      <c r="J410" s="188">
        <v>43799</v>
      </c>
      <c r="K410" s="187">
        <f t="shared" si="44"/>
        <v>1</v>
      </c>
      <c r="L410" s="187"/>
      <c r="M410" s="186">
        <v>5.4199999999999998E-2</v>
      </c>
      <c r="N410" s="92">
        <f t="shared" si="43"/>
        <v>5085.13</v>
      </c>
      <c r="O410" s="92">
        <f t="shared" ref="O410:O434" si="45">IF(MONTH(+I410)&lt;&gt;MONTH(+I409),N410,+O409+N410)</f>
        <v>131696.04999999999</v>
      </c>
      <c r="P410" s="92">
        <f t="shared" si="40"/>
        <v>2108745.9099999969</v>
      </c>
    </row>
    <row r="411" spans="1:16" s="117" customFormat="1" x14ac:dyDescent="0.25">
      <c r="B411" s="117" t="s">
        <v>120</v>
      </c>
      <c r="C411" s="92"/>
      <c r="G411" s="92">
        <f t="shared" si="41"/>
        <v>34244883.178881004</v>
      </c>
      <c r="I411" s="188">
        <v>43800</v>
      </c>
      <c r="J411" s="188">
        <v>43829</v>
      </c>
      <c r="K411" s="187">
        <f t="shared" si="44"/>
        <v>30</v>
      </c>
      <c r="L411" s="187"/>
      <c r="M411" s="186">
        <v>5.4199999999999998E-2</v>
      </c>
      <c r="N411" s="92">
        <f t="shared" si="43"/>
        <v>152553.92000000001</v>
      </c>
      <c r="O411" s="92">
        <f t="shared" si="45"/>
        <v>152553.92000000001</v>
      </c>
      <c r="P411" s="92">
        <f t="shared" ref="P411:P434" si="46">P410+N411</f>
        <v>2261299.8299999968</v>
      </c>
    </row>
    <row r="412" spans="1:16" s="117" customFormat="1" x14ac:dyDescent="0.25">
      <c r="C412" s="92">
        <v>5218381.6948736459</v>
      </c>
      <c r="F412" s="92">
        <f>C412</f>
        <v>5218381.6948736459</v>
      </c>
      <c r="G412" s="92">
        <f t="shared" si="41"/>
        <v>39463264.87375465</v>
      </c>
      <c r="I412" s="188">
        <v>43830</v>
      </c>
      <c r="J412" s="188">
        <v>43830</v>
      </c>
      <c r="K412" s="187">
        <f t="shared" si="44"/>
        <v>1</v>
      </c>
      <c r="L412" s="187"/>
      <c r="M412" s="186">
        <v>5.4199999999999998E-2</v>
      </c>
      <c r="N412" s="92">
        <f t="shared" si="43"/>
        <v>5860.02</v>
      </c>
      <c r="O412" s="92">
        <f t="shared" si="45"/>
        <v>158413.94</v>
      </c>
      <c r="P412" s="92">
        <f t="shared" si="46"/>
        <v>2267159.8499999968</v>
      </c>
    </row>
    <row r="413" spans="1:16" s="117" customFormat="1" ht="18" customHeight="1" x14ac:dyDescent="0.25">
      <c r="A413" s="117" t="s">
        <v>164</v>
      </c>
      <c r="B413" s="117" t="s">
        <v>131</v>
      </c>
      <c r="G413" s="92">
        <f t="shared" si="41"/>
        <v>39463264.87375465</v>
      </c>
      <c r="I413" s="188">
        <v>43831</v>
      </c>
      <c r="J413" s="188">
        <v>43860</v>
      </c>
      <c r="K413" s="187">
        <f t="shared" si="44"/>
        <v>30</v>
      </c>
      <c r="L413" s="187"/>
      <c r="M413" s="186">
        <v>4.9599999999999998E-2</v>
      </c>
      <c r="N413" s="92">
        <f t="shared" si="43"/>
        <v>160880.38</v>
      </c>
      <c r="O413" s="92">
        <f t="shared" si="45"/>
        <v>160880.38</v>
      </c>
      <c r="P413" s="92">
        <f t="shared" si="46"/>
        <v>2428040.2299999967</v>
      </c>
    </row>
    <row r="414" spans="1:16" s="117" customFormat="1" ht="13.75" customHeight="1" x14ac:dyDescent="0.25">
      <c r="A414" s="190" t="s">
        <v>163</v>
      </c>
      <c r="C414" s="92">
        <v>0</v>
      </c>
      <c r="F414" s="92">
        <f>C414</f>
        <v>0</v>
      </c>
      <c r="G414" s="92">
        <f t="shared" si="41"/>
        <v>39463264.87375465</v>
      </c>
      <c r="I414" s="188">
        <v>43861</v>
      </c>
      <c r="J414" s="188">
        <v>43861</v>
      </c>
      <c r="K414" s="187">
        <f t="shared" si="44"/>
        <v>1</v>
      </c>
      <c r="L414" s="187"/>
      <c r="M414" s="186">
        <v>4.9599999999999998E-2</v>
      </c>
      <c r="N414" s="92">
        <f t="shared" si="43"/>
        <v>5362.68</v>
      </c>
      <c r="O414" s="92">
        <f t="shared" si="45"/>
        <v>166243.06</v>
      </c>
      <c r="P414" s="92">
        <f t="shared" si="46"/>
        <v>2433402.9099999969</v>
      </c>
    </row>
    <row r="415" spans="1:16" s="117" customFormat="1" x14ac:dyDescent="0.25">
      <c r="B415" s="117" t="s">
        <v>130</v>
      </c>
      <c r="C415" s="92"/>
      <c r="G415" s="92">
        <f t="shared" si="41"/>
        <v>39463264.87375465</v>
      </c>
      <c r="I415" s="188">
        <v>43862</v>
      </c>
      <c r="J415" s="188">
        <v>43889</v>
      </c>
      <c r="K415" s="187">
        <v>28</v>
      </c>
      <c r="L415" s="187"/>
      <c r="M415" s="186">
        <v>4.9599999999999998E-2</v>
      </c>
      <c r="N415" s="92">
        <f t="shared" si="43"/>
        <v>150155.01999999999</v>
      </c>
      <c r="O415" s="92">
        <f t="shared" si="45"/>
        <v>150155.01999999999</v>
      </c>
      <c r="P415" s="92">
        <f t="shared" si="46"/>
        <v>2583557.9299999969</v>
      </c>
    </row>
    <row r="416" spans="1:16" s="117" customFormat="1" x14ac:dyDescent="0.25">
      <c r="C416" s="92">
        <v>0</v>
      </c>
      <c r="F416" s="92">
        <f>C416</f>
        <v>0</v>
      </c>
      <c r="G416" s="92">
        <f t="shared" si="41"/>
        <v>39463264.87375465</v>
      </c>
      <c r="I416" s="188">
        <v>43890</v>
      </c>
      <c r="J416" s="188">
        <v>43890</v>
      </c>
      <c r="K416" s="187">
        <f t="shared" ref="K416:K434" si="47">+IF(+J416="","",+J416-(I416-1))</f>
        <v>1</v>
      </c>
      <c r="L416" s="187"/>
      <c r="M416" s="186">
        <v>4.9599999999999998E-2</v>
      </c>
      <c r="N416" s="92">
        <f t="shared" si="43"/>
        <v>5362.68</v>
      </c>
      <c r="O416" s="92">
        <f t="shared" si="45"/>
        <v>155517.69999999998</v>
      </c>
      <c r="P416" s="92">
        <f t="shared" si="46"/>
        <v>2588920.6099999971</v>
      </c>
    </row>
    <row r="417" spans="2:16" s="117" customFormat="1" x14ac:dyDescent="0.25">
      <c r="B417" s="117" t="s">
        <v>129</v>
      </c>
      <c r="C417" s="92"/>
      <c r="G417" s="92">
        <f t="shared" si="41"/>
        <v>39463264.87375465</v>
      </c>
      <c r="I417" s="188">
        <v>43891</v>
      </c>
      <c r="J417" s="188">
        <v>43920</v>
      </c>
      <c r="K417" s="187">
        <f t="shared" si="47"/>
        <v>30</v>
      </c>
      <c r="M417" s="186">
        <v>4.9599999999999998E-2</v>
      </c>
      <c r="N417" s="92">
        <f t="shared" si="43"/>
        <v>160880.38</v>
      </c>
      <c r="O417" s="92">
        <f t="shared" si="45"/>
        <v>160880.38</v>
      </c>
      <c r="P417" s="92">
        <f t="shared" si="46"/>
        <v>2749800.989999997</v>
      </c>
    </row>
    <row r="418" spans="2:16" s="117" customFormat="1" ht="14.25" customHeight="1" x14ac:dyDescent="0.25">
      <c r="C418" s="92">
        <v>4044973.1572788954</v>
      </c>
      <c r="F418" s="92">
        <f>C418</f>
        <v>4044973.1572788954</v>
      </c>
      <c r="G418" s="92">
        <f t="shared" si="41"/>
        <v>43508238.031033546</v>
      </c>
      <c r="I418" s="188">
        <v>43921</v>
      </c>
      <c r="J418" s="188">
        <v>43921</v>
      </c>
      <c r="K418" s="187">
        <f t="shared" si="47"/>
        <v>1</v>
      </c>
      <c r="M418" s="186">
        <v>4.9599999999999998E-2</v>
      </c>
      <c r="N418" s="92">
        <f t="shared" si="43"/>
        <v>5912.35</v>
      </c>
      <c r="O418" s="92">
        <f t="shared" si="45"/>
        <v>166792.73000000001</v>
      </c>
      <c r="P418" s="92">
        <f t="shared" si="46"/>
        <v>2755713.3399999971</v>
      </c>
    </row>
    <row r="419" spans="2:16" s="117" customFormat="1" ht="15.5" x14ac:dyDescent="0.35">
      <c r="B419" s="117" t="s">
        <v>128</v>
      </c>
      <c r="C419" s="92"/>
      <c r="G419" s="92">
        <f t="shared" si="41"/>
        <v>43508238.031033546</v>
      </c>
      <c r="I419" s="188">
        <v>43922</v>
      </c>
      <c r="J419" s="188">
        <v>43950</v>
      </c>
      <c r="K419" s="187">
        <f t="shared" si="47"/>
        <v>29</v>
      </c>
      <c r="L419" s="189"/>
      <c r="M419" s="186">
        <v>4.7500000000000001E-2</v>
      </c>
      <c r="N419" s="92">
        <f t="shared" si="43"/>
        <v>164198.9</v>
      </c>
      <c r="O419" s="92">
        <f t="shared" si="45"/>
        <v>164198.9</v>
      </c>
      <c r="P419" s="92">
        <f t="shared" si="46"/>
        <v>2919912.239999997</v>
      </c>
    </row>
    <row r="420" spans="2:16" s="117" customFormat="1" ht="15.5" x14ac:dyDescent="0.35">
      <c r="C420" s="92">
        <v>4123562.2552430183</v>
      </c>
      <c r="F420" s="92">
        <f>C420</f>
        <v>4123562.2552430183</v>
      </c>
      <c r="G420" s="92">
        <f t="shared" si="41"/>
        <v>47631800.286276564</v>
      </c>
      <c r="I420" s="188">
        <v>43951</v>
      </c>
      <c r="J420" s="188">
        <v>43951</v>
      </c>
      <c r="K420" s="187">
        <f t="shared" si="47"/>
        <v>1</v>
      </c>
      <c r="L420" s="189"/>
      <c r="M420" s="186">
        <v>4.7500000000000001E-2</v>
      </c>
      <c r="N420" s="92">
        <f t="shared" si="43"/>
        <v>6198.66</v>
      </c>
      <c r="O420" s="92">
        <f t="shared" si="45"/>
        <v>170397.56</v>
      </c>
      <c r="P420" s="92">
        <f t="shared" si="46"/>
        <v>2926110.8999999971</v>
      </c>
    </row>
    <row r="421" spans="2:16" s="117" customFormat="1" ht="15.5" x14ac:dyDescent="0.35">
      <c r="B421" s="117" t="s">
        <v>127</v>
      </c>
      <c r="C421" s="92"/>
      <c r="G421" s="92">
        <f t="shared" si="41"/>
        <v>47631800.286276564</v>
      </c>
      <c r="I421" s="188">
        <v>43952</v>
      </c>
      <c r="J421" s="188">
        <v>43981</v>
      </c>
      <c r="K421" s="187">
        <f t="shared" si="47"/>
        <v>30</v>
      </c>
      <c r="L421" s="189"/>
      <c r="M421" s="186">
        <v>4.7500000000000001E-2</v>
      </c>
      <c r="N421" s="92">
        <f t="shared" si="43"/>
        <v>185959.77</v>
      </c>
      <c r="O421" s="92">
        <f t="shared" si="45"/>
        <v>185959.77</v>
      </c>
      <c r="P421" s="92">
        <f t="shared" si="46"/>
        <v>3112070.6699999971</v>
      </c>
    </row>
    <row r="422" spans="2:16" s="117" customFormat="1" ht="15.5" x14ac:dyDescent="0.35">
      <c r="C422" s="92">
        <v>5424180.3395374343</v>
      </c>
      <c r="F422" s="92">
        <f>C422</f>
        <v>5424180.3395374343</v>
      </c>
      <c r="G422" s="92">
        <f t="shared" si="41"/>
        <v>53055980.625813998</v>
      </c>
      <c r="I422" s="188">
        <v>43982</v>
      </c>
      <c r="J422" s="188">
        <v>43982</v>
      </c>
      <c r="K422" s="187">
        <f t="shared" si="47"/>
        <v>1</v>
      </c>
      <c r="L422" s="189"/>
      <c r="M422" s="186">
        <v>4.7500000000000001E-2</v>
      </c>
      <c r="N422" s="92">
        <f t="shared" si="43"/>
        <v>6904.55</v>
      </c>
      <c r="O422" s="92">
        <f t="shared" si="45"/>
        <v>192864.31999999998</v>
      </c>
      <c r="P422" s="92">
        <f t="shared" si="46"/>
        <v>3118975.2199999969</v>
      </c>
    </row>
    <row r="423" spans="2:16" s="117" customFormat="1" ht="15.5" x14ac:dyDescent="0.35">
      <c r="B423" s="117" t="s">
        <v>126</v>
      </c>
      <c r="C423" s="92"/>
      <c r="G423" s="92">
        <f t="shared" si="41"/>
        <v>53055980.625813998</v>
      </c>
      <c r="I423" s="188">
        <v>43983</v>
      </c>
      <c r="J423" s="188">
        <v>44011</v>
      </c>
      <c r="K423" s="187">
        <f t="shared" si="47"/>
        <v>29</v>
      </c>
      <c r="L423" s="189"/>
      <c r="M423" s="186">
        <v>4.7500000000000001E-2</v>
      </c>
      <c r="N423" s="92">
        <f t="shared" si="43"/>
        <v>200231.82</v>
      </c>
      <c r="O423" s="92">
        <f t="shared" si="45"/>
        <v>200231.82</v>
      </c>
      <c r="P423" s="92">
        <f t="shared" si="46"/>
        <v>3319207.0399999968</v>
      </c>
    </row>
    <row r="424" spans="2:16" s="117" customFormat="1" ht="15.5" x14ac:dyDescent="0.35">
      <c r="C424" s="92">
        <v>5871829.8037184477</v>
      </c>
      <c r="F424" s="92">
        <f>C424</f>
        <v>5871829.8037184477</v>
      </c>
      <c r="G424" s="92">
        <f t="shared" si="41"/>
        <v>58927810.429532446</v>
      </c>
      <c r="I424" s="188">
        <v>44012</v>
      </c>
      <c r="J424" s="188">
        <v>44012</v>
      </c>
      <c r="K424" s="187">
        <f t="shared" si="47"/>
        <v>1</v>
      </c>
      <c r="L424" s="189"/>
      <c r="M424" s="186">
        <v>4.7500000000000001E-2</v>
      </c>
      <c r="N424" s="92">
        <f t="shared" si="43"/>
        <v>7668.69</v>
      </c>
      <c r="O424" s="92">
        <f t="shared" si="45"/>
        <v>207900.51</v>
      </c>
      <c r="P424" s="92">
        <f t="shared" si="46"/>
        <v>3326875.7299999967</v>
      </c>
    </row>
    <row r="425" spans="2:16" s="117" customFormat="1" ht="15.5" x14ac:dyDescent="0.35">
      <c r="B425" s="117" t="s">
        <v>125</v>
      </c>
      <c r="C425" s="92"/>
      <c r="G425" s="92">
        <f t="shared" si="41"/>
        <v>58927810.429532446</v>
      </c>
      <c r="I425" s="188">
        <v>44013</v>
      </c>
      <c r="J425" s="188">
        <v>44042</v>
      </c>
      <c r="K425" s="187">
        <f t="shared" si="47"/>
        <v>30</v>
      </c>
      <c r="L425" s="189"/>
      <c r="M425" s="186">
        <v>3.4299999999999997E-2</v>
      </c>
      <c r="N425" s="92">
        <f t="shared" si="43"/>
        <v>166127.99</v>
      </c>
      <c r="O425" s="92">
        <f t="shared" si="45"/>
        <v>166127.99</v>
      </c>
      <c r="P425" s="92">
        <f t="shared" si="46"/>
        <v>3493003.7199999969</v>
      </c>
    </row>
    <row r="426" spans="2:16" s="117" customFormat="1" ht="15.5" x14ac:dyDescent="0.35">
      <c r="C426" s="92">
        <v>298893.2355472073</v>
      </c>
      <c r="F426" s="92">
        <f>C426</f>
        <v>298893.2355472073</v>
      </c>
      <c r="G426" s="92">
        <f t="shared" ref="G426:G434" si="48">+G425+F426</f>
        <v>59226703.665079653</v>
      </c>
      <c r="I426" s="188">
        <v>44043</v>
      </c>
      <c r="J426" s="188">
        <v>44043</v>
      </c>
      <c r="K426" s="187">
        <f t="shared" si="47"/>
        <v>1</v>
      </c>
      <c r="L426" s="189"/>
      <c r="M426" s="186">
        <v>3.4299999999999997E-2</v>
      </c>
      <c r="N426" s="92">
        <f t="shared" si="43"/>
        <v>5565.69</v>
      </c>
      <c r="O426" s="92">
        <f t="shared" si="45"/>
        <v>171693.68</v>
      </c>
      <c r="P426" s="92">
        <f t="shared" si="46"/>
        <v>3498569.4099999969</v>
      </c>
    </row>
    <row r="427" spans="2:16" s="117" customFormat="1" ht="15.5" x14ac:dyDescent="0.35">
      <c r="B427" s="117" t="s">
        <v>124</v>
      </c>
      <c r="C427" s="92"/>
      <c r="G427" s="92">
        <f t="shared" si="48"/>
        <v>59226703.665079653</v>
      </c>
      <c r="I427" s="188">
        <v>44044</v>
      </c>
      <c r="J427" s="188">
        <v>44073</v>
      </c>
      <c r="K427" s="187">
        <f t="shared" si="47"/>
        <v>30</v>
      </c>
      <c r="L427" s="189"/>
      <c r="M427" s="186">
        <v>3.4299999999999997E-2</v>
      </c>
      <c r="N427" s="92">
        <f t="shared" si="43"/>
        <v>166970.62</v>
      </c>
      <c r="O427" s="92">
        <f t="shared" si="45"/>
        <v>166970.62</v>
      </c>
      <c r="P427" s="92">
        <f t="shared" si="46"/>
        <v>3665540.029999997</v>
      </c>
    </row>
    <row r="428" spans="2:16" s="117" customFormat="1" ht="15.5" x14ac:dyDescent="0.35">
      <c r="C428" s="92">
        <v>93680.189018860459</v>
      </c>
      <c r="F428" s="92">
        <f>C428</f>
        <v>93680.189018860459</v>
      </c>
      <c r="G428" s="92">
        <f t="shared" si="48"/>
        <v>59320383.854098514</v>
      </c>
      <c r="I428" s="188">
        <v>44074</v>
      </c>
      <c r="J428" s="188">
        <v>44074</v>
      </c>
      <c r="K428" s="187">
        <f t="shared" si="47"/>
        <v>1</v>
      </c>
      <c r="L428" s="189"/>
      <c r="M428" s="186">
        <v>3.4299999999999997E-2</v>
      </c>
      <c r="N428" s="92">
        <f t="shared" si="43"/>
        <v>5574.49</v>
      </c>
      <c r="O428" s="92">
        <f t="shared" si="45"/>
        <v>172545.11</v>
      </c>
      <c r="P428" s="92">
        <f t="shared" si="46"/>
        <v>3671114.5199999972</v>
      </c>
    </row>
    <row r="429" spans="2:16" s="117" customFormat="1" ht="15.5" x14ac:dyDescent="0.35">
      <c r="B429" s="117" t="s">
        <v>123</v>
      </c>
      <c r="C429" s="92"/>
      <c r="G429" s="92">
        <f t="shared" si="48"/>
        <v>59320383.854098514</v>
      </c>
      <c r="I429" s="188">
        <v>44075</v>
      </c>
      <c r="J429" s="188">
        <v>44103</v>
      </c>
      <c r="K429" s="187">
        <f t="shared" si="47"/>
        <v>29</v>
      </c>
      <c r="L429" s="189"/>
      <c r="M429" s="186">
        <v>3.4299999999999997E-2</v>
      </c>
      <c r="N429" s="92">
        <f t="shared" si="43"/>
        <v>161660.24</v>
      </c>
      <c r="O429" s="92">
        <f t="shared" si="45"/>
        <v>161660.24</v>
      </c>
      <c r="P429" s="92">
        <f t="shared" si="46"/>
        <v>3832774.759999997</v>
      </c>
    </row>
    <row r="430" spans="2:16" s="117" customFormat="1" ht="15.5" x14ac:dyDescent="0.35">
      <c r="C430" s="92">
        <v>1995631.9742398933</v>
      </c>
      <c r="F430" s="92">
        <f>C430</f>
        <v>1995631.9742398933</v>
      </c>
      <c r="G430" s="92">
        <f t="shared" si="48"/>
        <v>61316015.828338407</v>
      </c>
      <c r="I430" s="188">
        <v>44104</v>
      </c>
      <c r="J430" s="188">
        <v>44104</v>
      </c>
      <c r="K430" s="187">
        <f t="shared" si="47"/>
        <v>1</v>
      </c>
      <c r="L430" s="189"/>
      <c r="M430" s="186">
        <v>3.4299999999999997E-2</v>
      </c>
      <c r="N430" s="92">
        <f t="shared" si="43"/>
        <v>5762.03</v>
      </c>
      <c r="O430" s="92">
        <f t="shared" si="45"/>
        <v>167422.26999999999</v>
      </c>
      <c r="P430" s="92">
        <f t="shared" si="46"/>
        <v>3838536.7899999968</v>
      </c>
    </row>
    <row r="431" spans="2:16" s="117" customFormat="1" ht="15.5" x14ac:dyDescent="0.35">
      <c r="B431" s="117" t="s">
        <v>122</v>
      </c>
      <c r="C431" s="92"/>
      <c r="G431" s="92">
        <f t="shared" si="48"/>
        <v>61316015.828338407</v>
      </c>
      <c r="I431" s="188">
        <v>44105</v>
      </c>
      <c r="J431" s="188">
        <v>44134</v>
      </c>
      <c r="K431" s="187">
        <f t="shared" si="47"/>
        <v>30</v>
      </c>
      <c r="L431" s="189"/>
      <c r="M431" s="186">
        <v>3.2500000000000001E-2</v>
      </c>
      <c r="N431" s="92">
        <f t="shared" si="43"/>
        <v>163789.35999999999</v>
      </c>
      <c r="O431" s="92">
        <f t="shared" si="45"/>
        <v>163789.35999999999</v>
      </c>
      <c r="P431" s="92">
        <f t="shared" si="46"/>
        <v>4002326.1499999966</v>
      </c>
    </row>
    <row r="432" spans="2:16" s="117" customFormat="1" ht="15.5" x14ac:dyDescent="0.35">
      <c r="C432" s="92">
        <v>3297061.5907790065</v>
      </c>
      <c r="F432" s="92">
        <f>C432</f>
        <v>3297061.5907790065</v>
      </c>
      <c r="G432" s="92">
        <f t="shared" si="48"/>
        <v>64613077.419117413</v>
      </c>
      <c r="I432" s="188">
        <v>44135</v>
      </c>
      <c r="J432" s="188">
        <v>44135</v>
      </c>
      <c r="K432" s="187">
        <f t="shared" si="47"/>
        <v>1</v>
      </c>
      <c r="L432" s="189"/>
      <c r="M432" s="186">
        <v>3.2500000000000001E-2</v>
      </c>
      <c r="N432" s="92">
        <f t="shared" si="43"/>
        <v>5753.22</v>
      </c>
      <c r="O432" s="92">
        <f t="shared" si="45"/>
        <v>169542.58</v>
      </c>
      <c r="P432" s="92">
        <f t="shared" si="46"/>
        <v>4008079.3699999969</v>
      </c>
    </row>
    <row r="433" spans="1:16" s="117" customFormat="1" ht="15.5" x14ac:dyDescent="0.35">
      <c r="B433" s="117" t="s">
        <v>121</v>
      </c>
      <c r="C433" s="92"/>
      <c r="G433" s="92">
        <f t="shared" si="48"/>
        <v>64613077.419117413</v>
      </c>
      <c r="I433" s="188">
        <v>44136</v>
      </c>
      <c r="J433" s="188">
        <v>44164</v>
      </c>
      <c r="K433" s="187">
        <f t="shared" si="47"/>
        <v>29</v>
      </c>
      <c r="L433" s="189"/>
      <c r="M433" s="186">
        <v>3.2500000000000001E-2</v>
      </c>
      <c r="N433" s="92">
        <f t="shared" si="43"/>
        <v>166843.35999999999</v>
      </c>
      <c r="O433" s="92">
        <f t="shared" si="45"/>
        <v>166843.35999999999</v>
      </c>
      <c r="P433" s="92">
        <f t="shared" si="46"/>
        <v>4174922.7299999967</v>
      </c>
    </row>
    <row r="434" spans="1:16" s="117" customFormat="1" ht="15.5" x14ac:dyDescent="0.35">
      <c r="C434" s="92">
        <v>6477541.7287608758</v>
      </c>
      <c r="F434" s="92">
        <f>SUM(C434:E434)</f>
        <v>6477541.7287608758</v>
      </c>
      <c r="G434" s="92">
        <f t="shared" si="48"/>
        <v>71090619.147878289</v>
      </c>
      <c r="I434" s="188">
        <v>44165</v>
      </c>
      <c r="J434" s="188">
        <v>44165</v>
      </c>
      <c r="K434" s="187">
        <f t="shared" si="47"/>
        <v>1</v>
      </c>
      <c r="L434" s="189"/>
      <c r="M434" s="186">
        <v>3.2500000000000001E-2</v>
      </c>
      <c r="N434" s="92">
        <f t="shared" si="43"/>
        <v>6329.99</v>
      </c>
      <c r="O434" s="92">
        <f t="shared" si="45"/>
        <v>173173.34999999998</v>
      </c>
      <c r="P434" s="92">
        <f t="shared" si="46"/>
        <v>4181252.7199999969</v>
      </c>
    </row>
    <row r="435" spans="1:16" s="117" customFormat="1" ht="15.5" x14ac:dyDescent="0.35">
      <c r="A435" s="117" t="s">
        <v>160</v>
      </c>
      <c r="B435" s="117" t="s">
        <v>120</v>
      </c>
      <c r="C435" s="92"/>
      <c r="E435" s="92">
        <f>-G412</f>
        <v>-39463264.87375465</v>
      </c>
      <c r="F435" s="92">
        <f>SUM(C435:E435)</f>
        <v>-39463264.87375465</v>
      </c>
      <c r="G435" s="92">
        <f>E435</f>
        <v>-39463264.87375465</v>
      </c>
      <c r="I435" s="188">
        <v>44166</v>
      </c>
      <c r="J435" s="188">
        <v>44166</v>
      </c>
      <c r="K435" s="187"/>
      <c r="L435" s="189"/>
      <c r="M435" s="186"/>
      <c r="N435" s="92"/>
      <c r="O435" s="92"/>
      <c r="P435" s="92">
        <f>-'SEF-3 p 5 Interest'!P412</f>
        <v>-2267159.8499999968</v>
      </c>
    </row>
    <row r="436" spans="1:16" s="117" customFormat="1" x14ac:dyDescent="0.25">
      <c r="D436" s="65"/>
      <c r="E436" s="65"/>
      <c r="F436" s="92">
        <f>SUM(C436:E436)</f>
        <v>0</v>
      </c>
      <c r="G436" s="92">
        <f>+G434+E436+F436+G435</f>
        <v>31627354.274123639</v>
      </c>
      <c r="H436" s="65"/>
      <c r="I436" s="188">
        <v>44166</v>
      </c>
      <c r="J436" s="188">
        <v>44195</v>
      </c>
      <c r="K436" s="187">
        <f t="shared" ref="K436:K459" si="49">+IF(+J436="","",+J436-(I436-1))</f>
        <v>30</v>
      </c>
      <c r="L436" s="65"/>
      <c r="M436" s="186">
        <v>3.2500000000000001E-2</v>
      </c>
      <c r="N436" s="92">
        <f t="shared" ref="N436:N459" si="50">+IF(+K436&lt;&gt;" ", ROUND(M436*(K436/365)*G436,2),0)</f>
        <v>84484.03</v>
      </c>
      <c r="O436" s="92">
        <f>IF(MONTH(+I436)&lt;&gt;MONTH(+I434),N436,+O434+N436)</f>
        <v>84484.03</v>
      </c>
      <c r="P436" s="92">
        <f>P434+N436+P435</f>
        <v>1998576.9000000004</v>
      </c>
    </row>
    <row r="437" spans="1:16" s="117" customFormat="1" ht="13.5" customHeight="1" x14ac:dyDescent="0.25">
      <c r="C437" s="92">
        <v>12379439.185479701</v>
      </c>
      <c r="D437" s="65"/>
      <c r="E437" s="65"/>
      <c r="F437" s="92">
        <f>SUM(C437:E437)</f>
        <v>12379439.185479701</v>
      </c>
      <c r="G437" s="92">
        <f t="shared" ref="G437:G459" si="51">+G436+E437+F437</f>
        <v>44006793.459603339</v>
      </c>
      <c r="H437" s="65"/>
      <c r="I437" s="188">
        <v>44196</v>
      </c>
      <c r="J437" s="188">
        <v>44196</v>
      </c>
      <c r="K437" s="187">
        <f t="shared" si="49"/>
        <v>1</v>
      </c>
      <c r="L437" s="65"/>
      <c r="M437" s="186">
        <v>3.2500000000000001E-2</v>
      </c>
      <c r="N437" s="92">
        <f t="shared" si="50"/>
        <v>3918.41</v>
      </c>
      <c r="O437" s="92">
        <f t="shared" ref="O437:O459" si="52">IF(MONTH(+I437)&lt;&gt;MONTH(+I436),N437,+O436+N437)</f>
        <v>88402.44</v>
      </c>
      <c r="P437" s="92">
        <f t="shared" ref="P437:P459" si="53">P436+N437</f>
        <v>2002495.3100000003</v>
      </c>
    </row>
    <row r="438" spans="1:16" s="117" customFormat="1" ht="14.5" customHeight="1" x14ac:dyDescent="0.25">
      <c r="A438" s="117" t="s">
        <v>162</v>
      </c>
      <c r="B438" s="117" t="s">
        <v>131</v>
      </c>
      <c r="C438" s="92"/>
      <c r="F438" s="92"/>
      <c r="G438" s="92">
        <f t="shared" si="51"/>
        <v>44006793.459603339</v>
      </c>
      <c r="I438" s="188">
        <v>44197</v>
      </c>
      <c r="J438" s="188">
        <v>44226</v>
      </c>
      <c r="K438" s="187">
        <f t="shared" si="49"/>
        <v>30</v>
      </c>
      <c r="M438" s="186">
        <v>3.2500000000000001E-2</v>
      </c>
      <c r="N438" s="92">
        <f t="shared" si="50"/>
        <v>117552.39</v>
      </c>
      <c r="O438" s="92">
        <f t="shared" si="52"/>
        <v>117552.39</v>
      </c>
      <c r="P438" s="92">
        <f t="shared" si="53"/>
        <v>2120047.7000000002</v>
      </c>
    </row>
    <row r="439" spans="1:16" ht="14.5" customHeight="1" x14ac:dyDescent="0.25">
      <c r="A439" s="190" t="s">
        <v>161</v>
      </c>
      <c r="B439" s="117"/>
      <c r="C439" s="92">
        <v>0</v>
      </c>
      <c r="D439" s="117"/>
      <c r="E439" s="92"/>
      <c r="F439" s="92">
        <f>SUM(C439:E439)</f>
        <v>0</v>
      </c>
      <c r="G439" s="92">
        <f t="shared" si="51"/>
        <v>44006793.459603339</v>
      </c>
      <c r="H439" s="117"/>
      <c r="I439" s="188">
        <v>44227</v>
      </c>
      <c r="J439" s="188">
        <v>44227</v>
      </c>
      <c r="K439" s="187">
        <f t="shared" si="49"/>
        <v>1</v>
      </c>
      <c r="L439" s="117"/>
      <c r="M439" s="186">
        <v>3.2500000000000001E-2</v>
      </c>
      <c r="N439" s="92">
        <f t="shared" si="50"/>
        <v>3918.41</v>
      </c>
      <c r="O439" s="92">
        <f t="shared" si="52"/>
        <v>121470.8</v>
      </c>
      <c r="P439" s="92">
        <f t="shared" si="53"/>
        <v>2123966.1100000003</v>
      </c>
    </row>
    <row r="440" spans="1:16" ht="14.5" customHeight="1" x14ac:dyDescent="0.25">
      <c r="A440" s="117"/>
      <c r="B440" s="117" t="s">
        <v>130</v>
      </c>
      <c r="C440" s="92"/>
      <c r="D440" s="117"/>
      <c r="E440" s="92"/>
      <c r="F440" s="117"/>
      <c r="G440" s="92">
        <f t="shared" si="51"/>
        <v>44006793.459603339</v>
      </c>
      <c r="H440" s="117"/>
      <c r="I440" s="188">
        <v>44228</v>
      </c>
      <c r="J440" s="188">
        <v>44254</v>
      </c>
      <c r="K440" s="187">
        <f t="shared" si="49"/>
        <v>27</v>
      </c>
      <c r="L440" s="117"/>
      <c r="M440" s="186">
        <v>3.2500000000000001E-2</v>
      </c>
      <c r="N440" s="92">
        <f t="shared" si="50"/>
        <v>105797.15</v>
      </c>
      <c r="O440" s="92">
        <f t="shared" si="52"/>
        <v>105797.15</v>
      </c>
      <c r="P440" s="92">
        <f t="shared" si="53"/>
        <v>2229763.2600000002</v>
      </c>
    </row>
    <row r="441" spans="1:16" ht="14.5" customHeight="1" x14ac:dyDescent="0.25">
      <c r="A441" s="117"/>
      <c r="B441" s="117"/>
      <c r="C441" s="92">
        <v>0</v>
      </c>
      <c r="D441" s="117"/>
      <c r="E441" s="92"/>
      <c r="F441" s="92">
        <f>SUM(C441:E441)</f>
        <v>0</v>
      </c>
      <c r="G441" s="92">
        <f t="shared" si="51"/>
        <v>44006793.459603339</v>
      </c>
      <c r="H441" s="117"/>
      <c r="I441" s="188">
        <v>44255</v>
      </c>
      <c r="J441" s="188">
        <v>44255</v>
      </c>
      <c r="K441" s="187">
        <f t="shared" si="49"/>
        <v>1</v>
      </c>
      <c r="L441" s="117"/>
      <c r="M441" s="186">
        <v>3.2500000000000001E-2</v>
      </c>
      <c r="N441" s="92">
        <f t="shared" si="50"/>
        <v>3918.41</v>
      </c>
      <c r="O441" s="92">
        <f t="shared" si="52"/>
        <v>109715.56</v>
      </c>
      <c r="P441" s="92">
        <f t="shared" si="53"/>
        <v>2233681.6700000004</v>
      </c>
    </row>
    <row r="442" spans="1:16" ht="14.5" customHeight="1" x14ac:dyDescent="0.25">
      <c r="A442" s="117"/>
      <c r="B442" s="117" t="s">
        <v>129</v>
      </c>
      <c r="C442" s="92"/>
      <c r="D442" s="117"/>
      <c r="E442" s="92"/>
      <c r="F442" s="117"/>
      <c r="G442" s="92">
        <f t="shared" si="51"/>
        <v>44006793.459603339</v>
      </c>
      <c r="H442" s="117"/>
      <c r="I442" s="188">
        <v>44256</v>
      </c>
      <c r="J442" s="188">
        <v>44285</v>
      </c>
      <c r="K442" s="187">
        <f t="shared" si="49"/>
        <v>30</v>
      </c>
      <c r="L442" s="117"/>
      <c r="M442" s="186">
        <v>3.2500000000000001E-2</v>
      </c>
      <c r="N442" s="92">
        <f t="shared" si="50"/>
        <v>117552.39</v>
      </c>
      <c r="O442" s="92">
        <f t="shared" si="52"/>
        <v>117552.39</v>
      </c>
      <c r="P442" s="92">
        <f t="shared" si="53"/>
        <v>2351234.0600000005</v>
      </c>
    </row>
    <row r="443" spans="1:16" ht="14.5" customHeight="1" x14ac:dyDescent="0.25">
      <c r="A443" s="117"/>
      <c r="B443" s="117"/>
      <c r="C443" s="92">
        <v>0</v>
      </c>
      <c r="D443" s="117"/>
      <c r="E443" s="92"/>
      <c r="F443" s="92">
        <f>SUM(C443:E443)</f>
        <v>0</v>
      </c>
      <c r="G443" s="92">
        <f t="shared" si="51"/>
        <v>44006793.459603339</v>
      </c>
      <c r="H443" s="117"/>
      <c r="I443" s="188">
        <v>44286</v>
      </c>
      <c r="J443" s="188">
        <v>44286</v>
      </c>
      <c r="K443" s="187">
        <f t="shared" si="49"/>
        <v>1</v>
      </c>
      <c r="L443" s="117"/>
      <c r="M443" s="186">
        <v>3.2500000000000001E-2</v>
      </c>
      <c r="N443" s="92">
        <f t="shared" si="50"/>
        <v>3918.41</v>
      </c>
      <c r="O443" s="92">
        <f t="shared" si="52"/>
        <v>121470.8</v>
      </c>
      <c r="P443" s="92">
        <f t="shared" si="53"/>
        <v>2355152.4700000007</v>
      </c>
    </row>
    <row r="444" spans="1:16" ht="14.5" customHeight="1" x14ac:dyDescent="0.25">
      <c r="A444" s="117"/>
      <c r="B444" s="117" t="s">
        <v>128</v>
      </c>
      <c r="C444" s="92"/>
      <c r="D444" s="117"/>
      <c r="E444" s="92"/>
      <c r="F444" s="117"/>
      <c r="G444" s="92">
        <f t="shared" si="51"/>
        <v>44006793.459603339</v>
      </c>
      <c r="H444" s="117"/>
      <c r="I444" s="188">
        <v>44287</v>
      </c>
      <c r="J444" s="188">
        <v>44315</v>
      </c>
      <c r="K444" s="187">
        <f t="shared" si="49"/>
        <v>29</v>
      </c>
      <c r="L444" s="117"/>
      <c r="M444" s="186">
        <v>3.2500000000000001E-2</v>
      </c>
      <c r="N444" s="92">
        <f t="shared" si="50"/>
        <v>113633.98</v>
      </c>
      <c r="O444" s="92">
        <f t="shared" si="52"/>
        <v>113633.98</v>
      </c>
      <c r="P444" s="92">
        <f t="shared" si="53"/>
        <v>2468786.4500000007</v>
      </c>
    </row>
    <row r="445" spans="1:16" ht="14.5" customHeight="1" x14ac:dyDescent="0.25">
      <c r="A445" s="117"/>
      <c r="B445" s="117"/>
      <c r="C445" s="92">
        <v>0</v>
      </c>
      <c r="D445" s="117"/>
      <c r="E445" s="92"/>
      <c r="F445" s="92">
        <f>SUM(C445:E445)</f>
        <v>0</v>
      </c>
      <c r="G445" s="92">
        <f t="shared" si="51"/>
        <v>44006793.459603339</v>
      </c>
      <c r="H445" s="117"/>
      <c r="I445" s="188">
        <v>44316</v>
      </c>
      <c r="J445" s="188">
        <v>44316</v>
      </c>
      <c r="K445" s="187">
        <f t="shared" si="49"/>
        <v>1</v>
      </c>
      <c r="L445" s="117"/>
      <c r="M445" s="186">
        <v>3.2500000000000001E-2</v>
      </c>
      <c r="N445" s="92">
        <f t="shared" si="50"/>
        <v>3918.41</v>
      </c>
      <c r="O445" s="92">
        <f t="shared" si="52"/>
        <v>117552.39</v>
      </c>
      <c r="P445" s="92">
        <f t="shared" si="53"/>
        <v>2472704.8600000008</v>
      </c>
    </row>
    <row r="446" spans="1:16" ht="14.5" customHeight="1" x14ac:dyDescent="0.25">
      <c r="A446" s="117"/>
      <c r="B446" s="117" t="s">
        <v>127</v>
      </c>
      <c r="C446" s="92"/>
      <c r="D446" s="117"/>
      <c r="E446" s="92"/>
      <c r="F446" s="117"/>
      <c r="G446" s="92">
        <f t="shared" si="51"/>
        <v>44006793.459603339</v>
      </c>
      <c r="H446" s="117"/>
      <c r="I446" s="188">
        <v>44317</v>
      </c>
      <c r="J446" s="188">
        <v>44346</v>
      </c>
      <c r="K446" s="187">
        <f t="shared" si="49"/>
        <v>30</v>
      </c>
      <c r="L446" s="117"/>
      <c r="M446" s="186">
        <v>3.2500000000000001E-2</v>
      </c>
      <c r="N446" s="92">
        <f t="shared" si="50"/>
        <v>117552.39</v>
      </c>
      <c r="O446" s="92">
        <f t="shared" si="52"/>
        <v>117552.39</v>
      </c>
      <c r="P446" s="92">
        <f t="shared" si="53"/>
        <v>2590257.2500000009</v>
      </c>
    </row>
    <row r="447" spans="1:16" ht="14.5" customHeight="1" x14ac:dyDescent="0.25">
      <c r="A447" s="117"/>
      <c r="B447" s="117"/>
      <c r="C447" s="92">
        <v>78046.604887321591</v>
      </c>
      <c r="D447" s="117"/>
      <c r="E447" s="92"/>
      <c r="F447" s="92">
        <f>SUM(C447:E447)</f>
        <v>78046.604887321591</v>
      </c>
      <c r="G447" s="92">
        <f t="shared" si="51"/>
        <v>44084840.064490661</v>
      </c>
      <c r="H447" s="117"/>
      <c r="I447" s="188">
        <v>44347</v>
      </c>
      <c r="J447" s="188">
        <v>44347</v>
      </c>
      <c r="K447" s="187">
        <f t="shared" si="49"/>
        <v>1</v>
      </c>
      <c r="L447" s="117"/>
      <c r="M447" s="186">
        <v>3.2500000000000001E-2</v>
      </c>
      <c r="N447" s="92">
        <f t="shared" si="50"/>
        <v>3925.36</v>
      </c>
      <c r="O447" s="92">
        <f t="shared" si="52"/>
        <v>121477.75</v>
      </c>
      <c r="P447" s="92">
        <f t="shared" si="53"/>
        <v>2594182.6100000008</v>
      </c>
    </row>
    <row r="448" spans="1:16" ht="14.5" customHeight="1" x14ac:dyDescent="0.25">
      <c r="A448" s="117"/>
      <c r="B448" s="117" t="s">
        <v>126</v>
      </c>
      <c r="C448" s="92"/>
      <c r="D448" s="117"/>
      <c r="E448" s="92"/>
      <c r="F448" s="117"/>
      <c r="G448" s="92">
        <f t="shared" si="51"/>
        <v>44084840.064490661</v>
      </c>
      <c r="H448" s="117"/>
      <c r="I448" s="188">
        <v>44348</v>
      </c>
      <c r="J448" s="188">
        <v>44376</v>
      </c>
      <c r="K448" s="187">
        <f t="shared" si="49"/>
        <v>29</v>
      </c>
      <c r="L448" s="117"/>
      <c r="M448" s="186">
        <v>3.2500000000000001E-2</v>
      </c>
      <c r="N448" s="92">
        <f t="shared" si="50"/>
        <v>113835.51</v>
      </c>
      <c r="O448" s="92">
        <f t="shared" si="52"/>
        <v>113835.51</v>
      </c>
      <c r="P448" s="92">
        <f t="shared" si="53"/>
        <v>2708018.1200000006</v>
      </c>
    </row>
    <row r="449" spans="1:16" ht="14.5" customHeight="1" x14ac:dyDescent="0.25">
      <c r="A449" s="117"/>
      <c r="B449" s="117"/>
      <c r="C449" s="92">
        <v>6671817.602853477</v>
      </c>
      <c r="D449" s="117"/>
      <c r="E449" s="92"/>
      <c r="F449" s="92">
        <f>SUM(C449:E449)</f>
        <v>6671817.602853477</v>
      </c>
      <c r="G449" s="92">
        <f t="shared" si="51"/>
        <v>50756657.667344138</v>
      </c>
      <c r="H449" s="117"/>
      <c r="I449" s="188">
        <v>44377</v>
      </c>
      <c r="J449" s="188">
        <v>44377</v>
      </c>
      <c r="K449" s="187">
        <f t="shared" si="49"/>
        <v>1</v>
      </c>
      <c r="L449" s="117"/>
      <c r="M449" s="186">
        <v>3.2500000000000001E-2</v>
      </c>
      <c r="N449" s="92">
        <f t="shared" si="50"/>
        <v>4519.43</v>
      </c>
      <c r="O449" s="92">
        <f t="shared" si="52"/>
        <v>118354.94</v>
      </c>
      <c r="P449" s="92">
        <f t="shared" si="53"/>
        <v>2712537.5500000007</v>
      </c>
    </row>
    <row r="450" spans="1:16" ht="14.5" customHeight="1" x14ac:dyDescent="0.25">
      <c r="A450" s="117"/>
      <c r="B450" s="117" t="s">
        <v>125</v>
      </c>
      <c r="C450" s="92"/>
      <c r="D450" s="117"/>
      <c r="E450" s="92"/>
      <c r="F450" s="117"/>
      <c r="G450" s="92">
        <f t="shared" si="51"/>
        <v>50756657.667344138</v>
      </c>
      <c r="H450" s="117"/>
      <c r="I450" s="188">
        <v>44378</v>
      </c>
      <c r="J450" s="188">
        <v>44407</v>
      </c>
      <c r="K450" s="187">
        <f t="shared" si="49"/>
        <v>30</v>
      </c>
      <c r="L450" s="117"/>
      <c r="M450" s="186">
        <v>3.2500000000000001E-2</v>
      </c>
      <c r="N450" s="92">
        <f t="shared" si="50"/>
        <v>135582.85</v>
      </c>
      <c r="O450" s="92">
        <f t="shared" si="52"/>
        <v>135582.85</v>
      </c>
      <c r="P450" s="92">
        <f t="shared" si="53"/>
        <v>2848120.4000000008</v>
      </c>
    </row>
    <row r="451" spans="1:16" ht="14.5" customHeight="1" x14ac:dyDescent="0.25">
      <c r="A451" s="117"/>
      <c r="B451" s="117"/>
      <c r="C451" s="92">
        <v>17492115.32345672</v>
      </c>
      <c r="D451" s="117"/>
      <c r="E451" s="92"/>
      <c r="F451" s="92">
        <f>SUM(C451:E451)</f>
        <v>17492115.32345672</v>
      </c>
      <c r="G451" s="92">
        <f t="shared" si="51"/>
        <v>68248772.990800858</v>
      </c>
      <c r="H451" s="117"/>
      <c r="I451" s="188">
        <v>44408</v>
      </c>
      <c r="J451" s="188">
        <v>44408</v>
      </c>
      <c r="K451" s="187">
        <f t="shared" si="49"/>
        <v>1</v>
      </c>
      <c r="L451" s="117"/>
      <c r="M451" s="186">
        <v>3.2500000000000001E-2</v>
      </c>
      <c r="N451" s="92">
        <f t="shared" si="50"/>
        <v>6076.95</v>
      </c>
      <c r="O451" s="92">
        <f t="shared" si="52"/>
        <v>141659.80000000002</v>
      </c>
      <c r="P451" s="92">
        <f t="shared" si="53"/>
        <v>2854197.350000001</v>
      </c>
    </row>
    <row r="452" spans="1:16" ht="14.5" customHeight="1" x14ac:dyDescent="0.25">
      <c r="A452" s="117"/>
      <c r="B452" s="117" t="s">
        <v>124</v>
      </c>
      <c r="C452" s="92"/>
      <c r="D452" s="117"/>
      <c r="E452" s="92"/>
      <c r="F452" s="117"/>
      <c r="G452" s="92">
        <f t="shared" si="51"/>
        <v>68248772.990800858</v>
      </c>
      <c r="H452" s="117"/>
      <c r="I452" s="188">
        <v>44409</v>
      </c>
      <c r="J452" s="188">
        <v>44438</v>
      </c>
      <c r="K452" s="187">
        <f t="shared" si="49"/>
        <v>30</v>
      </c>
      <c r="L452" s="117"/>
      <c r="M452" s="186">
        <v>3.2500000000000001E-2</v>
      </c>
      <c r="N452" s="92">
        <f t="shared" si="50"/>
        <v>182308.37</v>
      </c>
      <c r="O452" s="92">
        <f t="shared" si="52"/>
        <v>182308.37</v>
      </c>
      <c r="P452" s="92">
        <f t="shared" si="53"/>
        <v>3036505.7200000011</v>
      </c>
    </row>
    <row r="453" spans="1:16" ht="14.5" customHeight="1" x14ac:dyDescent="0.25">
      <c r="A453" s="117"/>
      <c r="B453" s="117"/>
      <c r="C453" s="92">
        <v>1953640.5154785663</v>
      </c>
      <c r="D453" s="117"/>
      <c r="E453" s="92"/>
      <c r="F453" s="92">
        <f>SUM(C453:E453)</f>
        <v>1953640.5154785663</v>
      </c>
      <c r="G453" s="92">
        <f t="shared" si="51"/>
        <v>70202413.506279424</v>
      </c>
      <c r="H453" s="117"/>
      <c r="I453" s="188">
        <v>44439</v>
      </c>
      <c r="J453" s="188">
        <v>44439</v>
      </c>
      <c r="K453" s="187">
        <f t="shared" si="49"/>
        <v>1</v>
      </c>
      <c r="L453" s="117"/>
      <c r="M453" s="186">
        <v>3.2500000000000001E-2</v>
      </c>
      <c r="N453" s="92">
        <f t="shared" si="50"/>
        <v>6250.9</v>
      </c>
      <c r="O453" s="92">
        <f t="shared" si="52"/>
        <v>188559.27</v>
      </c>
      <c r="P453" s="92">
        <f t="shared" si="53"/>
        <v>3042756.620000001</v>
      </c>
    </row>
    <row r="454" spans="1:16" ht="14.5" customHeight="1" x14ac:dyDescent="0.25">
      <c r="A454" s="117"/>
      <c r="B454" s="117" t="s">
        <v>123</v>
      </c>
      <c r="C454" s="92"/>
      <c r="D454" s="117"/>
      <c r="E454" s="92"/>
      <c r="F454" s="117"/>
      <c r="G454" s="92">
        <f t="shared" si="51"/>
        <v>70202413.506279424</v>
      </c>
      <c r="H454" s="117"/>
      <c r="I454" s="188">
        <v>44440</v>
      </c>
      <c r="J454" s="188">
        <v>44468</v>
      </c>
      <c r="K454" s="187">
        <f t="shared" si="49"/>
        <v>29</v>
      </c>
      <c r="L454" s="117"/>
      <c r="M454" s="186">
        <v>3.2500000000000001E-2</v>
      </c>
      <c r="N454" s="92">
        <f t="shared" si="50"/>
        <v>181276.1</v>
      </c>
      <c r="O454" s="92">
        <f t="shared" si="52"/>
        <v>181276.1</v>
      </c>
      <c r="P454" s="92">
        <f t="shared" si="53"/>
        <v>3224032.7200000011</v>
      </c>
    </row>
    <row r="455" spans="1:16" ht="14.5" customHeight="1" x14ac:dyDescent="0.25">
      <c r="A455" s="117"/>
      <c r="B455" s="117"/>
      <c r="C455" s="92">
        <v>-5929637.3447478563</v>
      </c>
      <c r="D455" s="117"/>
      <c r="E455" s="92"/>
      <c r="F455" s="92">
        <f>SUM(C455:E455)</f>
        <v>-5929637.3447478563</v>
      </c>
      <c r="G455" s="92">
        <f t="shared" si="51"/>
        <v>64272776.161531568</v>
      </c>
      <c r="H455" s="117"/>
      <c r="I455" s="188">
        <v>44469</v>
      </c>
      <c r="J455" s="188">
        <v>44469</v>
      </c>
      <c r="K455" s="187">
        <f t="shared" si="49"/>
        <v>1</v>
      </c>
      <c r="L455" s="117"/>
      <c r="M455" s="186">
        <v>3.2500000000000001E-2</v>
      </c>
      <c r="N455" s="92">
        <f t="shared" si="50"/>
        <v>5722.92</v>
      </c>
      <c r="O455" s="92">
        <f t="shared" si="52"/>
        <v>186999.02000000002</v>
      </c>
      <c r="P455" s="92">
        <f t="shared" si="53"/>
        <v>3229755.6400000011</v>
      </c>
    </row>
    <row r="456" spans="1:16" ht="14.5" customHeight="1" x14ac:dyDescent="0.25">
      <c r="A456" s="117"/>
      <c r="B456" s="117" t="s">
        <v>122</v>
      </c>
      <c r="C456" s="92"/>
      <c r="D456" s="117"/>
      <c r="E456" s="92"/>
      <c r="F456" s="117"/>
      <c r="G456" s="92">
        <f t="shared" si="51"/>
        <v>64272776.161531568</v>
      </c>
      <c r="H456" s="117"/>
      <c r="I456" s="188">
        <v>44470</v>
      </c>
      <c r="J456" s="188">
        <v>44499</v>
      </c>
      <c r="K456" s="187">
        <f t="shared" si="49"/>
        <v>30</v>
      </c>
      <c r="L456" s="117"/>
      <c r="M456" s="186">
        <v>3.2500000000000001E-2</v>
      </c>
      <c r="N456" s="92">
        <f t="shared" si="50"/>
        <v>171687.55</v>
      </c>
      <c r="O456" s="92">
        <f t="shared" si="52"/>
        <v>171687.55</v>
      </c>
      <c r="P456" s="92">
        <f t="shared" si="53"/>
        <v>3401443.1900000009</v>
      </c>
    </row>
    <row r="457" spans="1:16" ht="14.5" customHeight="1" x14ac:dyDescent="0.25">
      <c r="A457" s="117"/>
      <c r="B457" s="117"/>
      <c r="C457" s="92">
        <v>3380567.3924371302</v>
      </c>
      <c r="D457" s="117"/>
      <c r="E457" s="92"/>
      <c r="F457" s="92">
        <f>SUM(C457:E457)</f>
        <v>3380567.3924371302</v>
      </c>
      <c r="G457" s="92">
        <f t="shared" si="51"/>
        <v>67653343.553968698</v>
      </c>
      <c r="H457" s="117"/>
      <c r="I457" s="188">
        <v>44500</v>
      </c>
      <c r="J457" s="188">
        <v>44500</v>
      </c>
      <c r="K457" s="187">
        <f t="shared" si="49"/>
        <v>1</v>
      </c>
      <c r="L457" s="117"/>
      <c r="M457" s="186">
        <v>3.2500000000000001E-2</v>
      </c>
      <c r="N457" s="92">
        <f t="shared" si="50"/>
        <v>6023.93</v>
      </c>
      <c r="O457" s="92">
        <f t="shared" si="52"/>
        <v>177711.47999999998</v>
      </c>
      <c r="P457" s="92">
        <f t="shared" si="53"/>
        <v>3407467.120000001</v>
      </c>
    </row>
    <row r="458" spans="1:16" ht="14.5" customHeight="1" x14ac:dyDescent="0.25">
      <c r="A458" s="117"/>
      <c r="B458" s="117" t="s">
        <v>121</v>
      </c>
      <c r="C458" s="92"/>
      <c r="D458" s="117"/>
      <c r="E458" s="92"/>
      <c r="F458" s="117"/>
      <c r="G458" s="92">
        <f t="shared" si="51"/>
        <v>67653343.553968698</v>
      </c>
      <c r="H458" s="117"/>
      <c r="I458" s="188">
        <v>44501</v>
      </c>
      <c r="J458" s="188">
        <v>44529</v>
      </c>
      <c r="K458" s="187">
        <f t="shared" si="49"/>
        <v>29</v>
      </c>
      <c r="L458" s="117"/>
      <c r="M458" s="186">
        <v>3.2500000000000001E-2</v>
      </c>
      <c r="N458" s="92">
        <f t="shared" si="50"/>
        <v>174693.91</v>
      </c>
      <c r="O458" s="92">
        <f t="shared" si="52"/>
        <v>174693.91</v>
      </c>
      <c r="P458" s="92">
        <f t="shared" si="53"/>
        <v>3582161.0300000012</v>
      </c>
    </row>
    <row r="459" spans="1:16" ht="14.5" customHeight="1" x14ac:dyDescent="0.25">
      <c r="A459" s="117"/>
      <c r="B459" s="117"/>
      <c r="C459" s="92">
        <v>1541500.6719859838</v>
      </c>
      <c r="D459" s="117"/>
      <c r="E459" s="92"/>
      <c r="F459" s="92">
        <f>SUM(C459:E459)</f>
        <v>1541500.6719859838</v>
      </c>
      <c r="G459" s="92">
        <f t="shared" si="51"/>
        <v>69194844.225954682</v>
      </c>
      <c r="H459" s="117"/>
      <c r="I459" s="188">
        <v>44530</v>
      </c>
      <c r="J459" s="188">
        <v>44530</v>
      </c>
      <c r="K459" s="187">
        <f t="shared" si="49"/>
        <v>1</v>
      </c>
      <c r="L459" s="117"/>
      <c r="M459" s="186">
        <v>3.2500000000000001E-2</v>
      </c>
      <c r="N459" s="92">
        <f t="shared" si="50"/>
        <v>6161.18</v>
      </c>
      <c r="O459" s="92">
        <f t="shared" si="52"/>
        <v>180855.09</v>
      </c>
      <c r="P459" s="92">
        <f t="shared" si="53"/>
        <v>3588322.2100000014</v>
      </c>
    </row>
    <row r="460" spans="1:16" s="117" customFormat="1" ht="15.5" x14ac:dyDescent="0.35">
      <c r="A460" s="117" t="s">
        <v>160</v>
      </c>
      <c r="B460" s="117" t="s">
        <v>120</v>
      </c>
      <c r="C460" s="92"/>
      <c r="E460" s="92">
        <f>-G437</f>
        <v>-44006793.459603339</v>
      </c>
      <c r="F460" s="92">
        <f>SUM(C460:E460)</f>
        <v>-44006793.459603339</v>
      </c>
      <c r="G460" s="92">
        <f>E460</f>
        <v>-44006793.459603339</v>
      </c>
      <c r="I460" s="188">
        <v>44531</v>
      </c>
      <c r="J460" s="188">
        <v>44531</v>
      </c>
      <c r="K460" s="187"/>
      <c r="L460" s="189"/>
      <c r="M460" s="186"/>
      <c r="N460" s="92"/>
      <c r="O460" s="92"/>
      <c r="P460" s="92">
        <f>-'SEF-3 p 5 Interest'!P437</f>
        <v>-2002495.3100000003</v>
      </c>
    </row>
    <row r="461" spans="1:16" ht="14.5" customHeight="1" x14ac:dyDescent="0.25">
      <c r="A461" s="117"/>
      <c r="B461" s="117"/>
      <c r="C461" s="92"/>
      <c r="D461" s="117"/>
      <c r="E461" s="117"/>
      <c r="F461" s="117"/>
      <c r="G461" s="92">
        <f>+G459+E461+F461+E460</f>
        <v>25188050.766351342</v>
      </c>
      <c r="H461" s="117"/>
      <c r="I461" s="188">
        <v>44531</v>
      </c>
      <c r="J461" s="188">
        <v>44560</v>
      </c>
      <c r="K461" s="187">
        <f>+IF(+J461="","",+J461-(I461-1))</f>
        <v>30</v>
      </c>
      <c r="L461" s="117"/>
      <c r="M461" s="186">
        <v>3.2500000000000001E-2</v>
      </c>
      <c r="N461" s="92">
        <f>+IF(+K461&lt;&gt;" ", ROUND(M461*(K461/365)*G461,2),0)</f>
        <v>67283.149999999994</v>
      </c>
      <c r="O461" s="92">
        <f>IF(MONTH(+I461)&lt;&gt;MONTH(+I459),N461,+O459+N461)</f>
        <v>67283.149999999994</v>
      </c>
      <c r="P461" s="92">
        <f>P459+N461+P460</f>
        <v>1653110.050000001</v>
      </c>
    </row>
    <row r="462" spans="1:16" ht="14.5" customHeight="1" x14ac:dyDescent="0.25">
      <c r="A462" s="117"/>
      <c r="B462" s="117"/>
      <c r="C462" s="92">
        <v>11513965.052861914</v>
      </c>
      <c r="D462" s="117"/>
      <c r="E462" s="117"/>
      <c r="F462" s="92">
        <f>SUM(C462:E462)</f>
        <v>11513965.052861914</v>
      </c>
      <c r="G462" s="92">
        <f>+G461+E462+F462</f>
        <v>36702015.819213256</v>
      </c>
      <c r="H462" s="117"/>
      <c r="I462" s="188">
        <v>44561</v>
      </c>
      <c r="J462" s="188">
        <v>44561</v>
      </c>
      <c r="K462" s="187">
        <f>+IF(+J462="","",+J462-(I462-1))</f>
        <v>1</v>
      </c>
      <c r="L462" s="117"/>
      <c r="M462" s="186">
        <v>3.2500000000000001E-2</v>
      </c>
      <c r="N462" s="92">
        <f>+IF(+K462&lt;&gt;" ", ROUND(M462*(K462/365)*G462,2),0)</f>
        <v>3267.99</v>
      </c>
      <c r="O462" s="92">
        <f>IF(MONTH(+I462)&lt;&gt;MONTH(+I461),N462,+O461+N462)</f>
        <v>70551.14</v>
      </c>
      <c r="P462" s="92">
        <f>P461+N462</f>
        <v>1656378.040000001</v>
      </c>
    </row>
    <row r="463" spans="1:16" ht="14.5" customHeight="1" x14ac:dyDescent="0.35">
      <c r="G463" s="92"/>
      <c r="N463" s="92"/>
      <c r="O463" s="185"/>
      <c r="P463" s="92"/>
    </row>
    <row r="466" ht="12.75" customHeight="1" x14ac:dyDescent="0.25"/>
    <row r="469" ht="12.75" customHeight="1" x14ac:dyDescent="0.25"/>
  </sheetData>
  <printOptions horizontalCentered="1"/>
  <pageMargins left="0.2" right="0" top="0.4" bottom="0.4" header="0.5" footer="0.2"/>
  <pageSetup scale="65" orientation="landscape" r:id="rId1"/>
  <headerFooter alignWithMargins="0">
    <oddFooter>&amp;R&amp;F &amp;A&amp;LPrepared By: Annette Moore &amp;D
&amp;"Times New Roman,Regular"&amp;8 156650783.1</oddFooter>
  </headerFooter>
  <customProperties>
    <customPr name="_pios_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62"/>
  <sheetViews>
    <sheetView zoomScaleNormal="100" workbookViewId="0">
      <pane xSplit="2" ySplit="13" topLeftCell="C20" activePane="bottomRight" state="frozen"/>
      <selection pane="topRight" activeCell="C1" sqref="C1"/>
      <selection pane="bottomLeft" activeCell="A14" sqref="A14"/>
      <selection pane="bottomRight" activeCell="M44" sqref="M44"/>
    </sheetView>
  </sheetViews>
  <sheetFormatPr defaultColWidth="9.26953125" defaultRowHeight="14.5" outlineLevelCol="1" x14ac:dyDescent="0.35"/>
  <cols>
    <col min="1" max="1" width="6.7265625" style="210" customWidth="1"/>
    <col min="2" max="2" width="55" style="210" customWidth="1"/>
    <col min="3" max="3" width="18.1796875" style="208" customWidth="1"/>
    <col min="4" max="4" width="15.7265625" style="208" customWidth="1"/>
    <col min="5" max="5" width="5.7265625" style="208" customWidth="1"/>
    <col min="6" max="7" width="15.7265625" style="208" customWidth="1"/>
    <col min="8" max="8" width="3.26953125" style="210" customWidth="1" outlineLevel="1"/>
    <col min="9" max="9" width="18.1796875" style="208" customWidth="1"/>
    <col min="10" max="10" width="15.7265625" style="208" customWidth="1"/>
    <col min="11" max="11" width="5.7265625" style="208" customWidth="1"/>
    <col min="12" max="13" width="15.7265625" style="208" customWidth="1"/>
    <col min="14" max="16384" width="9.26953125" style="210"/>
  </cols>
  <sheetData>
    <row r="1" spans="1:13" x14ac:dyDescent="0.35">
      <c r="A1" s="28" t="str">
        <f ca="1">MID(CELL("filename",A1),FIND("]",CELL("filename",A1))+1,255)</f>
        <v>SEF-3 p 6 Approved BLRs</v>
      </c>
      <c r="B1" s="207"/>
      <c r="G1" s="209"/>
      <c r="M1" s="211"/>
    </row>
    <row r="2" spans="1:13" ht="18.5" thickBot="1" x14ac:dyDescent="0.45">
      <c r="A2" s="212"/>
      <c r="B2" s="213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1:13" ht="19" thickBot="1" x14ac:dyDescent="0.5">
      <c r="A3" s="215"/>
      <c r="B3" s="216"/>
      <c r="C3" s="217" t="s">
        <v>215</v>
      </c>
      <c r="D3" s="218"/>
      <c r="E3" s="218"/>
      <c r="F3" s="218"/>
      <c r="G3" s="219"/>
      <c r="I3" s="217" t="s">
        <v>275</v>
      </c>
      <c r="J3" s="218"/>
      <c r="K3" s="218"/>
      <c r="L3" s="218"/>
      <c r="M3" s="219"/>
    </row>
    <row r="4" spans="1:13" ht="19" thickBot="1" x14ac:dyDescent="0.5">
      <c r="A4" s="220"/>
      <c r="B4" s="213"/>
      <c r="C4" s="221" t="s">
        <v>216</v>
      </c>
      <c r="D4" s="222"/>
      <c r="E4" s="222"/>
      <c r="F4" s="223"/>
      <c r="G4" s="224"/>
      <c r="H4" s="225"/>
      <c r="I4" s="221" t="s">
        <v>274</v>
      </c>
      <c r="J4" s="222"/>
      <c r="K4" s="222"/>
      <c r="L4" s="223"/>
      <c r="M4" s="224"/>
    </row>
    <row r="5" spans="1:13" ht="19" thickBot="1" x14ac:dyDescent="0.5">
      <c r="A5" s="226" t="s">
        <v>65</v>
      </c>
      <c r="B5" s="227"/>
      <c r="C5" s="231" t="s">
        <v>218</v>
      </c>
      <c r="D5" s="232"/>
      <c r="E5" s="232"/>
      <c r="F5" s="232"/>
      <c r="G5" s="233"/>
      <c r="I5" s="228"/>
      <c r="J5" s="229"/>
      <c r="K5" s="229"/>
      <c r="L5" s="229"/>
      <c r="M5" s="230"/>
    </row>
    <row r="6" spans="1:13" x14ac:dyDescent="0.35">
      <c r="A6" s="226">
        <v>3</v>
      </c>
      <c r="B6" s="234" t="s">
        <v>219</v>
      </c>
      <c r="C6" s="235">
        <v>148923662.89445901</v>
      </c>
      <c r="D6" s="236"/>
      <c r="E6" s="236"/>
      <c r="F6" s="236"/>
      <c r="G6" s="237"/>
      <c r="I6" s="235">
        <v>107627055.66724977</v>
      </c>
      <c r="J6" s="236"/>
      <c r="K6" s="236"/>
      <c r="L6" s="236"/>
      <c r="M6" s="237"/>
    </row>
    <row r="7" spans="1:13" x14ac:dyDescent="0.35">
      <c r="A7" s="226">
        <v>4</v>
      </c>
      <c r="B7" s="234" t="s">
        <v>220</v>
      </c>
      <c r="C7" s="238">
        <v>79202112.316321075</v>
      </c>
      <c r="D7" s="239"/>
      <c r="E7" s="239"/>
      <c r="F7" s="239"/>
      <c r="G7" s="237"/>
      <c r="I7" s="238">
        <v>79508404.960502923</v>
      </c>
      <c r="J7" s="239"/>
      <c r="K7" s="239"/>
      <c r="L7" s="239"/>
      <c r="M7" s="237"/>
    </row>
    <row r="8" spans="1:13" x14ac:dyDescent="0.35">
      <c r="A8" s="226">
        <v>5</v>
      </c>
      <c r="B8" s="234" t="s">
        <v>221</v>
      </c>
      <c r="C8" s="238">
        <v>1692468635.3914154</v>
      </c>
      <c r="D8" s="239"/>
      <c r="E8" s="239"/>
      <c r="F8" s="241"/>
      <c r="G8" s="237"/>
      <c r="I8" s="238">
        <v>1426278308.4180365</v>
      </c>
      <c r="J8" s="239"/>
      <c r="K8" s="239"/>
      <c r="L8" s="241"/>
      <c r="M8" s="237"/>
    </row>
    <row r="9" spans="1:13" x14ac:dyDescent="0.35">
      <c r="A9" s="226">
        <v>6</v>
      </c>
      <c r="B9" s="242"/>
      <c r="C9" s="243">
        <v>1920594410.6021955</v>
      </c>
      <c r="D9" s="244"/>
      <c r="E9" s="245"/>
      <c r="F9" s="246"/>
      <c r="G9" s="237"/>
      <c r="I9" s="243">
        <f>SUM(I6:I8)</f>
        <v>1613413769.0457892</v>
      </c>
      <c r="J9" s="244"/>
      <c r="K9" s="245"/>
      <c r="L9" s="246"/>
      <c r="M9" s="237"/>
    </row>
    <row r="10" spans="1:13" x14ac:dyDescent="0.35">
      <c r="A10" s="226">
        <v>7</v>
      </c>
      <c r="B10" s="234" t="s">
        <v>222</v>
      </c>
      <c r="C10" s="247">
        <v>6.8000000000000005E-2</v>
      </c>
      <c r="D10" s="248"/>
      <c r="E10" s="245"/>
      <c r="F10" s="249" t="s">
        <v>225</v>
      </c>
      <c r="G10" s="250" t="s">
        <v>226</v>
      </c>
      <c r="I10" s="247">
        <v>6.8000000000000005E-2</v>
      </c>
      <c r="J10" s="248"/>
      <c r="K10" s="245"/>
      <c r="L10" s="249" t="s">
        <v>225</v>
      </c>
      <c r="M10" s="250" t="s">
        <v>226</v>
      </c>
    </row>
    <row r="11" spans="1:13" x14ac:dyDescent="0.35">
      <c r="A11" s="226">
        <v>8</v>
      </c>
      <c r="B11" s="251"/>
      <c r="C11" s="252"/>
      <c r="D11" s="249" t="s">
        <v>227</v>
      </c>
      <c r="E11" s="249"/>
      <c r="F11" s="249" t="s">
        <v>228</v>
      </c>
      <c r="G11" s="250" t="s">
        <v>228</v>
      </c>
      <c r="I11" s="252"/>
      <c r="J11" s="249" t="s">
        <v>227</v>
      </c>
      <c r="K11" s="249"/>
      <c r="L11" s="249" t="s">
        <v>228</v>
      </c>
      <c r="M11" s="250" t="s">
        <v>228</v>
      </c>
    </row>
    <row r="12" spans="1:13" x14ac:dyDescent="0.35">
      <c r="A12" s="226">
        <v>9</v>
      </c>
      <c r="B12" s="253"/>
      <c r="C12" s="252"/>
      <c r="D12" s="249" t="s">
        <v>229</v>
      </c>
      <c r="E12" s="254"/>
      <c r="F12" s="254" t="s">
        <v>230</v>
      </c>
      <c r="G12" s="255" t="s">
        <v>231</v>
      </c>
      <c r="H12" s="256"/>
      <c r="I12" s="252"/>
      <c r="J12" s="249" t="s">
        <v>229</v>
      </c>
      <c r="K12" s="254"/>
      <c r="L12" s="254" t="s">
        <v>230</v>
      </c>
      <c r="M12" s="255" t="s">
        <v>231</v>
      </c>
    </row>
    <row r="13" spans="1:13" x14ac:dyDescent="0.35">
      <c r="A13" s="226" t="s">
        <v>232</v>
      </c>
      <c r="B13" s="234"/>
      <c r="C13" s="257" t="s">
        <v>233</v>
      </c>
      <c r="D13" s="249" t="s">
        <v>234</v>
      </c>
      <c r="E13" s="249" t="s">
        <v>235</v>
      </c>
      <c r="F13" s="254" t="s">
        <v>236</v>
      </c>
      <c r="G13" s="255" t="s">
        <v>237</v>
      </c>
      <c r="H13" s="256"/>
      <c r="I13" s="257" t="s">
        <v>233</v>
      </c>
      <c r="J13" s="249" t="s">
        <v>234</v>
      </c>
      <c r="K13" s="249" t="s">
        <v>235</v>
      </c>
      <c r="L13" s="254" t="s">
        <v>236</v>
      </c>
      <c r="M13" s="255" t="s">
        <v>237</v>
      </c>
    </row>
    <row r="14" spans="1:13" x14ac:dyDescent="0.35">
      <c r="A14" s="226">
        <v>10</v>
      </c>
      <c r="B14" s="234" t="s">
        <v>238</v>
      </c>
      <c r="C14" s="235">
        <v>12818745.666864827</v>
      </c>
      <c r="D14" s="258">
        <v>0.624</v>
      </c>
      <c r="E14" s="259" t="s">
        <v>239</v>
      </c>
      <c r="F14" s="260">
        <f>+C14</f>
        <v>12818745.666864827</v>
      </c>
      <c r="G14" s="261"/>
      <c r="H14" s="262"/>
      <c r="I14" s="235">
        <v>9264100.9941430185</v>
      </c>
      <c r="J14" s="300">
        <f>I14/$I$40</f>
        <v>0.47060563996997123</v>
      </c>
      <c r="K14" s="259" t="s">
        <v>239</v>
      </c>
      <c r="L14" s="260">
        <f>+I14</f>
        <v>9264100.9941430185</v>
      </c>
      <c r="M14" s="261"/>
    </row>
    <row r="15" spans="1:13" x14ac:dyDescent="0.35">
      <c r="A15" s="226" t="s">
        <v>240</v>
      </c>
      <c r="B15" s="234" t="s">
        <v>241</v>
      </c>
      <c r="C15" s="238">
        <v>3913502.79561463</v>
      </c>
      <c r="D15" s="258">
        <v>0.191</v>
      </c>
      <c r="E15" s="259" t="s">
        <v>242</v>
      </c>
      <c r="F15" s="239"/>
      <c r="G15" s="263">
        <f>+C15</f>
        <v>3913502.79561463</v>
      </c>
      <c r="H15" s="262"/>
      <c r="I15" s="238">
        <v>4163374.1001599999</v>
      </c>
      <c r="J15" s="300">
        <f t="shared" ref="J15:J35" si="0">I15/$I$40</f>
        <v>0.21149459986229854</v>
      </c>
      <c r="K15" s="259" t="s">
        <v>242</v>
      </c>
      <c r="L15" s="239"/>
      <c r="M15" s="263">
        <f>+I15</f>
        <v>4163374.1001599999</v>
      </c>
    </row>
    <row r="16" spans="1:13" x14ac:dyDescent="0.35">
      <c r="A16" s="226">
        <v>11</v>
      </c>
      <c r="B16" s="242" t="s">
        <v>243</v>
      </c>
      <c r="C16" s="264">
        <v>6817397.0095061176</v>
      </c>
      <c r="D16" s="258">
        <v>0.33200000000000002</v>
      </c>
      <c r="E16" s="259" t="s">
        <v>239</v>
      </c>
      <c r="F16" s="265">
        <f>+C16</f>
        <v>6817397.0095061176</v>
      </c>
      <c r="G16" s="240"/>
      <c r="H16" s="262"/>
      <c r="I16" s="264">
        <v>6843761.4396382263</v>
      </c>
      <c r="J16" s="300">
        <f t="shared" si="0"/>
        <v>0.34765518361025738</v>
      </c>
      <c r="K16" s="259" t="s">
        <v>239</v>
      </c>
      <c r="L16" s="265">
        <f>+I16</f>
        <v>6843761.4396382263</v>
      </c>
      <c r="M16" s="240"/>
    </row>
    <row r="17" spans="1:13" x14ac:dyDescent="0.35">
      <c r="A17" s="226">
        <v>12</v>
      </c>
      <c r="B17" s="242" t="s">
        <v>244</v>
      </c>
      <c r="C17" s="238">
        <v>145680844.56533703</v>
      </c>
      <c r="D17" s="258">
        <v>7.0940000000000003</v>
      </c>
      <c r="E17" s="259" t="s">
        <v>239</v>
      </c>
      <c r="F17" s="265">
        <f>+C17</f>
        <v>145680844.56533703</v>
      </c>
      <c r="G17" s="240"/>
      <c r="H17" s="262"/>
      <c r="I17" s="238">
        <v>122768259.4587677</v>
      </c>
      <c r="J17" s="300">
        <f t="shared" si="0"/>
        <v>6.2364859091151779</v>
      </c>
      <c r="K17" s="259" t="s">
        <v>239</v>
      </c>
      <c r="L17" s="265">
        <f>+I17</f>
        <v>122768259.4587677</v>
      </c>
      <c r="M17" s="240"/>
    </row>
    <row r="18" spans="1:13" x14ac:dyDescent="0.35">
      <c r="A18" s="226">
        <v>13</v>
      </c>
      <c r="B18" s="242" t="s">
        <v>245</v>
      </c>
      <c r="C18" s="238">
        <v>37089392.406405531</v>
      </c>
      <c r="D18" s="258">
        <v>1.806</v>
      </c>
      <c r="E18" s="259" t="s">
        <v>242</v>
      </c>
      <c r="F18" s="239"/>
      <c r="G18" s="263">
        <f>+C18</f>
        <v>37089392.406405531</v>
      </c>
      <c r="H18" s="262"/>
      <c r="I18" s="238">
        <v>42456952.472225137</v>
      </c>
      <c r="J18" s="300">
        <f t="shared" si="0"/>
        <v>2.1567641913660367</v>
      </c>
      <c r="K18" s="259" t="s">
        <v>242</v>
      </c>
      <c r="L18" s="239"/>
      <c r="M18" s="263">
        <f>+I18</f>
        <v>42456952.472225137</v>
      </c>
    </row>
    <row r="19" spans="1:13" x14ac:dyDescent="0.35">
      <c r="A19" s="226">
        <v>14</v>
      </c>
      <c r="B19" s="242" t="s">
        <v>246</v>
      </c>
      <c r="C19" s="238">
        <v>468639005.35613108</v>
      </c>
      <c r="D19" s="258">
        <v>22.821000000000002</v>
      </c>
      <c r="E19" s="259" t="s">
        <v>242</v>
      </c>
      <c r="F19" s="239"/>
      <c r="G19" s="263">
        <f>+C19</f>
        <v>468639005.35613108</v>
      </c>
      <c r="H19" s="262"/>
      <c r="I19" s="238">
        <v>536815243.74639302</v>
      </c>
      <c r="J19" s="300">
        <f t="shared" si="0"/>
        <v>27.26959491143554</v>
      </c>
      <c r="K19" s="259" t="s">
        <v>242</v>
      </c>
      <c r="L19" s="239"/>
      <c r="M19" s="263">
        <f>+I19</f>
        <v>536815243.74639302</v>
      </c>
    </row>
    <row r="20" spans="1:13" x14ac:dyDescent="0.35">
      <c r="A20" s="226">
        <v>15</v>
      </c>
      <c r="B20" s="242" t="s">
        <v>247</v>
      </c>
      <c r="C20" s="238">
        <v>8072158.7332714284</v>
      </c>
      <c r="D20" s="258">
        <v>0.39300000000000002</v>
      </c>
      <c r="E20" s="259" t="s">
        <v>239</v>
      </c>
      <c r="F20" s="265">
        <f>+C20</f>
        <v>8072158.7332714284</v>
      </c>
      <c r="G20" s="240"/>
      <c r="H20" s="262"/>
      <c r="I20" s="238">
        <v>11934985.780000001</v>
      </c>
      <c r="J20" s="300">
        <f t="shared" si="0"/>
        <v>0.60628350495967154</v>
      </c>
      <c r="K20" s="259" t="s">
        <v>239</v>
      </c>
      <c r="L20" s="265">
        <f>+I20</f>
        <v>11934985.780000001</v>
      </c>
      <c r="M20" s="240"/>
    </row>
    <row r="21" spans="1:13" x14ac:dyDescent="0.35">
      <c r="A21" s="226" t="s">
        <v>248</v>
      </c>
      <c r="B21" s="266" t="s">
        <v>249</v>
      </c>
      <c r="C21" s="238">
        <v>8840460.579817621</v>
      </c>
      <c r="D21" s="258">
        <v>0.43</v>
      </c>
      <c r="E21" s="259" t="s">
        <v>239</v>
      </c>
      <c r="F21" s="265">
        <f>+C21</f>
        <v>8840460.579817621</v>
      </c>
      <c r="G21" s="240"/>
      <c r="H21" s="262"/>
      <c r="I21" s="238">
        <v>7746401.1699999999</v>
      </c>
      <c r="J21" s="300">
        <f t="shared" si="0"/>
        <v>0.39350824028977605</v>
      </c>
      <c r="K21" s="259" t="s">
        <v>239</v>
      </c>
      <c r="L21" s="265">
        <f>+I21</f>
        <v>7746401.1699999999</v>
      </c>
      <c r="M21" s="240"/>
    </row>
    <row r="22" spans="1:13" x14ac:dyDescent="0.35">
      <c r="A22" s="226" t="s">
        <v>250</v>
      </c>
      <c r="B22" s="266" t="s">
        <v>251</v>
      </c>
      <c r="C22" s="238">
        <v>3895439.2738404199</v>
      </c>
      <c r="D22" s="258">
        <v>0.19</v>
      </c>
      <c r="E22" s="259" t="s">
        <v>239</v>
      </c>
      <c r="F22" s="265">
        <f>+C22</f>
        <v>3895439.2738404199</v>
      </c>
      <c r="G22" s="240"/>
      <c r="H22" s="262"/>
      <c r="I22" s="238">
        <v>3609732</v>
      </c>
      <c r="J22" s="300">
        <f t="shared" si="0"/>
        <v>0.18337022006280806</v>
      </c>
      <c r="K22" s="259" t="s">
        <v>239</v>
      </c>
      <c r="L22" s="265">
        <f>+I22</f>
        <v>3609732</v>
      </c>
      <c r="M22" s="240"/>
    </row>
    <row r="23" spans="1:13" x14ac:dyDescent="0.35">
      <c r="A23" s="226" t="s">
        <v>252</v>
      </c>
      <c r="B23" s="266" t="s">
        <v>77</v>
      </c>
      <c r="C23" s="238">
        <v>766379.13641918893</v>
      </c>
      <c r="D23" s="258">
        <v>3.6999999999999998E-2</v>
      </c>
      <c r="E23" s="259" t="s">
        <v>242</v>
      </c>
      <c r="F23" s="239"/>
      <c r="G23" s="263">
        <f>+C23</f>
        <v>766379.13641918893</v>
      </c>
      <c r="H23" s="262"/>
      <c r="I23" s="238">
        <v>821446.06780172628</v>
      </c>
      <c r="J23" s="300">
        <f t="shared" si="0"/>
        <v>4.1728512316850916E-2</v>
      </c>
      <c r="K23" s="259" t="s">
        <v>242</v>
      </c>
      <c r="L23" s="239"/>
      <c r="M23" s="263">
        <f>+I23</f>
        <v>821446.06780172628</v>
      </c>
    </row>
    <row r="24" spans="1:13" x14ac:dyDescent="0.35">
      <c r="A24" s="226" t="s">
        <v>253</v>
      </c>
      <c r="B24" s="266" t="s">
        <v>254</v>
      </c>
      <c r="C24" s="238">
        <v>1989467.6013443223</v>
      </c>
      <c r="D24" s="258">
        <v>9.7000000000000003E-2</v>
      </c>
      <c r="E24" s="259" t="s">
        <v>239</v>
      </c>
      <c r="F24" s="265">
        <f>+C24</f>
        <v>1989467.6013443223</v>
      </c>
      <c r="G24" s="240"/>
      <c r="H24" s="262"/>
      <c r="I24" s="238">
        <v>2154161.64</v>
      </c>
      <c r="J24" s="300">
        <f t="shared" si="0"/>
        <v>0.1094289254652865</v>
      </c>
      <c r="K24" s="259" t="s">
        <v>239</v>
      </c>
      <c r="L24" s="265">
        <f>+I24</f>
        <v>2154161.64</v>
      </c>
      <c r="M24" s="240"/>
    </row>
    <row r="25" spans="1:13" x14ac:dyDescent="0.35">
      <c r="A25" s="226" t="s">
        <v>255</v>
      </c>
      <c r="B25" s="266" t="s">
        <v>256</v>
      </c>
      <c r="C25" s="238">
        <v>426928.32671306725</v>
      </c>
      <c r="D25" s="258">
        <v>2.1000000000000001E-2</v>
      </c>
      <c r="E25" s="259" t="s">
        <v>242</v>
      </c>
      <c r="F25" s="239"/>
      <c r="G25" s="263">
        <f>+C25</f>
        <v>426928.32671306725</v>
      </c>
      <c r="H25" s="262"/>
      <c r="I25" s="238">
        <v>497854.02572839998</v>
      </c>
      <c r="J25" s="300">
        <f t="shared" si="0"/>
        <v>2.5290409996357517E-2</v>
      </c>
      <c r="K25" s="259" t="s">
        <v>242</v>
      </c>
      <c r="L25" s="239"/>
      <c r="M25" s="263">
        <f>+I25</f>
        <v>497854.02572839998</v>
      </c>
    </row>
    <row r="26" spans="1:13" x14ac:dyDescent="0.35">
      <c r="A26" s="226">
        <v>16</v>
      </c>
      <c r="B26" s="242" t="s">
        <v>257</v>
      </c>
      <c r="C26" s="238">
        <v>126925932.5832969</v>
      </c>
      <c r="D26" s="258">
        <v>6.181</v>
      </c>
      <c r="E26" s="259" t="s">
        <v>242</v>
      </c>
      <c r="F26" s="239"/>
      <c r="G26" s="263">
        <f>+C26</f>
        <v>126925932.5832969</v>
      </c>
      <c r="H26" s="262"/>
      <c r="I26" s="238">
        <v>157812663.18126956</v>
      </c>
      <c r="J26" s="300">
        <f t="shared" si="0"/>
        <v>8.0167011778844532</v>
      </c>
      <c r="K26" s="259" t="s">
        <v>242</v>
      </c>
      <c r="L26" s="239"/>
      <c r="M26" s="263">
        <f>+I26</f>
        <v>157812663.18126956</v>
      </c>
    </row>
    <row r="27" spans="1:13" x14ac:dyDescent="0.35">
      <c r="A27" s="226">
        <v>17</v>
      </c>
      <c r="B27" s="242" t="s">
        <v>258</v>
      </c>
      <c r="C27" s="238">
        <v>112486392.77130413</v>
      </c>
      <c r="D27" s="258">
        <v>5.4779999999999998</v>
      </c>
      <c r="E27" s="259" t="s">
        <v>242</v>
      </c>
      <c r="F27" s="239"/>
      <c r="G27" s="263">
        <f>+C27</f>
        <v>112486392.77130413</v>
      </c>
      <c r="H27" s="262"/>
      <c r="I27" s="238">
        <v>130426363.52642131</v>
      </c>
      <c r="J27" s="300">
        <f t="shared" si="0"/>
        <v>6.6255087584983254</v>
      </c>
      <c r="K27" s="259" t="s">
        <v>242</v>
      </c>
      <c r="L27" s="239"/>
      <c r="M27" s="263">
        <f>+I27</f>
        <v>130426363.52642131</v>
      </c>
    </row>
    <row r="28" spans="1:13" x14ac:dyDescent="0.35">
      <c r="A28" s="226">
        <v>18</v>
      </c>
      <c r="B28" s="242" t="s">
        <v>259</v>
      </c>
      <c r="C28" s="238">
        <v>-8666881.7085096519</v>
      </c>
      <c r="D28" s="258">
        <v>-0.42199999999999999</v>
      </c>
      <c r="E28" s="259" t="s">
        <v>239</v>
      </c>
      <c r="F28" s="265">
        <f>+C28</f>
        <v>-8666881.7085096519</v>
      </c>
      <c r="G28" s="240"/>
      <c r="H28" s="262"/>
      <c r="I28" s="238">
        <v>-6515420.6045234576</v>
      </c>
      <c r="J28" s="300">
        <f t="shared" si="0"/>
        <v>-0.33097584808324287</v>
      </c>
      <c r="K28" s="259" t="s">
        <v>239</v>
      </c>
      <c r="L28" s="265">
        <f>+I28</f>
        <v>-6515420.6045234576</v>
      </c>
      <c r="M28" s="240"/>
    </row>
    <row r="29" spans="1:13" x14ac:dyDescent="0.35">
      <c r="A29" s="226">
        <v>19</v>
      </c>
      <c r="B29" s="242" t="s">
        <v>260</v>
      </c>
      <c r="C29" s="238">
        <v>108205898.55701637</v>
      </c>
      <c r="D29" s="258">
        <v>5.2690000000000001</v>
      </c>
      <c r="E29" s="259" t="s">
        <v>239</v>
      </c>
      <c r="F29" s="265">
        <f>+C29</f>
        <v>108205898.55701637</v>
      </c>
      <c r="G29" s="240"/>
      <c r="H29" s="262"/>
      <c r="I29" s="238">
        <v>104512201.44835339</v>
      </c>
      <c r="J29" s="300">
        <f t="shared" si="0"/>
        <v>5.3090992292040209</v>
      </c>
      <c r="K29" s="259" t="s">
        <v>239</v>
      </c>
      <c r="L29" s="265">
        <f>+I29</f>
        <v>104512201.44835339</v>
      </c>
      <c r="M29" s="240"/>
    </row>
    <row r="30" spans="1:13" x14ac:dyDescent="0.35">
      <c r="A30" s="226">
        <v>20</v>
      </c>
      <c r="B30" s="242" t="s">
        <v>261</v>
      </c>
      <c r="C30" s="238">
        <v>-9043639.2224400043</v>
      </c>
      <c r="D30" s="258">
        <v>-0.44</v>
      </c>
      <c r="E30" s="259" t="s">
        <v>242</v>
      </c>
      <c r="F30" s="239"/>
      <c r="G30" s="263">
        <f>+C30</f>
        <v>-9043639.2224400043</v>
      </c>
      <c r="H30" s="262"/>
      <c r="I30" s="238">
        <v>-46984140.979123831</v>
      </c>
      <c r="J30" s="300">
        <f t="shared" si="0"/>
        <v>-2.3867401432582627</v>
      </c>
      <c r="K30" s="259" t="s">
        <v>242</v>
      </c>
      <c r="L30" s="239"/>
      <c r="M30" s="263">
        <f>+I30</f>
        <v>-46984140.979123831</v>
      </c>
    </row>
    <row r="31" spans="1:13" x14ac:dyDescent="0.35">
      <c r="A31" s="267">
        <v>21</v>
      </c>
      <c r="B31" s="268" t="s">
        <v>262</v>
      </c>
      <c r="C31" s="238">
        <v>-27552250.181711692</v>
      </c>
      <c r="D31" s="258">
        <v>-1.3420000000000001</v>
      </c>
      <c r="E31" s="259" t="s">
        <v>242</v>
      </c>
      <c r="F31" s="239"/>
      <c r="G31" s="263">
        <f>+C31</f>
        <v>-27552250.181711692</v>
      </c>
      <c r="H31" s="262"/>
      <c r="I31" s="238">
        <v>-58610357.76504492</v>
      </c>
      <c r="J31" s="300">
        <f t="shared" si="0"/>
        <v>-2.9773385396301437</v>
      </c>
      <c r="K31" s="259" t="s">
        <v>242</v>
      </c>
      <c r="L31" s="239"/>
      <c r="M31" s="263">
        <f>+I31</f>
        <v>-58610357.76504492</v>
      </c>
    </row>
    <row r="32" spans="1:13" x14ac:dyDescent="0.35">
      <c r="A32" s="226">
        <v>22</v>
      </c>
      <c r="B32" s="242" t="s">
        <v>263</v>
      </c>
      <c r="C32" s="238">
        <v>876514.03</v>
      </c>
      <c r="D32" s="258">
        <v>4.2999999999999997E-2</v>
      </c>
      <c r="E32" s="259" t="s">
        <v>239</v>
      </c>
      <c r="F32" s="265">
        <f>+C32</f>
        <v>876514.03</v>
      </c>
      <c r="G32" s="240"/>
      <c r="H32" s="262"/>
      <c r="I32" s="238">
        <v>728609.68</v>
      </c>
      <c r="J32" s="300">
        <f t="shared" si="0"/>
        <v>3.7012530947309157E-2</v>
      </c>
      <c r="K32" s="259" t="s">
        <v>239</v>
      </c>
      <c r="L32" s="265">
        <f>+I32</f>
        <v>728609.68</v>
      </c>
      <c r="M32" s="240"/>
    </row>
    <row r="33" spans="1:13" x14ac:dyDescent="0.35">
      <c r="A33" s="226">
        <v>23</v>
      </c>
      <c r="B33" s="269" t="s">
        <v>264</v>
      </c>
      <c r="C33" s="238">
        <v>155106180.2892209</v>
      </c>
      <c r="D33" s="258">
        <v>7.5529999999999999</v>
      </c>
      <c r="E33" s="259" t="s">
        <v>239</v>
      </c>
      <c r="F33" s="265">
        <f>+C33</f>
        <v>155106180.2892209</v>
      </c>
      <c r="G33" s="240"/>
      <c r="H33" s="262"/>
      <c r="I33" s="238">
        <v>159249408.54267809</v>
      </c>
      <c r="J33" s="300">
        <f t="shared" si="0"/>
        <v>8.08968618427709</v>
      </c>
      <c r="K33" s="259" t="s">
        <v>239</v>
      </c>
      <c r="L33" s="265">
        <f>+I33</f>
        <v>159249408.54267809</v>
      </c>
      <c r="M33" s="240"/>
    </row>
    <row r="34" spans="1:13" x14ac:dyDescent="0.35">
      <c r="A34" s="226">
        <v>24</v>
      </c>
      <c r="B34" s="227" t="s">
        <v>265</v>
      </c>
      <c r="C34" s="238">
        <v>3531950.8300239993</v>
      </c>
      <c r="D34" s="258">
        <v>0.17199999999999999</v>
      </c>
      <c r="E34" s="259" t="s">
        <v>239</v>
      </c>
      <c r="F34" s="265">
        <f>+C34</f>
        <v>3531950.8300239993</v>
      </c>
      <c r="G34" s="240"/>
      <c r="H34" s="262"/>
      <c r="I34" s="238">
        <v>3681678.9550089934</v>
      </c>
      <c r="J34" s="300">
        <f t="shared" si="0"/>
        <v>0.18702504235234316</v>
      </c>
      <c r="K34" s="259" t="s">
        <v>239</v>
      </c>
      <c r="L34" s="265">
        <f>+I34</f>
        <v>3681678.9550089934</v>
      </c>
      <c r="M34" s="240"/>
    </row>
    <row r="35" spans="1:13" x14ac:dyDescent="0.35">
      <c r="A35" s="226">
        <f t="shared" ref="A35:A46" si="1">+A34+1</f>
        <v>25</v>
      </c>
      <c r="B35" s="227" t="s">
        <v>305</v>
      </c>
      <c r="C35" s="238">
        <v>8031923.03318753</v>
      </c>
      <c r="D35" s="258">
        <v>0.39100000000000001</v>
      </c>
      <c r="E35" s="259" t="s">
        <v>239</v>
      </c>
      <c r="F35" s="265">
        <f>+C35</f>
        <v>8031923.03318753</v>
      </c>
      <c r="G35" s="240"/>
      <c r="H35" s="262"/>
      <c r="I35" s="238">
        <v>4185186.7148175016</v>
      </c>
      <c r="J35" s="300">
        <f t="shared" si="0"/>
        <v>0.21260265551570753</v>
      </c>
      <c r="K35" s="259" t="s">
        <v>239</v>
      </c>
      <c r="L35" s="265">
        <f>+I35</f>
        <v>4185186.7148175016</v>
      </c>
      <c r="M35" s="240"/>
    </row>
    <row r="36" spans="1:13" x14ac:dyDescent="0.35">
      <c r="A36" s="226">
        <f t="shared" si="1"/>
        <v>26</v>
      </c>
      <c r="B36" s="270" t="s">
        <v>266</v>
      </c>
      <c r="C36" s="271"/>
      <c r="D36" s="272"/>
      <c r="E36" s="259"/>
      <c r="F36" s="272"/>
      <c r="G36" s="273"/>
      <c r="H36" s="262"/>
      <c r="I36" s="271"/>
      <c r="J36" s="272"/>
      <c r="K36" s="259"/>
      <c r="L36" s="272"/>
      <c r="M36" s="273"/>
    </row>
    <row r="37" spans="1:13" x14ac:dyDescent="0.35">
      <c r="A37" s="226">
        <f t="shared" si="1"/>
        <v>27</v>
      </c>
      <c r="B37" s="274" t="s">
        <v>267</v>
      </c>
      <c r="C37" s="275">
        <f>SUM(C14:C36)</f>
        <v>1168851742.4326539</v>
      </c>
      <c r="D37" s="276">
        <f>SUM(D14:D36)</f>
        <v>56.918999999999997</v>
      </c>
      <c r="E37" s="276"/>
      <c r="F37" s="277">
        <f>SUM(F14:F36)</f>
        <v>455200098.46092093</v>
      </c>
      <c r="G37" s="278">
        <f>SUM(G14:G36)</f>
        <v>713651643.97173285</v>
      </c>
      <c r="H37" s="256"/>
      <c r="I37" s="275">
        <f>SUM(I14:I36)</f>
        <v>1197562465.5947134</v>
      </c>
      <c r="J37" s="276">
        <f>SUM(J14:J36)</f>
        <v>60.834791296157633</v>
      </c>
      <c r="K37" s="276"/>
      <c r="L37" s="277">
        <f>SUM(L14:L36)</f>
        <v>430163067.21888351</v>
      </c>
      <c r="M37" s="278">
        <f>SUM(M14:M36)</f>
        <v>767399398.37583029</v>
      </c>
    </row>
    <row r="38" spans="1:13" x14ac:dyDescent="0.35">
      <c r="A38" s="226">
        <f t="shared" si="1"/>
        <v>28</v>
      </c>
      <c r="B38" s="242" t="s">
        <v>268</v>
      </c>
      <c r="C38" s="279">
        <v>0.95111500000000004</v>
      </c>
      <c r="D38" s="280"/>
      <c r="E38" s="280"/>
      <c r="F38" s="281">
        <v>0.95111500000000004</v>
      </c>
      <c r="G38" s="282">
        <v>0.95111500000000004</v>
      </c>
      <c r="H38" s="256"/>
      <c r="I38" s="279">
        <v>0.95111500000000004</v>
      </c>
      <c r="J38" s="280"/>
      <c r="K38" s="280"/>
      <c r="L38" s="281">
        <v>0.95111500000000004</v>
      </c>
      <c r="M38" s="282">
        <v>0.95111500000000004</v>
      </c>
    </row>
    <row r="39" spans="1:13" x14ac:dyDescent="0.35">
      <c r="A39" s="226">
        <f t="shared" si="1"/>
        <v>29</v>
      </c>
      <c r="B39" s="242" t="s">
        <v>269</v>
      </c>
      <c r="C39" s="275">
        <f>+C37/C38</f>
        <v>1228927881.9413571</v>
      </c>
      <c r="D39" s="276"/>
      <c r="E39" s="276"/>
      <c r="F39" s="277">
        <f>+F37/F38</f>
        <v>478596277.48581499</v>
      </c>
      <c r="G39" s="278">
        <f>+G37/G38</f>
        <v>750331604.45554197</v>
      </c>
      <c r="H39" s="256"/>
      <c r="I39" s="275">
        <f>+I37/I38</f>
        <v>1259114266.5132117</v>
      </c>
      <c r="J39" s="276"/>
      <c r="K39" s="276"/>
      <c r="L39" s="277">
        <f>+L37/L38</f>
        <v>452272403.67240924</v>
      </c>
      <c r="M39" s="278">
        <f>+M37/M38</f>
        <v>806841862.84080291</v>
      </c>
    </row>
    <row r="40" spans="1:13" x14ac:dyDescent="0.35">
      <c r="A40" s="226">
        <f t="shared" si="1"/>
        <v>30</v>
      </c>
      <c r="B40" s="242" t="s">
        <v>270</v>
      </c>
      <c r="C40" s="264">
        <v>20535748.503355935</v>
      </c>
      <c r="D40" s="283"/>
      <c r="E40" s="283"/>
      <c r="F40" s="239"/>
      <c r="G40" s="240"/>
      <c r="H40" s="256"/>
      <c r="I40" s="264">
        <v>19685486.54609016</v>
      </c>
      <c r="J40" s="283"/>
      <c r="K40" s="283"/>
      <c r="L40" s="239"/>
      <c r="M40" s="240"/>
    </row>
    <row r="41" spans="1:13" x14ac:dyDescent="0.35">
      <c r="A41" s="226">
        <f t="shared" si="1"/>
        <v>31</v>
      </c>
      <c r="B41" s="234"/>
      <c r="C41" s="284"/>
      <c r="D41" s="285" t="s">
        <v>101</v>
      </c>
      <c r="E41" s="285"/>
      <c r="F41" s="285" t="s">
        <v>223</v>
      </c>
      <c r="G41" s="286" t="s">
        <v>226</v>
      </c>
      <c r="H41" s="256"/>
      <c r="I41" s="284"/>
      <c r="J41" s="285" t="s">
        <v>101</v>
      </c>
      <c r="K41" s="285"/>
      <c r="L41" s="285" t="s">
        <v>223</v>
      </c>
      <c r="M41" s="286" t="s">
        <v>226</v>
      </c>
    </row>
    <row r="42" spans="1:13" x14ac:dyDescent="0.35">
      <c r="A42" s="226">
        <f t="shared" si="1"/>
        <v>32</v>
      </c>
      <c r="B42" s="242" t="s">
        <v>271</v>
      </c>
      <c r="C42" s="287"/>
      <c r="D42" s="288"/>
      <c r="E42" s="288"/>
      <c r="F42" s="288"/>
      <c r="G42" s="289"/>
      <c r="H42" s="256"/>
      <c r="I42" s="287"/>
      <c r="J42" s="288"/>
      <c r="K42" s="288"/>
      <c r="L42" s="288"/>
      <c r="M42" s="289"/>
    </row>
    <row r="43" spans="1:13" x14ac:dyDescent="0.35">
      <c r="A43" s="226">
        <f t="shared" si="1"/>
        <v>33</v>
      </c>
      <c r="B43" s="242" t="s">
        <v>272</v>
      </c>
      <c r="C43" s="290"/>
      <c r="D43" s="291">
        <v>56.918999999999997</v>
      </c>
      <c r="E43" s="291"/>
      <c r="F43" s="291">
        <v>22.166</v>
      </c>
      <c r="G43" s="292">
        <v>34.753</v>
      </c>
      <c r="H43" s="256"/>
      <c r="I43" s="290"/>
      <c r="J43" s="291">
        <f>+J37</f>
        <v>60.834791296157633</v>
      </c>
      <c r="K43" s="291"/>
      <c r="L43" s="291">
        <f>SUMIF(K14:K35,"F",J14:J35)</f>
        <v>21.851787417686175</v>
      </c>
      <c r="M43" s="292">
        <f>SUMIF(K14:K35,"V",J14:J35)</f>
        <v>38.983003878471457</v>
      </c>
    </row>
    <row r="44" spans="1:13" ht="15" thickBot="1" x14ac:dyDescent="0.4">
      <c r="A44" s="226">
        <f t="shared" si="1"/>
        <v>34</v>
      </c>
      <c r="B44" s="242" t="s">
        <v>273</v>
      </c>
      <c r="C44" s="293"/>
      <c r="D44" s="294">
        <v>59.844000000000001</v>
      </c>
      <c r="E44" s="294"/>
      <c r="F44" s="294">
        <v>23.305</v>
      </c>
      <c r="G44" s="295">
        <v>36.539000000000001</v>
      </c>
      <c r="H44" s="256"/>
      <c r="I44" s="293"/>
      <c r="J44" s="294">
        <f>+J43/I38</f>
        <v>63.961551753634026</v>
      </c>
      <c r="K44" s="294"/>
      <c r="L44" s="294">
        <f>+L43/I38</f>
        <v>22.974916195923914</v>
      </c>
      <c r="M44" s="295">
        <f>+M43/I38</f>
        <v>40.986635557710116</v>
      </c>
    </row>
    <row r="45" spans="1:13" x14ac:dyDescent="0.35">
      <c r="A45" s="226">
        <f t="shared" si="1"/>
        <v>35</v>
      </c>
      <c r="B45" s="242"/>
      <c r="C45" s="296"/>
      <c r="D45" s="296"/>
      <c r="E45" s="296"/>
      <c r="F45" s="296"/>
      <c r="G45" s="296"/>
      <c r="H45" s="256"/>
      <c r="I45" s="296"/>
      <c r="J45" s="296"/>
      <c r="K45" s="296"/>
      <c r="L45" s="296"/>
      <c r="M45" s="296"/>
    </row>
    <row r="46" spans="1:13" x14ac:dyDescent="0.35">
      <c r="A46" s="226">
        <f t="shared" si="1"/>
        <v>36</v>
      </c>
      <c r="B46" s="242"/>
      <c r="H46" s="256"/>
    </row>
    <row r="47" spans="1:13" x14ac:dyDescent="0.35">
      <c r="B47" s="297"/>
      <c r="C47" s="297"/>
      <c r="H47" s="256"/>
      <c r="I47" s="297"/>
    </row>
    <row r="48" spans="1:13" x14ac:dyDescent="0.35">
      <c r="B48" s="208"/>
      <c r="H48" s="256"/>
    </row>
    <row r="49" spans="1:8" x14ac:dyDescent="0.35">
      <c r="B49" s="208"/>
      <c r="H49" s="256"/>
    </row>
    <row r="50" spans="1:8" x14ac:dyDescent="0.35">
      <c r="B50" s="208"/>
      <c r="H50" s="208"/>
    </row>
    <row r="51" spans="1:8" x14ac:dyDescent="0.35">
      <c r="B51" s="208"/>
      <c r="H51" s="208"/>
    </row>
    <row r="52" spans="1:8" x14ac:dyDescent="0.35">
      <c r="B52" s="208"/>
      <c r="H52" s="208"/>
    </row>
    <row r="53" spans="1:8" x14ac:dyDescent="0.35">
      <c r="B53" s="208"/>
      <c r="H53" s="208"/>
    </row>
    <row r="54" spans="1:8" x14ac:dyDescent="0.35">
      <c r="B54" s="208"/>
      <c r="H54" s="208"/>
    </row>
    <row r="55" spans="1:8" x14ac:dyDescent="0.35">
      <c r="B55" s="208"/>
      <c r="H55" s="208"/>
    </row>
    <row r="56" spans="1:8" x14ac:dyDescent="0.35">
      <c r="B56" s="208"/>
      <c r="H56" s="208"/>
    </row>
    <row r="57" spans="1:8" x14ac:dyDescent="0.35">
      <c r="B57" s="208"/>
      <c r="H57" s="208"/>
    </row>
    <row r="58" spans="1:8" x14ac:dyDescent="0.35">
      <c r="B58" s="208"/>
      <c r="H58" s="208"/>
    </row>
    <row r="59" spans="1:8" x14ac:dyDescent="0.35">
      <c r="B59" s="208"/>
      <c r="H59" s="208"/>
    </row>
    <row r="60" spans="1:8" x14ac:dyDescent="0.35">
      <c r="A60" s="298"/>
      <c r="B60" s="208"/>
      <c r="H60" s="208"/>
    </row>
    <row r="61" spans="1:8" x14ac:dyDescent="0.35">
      <c r="A61" s="298"/>
      <c r="B61" s="208"/>
      <c r="H61" s="256"/>
    </row>
    <row r="62" spans="1:8" x14ac:dyDescent="0.35">
      <c r="B62" s="299"/>
    </row>
  </sheetData>
  <pageMargins left="0.2" right="0.2" top="0.75" bottom="0.75" header="0.3" footer="0.3"/>
  <pageSetup scale="65" orientation="landscape" r:id="rId1"/>
  <headerFooter>
    <oddFooter>&amp;L&amp;"Times New Roman,Regular"&amp;8 156650783.1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workbookViewId="0">
      <selection activeCell="E1" sqref="E1"/>
    </sheetView>
  </sheetViews>
  <sheetFormatPr defaultColWidth="9.1796875" defaultRowHeight="14.5" x14ac:dyDescent="0.35"/>
  <cols>
    <col min="1" max="1" width="5" style="381" bestFit="1" customWidth="1"/>
    <col min="2" max="2" width="47" style="381" customWidth="1"/>
    <col min="3" max="3" width="14" style="381" bestFit="1" customWidth="1"/>
    <col min="4" max="4" width="7.26953125" style="381" bestFit="1" customWidth="1"/>
    <col min="5" max="5" width="19.453125" style="381" customWidth="1"/>
    <col min="6" max="6" width="16.453125" style="381" customWidth="1"/>
    <col min="7" max="7" width="45.453125" style="381" bestFit="1" customWidth="1"/>
    <col min="8" max="8" width="2.81640625" style="381" customWidth="1"/>
    <col min="9" max="9" width="15" style="381" customWidth="1"/>
    <col min="10" max="10" width="2.453125" style="381" customWidth="1"/>
    <col min="11" max="12" width="15" style="381" customWidth="1"/>
    <col min="13" max="13" width="25.453125" style="381" customWidth="1"/>
    <col min="14" max="16384" width="9.1796875" style="381"/>
  </cols>
  <sheetData>
    <row r="1" spans="1:6" x14ac:dyDescent="0.35">
      <c r="C1" s="382"/>
      <c r="D1" s="382"/>
      <c r="E1" s="382"/>
      <c r="F1" s="383"/>
    </row>
    <row r="2" spans="1:6" x14ac:dyDescent="0.35">
      <c r="F2" s="384"/>
    </row>
    <row r="3" spans="1:6" ht="15.5" x14ac:dyDescent="0.35">
      <c r="A3" s="440" t="s">
        <v>61</v>
      </c>
      <c r="B3" s="440"/>
      <c r="C3" s="440"/>
      <c r="D3" s="440"/>
      <c r="E3" s="440"/>
      <c r="F3" s="440"/>
    </row>
    <row r="4" spans="1:6" ht="15.5" x14ac:dyDescent="0.35">
      <c r="A4" s="440" t="s">
        <v>308</v>
      </c>
      <c r="B4" s="440"/>
      <c r="C4" s="440"/>
      <c r="D4" s="440"/>
      <c r="E4" s="440"/>
      <c r="F4" s="440"/>
    </row>
    <row r="5" spans="1:6" ht="15.5" x14ac:dyDescent="0.35">
      <c r="A5" s="440" t="s">
        <v>309</v>
      </c>
      <c r="B5" s="440"/>
      <c r="C5" s="440"/>
      <c r="D5" s="440"/>
      <c r="E5" s="440"/>
      <c r="F5" s="440"/>
    </row>
    <row r="6" spans="1:6" ht="15.5" x14ac:dyDescent="0.35">
      <c r="A6" s="441"/>
      <c r="B6" s="441"/>
      <c r="C6" s="441"/>
      <c r="D6" s="441"/>
      <c r="E6" s="441"/>
      <c r="F6" s="441"/>
    </row>
    <row r="8" spans="1:6" x14ac:dyDescent="0.35">
      <c r="A8" s="385"/>
      <c r="B8" s="386"/>
      <c r="C8" s="387" t="s">
        <v>310</v>
      </c>
      <c r="D8" s="388"/>
    </row>
    <row r="9" spans="1:6" x14ac:dyDescent="0.35">
      <c r="B9" s="389"/>
      <c r="C9" s="390"/>
      <c r="D9" s="391"/>
    </row>
    <row r="10" spans="1:6" x14ac:dyDescent="0.35">
      <c r="A10" s="392">
        <f>A8+1</f>
        <v>1</v>
      </c>
      <c r="B10" s="393" t="s">
        <v>311</v>
      </c>
      <c r="C10" s="394">
        <f>+'SEF-3 p 1 PC Summary'!I32</f>
        <v>36702015.819213256</v>
      </c>
      <c r="D10" s="388"/>
    </row>
    <row r="11" spans="1:6" x14ac:dyDescent="0.35">
      <c r="A11" s="392">
        <f t="shared" ref="A11:A17" si="0">A10+1</f>
        <v>2</v>
      </c>
      <c r="B11" s="395" t="s">
        <v>312</v>
      </c>
      <c r="C11" s="394">
        <f>+'SEF-3 p 1 PC Summary'!J32</f>
        <v>1656378.0399999996</v>
      </c>
      <c r="D11" s="388"/>
    </row>
    <row r="12" spans="1:6" x14ac:dyDescent="0.35">
      <c r="A12" s="392">
        <f t="shared" si="0"/>
        <v>3</v>
      </c>
      <c r="B12" s="395" t="s">
        <v>313</v>
      </c>
      <c r="C12" s="396">
        <f>C10+C11</f>
        <v>38358393.859213255</v>
      </c>
      <c r="D12" s="388"/>
    </row>
    <row r="13" spans="1:6" x14ac:dyDescent="0.35">
      <c r="A13" s="392">
        <f t="shared" si="0"/>
        <v>4</v>
      </c>
      <c r="B13" s="395"/>
      <c r="C13" s="394"/>
      <c r="D13" s="388"/>
    </row>
    <row r="14" spans="1:6" x14ac:dyDescent="0.35">
      <c r="A14" s="392">
        <f t="shared" si="0"/>
        <v>5</v>
      </c>
      <c r="B14" s="397" t="s">
        <v>314</v>
      </c>
      <c r="C14" s="395"/>
      <c r="D14" s="388"/>
    </row>
    <row r="15" spans="1:6" x14ac:dyDescent="0.35">
      <c r="A15" s="392">
        <f t="shared" si="0"/>
        <v>6</v>
      </c>
      <c r="B15" s="398" t="s">
        <v>315</v>
      </c>
      <c r="C15" s="399">
        <f>+E38</f>
        <v>0.94911500000000004</v>
      </c>
      <c r="D15" s="388"/>
    </row>
    <row r="16" spans="1:6" x14ac:dyDescent="0.35">
      <c r="A16" s="392">
        <f t="shared" si="0"/>
        <v>7</v>
      </c>
      <c r="B16" s="395"/>
      <c r="C16" s="400"/>
      <c r="D16" s="388"/>
    </row>
    <row r="17" spans="1:5" ht="15" thickBot="1" x14ac:dyDescent="0.4">
      <c r="A17" s="392">
        <f t="shared" si="0"/>
        <v>8</v>
      </c>
      <c r="B17" s="401" t="s">
        <v>316</v>
      </c>
      <c r="C17" s="402">
        <f>C12/C15</f>
        <v>40414906.369842701</v>
      </c>
      <c r="D17" s="388"/>
    </row>
    <row r="18" spans="1:5" ht="15" thickTop="1" x14ac:dyDescent="0.35"/>
    <row r="19" spans="1:5" x14ac:dyDescent="0.35">
      <c r="C19" s="403"/>
    </row>
    <row r="22" spans="1:5" x14ac:dyDescent="0.35">
      <c r="A22" s="406"/>
      <c r="B22" s="407" t="s">
        <v>317</v>
      </c>
      <c r="C22" s="408"/>
      <c r="D22" s="408"/>
      <c r="E22" s="409"/>
    </row>
    <row r="23" spans="1:5" x14ac:dyDescent="0.35">
      <c r="A23" s="410"/>
      <c r="B23" s="411" t="s">
        <v>318</v>
      </c>
      <c r="C23" s="412"/>
      <c r="D23" s="412"/>
      <c r="E23" s="413"/>
    </row>
    <row r="24" spans="1:5" x14ac:dyDescent="0.35">
      <c r="A24" s="410"/>
      <c r="B24" s="411" t="s">
        <v>319</v>
      </c>
      <c r="C24" s="412"/>
      <c r="D24" s="412"/>
      <c r="E24" s="413"/>
    </row>
    <row r="25" spans="1:5" x14ac:dyDescent="0.35">
      <c r="A25" s="410"/>
      <c r="B25" s="411" t="s">
        <v>320</v>
      </c>
      <c r="C25" s="412"/>
      <c r="D25" s="412"/>
      <c r="E25" s="413"/>
    </row>
    <row r="26" spans="1:5" x14ac:dyDescent="0.35">
      <c r="A26" s="410"/>
      <c r="B26" s="411" t="s">
        <v>321</v>
      </c>
      <c r="C26" s="411"/>
      <c r="D26" s="411"/>
      <c r="E26" s="414"/>
    </row>
    <row r="27" spans="1:5" x14ac:dyDescent="0.35">
      <c r="A27" s="415"/>
      <c r="B27" s="412"/>
      <c r="C27" s="412"/>
      <c r="D27" s="412"/>
      <c r="E27" s="413"/>
    </row>
    <row r="28" spans="1:5" x14ac:dyDescent="0.35">
      <c r="A28" s="415"/>
      <c r="B28" s="412"/>
      <c r="C28" s="412"/>
      <c r="D28" s="412"/>
      <c r="E28" s="416"/>
    </row>
    <row r="29" spans="1:5" x14ac:dyDescent="0.35">
      <c r="A29" s="417" t="s">
        <v>322</v>
      </c>
      <c r="B29" s="418"/>
      <c r="C29" s="418"/>
      <c r="D29" s="419"/>
      <c r="E29" s="416"/>
    </row>
    <row r="30" spans="1:5" x14ac:dyDescent="0.35">
      <c r="A30" s="420" t="s">
        <v>323</v>
      </c>
      <c r="B30" s="404" t="s">
        <v>324</v>
      </c>
      <c r="C30" s="404"/>
      <c r="D30" s="405"/>
      <c r="E30" s="421"/>
    </row>
    <row r="31" spans="1:5" x14ac:dyDescent="0.35">
      <c r="A31" s="422"/>
      <c r="B31" s="419"/>
      <c r="C31" s="419"/>
      <c r="D31" s="419"/>
      <c r="E31" s="416"/>
    </row>
    <row r="32" spans="1:5" x14ac:dyDescent="0.35">
      <c r="A32" s="423">
        <v>1</v>
      </c>
      <c r="B32" s="424" t="s">
        <v>325</v>
      </c>
      <c r="C32" s="425"/>
      <c r="D32" s="425"/>
      <c r="E32" s="426">
        <v>8.4790000000000004E-3</v>
      </c>
    </row>
    <row r="33" spans="1:5" x14ac:dyDescent="0.35">
      <c r="A33" s="423">
        <v>2</v>
      </c>
      <c r="B33" s="424" t="s">
        <v>331</v>
      </c>
      <c r="C33" s="425"/>
      <c r="D33" s="425"/>
      <c r="E33" s="427">
        <v>4.0000000000000001E-3</v>
      </c>
    </row>
    <row r="34" spans="1:5" x14ac:dyDescent="0.35">
      <c r="A34" s="423">
        <v>3</v>
      </c>
      <c r="B34" s="424" t="s">
        <v>326</v>
      </c>
      <c r="C34" s="419"/>
      <c r="D34" s="428">
        <v>3.8733999999999998E-2</v>
      </c>
      <c r="E34" s="434">
        <f>ROUND(D34-(D34*E32),6)</f>
        <v>3.8406000000000003E-2</v>
      </c>
    </row>
    <row r="35" spans="1:5" x14ac:dyDescent="0.35">
      <c r="A35" s="423">
        <v>4</v>
      </c>
      <c r="B35" s="424"/>
      <c r="C35" s="425"/>
      <c r="D35" s="425"/>
      <c r="E35" s="426"/>
    </row>
    <row r="36" spans="1:5" x14ac:dyDescent="0.35">
      <c r="A36" s="423">
        <v>5</v>
      </c>
      <c r="B36" s="424" t="s">
        <v>327</v>
      </c>
      <c r="C36" s="425"/>
      <c r="D36" s="425"/>
      <c r="E36" s="426">
        <f>ROUND(SUM(E32:E34),6)</f>
        <v>5.0885E-2</v>
      </c>
    </row>
    <row r="37" spans="1:5" x14ac:dyDescent="0.35">
      <c r="A37" s="423">
        <v>6</v>
      </c>
      <c r="B37" s="425"/>
      <c r="C37" s="425"/>
      <c r="D37" s="425"/>
      <c r="E37" s="426"/>
    </row>
    <row r="38" spans="1:5" x14ac:dyDescent="0.35">
      <c r="A38" s="423">
        <v>7</v>
      </c>
      <c r="B38" s="425" t="s">
        <v>328</v>
      </c>
      <c r="C38" s="425"/>
      <c r="D38" s="425"/>
      <c r="E38" s="426">
        <f>ROUND(1-E36,6)</f>
        <v>0.94911500000000004</v>
      </c>
    </row>
    <row r="39" spans="1:5" x14ac:dyDescent="0.35">
      <c r="A39" s="423">
        <v>8</v>
      </c>
      <c r="B39" s="424" t="s">
        <v>329</v>
      </c>
      <c r="C39" s="425"/>
      <c r="D39" s="429">
        <v>0.21</v>
      </c>
      <c r="E39" s="426">
        <f>ROUND((E38)*0.21,6)</f>
        <v>0.19931399999999999</v>
      </c>
    </row>
    <row r="40" spans="1:5" x14ac:dyDescent="0.35">
      <c r="A40" s="430">
        <v>9</v>
      </c>
      <c r="B40" s="431" t="s">
        <v>330</v>
      </c>
      <c r="C40" s="432"/>
      <c r="D40" s="432"/>
      <c r="E40" s="433">
        <f>ROUND(1-E39-E36,6)</f>
        <v>0.74980100000000005</v>
      </c>
    </row>
  </sheetData>
  <mergeCells count="4">
    <mergeCell ref="A3:F3"/>
    <mergeCell ref="A4:F4"/>
    <mergeCell ref="A5:F5"/>
    <mergeCell ref="A6:F6"/>
  </mergeCells>
  <pageMargins left="0.7" right="0.7" top="0.75" bottom="0.75" header="0.3" footer="0.3"/>
  <pageSetup orientation="portrait" verticalDpi="0" r:id="rId1"/>
  <headerFooter>
    <oddFooter>&amp;L&amp;"Times New Roman,Regular"&amp;8 156650783.1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189956344C7F6479ACCEB763B336AB6" ma:contentTypeVersion="28" ma:contentTypeDescription="" ma:contentTypeScope="" ma:versionID="66b773789f490274a131941ca2d4e3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2022-04-29T07:00:00+00:00</OpenedDate>
    <SignificantOrder xmlns="dc463f71-b30c-4ab2-9473-d307f9d35888">false</SignificantOrder>
    <Date1 xmlns="dc463f71-b30c-4ab2-9473-d307f9d35888">2022-04-29T07:00:00+00:00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220308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E5BFE7-7A76-4792-9176-6E4E41DEAEBB}"/>
</file>

<file path=customXml/itemProps2.xml><?xml version="1.0" encoding="utf-8"?>
<ds:datastoreItem xmlns:ds="http://schemas.openxmlformats.org/officeDocument/2006/customXml" ds:itemID="{64BD1196-697F-46E3-9E25-65C69FD96262}"/>
</file>

<file path=customXml/itemProps3.xml><?xml version="1.0" encoding="utf-8"?>
<ds:datastoreItem xmlns:ds="http://schemas.openxmlformats.org/officeDocument/2006/customXml" ds:itemID="{2B047DBD-B608-4AE5-A487-176E8CD337F9}"/>
</file>

<file path=customXml/itemProps4.xml><?xml version="1.0" encoding="utf-8"?>
<ds:datastoreItem xmlns:ds="http://schemas.openxmlformats.org/officeDocument/2006/customXml" ds:itemID="{B706538F-09F0-4290-B5CA-F29F475505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SEF-3 TOC</vt:lpstr>
      <vt:lpstr>SEF-3 p 1 PC Summary</vt:lpstr>
      <vt:lpstr>SEF-3 p 2 Actual BLR</vt:lpstr>
      <vt:lpstr>SEF-3 p 3 Sch B</vt:lpstr>
      <vt:lpstr>SEF-3 p 4 Bands</vt:lpstr>
      <vt:lpstr>SEF-3 p 5 Interest</vt:lpstr>
      <vt:lpstr>SEF-3 p 6 Approved BLRs</vt:lpstr>
      <vt:lpstr>SEF-3 p 7 2021 Imbalance</vt:lpstr>
      <vt:lpstr>'SEF-3 p 3 Sch B'!Print_Area</vt:lpstr>
      <vt:lpstr>'SEF-3 p 4 Bands'!Print_Titles</vt:lpstr>
      <vt:lpstr>'SEF-3 p 5 Interest'!Print_Titles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Barnett, Donna L. (BEL)</cp:lastModifiedBy>
  <cp:lastPrinted>2022-04-16T21:45:34Z</cp:lastPrinted>
  <dcterms:created xsi:type="dcterms:W3CDTF">2022-02-15T21:03:13Z</dcterms:created>
  <dcterms:modified xsi:type="dcterms:W3CDTF">2022-04-24T16:46:03Z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_DocIDActiveBits">
    <vt:lpwstr>126976</vt:lpwstr>
  </property>
  <property fmtid="{D5CDD505-2E9C-101B-9397-08002B2CF9AE}" pid="3" name="CUS_DocIDLocation">
    <vt:lpwstr>EVERY_PAGE</vt:lpwstr>
  </property>
  <property fmtid="{D5CDD505-2E9C-101B-9397-08002B2CF9AE}" pid="4" name="CUS_DocIDPosition">
    <vt:lpwstr>Left</vt:lpwstr>
  </property>
  <property fmtid="{D5CDD505-2E9C-101B-9397-08002B2CF9AE}" pid="5" name="CUS_DocIDSheetRef">
    <vt:lpwstr>8</vt:lpwstr>
  </property>
  <property fmtid="{D5CDD505-2E9C-101B-9397-08002B2CF9AE}" pid="6" name="CUS_DocIDString">
    <vt:lpwstr>&amp;"Times New Roman,Regular"&amp;8 156650783.1</vt:lpwstr>
  </property>
  <property fmtid="{D5CDD505-2E9C-101B-9397-08002B2CF9AE}" pid="7" name="CUS_DocIDChunk0">
    <vt:lpwstr>&amp;"Times New Roman,Regular"&amp;8</vt:lpwstr>
  </property>
  <property fmtid="{D5CDD505-2E9C-101B-9397-08002B2CF9AE}" pid="8" name="CUS_DocIDChunk1">
    <vt:lpwstr> 156650783.1</vt:lpwstr>
  </property>
  <property fmtid="{D5CDD505-2E9C-101B-9397-08002B2CF9AE}" pid="9" name="ContentTypeId">
    <vt:lpwstr>0x0101006E56B4D1795A2E4DB2F0B01679ED314A002189956344C7F6479ACCEB763B336AB6</vt:lpwstr>
  </property>
  <property fmtid="{D5CDD505-2E9C-101B-9397-08002B2CF9AE}" pid="10" name="_docset_NoMedatataSyncRequired">
    <vt:lpwstr>False</vt:lpwstr>
  </property>
  <property fmtid="{D5CDD505-2E9C-101B-9397-08002B2CF9AE}" pid="11" name="IsEFSEC">
    <vt:bool>false</vt:bool>
  </property>
</Properties>
</file>