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externalLinks/externalLink4.xml" ContentType="application/vnd.openxmlformats-officedocument.spreadsheetml.externalLink+xml"/>
  <Override PartName="/xl/activeX/activeX3.bin" ContentType="application/vnd.ms-office.activeX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activeX/activeX3.xml" ContentType="application/vnd.ms-office.activeX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55ab39f972d912/Documents/"/>
    </mc:Choice>
  </mc:AlternateContent>
  <xr:revisionPtr revIDLastSave="27" documentId="8_{5B41EFDB-44F0-4393-BCB1-FBF4A823E701}" xr6:coauthVersionLast="47" xr6:coauthVersionMax="47" xr10:uidLastSave="{459AB10C-1CBE-4C34-B5A5-B09D47FCB757}"/>
  <bookViews>
    <workbookView xWindow="-120" yWindow="-120" windowWidth="29040" windowHeight="15840" tabRatio="858" activeTab="5" xr2:uid="{00000000-000D-0000-FFFF-FFFF00000000}"/>
  </bookViews>
  <sheets>
    <sheet name="LG Nonpublic 2018 V5.2a" sheetId="7" r:id="rId1"/>
    <sheet name="Sheet1" sheetId="10" r:id="rId2"/>
    <sheet name="Pro Forma Income Statement" sheetId="6" r:id="rId3"/>
    <sheet name="Fixed Assets" sheetId="9" r:id="rId4"/>
    <sheet name="Balance Sheet" sheetId="8" r:id="rId5"/>
    <sheet name="Price Out v3" sheetId="5" r:id="rId6"/>
    <sheet name="Matrix" sheetId="1" r:id="rId7"/>
    <sheet name="COS" sheetId="2" r:id="rId8"/>
    <sheet name="References" sheetId="3" r:id="rId9"/>
    <sheet name="Sheet2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'[1]10200'!$IU$8196</definedName>
    <definedName name="\D">#REF!</definedName>
    <definedName name="\E">'[2]#REF'!$AD$4</definedName>
    <definedName name="\R">'[2]#REF'!$AD$8</definedName>
    <definedName name="\S">#REF!</definedName>
    <definedName name="\Y" localSheetId="8">#REF!</definedName>
    <definedName name="\y">'[1]10200'!$IU$8196</definedName>
    <definedName name="\z">#REF!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2">[3]Hidden!$O$11</definedName>
    <definedName name="_123Graph_g" hidden="1">'[2]#REF'!$F$9:$F$83</definedName>
    <definedName name="_13054">'[4]10800-10899'!#REF!</definedName>
    <definedName name="_132" hidden="1">[1]XXXXXX!$B$10:$B$10</definedName>
    <definedName name="_132Graph_h" localSheetId="8" hidden="1">#REF!</definedName>
    <definedName name="_132Graph_h" hidden="1">#REF!</definedName>
    <definedName name="_ACT1">[5]Hidden!#REF!</definedName>
    <definedName name="_ACT2">[5]Hidden!#REF!</definedName>
    <definedName name="_ACT3">[5]Hidden!#REF!</definedName>
    <definedName name="_BUN1">'[6]2008 West Group IS'!$AJ$5</definedName>
    <definedName name="_BUN3">'[6]2008 Group Office IS'!$AJ$5</definedName>
    <definedName name="_COS1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hidden="1">#REF!</definedName>
    <definedName name="_Key1" localSheetId="8" hidden="1">#REF!</definedName>
    <definedName name="_Key1" hidden="1">#REF!</definedName>
    <definedName name="_Key2" hidden="1">'[2]#REF'!$D$12</definedName>
    <definedName name="_key5" hidden="1">[1]XXXXXX!$H$10</definedName>
    <definedName name="_LYA12">[3]Hidden!$O$11</definedName>
    <definedName name="_max" localSheetId="8" hidden="1">#REF!</definedName>
    <definedName name="_max" hidden="1">#REF!</definedName>
    <definedName name="_Mon" localSheetId="8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[6]WTB!$DC$8</definedName>
    <definedName name="_PER2">'[6]2008 West Group IS'!$AH$8</definedName>
    <definedName name="_PER3">'[6]2008 West Group IS'!$AI$5</definedName>
    <definedName name="_PER4">'[6]2008 Group Office IS'!$AH$8</definedName>
    <definedName name="_PER5">'[6]2008 Group Office IS'!$AI$5</definedName>
    <definedName name="_Regression_Int">0</definedName>
    <definedName name="_SFD1">'[6]2008 West Group IS'!$AK$5</definedName>
    <definedName name="_SFD3">'[6]2008 Group Office IS'!$AK$5</definedName>
    <definedName name="_SFV1">'[6]2008 West Group IS'!$AK$4</definedName>
    <definedName name="_SFV4">'[6]2008 Group Office IS'!$AK$4</definedName>
    <definedName name="_Sort" localSheetId="8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8">#REF!</definedName>
    <definedName name="a">#REF!</definedName>
    <definedName name="aaaaaaa" localSheetId="4">rank</definedName>
    <definedName name="aaaaaaa" localSheetId="3">rank</definedName>
    <definedName name="aaaaaaa" localSheetId="0">rank</definedName>
    <definedName name="aaaaaaa" localSheetId="2">rank</definedName>
    <definedName name="aaaaaaa">rank</definedName>
    <definedName name="Accounts">#REF!</definedName>
    <definedName name="ACCT">[5]Hidden!#REF!</definedName>
    <definedName name="ACCT.ConsolSum">[3]Hidden!$Q$11</definedName>
    <definedName name="ACT_CUR">[5]Hidden!#REF!</definedName>
    <definedName name="ACT_YTD">[5]Hidden!#REF!</definedName>
    <definedName name="AD">'[1]ACC DEP 12XXX'!$A$4:$L$22</definedName>
    <definedName name="adfd" localSheetId="4">rank</definedName>
    <definedName name="adfd" localSheetId="3">rank</definedName>
    <definedName name="adfd" localSheetId="0">rank</definedName>
    <definedName name="adfd" localSheetId="2">rank</definedName>
    <definedName name="adfd">rank</definedName>
    <definedName name="ADK">'[1]10250_Recy Chkg'!$D$27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AOK">#REF!</definedName>
    <definedName name="APA">'[7]Income Statement (WMofWA)'!#REF!</definedName>
    <definedName name="APN">'[7]Income Statement (WMofWA)'!#REF!</definedName>
    <definedName name="ASD">'[7]Income Statement (WMofWA)'!#REF!</definedName>
    <definedName name="AST">'[7]Income Statement (WMofWA)'!#REF!</definedName>
    <definedName name="BEGCELL">#REF!</definedName>
    <definedName name="begin">#REF!</definedName>
    <definedName name="BookRev">'[8]Pacific Regulated - Price Out'!$F$50</definedName>
    <definedName name="BookRev_com">'[8]Pacific Regulated - Price Out'!$F$214</definedName>
    <definedName name="BookRev_mfr">'[8]Pacific Regulated - Price Out'!$F$222</definedName>
    <definedName name="BookRev_ro">'[8]Pacific Regulated - Price Out'!$F$282</definedName>
    <definedName name="BookRev_rr">'[8]Pacific Regulated - Price Out'!$F$59</definedName>
    <definedName name="BookRev_yw">'[8]Pacific Regulated - Price Out'!$F$70</definedName>
    <definedName name="BREMAIR_COST_of_SERVICE_STUDY" localSheetId="8">#REF!</definedName>
    <definedName name="BREMAIR_COST_of_SERVICE_STUDY">#REF!</definedName>
    <definedName name="BUD_CUR">[5]Hidden!#REF!</definedName>
    <definedName name="BUD_YTD">[5]Hidden!#REF!</definedName>
    <definedName name="BUN">[6]WTB!$DD$5</definedName>
    <definedName name="BUV">'[7]Income Statement (WMofWA)'!#REF!</definedName>
    <definedName name="Calc">[6]WTB!#REF!</definedName>
    <definedName name="Calc0">[6]WTB!#REF!</definedName>
    <definedName name="Calc1">[6]WTB!#REF!</definedName>
    <definedName name="Calc10">[6]WTB!#REF!</definedName>
    <definedName name="Calc11">[6]WTB!#REF!</definedName>
    <definedName name="Calc12">[6]WTB!#REF!</definedName>
    <definedName name="Calc13">[6]WTB!#REF!</definedName>
    <definedName name="Calc14">[6]WTB!#REF!</definedName>
    <definedName name="Calc15">[6]WTB!#REF!</definedName>
    <definedName name="Calc16">[6]WTB!#REF!</definedName>
    <definedName name="Calc17">[6]WTB!#REF!</definedName>
    <definedName name="Calc18">[6]WTB!#REF!</definedName>
    <definedName name="Calc2">[6]WTB!#REF!</definedName>
    <definedName name="Calc3">[6]WTB!#REF!</definedName>
    <definedName name="Calc4">[6]WTB!#REF!</definedName>
    <definedName name="Calc5">[6]WTB!#REF!</definedName>
    <definedName name="Calc6">[6]WTB!#REF!</definedName>
    <definedName name="Calc7">[6]WTB!#REF!</definedName>
    <definedName name="Calc8">[6]WTB!#REF!</definedName>
    <definedName name="Calc9">[6]WTB!#REF!</definedName>
    <definedName name="CalRecyTons">'[9]Recycl Tons, Commodity Value'!$L$23</definedName>
    <definedName name="CheckTotals">#REF!</definedName>
    <definedName name="clear">#REF!</definedName>
    <definedName name="colgroup">[3]Orientation!$G$6</definedName>
    <definedName name="colsegment">[3]Orientation!$F$6</definedName>
    <definedName name="CommlStaffPriceOut">'[10]Price Out-Reg EASTSIDE-Resi'!#REF!</definedName>
    <definedName name="CRCTable">#REF!</definedName>
    <definedName name="CRCTableOLD">#REF!</definedName>
    <definedName name="CriteriaType">[11]ControlPanel!$Z$2:$Z$5</definedName>
    <definedName name="CUR">'[12]O-9'!#REF!</definedName>
    <definedName name="CURRENCY">'[6]Balance Sheet'!$AD$8</definedName>
    <definedName name="CurrentMonth">#REF!</definedName>
    <definedName name="Cutomers">#REF!</definedName>
    <definedName name="CWR">'[1]SALES TAX RETURN_20140'!$A$1:$E$49</definedName>
    <definedName name="CWRS">#REF!</definedName>
    <definedName name="CYear">'[12]O-9'!#REF!</definedName>
    <definedName name="dasd" localSheetId="4">rank</definedName>
    <definedName name="dasd" localSheetId="3">rank</definedName>
    <definedName name="dasd" localSheetId="0">rank</definedName>
    <definedName name="dasd" localSheetId="2">rank</definedName>
    <definedName name="dasd">rank</definedName>
    <definedName name="_xlnm.Database" localSheetId="8">#REF!</definedName>
    <definedName name="_xlnm.Database">#REF!</definedName>
    <definedName name="Database_MI">#REF!</definedName>
    <definedName name="Database1">#REF!</definedName>
    <definedName name="DateFrom">#REF!</definedName>
    <definedName name="DateTo">#REF!</definedName>
    <definedName name="DAY">'[7]Income Statement (WMofWA)'!#REF!</definedName>
    <definedName name="DBxStaffPriceOut">'[10]Price Out-Reg EASTSIDE-Resi'!#REF!</definedName>
    <definedName name="DEBITS">'[1]ASSETS 11XXX'!$A$1:$L$19</definedName>
    <definedName name="Debt_Rate" localSheetId="0">'LG Nonpublic 2018 V5.2a'!$K$27</definedName>
    <definedName name="debtP" localSheetId="0">'LG Nonpublic 2018 V5.2a'!$I$27</definedName>
    <definedName name="deletion">#REF!</definedName>
    <definedName name="DEPT">[5]Hidden!#REF!</definedName>
    <definedName name="Detail">#REF!</definedName>
    <definedName name="Dist">[13]Data!$E$3</definedName>
    <definedName name="District">'[14]Vashon BS'!#REF!</definedName>
    <definedName name="DistrictNum">#REF!</definedName>
    <definedName name="Districts">#REF!</definedName>
    <definedName name="dOG">#REF!</definedName>
    <definedName name="drlFilter">[3]Settings!$D$27</definedName>
    <definedName name="End" localSheetId="8">#REF!</definedName>
    <definedName name="End">'[15]IS-Murrey''s'!#REF!</definedName>
    <definedName name="EndTime">'[12]O-9'!#REF!</definedName>
    <definedName name="EntrieShownLimit">#REF!</definedName>
    <definedName name="Equity_percent" localSheetId="0">'LG Nonpublic 2018 V5.2a'!$S$58</definedName>
    <definedName name="equityP" localSheetId="0">'LG Nonpublic 2018 V5.2a'!$I$26</definedName>
    <definedName name="ExcludeIC">'[14]Vashon BS'!#REF!</definedName>
    <definedName name="expenses" localSheetId="0">'LG Nonpublic 2018 V5.2a'!$I$8</definedName>
    <definedName name="ExpensesPF1">#REF!</definedName>
    <definedName name="EXT">#REF!</definedName>
    <definedName name="FBTable">#REF!</definedName>
    <definedName name="FBTableOld">#REF!</definedName>
    <definedName name="filter">[3]Settings!$B$14:$H$25</definedName>
    <definedName name="Financial">[6]WTB!#REF!</definedName>
    <definedName name="FirstColCriteria">[6]WTB!#REF!</definedName>
    <definedName name="FirstHeaderCriteria">[6]WTB!#REF!</definedName>
    <definedName name="flag">[6]WTB!#REF!</definedName>
    <definedName name="Format_Column">#REF!</definedName>
    <definedName name="formata">#REF!</definedName>
    <definedName name="formatb">#REF!</definedName>
    <definedName name="FromMonth">#REF!</definedName>
    <definedName name="FundsApprPend">[13]Data!#REF!</definedName>
    <definedName name="FundsBudUnbud">[13]Data!#REF!</definedName>
    <definedName name="FY">'[7]Income Statement (WMofWA)'!#REF!</definedName>
    <definedName name="GLMappingStart">#REF!</definedName>
    <definedName name="GLMappingStart1">#REF!</definedName>
    <definedName name="Heading1">'[7]Income Statement (WMofWA)'!#REF!</definedName>
    <definedName name="IDN">'[7]Income Statement (WMofWA)'!#REF!</definedName>
    <definedName name="IFN">'[7]Income Statement (WMofWA)'!#REF!</definedName>
    <definedName name="Import_Range">[13]Data!#REF!</definedName>
    <definedName name="IncomeStmnt">#REF!</definedName>
    <definedName name="INPUT" localSheetId="4">#REF!</definedName>
    <definedName name="INPUT" localSheetId="3">#REF!</definedName>
    <definedName name="INPUT" localSheetId="0">'LG Nonpublic 2018 V5.2a'!#REF!</definedName>
    <definedName name="INPUT" localSheetId="2">#REF!</definedName>
    <definedName name="INPUT">#REF!</definedName>
    <definedName name="INPUTc" localSheetId="4">#REF!</definedName>
    <definedName name="INPUTc" localSheetId="3">#REF!</definedName>
    <definedName name="INPUTc" localSheetId="0">#REF!</definedName>
    <definedName name="INPUTc" localSheetId="2">#REF!</definedName>
    <definedName name="INPUTc">#REF!</definedName>
    <definedName name="InsertColRange">[6]WTB!#REF!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estment" localSheetId="0">'LG Nonpublic 2018 V5.2a'!$J$28</definedName>
    <definedName name="Invoice_Start">[13]Invoice_Drill!#REF!</definedName>
    <definedName name="JEDetail">#REF!</definedName>
    <definedName name="JEDetail1">#REF!</definedName>
    <definedName name="JEType">#REF!</definedName>
    <definedName name="JEType1">#REF!</definedName>
    <definedName name="LAST_ROW">'[16]Income Statement (Tonnage)'!#REF!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[17]DropDownRanges!$B$4:$B$37</definedName>
    <definedName name="LYN">'[7]Income Statement (WMofWA)'!#REF!</definedName>
    <definedName name="MainDataEnd">#REF!</definedName>
    <definedName name="MainDataStart">#REF!</definedName>
    <definedName name="MapKeyStart">#REF!</definedName>
    <definedName name="master_def" localSheetId="8">#REF!</definedName>
    <definedName name="master_def">'[15]IS-Murrey''s'!#REF!</definedName>
    <definedName name="MATRIX">#REF!</definedName>
    <definedName name="MemoAttachment">#REF!</definedName>
    <definedName name="MetaSet">[3]Orientation!$C$22</definedName>
    <definedName name="MFStaffPriceOut">'[10]Price Out-Reg EASTSIDE-Resi'!#REF!</definedName>
    <definedName name="MILTON">#REF!</definedName>
    <definedName name="MonthList">'[13]Lookup Tables'!$A$1:$A$13</definedName>
    <definedName name="MthValue">'[12]O-9'!#REF!</definedName>
    <definedName name="NewLob">[17]DropDownRanges!$B$4:$B$37</definedName>
    <definedName name="NewOnlyOrg" localSheetId="8">#N/A</definedName>
    <definedName name="NewOnlyOrg">#REF!</definedName>
    <definedName name="NewSource">[17]DropDownRanges!$D$4:$D$7</definedName>
    <definedName name="nn">#REF!</definedName>
    <definedName name="NOTES" localSheetId="8">#REF!</definedName>
    <definedName name="NOTES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4">rank</definedName>
    <definedName name="NvsInstanceHook" localSheetId="3">rank</definedName>
    <definedName name="NvsInstanceHook" localSheetId="0">rank</definedName>
    <definedName name="NvsInstanceHook" localSheetId="2">rank</definedName>
    <definedName name="NvsInstanceHook">rank</definedName>
    <definedName name="NvsInstanceHook1" localSheetId="4">rank</definedName>
    <definedName name="NvsInstanceHook1" localSheetId="3">rank</definedName>
    <definedName name="NvsInstanceHook1" localSheetId="0">rank</definedName>
    <definedName name="NvsInstanceHook1" localSheetId="2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 localSheetId="8">#N/A</definedName>
    <definedName name="OfficerSalary">#REF!</definedName>
    <definedName name="OffsetAcctBil">[18]JEexport!$L$10</definedName>
    <definedName name="OffsetAcctPmt">[18]JEexport!$L$9</definedName>
    <definedName name="Operations">'[7]Income Statement (WMofWA)'!#REF!</definedName>
    <definedName name="OPR">'[7]Income Statement (WMofWA)'!#REF!</definedName>
    <definedName name="Org11_13" localSheetId="8">#N/A</definedName>
    <definedName name="Org11_13">#REF!</definedName>
    <definedName name="Org7_10" localSheetId="8">#N/A</definedName>
    <definedName name="Org7_10">#REF!</definedName>
    <definedName name="p">#REF!</definedName>
    <definedName name="PAGE_1" localSheetId="8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D">'[7]Income Statement (WMofWA)'!#REF!</definedName>
    <definedName name="pEndPostDate">#REF!</definedName>
    <definedName name="PER">[6]WTB!$DC$5</definedName>
    <definedName name="Period">#REF!</definedName>
    <definedName name="Pfd_weighted" localSheetId="0">'LG Nonpublic 2018 V5.2a'!$U$57</definedName>
    <definedName name="pMonth">#REF!</definedName>
    <definedName name="pOnlyShowLastTranx">#REF!</definedName>
    <definedName name="Posting">#REF!</definedName>
    <definedName name="primtbl">[3]Orientation!$C$23</definedName>
    <definedName name="_xlnm.Print_Area" localSheetId="7">COS!$A$1:$AZ$66</definedName>
    <definedName name="_xlnm.Print_Area" localSheetId="0">'LG Nonpublic 2018 V5.2a'!$F$2:$N$49</definedName>
    <definedName name="_xlnm.Print_Area" localSheetId="8">#REF!</definedName>
    <definedName name="_xlnm.Print_Area">#REF!</definedName>
    <definedName name="Print_Area_MI" localSheetId="4">#REF!</definedName>
    <definedName name="Print_Area_MI" localSheetId="3">#REF!</definedName>
    <definedName name="Print_Area_MI" localSheetId="0">#REF!</definedName>
    <definedName name="Print_Area_MI" localSheetId="2">#REF!</definedName>
    <definedName name="Print_Area_MI">#REF!</definedName>
    <definedName name="Print_Area_MIc" localSheetId="4">#REF!</definedName>
    <definedName name="Print_Area_MIc" localSheetId="3">#REF!</definedName>
    <definedName name="Print_Area_MIc" localSheetId="0">#REF!</definedName>
    <definedName name="Print_Area_MIc" localSheetId="2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 Forma Income Statement'!$A:$F,'Pro Forma Income Statement'!$2:$2</definedName>
    <definedName name="Print_Titles_MI">#REF!</definedName>
    <definedName name="Print1" localSheetId="8">#REF!</definedName>
    <definedName name="Print1">#REF!</definedName>
    <definedName name="Print2" localSheetId="8">#REF!</definedName>
    <definedName name="Print2">#REF!</definedName>
    <definedName name="Print5">#REF!</definedName>
    <definedName name="Prnit_Range">#REF!</definedName>
    <definedName name="ProRev">'[8]Pacific Regulated - Price Out'!$M$49</definedName>
    <definedName name="ProRev_com">'[8]Pacific Regulated - Price Out'!$M$213</definedName>
    <definedName name="ProRev_mfr">'[8]Pacific Regulated - Price Out'!$M$221</definedName>
    <definedName name="ProRev_ro">'[8]Pacific Regulated - Price Out'!$M$281</definedName>
    <definedName name="ProRev_rr">'[8]Pacific Regulated - Price Out'!$M$58</definedName>
    <definedName name="ProRev_yw">'[8]Pacific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PYear">'[12]O-9'!#REF!</definedName>
    <definedName name="QB_COLUMN_29" localSheetId="2" hidden="1">'Pro Forma Income Statement'!$G$2</definedName>
    <definedName name="QB_DATA_0" localSheetId="2" hidden="1">'Pro Forma Income Statement'!$5:$5,'Pro Forma Income Statement'!$6:$6,'Pro Forma Income Statement'!$7:$7,'Pro Forma Income Statement'!$8:$8,'Pro Forma Income Statement'!$14:$14,'Pro Forma Income Statement'!$15:$15,'Pro Forma Income Statement'!$16:$16,'Pro Forma Income Statement'!$18:$18,'Pro Forma Income Statement'!$20:$20,'Pro Forma Income Statement'!$21:$21,'Pro Forma Income Statement'!$22:$22,'Pro Forma Income Statement'!$23:$23,'Pro Forma Income Statement'!$24:$24,'Pro Forma Income Statement'!$25:$25,'Pro Forma Income Statement'!$26:$26,'Pro Forma Income Statement'!$27:$27</definedName>
    <definedName name="QB_DATA_1" localSheetId="2" hidden="1">'Pro Forma Income Statement'!$28:$28,'Pro Forma Income Statement'!$29:$29,'Pro Forma Income Statement'!$30:$30,'Pro Forma Income Statement'!$31:$31,'Pro Forma Income Statement'!$32:$32</definedName>
    <definedName name="QB_FORMULA_0" localSheetId="2" hidden="1">'Pro Forma Income Statement'!$G$9,'Pro Forma Income Statement'!$G$10,'Pro Forma Income Statement'!#REF!,'Pro Forma Income Statement'!$G$32,'Pro Forma Income Statement'!$G$36,'Pro Forma Income Statement'!$G$37</definedName>
    <definedName name="QB_ROW_100040" localSheetId="2" hidden="1">'Pro Forma Income Statement'!$E$17</definedName>
    <definedName name="QB_ROW_100340" localSheetId="2" hidden="1">'Pro Forma Income Statement'!#REF!</definedName>
    <definedName name="QB_ROW_101250" localSheetId="2" hidden="1">'Pro Forma Income Statement'!$F$18</definedName>
    <definedName name="QB_ROW_102240" localSheetId="2" hidden="1">'Pro Forma Income Statement'!$E$30</definedName>
    <definedName name="QB_ROW_10240" localSheetId="2" hidden="1">'Pro Forma Income Statement'!$E$15</definedName>
    <definedName name="QB_ROW_15240" localSheetId="2" hidden="1">'Pro Forma Income Statement'!$E$19</definedName>
    <definedName name="QB_ROW_18301" localSheetId="2" hidden="1">'Pro Forma Income Statement'!$A$35</definedName>
    <definedName name="QB_ROW_19011" localSheetId="2" hidden="1">'Pro Forma Income Statement'!$B$3</definedName>
    <definedName name="QB_ROW_19240" localSheetId="2" hidden="1">'Pro Forma Income Statement'!$E$25</definedName>
    <definedName name="QB_ROW_19311" localSheetId="2" hidden="1">'Pro Forma Income Statement'!$B$36</definedName>
    <definedName name="QB_ROW_20031" localSheetId="2" hidden="1">'Pro Forma Income Statement'!$D$4</definedName>
    <definedName name="QB_ROW_20331" localSheetId="2" hidden="1">'Pro Forma Income Statement'!$D$9</definedName>
    <definedName name="QB_ROW_21031" localSheetId="2" hidden="1">'Pro Forma Income Statement'!$D$11</definedName>
    <definedName name="QB_ROW_21331" localSheetId="2" hidden="1">'Pro Forma Income Statement'!$D$32</definedName>
    <definedName name="QB_ROW_34240" localSheetId="2" hidden="1">'Pro Forma Income Statement'!$E$16</definedName>
    <definedName name="QB_ROW_37240" localSheetId="2" hidden="1">'Pro Forma Income Statement'!$E$29</definedName>
    <definedName name="QB_ROW_38240" localSheetId="2" hidden="1">'Pro Forma Income Statement'!$E$22</definedName>
    <definedName name="QB_ROW_39240" localSheetId="2" hidden="1">'Pro Forma Income Statement'!$E$6</definedName>
    <definedName name="QB_ROW_42240" localSheetId="2" hidden="1">'Pro Forma Income Statement'!$E$21</definedName>
    <definedName name="QB_ROW_46240" localSheetId="2" hidden="1">'Pro Forma Income Statement'!$E$5</definedName>
    <definedName name="QB_ROW_47240" localSheetId="2" hidden="1">'Pro Forma Income Statement'!$E$27</definedName>
    <definedName name="QB_ROW_48240" localSheetId="2" hidden="1">'Pro Forma Income Statement'!$E$31</definedName>
    <definedName name="QB_ROW_59240" localSheetId="2" hidden="1">'Pro Forma Income Statement'!$E$7</definedName>
    <definedName name="QB_ROW_61240" localSheetId="2" hidden="1">'Pro Forma Income Statement'!$E$26</definedName>
    <definedName name="QB_ROW_62240" localSheetId="2" hidden="1">'Pro Forma Income Statement'!$E$24</definedName>
    <definedName name="QB_ROW_7240" localSheetId="2" hidden="1">'Pro Forma Income Statement'!$E$8</definedName>
    <definedName name="QB_ROW_82240" localSheetId="2" hidden="1">'Pro Forma Income Statement'!$E$28</definedName>
    <definedName name="QB_ROW_8240" localSheetId="2" hidden="1">'Pro Forma Income Statement'!$E$14</definedName>
    <definedName name="QB_ROW_83340" localSheetId="2" hidden="1">'Pro Forma Income Statement'!$E$20</definedName>
    <definedName name="QB_ROW_85240" localSheetId="2" hidden="1">'Pro Forma Income Statement'!$E$23</definedName>
    <definedName name="QB_ROW_86321" localSheetId="2" hidden="1">'Pro Forma Income Statement'!$C$10</definedName>
    <definedName name="QBCANSUPPORTUPDATE" localSheetId="2">TRUE</definedName>
    <definedName name="QBCOMPANYFILENAME" localSheetId="2">"C:\Documents and Settings\All Users\Documents\Intuit\QuickBooks\Company Files\Lee Anne Lamb.QBW"</definedName>
    <definedName name="QBENDDATE" localSheetId="2">20210301</definedName>
    <definedName name="QBHEADERSONSCREEN" localSheetId="2">FALSE</definedName>
    <definedName name="QBMETADATASIZE" localSheetId="2">5892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"fbbc6cd9a507493eb1d0398894595556"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11</definedName>
    <definedName name="QBREPORTSUBCOLAXIS" localSheetId="2">0</definedName>
    <definedName name="QBREPORTTYPE" localSheetId="2">0</definedName>
    <definedName name="QBROWHEADERS" localSheetId="2">6</definedName>
    <definedName name="QBSTARTDATE" localSheetId="2">20200301</definedName>
    <definedName name="QtrValue">#REF!</definedName>
    <definedName name="Quarter_Budget">#REF!</definedName>
    <definedName name="Quarter_Month">#REF!</definedName>
    <definedName name="RBU">'[7]Income Statement (WMofWA)'!#REF!</definedName>
    <definedName name="RCW_81.04.080" localSheetId="8">#N/A</definedName>
    <definedName name="RCW_81.04.080">#REF!</definedName>
    <definedName name="_xlnm.Recorder">#REF!</definedName>
    <definedName name="RecyDisposal" localSheetId="8">#N/A</definedName>
    <definedName name="RecyDisposal">#REF!</definedName>
    <definedName name="Reg_Cust_Billed_Percent">'[19]Consolidated IS 2009 2010'!$AK$20</definedName>
    <definedName name="Reg_Cust_Percent">'[19]Consolidated IS 2009 2010'!$AC$20</definedName>
    <definedName name="Reg_Drive_Percent">'[19]Consolidated IS 2009 2010'!$AC$40</definedName>
    <definedName name="Reg_Haul_Rev_Percent">'[19]Consolidated IS 2009 2010'!$Z$18</definedName>
    <definedName name="Reg_Lab_Percent">'[19]Consolidated IS 2009 2010'!$AC$39</definedName>
    <definedName name="Reg_Steel_Cont_Percent">'[19]Consolidated IS 2009 2010'!$AE$120</definedName>
    <definedName name="regDebt_weighted" localSheetId="0">'LG Nonpublic 2018 V5.2a'!$U$56</definedName>
    <definedName name="RegulatedIS">'[19]2009 IS'!$A$12:$Q$655</definedName>
    <definedName name="RelatedSalary" localSheetId="8">#N/A</definedName>
    <definedName name="RelatedSalary">#REF!</definedName>
    <definedName name="report_type">[3]Orientation!$C$24</definedName>
    <definedName name="ReportNames">[20]ControlPanel!$S$2:$S$16</definedName>
    <definedName name="ReportVersion">[3]Settings!$D$5</definedName>
    <definedName name="ReslStaffPriceOut">'[10]Price Out-Reg EASTSIDE-Resi'!#REF!</definedName>
    <definedName name="RetainedEarnings">#REF!</definedName>
    <definedName name="RevCust" localSheetId="8">[21]RevenuesCust!#REF!</definedName>
    <definedName name="RevCust">'[22]Schedule 6'!#REF!</definedName>
    <definedName name="RevCustomer">#REF!</definedName>
    <definedName name="Revenue" localSheetId="0">'LG Nonpublic 2018 V5.2a'!$I$7</definedName>
    <definedName name="RevenuePF1">#REF!</definedName>
    <definedName name="RID">'[7]Income Statement (WMofWA)'!#REF!</definedName>
    <definedName name="rngCreateLog">[3]Delivery!$B$12</definedName>
    <definedName name="rngFilePassword">[3]Delivery!$B$6</definedName>
    <definedName name="rngSourceTab">[3]Delivery!$E$8</definedName>
    <definedName name="ROCE">#REF!,#REF!</definedName>
    <definedName name="ROW_SUPRESS">'[7]Income Statement (WMofWA)'!#REF!</definedName>
    <definedName name="rowgroup">[3]Orientation!$C$17</definedName>
    <definedName name="rowsegment">[3]Orientation!$B$17</definedName>
    <definedName name="RTT">'[7]Income Statement (WMofWA)'!#REF!</definedName>
    <definedName name="sale">#REF!</definedName>
    <definedName name="SALES_TAX_RETURN">#REF!</definedName>
    <definedName name="SCN">'[7]Income Statement (WMofWA)'!#REF!</definedName>
    <definedName name="seffasfasdfsd">[5]Hidden!#REF!</definedName>
    <definedName name="Sequential_Group">[3]Settings!$J$6</definedName>
    <definedName name="Sequential_Segment">[3]Settings!$I$6</definedName>
    <definedName name="Sequential_sort">[3]Settings!$I$10:$J$11</definedName>
    <definedName name="SFD">[6]WTB!$DE$5</definedName>
    <definedName name="SFD_BU">'[7]Income Statement (WMofWA)'!#REF!</definedName>
    <definedName name="SFD_DEPTID">'[7]Income Statement (WMofWA)'!#REF!</definedName>
    <definedName name="SFD_OP">'[7]Income Statement (WMofWA)'!#REF!</definedName>
    <definedName name="SFD_PROD">'[7]Income Statement (WMofWA)'!#REF!</definedName>
    <definedName name="SFD_PROJ">'[7]Income Statement (WMofWA)'!#REF!</definedName>
    <definedName name="sfdbusunit">#REF!</definedName>
    <definedName name="SFV">[6]WTB!$DE$4</definedName>
    <definedName name="SFV_BU">'[7]Income Statement (WMofWA)'!#REF!</definedName>
    <definedName name="SFV_CUR">#REF!</definedName>
    <definedName name="SFV_CUR1">'[6]2008 West Group IS'!$AM$9</definedName>
    <definedName name="SFV_CUR5">'[6]2008 Group Office IS'!$AM$9</definedName>
    <definedName name="SFV_DEPTID">'[7]Income Statement (WMofWA)'!#REF!</definedName>
    <definedName name="SFV_OP">'[7]Income Statement (WMofWA)'!#REF!</definedName>
    <definedName name="SFV_PROD">'[7]Income Statement (WMofWA)'!#REF!</definedName>
    <definedName name="SFV_PROJ">'[7]Income Statement (WMofWA)'!#REF!</definedName>
    <definedName name="slope" localSheetId="4">'[23]LG Nonpublic 2018 V5.2a'!$Y$58</definedName>
    <definedName name="slope" localSheetId="3">'[23]LG Nonpublic 2018 V5.2a'!$Y$58</definedName>
    <definedName name="slope" localSheetId="0">'LG Nonpublic 2018 V5.2a'!$Y$58</definedName>
    <definedName name="slope" localSheetId="2">'[23]LG Nonpublic 2018 V5.2a'!$Y$58</definedName>
    <definedName name="slope">'[24]LG Nonpublic 2018 V5.0'!$X$58</definedName>
    <definedName name="sort">#REF!</definedName>
    <definedName name="Sort1">#REF!</definedName>
    <definedName name="sortcol" localSheetId="8">#REF!</definedName>
    <definedName name="sortcol">'[15]IS-Murrey''s'!#REF!</definedName>
    <definedName name="Source">[17]DropDownRanges!$D$4:$D$7</definedName>
    <definedName name="sSRCDate">'[25]Feb''12 FAR Data'!#REF!</definedName>
    <definedName name="start">#REF!</definedName>
    <definedName name="Stop">'[12]O-9'!#REF!</definedName>
    <definedName name="SubSystems">#REF!</definedName>
    <definedName name="SUMMARY">#REF!</definedName>
    <definedName name="Summary_DistrictName">[26]Summary!$B$7</definedName>
    <definedName name="Summary_DistrictNo">[26]Summary!$B$5</definedName>
    <definedName name="Supplemental_filter">[3]Settings!$C$31</definedName>
    <definedName name="SWDisposal" localSheetId="8">#N/A</definedName>
    <definedName name="SWDisposal">#REF!</definedName>
    <definedName name="System">[27]BS_Close!$V$8</definedName>
    <definedName name="Systems">#REF!</definedName>
    <definedName name="taxrate" localSheetId="0">'LG Nonpublic 2018 V5.2a'!$J$38</definedName>
    <definedName name="TemplateEnd">#REF!</definedName>
    <definedName name="TemplateStart">#REF!</definedName>
    <definedName name="TheTable">#REF!</definedName>
    <definedName name="TheTableOLD">#REF!</definedName>
    <definedName name="timeseries">[3]Orientation!$B$6:$C$13</definedName>
    <definedName name="Title2">'[12]O-9'!#REF!</definedName>
    <definedName name="ToMonth">#REF!</definedName>
    <definedName name="Tons">#REF!</definedName>
    <definedName name="TOP">'[4]10800-10899'!#REF!</definedName>
    <definedName name="Total_Comm">'[9]Tariff Rate Sheet'!$L$214</definedName>
    <definedName name="Total_DB">'[9]Tariff Rate Sheet'!$L$278</definedName>
    <definedName name="Total_Interest">'[28]Amortization Table'!$F$18</definedName>
    <definedName name="Total_Resi">'[9]Tariff Rate Sheet'!$L$107</definedName>
    <definedName name="Transactions">#REF!</definedName>
    <definedName name="UnregulatedIS">'[19]2010 IS'!$A$12:$Q$654</definedName>
    <definedName name="Variables">'[7]Income Statement (WMofWA)'!#REF!</definedName>
    <definedName name="VendorCode">#REF!</definedName>
    <definedName name="Version">[13]Data!#REF!</definedName>
    <definedName name="Waste_Management__Inc.">#REF!</definedName>
    <definedName name="WM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localSheetId="0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[3]Orientation!$G$15</definedName>
    <definedName name="xtabin">[5]Hidden!#REF!</definedName>
    <definedName name="xx">#REF!</definedName>
    <definedName name="xxx">#REF!</definedName>
    <definedName name="xxxx">#REF!</definedName>
    <definedName name="y_inter1" localSheetId="4">'[23]LG Nonpublic 2018 V5.2a'!$X$55</definedName>
    <definedName name="y_inter1" localSheetId="3">'[23]LG Nonpublic 2018 V5.2a'!$X$55</definedName>
    <definedName name="y_inter1" localSheetId="0">'LG Nonpublic 2018 V5.2a'!$X$55</definedName>
    <definedName name="y_inter1" localSheetId="2">'[23]LG Nonpublic 2018 V5.2a'!$X$55</definedName>
    <definedName name="y_inter1">'[24]LG Nonpublic 2018 V5.0'!$W$55</definedName>
    <definedName name="y_inter2" localSheetId="4">'[23]LG Nonpublic 2018 V5.2a'!$X$56</definedName>
    <definedName name="y_inter2" localSheetId="3">'[23]LG Nonpublic 2018 V5.2a'!$X$56</definedName>
    <definedName name="y_inter2" localSheetId="0">'LG Nonpublic 2018 V5.2a'!$X$56</definedName>
    <definedName name="y_inter2" localSheetId="2">'[23]LG Nonpublic 2018 V5.2a'!$X$56</definedName>
    <definedName name="y_inter2">'[24]LG Nonpublic 2018 V5.0'!$W$56</definedName>
    <definedName name="y_inter3" localSheetId="4">'[23]LG Nonpublic 2018 V5.2a'!$Z$55</definedName>
    <definedName name="y_inter3" localSheetId="3">'[23]LG Nonpublic 2018 V5.2a'!$Z$55</definedName>
    <definedName name="y_inter3" localSheetId="0">'LG Nonpublic 2018 V5.2a'!$Z$55</definedName>
    <definedName name="y_inter3" localSheetId="2">'[23]LG Nonpublic 2018 V5.2a'!$Z$55</definedName>
    <definedName name="y_inter3">'[24]LG Nonpublic 2018 V5.0'!$Y$55</definedName>
    <definedName name="y_inter4" localSheetId="4">'[23]LG Nonpublic 2018 V5.2a'!$Z$56</definedName>
    <definedName name="y_inter4" localSheetId="3">'[23]LG Nonpublic 2018 V5.2a'!$Z$56</definedName>
    <definedName name="y_inter4" localSheetId="0">'LG Nonpublic 2018 V5.2a'!$Z$56</definedName>
    <definedName name="y_inter4" localSheetId="2">'[23]LG Nonpublic 2018 V5.2a'!$Z$56</definedName>
    <definedName name="y_inter4">'[24]LG Nonpublic 2018 V5.0'!$Y$56</definedName>
    <definedName name="YEAR4">#REF!</definedName>
    <definedName name="YearMonth">'[14]Vashon BS'!#REF!</definedName>
    <definedName name="yrCur">'[29]Report Template'!$B$2002</definedName>
    <definedName name="yrNext">'[29]Report Template'!$B$2003</definedName>
    <definedName name="YWMedWasteDisp" localSheetId="8">#N/A</definedName>
    <definedName name="YWMedWasteDisp">#REF!</definedName>
    <definedName name="yy">#REF!</definedName>
    <definedName name="Zero_Format">#REF!</definedName>
  </definedNames>
  <calcPr calcId="191028" calcMode="autoNoTable" iterate="1" iterateCount="200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5" l="1"/>
  <c r="K12" i="5"/>
  <c r="K6" i="5"/>
  <c r="K7" i="5"/>
  <c r="K8" i="5"/>
  <c r="K9" i="5"/>
  <c r="K10" i="5"/>
  <c r="K11" i="5"/>
  <c r="K13" i="5"/>
  <c r="K14" i="5"/>
  <c r="K15" i="5"/>
  <c r="K16" i="5"/>
  <c r="K17" i="5"/>
  <c r="K18" i="5"/>
  <c r="K19" i="5"/>
  <c r="K20" i="5"/>
  <c r="K21" i="5"/>
  <c r="K22" i="5"/>
  <c r="J5" i="5"/>
  <c r="C7" i="7"/>
  <c r="C6" i="7"/>
  <c r="C5" i="7"/>
  <c r="F11" i="9"/>
  <c r="H9" i="9"/>
  <c r="J9" i="9" s="1"/>
  <c r="K9" i="9" s="1"/>
  <c r="H7" i="9"/>
  <c r="I7" i="9" s="1"/>
  <c r="J7" i="9" s="1"/>
  <c r="K7" i="9" s="1"/>
  <c r="H5" i="9"/>
  <c r="I5" i="9" s="1"/>
  <c r="J5" i="9" s="1"/>
  <c r="K5" i="9" s="1"/>
  <c r="K11" i="9" s="1"/>
  <c r="D51" i="8"/>
  <c r="D36" i="8"/>
  <c r="D45" i="8" s="1"/>
  <c r="D22" i="8"/>
  <c r="D15" i="8"/>
  <c r="D16" i="8" s="1"/>
  <c r="D7" i="8"/>
  <c r="D11" i="8" s="1"/>
  <c r="S59" i="7"/>
  <c r="U57" i="7"/>
  <c r="U56" i="7"/>
  <c r="J46" i="7"/>
  <c r="J45" i="7"/>
  <c r="J44" i="7"/>
  <c r="J43" i="7"/>
  <c r="V39" i="7"/>
  <c r="V38" i="7"/>
  <c r="J38" i="7"/>
  <c r="V37" i="7"/>
  <c r="V36" i="7"/>
  <c r="V31" i="7"/>
  <c r="V29" i="7"/>
  <c r="V28" i="7"/>
  <c r="V27" i="7"/>
  <c r="K27" i="7"/>
  <c r="I27" i="7"/>
  <c r="V23" i="7"/>
  <c r="V21" i="7"/>
  <c r="V19" i="7"/>
  <c r="V18" i="7"/>
  <c r="V17" i="7"/>
  <c r="V16" i="7"/>
  <c r="V14" i="7"/>
  <c r="AA13" i="7"/>
  <c r="V13" i="7"/>
  <c r="V12" i="7"/>
  <c r="V11" i="7"/>
  <c r="F11" i="7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10" i="7"/>
  <c r="V9" i="7"/>
  <c r="V8" i="7"/>
  <c r="F8" i="7"/>
  <c r="F9" i="7" s="1"/>
  <c r="AA7" i="7"/>
  <c r="V7" i="7"/>
  <c r="J28" i="7"/>
  <c r="V6" i="7"/>
  <c r="I8" i="7"/>
  <c r="I7" i="7"/>
  <c r="I32" i="6"/>
  <c r="G32" i="6"/>
  <c r="G36" i="6" s="1"/>
  <c r="G37" i="6" s="1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32" i="6" s="1"/>
  <c r="H12" i="6"/>
  <c r="H32" i="6" s="1"/>
  <c r="I9" i="6"/>
  <c r="H9" i="6"/>
  <c r="G9" i="6"/>
  <c r="J8" i="6"/>
  <c r="J7" i="6"/>
  <c r="J6" i="6"/>
  <c r="J5" i="6"/>
  <c r="J9" i="6" s="1"/>
  <c r="J36" i="6" s="1"/>
  <c r="J37" i="6" s="1"/>
  <c r="S7" i="7" l="1"/>
  <c r="I16" i="7"/>
  <c r="H11" i="9"/>
  <c r="D27" i="8"/>
  <c r="T7" i="7"/>
  <c r="U7" i="7" s="1"/>
  <c r="W7" i="7" s="1"/>
  <c r="X7" i="7" s="1"/>
  <c r="Y7" i="7" s="1"/>
  <c r="Z7" i="7" s="1"/>
  <c r="AB7" i="7" s="1"/>
  <c r="AC7" i="7" s="1"/>
  <c r="AD7" i="7" s="1"/>
  <c r="AE7" i="7" s="1"/>
  <c r="AF7" i="7" s="1"/>
  <c r="L27" i="7"/>
  <c r="AA26" i="7"/>
  <c r="AA11" i="7"/>
  <c r="AA16" i="7"/>
  <c r="AA18" i="7"/>
  <c r="S9" i="7"/>
  <c r="S8" i="7"/>
  <c r="J19" i="7"/>
  <c r="S6" i="7"/>
  <c r="I9" i="7"/>
  <c r="AA19" i="7"/>
  <c r="AA6" i="7"/>
  <c r="AA23" i="7"/>
  <c r="Y68" i="7"/>
  <c r="K38" i="7"/>
  <c r="Z68" i="7" s="1"/>
  <c r="J47" i="7"/>
  <c r="K8" i="7"/>
  <c r="AA38" i="7"/>
  <c r="AA37" i="7"/>
  <c r="AA36" i="7"/>
  <c r="AA29" i="7"/>
  <c r="AA27" i="7"/>
  <c r="J27" i="7"/>
  <c r="M27" i="7" s="1"/>
  <c r="K11" i="7" s="1"/>
  <c r="I26" i="7"/>
  <c r="AA32" i="7"/>
  <c r="AA22" i="7"/>
  <c r="AA21" i="7"/>
  <c r="AA12" i="7"/>
  <c r="AA9" i="7"/>
  <c r="AA8" i="7"/>
  <c r="AA39" i="7"/>
  <c r="AA33" i="7"/>
  <c r="AA31" i="7"/>
  <c r="AA28" i="7"/>
  <c r="AA24" i="7"/>
  <c r="AA17" i="7"/>
  <c r="AA14" i="7"/>
  <c r="AA34" i="7"/>
  <c r="V34" i="7"/>
  <c r="V33" i="7"/>
  <c r="V32" i="7"/>
  <c r="V26" i="7"/>
  <c r="V24" i="7"/>
  <c r="V22" i="7"/>
  <c r="I11" i="7" l="1"/>
  <c r="M11" i="7"/>
  <c r="J26" i="7"/>
  <c r="I28" i="7"/>
  <c r="T9" i="7"/>
  <c r="U9" i="7" s="1"/>
  <c r="W9" i="7" s="1"/>
  <c r="X9" i="7" s="1"/>
  <c r="Y9" i="7" s="1"/>
  <c r="Z9" i="7" s="1"/>
  <c r="AB9" i="7" s="1"/>
  <c r="AC9" i="7" s="1"/>
  <c r="AD9" i="7" s="1"/>
  <c r="AE9" i="7" s="1"/>
  <c r="AF9" i="7" s="1"/>
  <c r="T6" i="7"/>
  <c r="U6" i="7" s="1"/>
  <c r="W6" i="7" s="1"/>
  <c r="X6" i="7" s="1"/>
  <c r="Y6" i="7" s="1"/>
  <c r="Z6" i="7" s="1"/>
  <c r="AB6" i="7" s="1"/>
  <c r="AC6" i="7" s="1"/>
  <c r="AD6" i="7" s="1"/>
  <c r="AE6" i="7" s="1"/>
  <c r="AF6" i="7" s="1"/>
  <c r="T8" i="7"/>
  <c r="U8" i="7" s="1"/>
  <c r="W8" i="7" s="1"/>
  <c r="X8" i="7" s="1"/>
  <c r="Y8" i="7" s="1"/>
  <c r="Z8" i="7" s="1"/>
  <c r="AB8" i="7" s="1"/>
  <c r="AC8" i="7" s="1"/>
  <c r="AD8" i="7" s="1"/>
  <c r="AE8" i="7" s="1"/>
  <c r="AF8" i="7" s="1"/>
  <c r="H22" i="5" l="1"/>
  <c r="K28" i="5"/>
  <c r="K29" i="5"/>
  <c r="D28" i="2"/>
  <c r="D25" i="2"/>
  <c r="D22" i="2"/>
  <c r="D19" i="2"/>
  <c r="D16" i="2"/>
  <c r="D15" i="2"/>
  <c r="M8" i="5"/>
  <c r="M7" i="5"/>
  <c r="Q39" i="2"/>
  <c r="C12" i="2"/>
  <c r="F12" i="2" s="1"/>
  <c r="I12" i="2"/>
  <c r="J12" i="2"/>
  <c r="K12" i="2" s="1"/>
  <c r="M12" i="2"/>
  <c r="N12" i="2"/>
  <c r="O12" i="2"/>
  <c r="R12" i="2"/>
  <c r="S12" i="2" s="1"/>
  <c r="AV12" i="2"/>
  <c r="AW12" i="2"/>
  <c r="AY12" i="2"/>
  <c r="AZ12" i="2"/>
  <c r="B31" i="2"/>
  <c r="C29" i="5"/>
  <c r="E38" i="2"/>
  <c r="D36" i="2"/>
  <c r="E36" i="2" s="1"/>
  <c r="D37" i="2"/>
  <c r="E37" i="2" s="1"/>
  <c r="D38" i="2"/>
  <c r="D39" i="2"/>
  <c r="D35" i="2"/>
  <c r="E35" i="2" s="1"/>
  <c r="E14" i="2"/>
  <c r="AV37" i="2" l="1"/>
  <c r="E39" i="2"/>
  <c r="D29" i="5" l="1"/>
  <c r="E29" i="5" s="1"/>
  <c r="D28" i="5"/>
  <c r="D6" i="5"/>
  <c r="D7" i="5"/>
  <c r="D8" i="5"/>
  <c r="D9" i="5"/>
  <c r="D10" i="5"/>
  <c r="D11" i="5"/>
  <c r="D12" i="5"/>
  <c r="D13" i="5"/>
  <c r="E13" i="5" s="1"/>
  <c r="D14" i="5"/>
  <c r="D15" i="5"/>
  <c r="D16" i="5"/>
  <c r="D17" i="5"/>
  <c r="D18" i="5"/>
  <c r="D19" i="5"/>
  <c r="D20" i="5"/>
  <c r="D21" i="5"/>
  <c r="D22" i="5"/>
  <c r="C5" i="5"/>
  <c r="C6" i="5"/>
  <c r="C7" i="5"/>
  <c r="C8" i="5"/>
  <c r="E8" i="5" s="1"/>
  <c r="C9" i="5"/>
  <c r="C10" i="5"/>
  <c r="C11" i="5"/>
  <c r="C12" i="5"/>
  <c r="E12" i="5" s="1"/>
  <c r="C13" i="5"/>
  <c r="C14" i="5"/>
  <c r="C15" i="5"/>
  <c r="C16" i="5"/>
  <c r="E16" i="5" s="1"/>
  <c r="C17" i="5"/>
  <c r="C18" i="5"/>
  <c r="C19" i="5"/>
  <c r="C20" i="5"/>
  <c r="C21" i="5"/>
  <c r="C22" i="5"/>
  <c r="L37" i="2"/>
  <c r="Q38" i="2"/>
  <c r="Q37" i="2"/>
  <c r="Q36" i="2"/>
  <c r="Q35" i="2"/>
  <c r="L38" i="2"/>
  <c r="C36" i="2"/>
  <c r="C18" i="2"/>
  <c r="C28" i="5"/>
  <c r="B32" i="2"/>
  <c r="C31" i="2"/>
  <c r="AG7" i="2"/>
  <c r="Z4" i="2"/>
  <c r="C13" i="2"/>
  <c r="F13" i="2" s="1"/>
  <c r="D5" i="5"/>
  <c r="E5" i="5" s="1"/>
  <c r="E18" i="1"/>
  <c r="B18" i="1"/>
  <c r="B7" i="1"/>
  <c r="D38" i="1"/>
  <c r="D37" i="1"/>
  <c r="E15" i="5" l="1"/>
  <c r="E11" i="5"/>
  <c r="E19" i="5"/>
  <c r="E22" i="5"/>
  <c r="E18" i="5"/>
  <c r="E14" i="5"/>
  <c r="E10" i="5"/>
  <c r="E6" i="5"/>
  <c r="E21" i="5"/>
  <c r="E20" i="5"/>
  <c r="E17" i="5"/>
  <c r="E9" i="5"/>
  <c r="E7" i="5"/>
  <c r="C39" i="2"/>
  <c r="C32" i="5"/>
  <c r="E32" i="5" s="1"/>
  <c r="C37" i="2"/>
  <c r="C30" i="5"/>
  <c r="E30" i="5" s="1"/>
  <c r="I37" i="2"/>
  <c r="E28" i="5"/>
  <c r="C38" i="2"/>
  <c r="C31" i="5"/>
  <c r="C23" i="5"/>
  <c r="C35" i="2"/>
  <c r="E23" i="5" l="1"/>
  <c r="E31" i="5"/>
  <c r="E33" i="5" s="1"/>
  <c r="AY37" i="2"/>
  <c r="N37" i="2"/>
  <c r="AW37" i="2"/>
  <c r="L24" i="2"/>
  <c r="L25" i="2" s="1"/>
  <c r="L30" i="2" s="1"/>
  <c r="L21" i="2"/>
  <c r="C27" i="3"/>
  <c r="C25" i="3"/>
  <c r="E19" i="3"/>
  <c r="L18" i="2"/>
  <c r="L20" i="2" s="1"/>
  <c r="L14" i="2"/>
  <c r="L16" i="2" s="1"/>
  <c r="L17" i="2" s="1"/>
  <c r="C56" i="3"/>
  <c r="C55" i="3"/>
  <c r="C53" i="3"/>
  <c r="C52" i="3"/>
  <c r="C51" i="3"/>
  <c r="C49" i="3"/>
  <c r="C48" i="3"/>
  <c r="C47" i="3"/>
  <c r="C46" i="3"/>
  <c r="C44" i="3"/>
  <c r="C43" i="3"/>
  <c r="C42" i="3"/>
  <c r="I13" i="3"/>
  <c r="E13" i="3"/>
  <c r="C13" i="3"/>
  <c r="H13" i="3" s="1"/>
  <c r="C12" i="3"/>
  <c r="G12" i="3" s="1"/>
  <c r="C11" i="3"/>
  <c r="F11" i="3" s="1"/>
  <c r="C10" i="3"/>
  <c r="I10" i="3" s="1"/>
  <c r="I9" i="3"/>
  <c r="E9" i="3"/>
  <c r="C9" i="3"/>
  <c r="H9" i="3" s="1"/>
  <c r="C8" i="3"/>
  <c r="G8" i="3" s="1"/>
  <c r="C7" i="3"/>
  <c r="F7" i="3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 s="1"/>
  <c r="K18" i="2" s="1"/>
  <c r="I19" i="2"/>
  <c r="J19" i="2" s="1"/>
  <c r="K19" i="2" s="1"/>
  <c r="I20" i="2"/>
  <c r="J20" i="2" s="1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J28" i="2" s="1"/>
  <c r="K28" i="2" s="1"/>
  <c r="I29" i="2"/>
  <c r="J29" i="2" s="1"/>
  <c r="K29" i="2" s="1"/>
  <c r="I30" i="2"/>
  <c r="J30" i="2" s="1"/>
  <c r="K30" i="2" s="1"/>
  <c r="I13" i="2"/>
  <c r="AV29" i="2"/>
  <c r="AV26" i="2"/>
  <c r="AV25" i="2"/>
  <c r="AV24" i="2"/>
  <c r="AV23" i="2"/>
  <c r="AV22" i="2"/>
  <c r="AV21" i="2"/>
  <c r="AV20" i="2"/>
  <c r="AV19" i="2"/>
  <c r="AV18" i="2"/>
  <c r="AV17" i="2"/>
  <c r="E15" i="2"/>
  <c r="E16" i="2"/>
  <c r="E17" i="2"/>
  <c r="E18" i="2"/>
  <c r="R18" i="2" s="1"/>
  <c r="S18" i="2" s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R31" i="2" s="1"/>
  <c r="S31" i="2" s="1"/>
  <c r="E13" i="2"/>
  <c r="C14" i="2"/>
  <c r="C15" i="2"/>
  <c r="C16" i="2"/>
  <c r="C17" i="2"/>
  <c r="C19" i="2"/>
  <c r="C20" i="2"/>
  <c r="C21" i="2"/>
  <c r="C22" i="2"/>
  <c r="C23" i="2"/>
  <c r="R23" i="2" s="1"/>
  <c r="S23" i="2" s="1"/>
  <c r="C24" i="2"/>
  <c r="C25" i="2"/>
  <c r="C26" i="2"/>
  <c r="C27" i="2"/>
  <c r="R27" i="2" s="1"/>
  <c r="S27" i="2" s="1"/>
  <c r="C28" i="2"/>
  <c r="C29" i="2"/>
  <c r="C30" i="2"/>
  <c r="P23" i="1"/>
  <c r="B19" i="1"/>
  <c r="J5" i="1"/>
  <c r="E35" i="5" l="1"/>
  <c r="E38" i="5" s="1"/>
  <c r="E40" i="5" s="1"/>
  <c r="R19" i="2"/>
  <c r="S19" i="2" s="1"/>
  <c r="R15" i="2"/>
  <c r="S15" i="2" s="1"/>
  <c r="N30" i="2"/>
  <c r="N16" i="2"/>
  <c r="L23" i="2"/>
  <c r="N23" i="2" s="1"/>
  <c r="M21" i="2"/>
  <c r="N17" i="2"/>
  <c r="R28" i="2"/>
  <c r="S28" i="2" s="1"/>
  <c r="R24" i="2"/>
  <c r="S24" i="2" s="1"/>
  <c r="R20" i="2"/>
  <c r="S20" i="2" s="1"/>
  <c r="R30" i="2"/>
  <c r="S30" i="2" s="1"/>
  <c r="R26" i="2"/>
  <c r="S26" i="2" s="1"/>
  <c r="R22" i="2"/>
  <c r="S22" i="2" s="1"/>
  <c r="R14" i="2"/>
  <c r="S14" i="2" s="1"/>
  <c r="L22" i="2"/>
  <c r="N22" i="2" s="1"/>
  <c r="L26" i="2"/>
  <c r="R29" i="2"/>
  <c r="S29" i="2" s="1"/>
  <c r="R25" i="2"/>
  <c r="S25" i="2" s="1"/>
  <c r="R21" i="2"/>
  <c r="S21" i="2" s="1"/>
  <c r="R17" i="2"/>
  <c r="S17" i="2" s="1"/>
  <c r="N13" i="2"/>
  <c r="R13" i="2"/>
  <c r="AW22" i="2"/>
  <c r="AW26" i="2"/>
  <c r="L29" i="2"/>
  <c r="N24" i="2"/>
  <c r="N20" i="2"/>
  <c r="F26" i="2"/>
  <c r="F22" i="2"/>
  <c r="F18" i="2"/>
  <c r="F14" i="2"/>
  <c r="AW20" i="2"/>
  <c r="AW23" i="2"/>
  <c r="AW29" i="2"/>
  <c r="N29" i="2"/>
  <c r="N15" i="2"/>
  <c r="F27" i="2"/>
  <c r="F19" i="2"/>
  <c r="F25" i="2"/>
  <c r="F21" i="2"/>
  <c r="F17" i="2"/>
  <c r="AW17" i="2"/>
  <c r="AW24" i="2"/>
  <c r="N26" i="2"/>
  <c r="N18" i="2"/>
  <c r="N14" i="2"/>
  <c r="F29" i="2"/>
  <c r="F23" i="2"/>
  <c r="F15" i="2"/>
  <c r="AW19" i="2"/>
  <c r="R16" i="2"/>
  <c r="S16" i="2" s="1"/>
  <c r="F30" i="2"/>
  <c r="F28" i="2"/>
  <c r="F24" i="2"/>
  <c r="F20" i="2"/>
  <c r="F16" i="2"/>
  <c r="AW18" i="2"/>
  <c r="AW21" i="2"/>
  <c r="AW25" i="2"/>
  <c r="N25" i="2"/>
  <c r="N21" i="2"/>
  <c r="O21" i="2" s="1"/>
  <c r="F8" i="3"/>
  <c r="F12" i="3"/>
  <c r="F10" i="3"/>
  <c r="H8" i="3"/>
  <c r="H12" i="3"/>
  <c r="D8" i="3"/>
  <c r="I8" i="3"/>
  <c r="D12" i="3"/>
  <c r="I12" i="3"/>
  <c r="L19" i="2"/>
  <c r="N19" i="2" s="1"/>
  <c r="E8" i="3"/>
  <c r="E12" i="3"/>
  <c r="G7" i="3"/>
  <c r="G11" i="3"/>
  <c r="D7" i="3"/>
  <c r="H7" i="3"/>
  <c r="F9" i="3"/>
  <c r="G10" i="3"/>
  <c r="D11" i="3"/>
  <c r="H11" i="3"/>
  <c r="F13" i="3"/>
  <c r="E7" i="3"/>
  <c r="I7" i="3"/>
  <c r="G9" i="3"/>
  <c r="D10" i="3"/>
  <c r="H10" i="3"/>
  <c r="E11" i="3"/>
  <c r="I11" i="3"/>
  <c r="G13" i="3"/>
  <c r="D9" i="3"/>
  <c r="E10" i="3"/>
  <c r="D13" i="3"/>
  <c r="H8" i="1" l="1"/>
  <c r="B8" i="2"/>
  <c r="B6" i="2"/>
  <c r="AK66" i="2" l="1"/>
  <c r="AG66" i="2"/>
  <c r="AE66" i="2"/>
  <c r="AA66" i="2"/>
  <c r="S66" i="2"/>
  <c r="R66" i="2"/>
  <c r="B66" i="2"/>
  <c r="C8" i="2"/>
  <c r="AH53" i="2"/>
  <c r="AF53" i="2"/>
  <c r="AB53" i="2"/>
  <c r="X53" i="2"/>
  <c r="T53" i="2"/>
  <c r="B53" i="2"/>
  <c r="AV52" i="2"/>
  <c r="I52" i="2"/>
  <c r="J52" i="2" s="1"/>
  <c r="K52" i="2" s="1"/>
  <c r="AY52" i="2"/>
  <c r="AV51" i="2"/>
  <c r="I51" i="2"/>
  <c r="J51" i="2" s="1"/>
  <c r="K51" i="2" s="1"/>
  <c r="AV50" i="2"/>
  <c r="AZ50" i="2" s="1"/>
  <c r="I50" i="2"/>
  <c r="J50" i="2" s="1"/>
  <c r="K50" i="2" s="1"/>
  <c r="R50" i="2"/>
  <c r="S50" i="2" s="1"/>
  <c r="AV49" i="2"/>
  <c r="AZ49" i="2" s="1"/>
  <c r="I49" i="2"/>
  <c r="J49" i="2" s="1"/>
  <c r="K49" i="2" s="1"/>
  <c r="AV48" i="2"/>
  <c r="I48" i="2"/>
  <c r="J48" i="2" s="1"/>
  <c r="K48" i="2" s="1"/>
  <c r="AV47" i="2"/>
  <c r="I47" i="2"/>
  <c r="J47" i="2" s="1"/>
  <c r="K47" i="2" s="1"/>
  <c r="AV46" i="2"/>
  <c r="AZ46" i="2" s="1"/>
  <c r="I46" i="2"/>
  <c r="J46" i="2" s="1"/>
  <c r="K46" i="2" s="1"/>
  <c r="AV45" i="2"/>
  <c r="I45" i="2"/>
  <c r="J45" i="2" s="1"/>
  <c r="K45" i="2" s="1"/>
  <c r="AV44" i="2"/>
  <c r="AZ44" i="2" s="1"/>
  <c r="I44" i="2"/>
  <c r="J44" i="2" s="1"/>
  <c r="K44" i="2" s="1"/>
  <c r="AV43" i="2"/>
  <c r="I43" i="2"/>
  <c r="AV42" i="2"/>
  <c r="AZ42" i="2" s="1"/>
  <c r="I42" i="2"/>
  <c r="J42" i="2" s="1"/>
  <c r="K42" i="2" s="1"/>
  <c r="AV41" i="2"/>
  <c r="I41" i="2"/>
  <c r="J41" i="2" s="1"/>
  <c r="K41" i="2" s="1"/>
  <c r="AV40" i="2"/>
  <c r="I40" i="2"/>
  <c r="J40" i="2" s="1"/>
  <c r="K40" i="2" s="1"/>
  <c r="AV39" i="2"/>
  <c r="I39" i="2"/>
  <c r="J39" i="2" s="1"/>
  <c r="K39" i="2" s="1"/>
  <c r="AV38" i="2"/>
  <c r="R38" i="2"/>
  <c r="S38" i="2" s="1"/>
  <c r="N38" i="2"/>
  <c r="I38" i="2"/>
  <c r="J38" i="2" s="1"/>
  <c r="K38" i="2" s="1"/>
  <c r="F38" i="2"/>
  <c r="J37" i="2"/>
  <c r="K37" i="2" s="1"/>
  <c r="AV36" i="2"/>
  <c r="AZ36" i="2" s="1"/>
  <c r="I36" i="2"/>
  <c r="J36" i="2" s="1"/>
  <c r="K36" i="2" s="1"/>
  <c r="AV35" i="2"/>
  <c r="AZ35" i="2" s="1"/>
  <c r="Q53" i="2"/>
  <c r="I35" i="2"/>
  <c r="AY35" i="2"/>
  <c r="AH32" i="2"/>
  <c r="AG32" i="2"/>
  <c r="AF32" i="2"/>
  <c r="AB32" i="2"/>
  <c r="X32" i="2"/>
  <c r="AV31" i="2"/>
  <c r="AZ31" i="2" s="1"/>
  <c r="L31" i="2"/>
  <c r="I31" i="2"/>
  <c r="J31" i="2" s="1"/>
  <c r="K31" i="2" s="1"/>
  <c r="AV28" i="2"/>
  <c r="N28" i="2"/>
  <c r="AV27" i="2"/>
  <c r="L27" i="2"/>
  <c r="N27" i="2" s="1"/>
  <c r="AV16" i="2"/>
  <c r="AZ16" i="2" s="1"/>
  <c r="AV15" i="2"/>
  <c r="AV14" i="2"/>
  <c r="AZ14" i="2" s="1"/>
  <c r="AV13" i="2"/>
  <c r="J13" i="2"/>
  <c r="K13" i="2" s="1"/>
  <c r="AK9" i="2"/>
  <c r="AH9" i="2"/>
  <c r="AG9" i="2"/>
  <c r="AE9" i="2"/>
  <c r="AA9" i="2"/>
  <c r="X9" i="2"/>
  <c r="S9" i="2"/>
  <c r="R9" i="2"/>
  <c r="G9" i="2"/>
  <c r="B9" i="2"/>
  <c r="AK8" i="2"/>
  <c r="AG8" i="2"/>
  <c r="AE8" i="2"/>
  <c r="AA8" i="2"/>
  <c r="S8" i="2"/>
  <c r="R8" i="2"/>
  <c r="AH7" i="2"/>
  <c r="AF7" i="2"/>
  <c r="AB7" i="2"/>
  <c r="X7" i="2"/>
  <c r="T7" i="2"/>
  <c r="B7" i="2"/>
  <c r="AH6" i="2"/>
  <c r="AG6" i="2"/>
  <c r="AG5" i="2" s="1"/>
  <c r="AF6" i="2"/>
  <c r="AB6" i="2"/>
  <c r="X6" i="2"/>
  <c r="T6" i="2"/>
  <c r="G6" i="2"/>
  <c r="Y4" i="2"/>
  <c r="P32" i="1"/>
  <c r="AL4" i="2" s="1"/>
  <c r="M32" i="1"/>
  <c r="AH4" i="2" s="1"/>
  <c r="K32" i="1"/>
  <c r="AF4" i="2" s="1"/>
  <c r="G32" i="1"/>
  <c r="AB4" i="2" s="1"/>
  <c r="D32" i="1"/>
  <c r="R31" i="1"/>
  <c r="E30" i="1"/>
  <c r="S30" i="1" s="1"/>
  <c r="Q29" i="1"/>
  <c r="Q32" i="1" s="1"/>
  <c r="AM4" i="2" s="1"/>
  <c r="L26" i="1"/>
  <c r="S23" i="1"/>
  <c r="T23" i="1" s="1"/>
  <c r="E22" i="1"/>
  <c r="S22" i="1" s="1"/>
  <c r="E21" i="1"/>
  <c r="S21" i="1" s="1"/>
  <c r="E20" i="1"/>
  <c r="S20" i="1" s="1"/>
  <c r="T20" i="1" s="1"/>
  <c r="E19" i="1"/>
  <c r="S19" i="1" s="1"/>
  <c r="T19" i="1" s="1"/>
  <c r="N17" i="1"/>
  <c r="N32" i="1" s="1"/>
  <c r="AJ4" i="2" s="1"/>
  <c r="F16" i="1"/>
  <c r="S16" i="1" s="1"/>
  <c r="T16" i="1" s="1"/>
  <c r="J15" i="1"/>
  <c r="S15" i="1" s="1"/>
  <c r="T15" i="1" s="1"/>
  <c r="E14" i="1"/>
  <c r="C13" i="1"/>
  <c r="C32" i="1" s="1"/>
  <c r="X4" i="2" s="1"/>
  <c r="O12" i="1"/>
  <c r="O32" i="1" s="1"/>
  <c r="AK4" i="2" s="1"/>
  <c r="S11" i="1"/>
  <c r="T11" i="1" s="1"/>
  <c r="I10" i="1"/>
  <c r="J9" i="1"/>
  <c r="S9" i="1" s="1"/>
  <c r="T9" i="1" s="1"/>
  <c r="H32" i="1"/>
  <c r="AC4" i="2" s="1"/>
  <c r="J6" i="1"/>
  <c r="S6" i="1" s="1"/>
  <c r="T6" i="1" s="1"/>
  <c r="AZ39" i="2" l="1"/>
  <c r="AW39" i="2"/>
  <c r="AZ38" i="2"/>
  <c r="AW38" i="2"/>
  <c r="C32" i="2"/>
  <c r="J8" i="2"/>
  <c r="K9" i="2"/>
  <c r="C9" i="2"/>
  <c r="I9" i="2"/>
  <c r="B5" i="2"/>
  <c r="J9" i="2"/>
  <c r="I8" i="2"/>
  <c r="Q7" i="2"/>
  <c r="Q9" i="2"/>
  <c r="I32" i="2"/>
  <c r="R32" i="1"/>
  <c r="AN4" i="2" s="1"/>
  <c r="S31" i="1"/>
  <c r="T31" i="1" s="1"/>
  <c r="S13" i="2"/>
  <c r="AY13" i="2"/>
  <c r="AZ13" i="2"/>
  <c r="AW13" i="2"/>
  <c r="AY16" i="2"/>
  <c r="AY27" i="2"/>
  <c r="AW27" i="2"/>
  <c r="AZ27" i="2"/>
  <c r="AZ28" i="2"/>
  <c r="AW28" i="2"/>
  <c r="Q6" i="2"/>
  <c r="N31" i="2"/>
  <c r="F31" i="2"/>
  <c r="F36" i="2"/>
  <c r="R36" i="2"/>
  <c r="S36" i="2" s="1"/>
  <c r="R37" i="2"/>
  <c r="S37" i="2" s="1"/>
  <c r="F37" i="2"/>
  <c r="AZ37" i="2"/>
  <c r="R39" i="2"/>
  <c r="S39" i="2" s="1"/>
  <c r="AY39" i="2"/>
  <c r="F39" i="2"/>
  <c r="AY40" i="2"/>
  <c r="N40" i="2"/>
  <c r="AW40" i="2"/>
  <c r="AZ40" i="2"/>
  <c r="N41" i="2"/>
  <c r="R41" i="2"/>
  <c r="S41" i="2" s="1"/>
  <c r="F41" i="2"/>
  <c r="F42" i="2"/>
  <c r="AY42" i="2"/>
  <c r="R42" i="2"/>
  <c r="S42" i="2" s="1"/>
  <c r="R43" i="2"/>
  <c r="S43" i="2" s="1"/>
  <c r="AY43" i="2"/>
  <c r="N43" i="2"/>
  <c r="F43" i="2"/>
  <c r="AZ43" i="2"/>
  <c r="AW43" i="2"/>
  <c r="AY45" i="2"/>
  <c r="R45" i="2"/>
  <c r="S45" i="2" s="1"/>
  <c r="N45" i="2"/>
  <c r="F45" i="2"/>
  <c r="AZ45" i="2"/>
  <c r="AW45" i="2"/>
  <c r="N46" i="2"/>
  <c r="AY46" i="2"/>
  <c r="AY47" i="2"/>
  <c r="R47" i="2"/>
  <c r="S47" i="2" s="1"/>
  <c r="N47" i="2"/>
  <c r="F47" i="2"/>
  <c r="G47" i="2" s="1"/>
  <c r="AW47" i="2"/>
  <c r="AZ47" i="2"/>
  <c r="AY49" i="2"/>
  <c r="R49" i="2"/>
  <c r="S49" i="2" s="1"/>
  <c r="N49" i="2"/>
  <c r="F49" i="2"/>
  <c r="G49" i="2" s="1"/>
  <c r="AY51" i="2"/>
  <c r="R51" i="2"/>
  <c r="S51" i="2" s="1"/>
  <c r="N51" i="2"/>
  <c r="F51" i="2"/>
  <c r="G51" i="2" s="1"/>
  <c r="AZ51" i="2"/>
  <c r="AW51" i="2"/>
  <c r="AZ52" i="2"/>
  <c r="AW52" i="2"/>
  <c r="C66" i="2"/>
  <c r="J25" i="1"/>
  <c r="S25" i="1" s="1"/>
  <c r="T25" i="1" s="1"/>
  <c r="S10" i="1"/>
  <c r="T10" i="1" s="1"/>
  <c r="L32" i="1"/>
  <c r="AG4" i="2" s="1"/>
  <c r="S26" i="1"/>
  <c r="T26" i="1" s="1"/>
  <c r="S5" i="1"/>
  <c r="S8" i="1"/>
  <c r="T8" i="1" s="1"/>
  <c r="T21" i="1"/>
  <c r="C6" i="2"/>
  <c r="J43" i="2"/>
  <c r="K43" i="2" s="1"/>
  <c r="I7" i="2"/>
  <c r="AY14" i="2"/>
  <c r="AW14" i="2"/>
  <c r="AW15" i="2"/>
  <c r="AZ15" i="2"/>
  <c r="S12" i="1"/>
  <c r="T12" i="1" s="1"/>
  <c r="S13" i="1"/>
  <c r="T13" i="1" s="1"/>
  <c r="S14" i="1"/>
  <c r="T14" i="1" s="1"/>
  <c r="S17" i="1"/>
  <c r="T17" i="1" s="1"/>
  <c r="E24" i="1"/>
  <c r="S24" i="1" s="1"/>
  <c r="T24" i="1" s="1"/>
  <c r="J28" i="1"/>
  <c r="S28" i="1" s="1"/>
  <c r="T28" i="1" s="1"/>
  <c r="S29" i="1"/>
  <c r="T29" i="1" s="1"/>
  <c r="R44" i="2"/>
  <c r="S44" i="2" s="1"/>
  <c r="AW44" i="2"/>
  <c r="F44" i="2"/>
  <c r="AY44" i="2"/>
  <c r="N44" i="2"/>
  <c r="T22" i="1"/>
  <c r="I27" i="1"/>
  <c r="S27" i="1" s="1"/>
  <c r="T27" i="1" s="1"/>
  <c r="T30" i="1"/>
  <c r="I6" i="2"/>
  <c r="Q32" i="2"/>
  <c r="C53" i="2"/>
  <c r="R35" i="2"/>
  <c r="C7" i="2"/>
  <c r="N35" i="2"/>
  <c r="F35" i="2"/>
  <c r="AY15" i="2"/>
  <c r="AY28" i="2"/>
  <c r="AW31" i="2"/>
  <c r="AW36" i="2"/>
  <c r="AY38" i="2"/>
  <c r="AY31" i="2"/>
  <c r="I53" i="2"/>
  <c r="J35" i="2"/>
  <c r="N36" i="2"/>
  <c r="AY36" i="2"/>
  <c r="AY48" i="2"/>
  <c r="R48" i="2"/>
  <c r="S48" i="2" s="1"/>
  <c r="F48" i="2"/>
  <c r="G48" i="2" s="1"/>
  <c r="N48" i="2"/>
  <c r="AW16" i="2"/>
  <c r="AW35" i="2"/>
  <c r="AW41" i="2"/>
  <c r="AZ41" i="2"/>
  <c r="AZ48" i="2"/>
  <c r="AW48" i="2"/>
  <c r="N39" i="2"/>
  <c r="F40" i="2"/>
  <c r="N42" i="2"/>
  <c r="AW42" i="2"/>
  <c r="AY41" i="2"/>
  <c r="N50" i="2"/>
  <c r="AY50" i="2"/>
  <c r="AW50" i="2"/>
  <c r="F50" i="2"/>
  <c r="G50" i="2" s="1"/>
  <c r="R40" i="2"/>
  <c r="S40" i="2" s="1"/>
  <c r="R46" i="2"/>
  <c r="S46" i="2" s="1"/>
  <c r="N52" i="2"/>
  <c r="F52" i="2"/>
  <c r="G52" i="2" s="1"/>
  <c r="R52" i="2"/>
  <c r="S52" i="2" s="1"/>
  <c r="Q8" i="2"/>
  <c r="F46" i="2"/>
  <c r="AW46" i="2"/>
  <c r="AW49" i="2"/>
  <c r="F9" i="2"/>
  <c r="J66" i="2"/>
  <c r="I66" i="2"/>
  <c r="N6" i="2" l="1"/>
  <c r="N32" i="2"/>
  <c r="F8" i="2"/>
  <c r="AW32" i="2"/>
  <c r="Q5" i="2"/>
  <c r="T66" i="2"/>
  <c r="AY9" i="2"/>
  <c r="AZ9" i="2" s="1"/>
  <c r="G7" i="2"/>
  <c r="AY7" i="2"/>
  <c r="F7" i="2"/>
  <c r="K6" i="2"/>
  <c r="J6" i="2"/>
  <c r="C5" i="2"/>
  <c r="AY32" i="2"/>
  <c r="AY6" i="2"/>
  <c r="AW8" i="2"/>
  <c r="AX8" i="2" s="1"/>
  <c r="G53" i="2"/>
  <c r="AY8" i="2"/>
  <c r="AZ8" i="2" s="1"/>
  <c r="AY66" i="2"/>
  <c r="R53" i="2"/>
  <c r="S35" i="2"/>
  <c r="R7" i="2"/>
  <c r="I5" i="2"/>
  <c r="J32" i="2"/>
  <c r="T5" i="1"/>
  <c r="AY53" i="2"/>
  <c r="N66" i="2"/>
  <c r="N8" i="2"/>
  <c r="K66" i="2"/>
  <c r="K8" i="2"/>
  <c r="T9" i="2"/>
  <c r="Q66" i="2"/>
  <c r="J53" i="2"/>
  <c r="K35" i="2"/>
  <c r="J7" i="2"/>
  <c r="F53" i="2"/>
  <c r="AW6" i="2"/>
  <c r="R32" i="2"/>
  <c r="R6" i="2"/>
  <c r="J32" i="1"/>
  <c r="AE4" i="2" s="1"/>
  <c r="AW9" i="2"/>
  <c r="AX9" i="2" s="1"/>
  <c r="N9" i="2"/>
  <c r="AW66" i="2"/>
  <c r="F66" i="2"/>
  <c r="G66" i="2"/>
  <c r="G8" i="2"/>
  <c r="AW53" i="2"/>
  <c r="AW7" i="2"/>
  <c r="N53" i="2"/>
  <c r="N7" i="2"/>
  <c r="N5" i="2" s="1"/>
  <c r="F32" i="2"/>
  <c r="F6" i="2"/>
  <c r="Y12" i="2" s="1"/>
  <c r="I32" i="1"/>
  <c r="AD4" i="2" s="1"/>
  <c r="M13" i="2" l="1"/>
  <c r="Y24" i="2"/>
  <c r="Y30" i="2"/>
  <c r="Y17" i="2"/>
  <c r="Y22" i="2"/>
  <c r="Y23" i="2"/>
  <c r="Y21" i="2"/>
  <c r="Y26" i="2"/>
  <c r="Y25" i="2"/>
  <c r="Y14" i="2"/>
  <c r="Y20" i="2"/>
  <c r="Y28" i="2"/>
  <c r="Y16" i="2"/>
  <c r="Y18" i="2"/>
  <c r="Y29" i="2"/>
  <c r="Y19" i="2"/>
  <c r="Y27" i="2"/>
  <c r="Y15" i="2"/>
  <c r="J5" i="2"/>
  <c r="K32" i="2"/>
  <c r="G5" i="2"/>
  <c r="AX7" i="2"/>
  <c r="T8" i="2"/>
  <c r="T5" i="2" s="1"/>
  <c r="R5" i="2"/>
  <c r="AZ7" i="2"/>
  <c r="Y52" i="2"/>
  <c r="Y35" i="2"/>
  <c r="O9" i="2"/>
  <c r="S32" i="2"/>
  <c r="S6" i="2"/>
  <c r="S53" i="2"/>
  <c r="S7" i="2"/>
  <c r="F5" i="2"/>
  <c r="Y40" i="2"/>
  <c r="Y39" i="2"/>
  <c r="Y38" i="2"/>
  <c r="Y50" i="2"/>
  <c r="Y46" i="2"/>
  <c r="Y43" i="2"/>
  <c r="Y49" i="2"/>
  <c r="Y13" i="2"/>
  <c r="Y42" i="2"/>
  <c r="Y44" i="2"/>
  <c r="Y51" i="2"/>
  <c r="Y45" i="2"/>
  <c r="Y47" i="2"/>
  <c r="Y41" i="2"/>
  <c r="Y36" i="2"/>
  <c r="Y31" i="2"/>
  <c r="Y48" i="2"/>
  <c r="Y37" i="2"/>
  <c r="AX6" i="2"/>
  <c r="AW5" i="2"/>
  <c r="K7" i="2"/>
  <c r="K5" i="2" s="1"/>
  <c r="K53" i="2"/>
  <c r="O66" i="2"/>
  <c r="O8" i="2"/>
  <c r="AZ6" i="2"/>
  <c r="AY5" i="2"/>
  <c r="Z12" i="2" l="1"/>
  <c r="AJ12" i="2"/>
  <c r="Z38" i="2"/>
  <c r="Z37" i="2"/>
  <c r="Z16" i="2"/>
  <c r="M39" i="2"/>
  <c r="M37" i="2"/>
  <c r="Z13" i="2"/>
  <c r="Z17" i="2"/>
  <c r="Z22" i="2"/>
  <c r="Z23" i="2"/>
  <c r="Z21" i="2"/>
  <c r="Z26" i="2"/>
  <c r="Z25" i="2"/>
  <c r="Z24" i="2"/>
  <c r="Z30" i="2"/>
  <c r="Z18" i="2"/>
  <c r="Z29" i="2"/>
  <c r="Z19" i="2"/>
  <c r="Z27" i="2"/>
  <c r="Z15" i="2"/>
  <c r="Z14" i="2"/>
  <c r="Z20" i="2"/>
  <c r="Z28" i="2"/>
  <c r="S5" i="2"/>
  <c r="AJ25" i="2"/>
  <c r="AJ24" i="2"/>
  <c r="AJ23" i="2"/>
  <c r="AJ22" i="2"/>
  <c r="AJ21" i="2"/>
  <c r="AJ20" i="2"/>
  <c r="AJ19" i="2"/>
  <c r="AJ18" i="2"/>
  <c r="AJ17" i="2"/>
  <c r="AH66" i="2"/>
  <c r="AG53" i="2"/>
  <c r="AG2" i="2"/>
  <c r="AH8" i="2"/>
  <c r="AH5" i="2" s="1"/>
  <c r="AH2" i="2" s="1"/>
  <c r="Y32" i="2"/>
  <c r="Y66" i="2"/>
  <c r="Y8" i="2"/>
  <c r="Y53" i="2"/>
  <c r="Y9" i="2"/>
  <c r="AJ49" i="2"/>
  <c r="AJ38" i="2"/>
  <c r="AJ35" i="2"/>
  <c r="AJ13" i="2"/>
  <c r="AJ39" i="2"/>
  <c r="AJ15" i="2"/>
  <c r="AJ51" i="2"/>
  <c r="AJ43" i="2"/>
  <c r="AJ41" i="2"/>
  <c r="AJ37" i="2"/>
  <c r="AJ45" i="2"/>
  <c r="AJ42" i="2"/>
  <c r="AJ27" i="2"/>
  <c r="AJ31" i="2"/>
  <c r="AJ52" i="2"/>
  <c r="AJ47" i="2"/>
  <c r="AJ40" i="2"/>
  <c r="AJ16" i="2"/>
  <c r="AJ36" i="2"/>
  <c r="AJ28" i="2"/>
  <c r="AJ44" i="2"/>
  <c r="AJ14" i="2"/>
  <c r="AJ46" i="2"/>
  <c r="AJ50" i="2"/>
  <c r="AJ48" i="2"/>
  <c r="Y7" i="2"/>
  <c r="Y6" i="2"/>
  <c r="AJ32" i="2" l="1"/>
  <c r="AJ6" i="2"/>
  <c r="Y5" i="2"/>
  <c r="Y2" i="2" s="1"/>
  <c r="AJ9" i="2"/>
  <c r="AJ66" i="2"/>
  <c r="AJ8" i="2"/>
  <c r="X66" i="2"/>
  <c r="X8" i="2"/>
  <c r="X5" i="2" s="1"/>
  <c r="AJ53" i="2"/>
  <c r="AJ7" i="2"/>
  <c r="AN12" i="2" l="1"/>
  <c r="AM12" i="2"/>
  <c r="AL12" i="2"/>
  <c r="AM18" i="2"/>
  <c r="AL19" i="2"/>
  <c r="AL18" i="2"/>
  <c r="AM27" i="2"/>
  <c r="AL24" i="2"/>
  <c r="AL22" i="2"/>
  <c r="AM28" i="2"/>
  <c r="AL25" i="2"/>
  <c r="AL26" i="2"/>
  <c r="AM22" i="2"/>
  <c r="AL23" i="2"/>
  <c r="AM15" i="2"/>
  <c r="AM29" i="2"/>
  <c r="AL28" i="2"/>
  <c r="AM16" i="2"/>
  <c r="AM30" i="2"/>
  <c r="AM21" i="2"/>
  <c r="AM26" i="2"/>
  <c r="AL27" i="2"/>
  <c r="AM19" i="2"/>
  <c r="AL16" i="2"/>
  <c r="AL30" i="2"/>
  <c r="AM20" i="2"/>
  <c r="AL17" i="2"/>
  <c r="AM25" i="2"/>
  <c r="AM14" i="2"/>
  <c r="AL15" i="2"/>
  <c r="AL29" i="2"/>
  <c r="AM23" i="2"/>
  <c r="AL20" i="2"/>
  <c r="AM17" i="2"/>
  <c r="AM24" i="2"/>
  <c r="AL21" i="2"/>
  <c r="AL14" i="2"/>
  <c r="AN25" i="2"/>
  <c r="AN19" i="2"/>
  <c r="AN17" i="2"/>
  <c r="AN20" i="2"/>
  <c r="AN18" i="2"/>
  <c r="AN23" i="2"/>
  <c r="AN22" i="2"/>
  <c r="AN21" i="2"/>
  <c r="AN24" i="2"/>
  <c r="X2" i="2"/>
  <c r="AM35" i="2"/>
  <c r="AL35" i="2"/>
  <c r="AN35" i="2"/>
  <c r="AM46" i="2"/>
  <c r="AL46" i="2"/>
  <c r="AL13" i="2"/>
  <c r="AN45" i="2"/>
  <c r="AN36" i="2"/>
  <c r="AN37" i="2"/>
  <c r="AM42" i="2"/>
  <c r="AL42" i="2"/>
  <c r="AN51" i="2"/>
  <c r="AN13" i="2"/>
  <c r="AL52" i="2"/>
  <c r="AN48" i="2"/>
  <c r="AM45" i="2"/>
  <c r="AM37" i="2"/>
  <c r="AL40" i="2"/>
  <c r="AN28" i="2"/>
  <c r="AM48" i="2"/>
  <c r="AL50" i="2"/>
  <c r="AN49" i="2"/>
  <c r="AM47" i="2"/>
  <c r="AL41" i="2"/>
  <c r="AN44" i="2"/>
  <c r="AL39" i="2"/>
  <c r="AN38" i="2"/>
  <c r="AN14" i="2"/>
  <c r="AL51" i="2"/>
  <c r="AL45" i="2"/>
  <c r="AM41" i="2"/>
  <c r="AL38" i="2"/>
  <c r="AL31" i="2"/>
  <c r="AL37" i="2"/>
  <c r="AN47" i="2"/>
  <c r="AN31" i="2"/>
  <c r="AM43" i="2"/>
  <c r="AN41" i="2"/>
  <c r="AN46" i="2"/>
  <c r="AL44" i="2"/>
  <c r="AL49" i="2"/>
  <c r="AN43" i="2"/>
  <c r="AM52" i="2"/>
  <c r="AM38" i="2"/>
  <c r="AL47" i="2"/>
  <c r="AN50" i="2"/>
  <c r="AM51" i="2"/>
  <c r="AM13" i="2"/>
  <c r="AN15" i="2"/>
  <c r="AM36" i="2"/>
  <c r="AN16" i="2"/>
  <c r="AM31" i="2"/>
  <c r="AM44" i="2"/>
  <c r="AL48" i="2"/>
  <c r="AM49" i="2"/>
  <c r="AN52" i="2"/>
  <c r="AN39" i="2"/>
  <c r="AM39" i="2"/>
  <c r="AN42" i="2"/>
  <c r="AL43" i="2"/>
  <c r="AN40" i="2"/>
  <c r="AM50" i="2"/>
  <c r="AM40" i="2"/>
  <c r="AL36" i="2"/>
  <c r="AN27" i="2"/>
  <c r="AJ5" i="2"/>
  <c r="AJ2" i="2" s="1"/>
  <c r="U66" i="2"/>
  <c r="U8" i="2"/>
  <c r="U9" i="2"/>
  <c r="AN32" i="2" l="1"/>
  <c r="AN6" i="2"/>
  <c r="AN53" i="2"/>
  <c r="AN7" i="2"/>
  <c r="AL53" i="2"/>
  <c r="AL7" i="2"/>
  <c r="AM9" i="2"/>
  <c r="AN9" i="2"/>
  <c r="AM53" i="2"/>
  <c r="AM7" i="2"/>
  <c r="AL66" i="2"/>
  <c r="AL8" i="2"/>
  <c r="V9" i="2"/>
  <c r="AN66" i="2"/>
  <c r="AN8" i="2"/>
  <c r="V66" i="2"/>
  <c r="V8" i="2"/>
  <c r="AM66" i="2"/>
  <c r="AM8" i="2"/>
  <c r="AL9" i="2"/>
  <c r="AL32" i="2"/>
  <c r="AL6" i="2"/>
  <c r="AM32" i="2"/>
  <c r="AM6" i="2"/>
  <c r="AM5" i="2" l="1"/>
  <c r="AM2" i="2" s="1"/>
  <c r="AN5" i="2"/>
  <c r="AN2" i="2" s="1"/>
  <c r="AL5" i="2"/>
  <c r="AL2" i="2" s="1"/>
  <c r="AF66" i="2" l="1"/>
  <c r="AB66" i="2"/>
  <c r="AB8" i="2"/>
  <c r="AB9" i="2"/>
  <c r="AF8" i="2"/>
  <c r="AF9" i="2"/>
  <c r="AD9" i="2" l="1"/>
  <c r="AC9" i="2"/>
  <c r="AD66" i="2"/>
  <c r="AD8" i="2"/>
  <c r="AB5" i="2"/>
  <c r="AB2" i="2" s="1"/>
  <c r="AF5" i="2"/>
  <c r="AF2" i="2" s="1"/>
  <c r="AC66" i="2"/>
  <c r="AC8" i="2"/>
  <c r="F7" i="1" l="1"/>
  <c r="F32" i="1" s="1"/>
  <c r="AA4" i="2" s="1"/>
  <c r="S7" i="1"/>
  <c r="T7" i="1" s="1"/>
  <c r="E32" i="1"/>
  <c r="S18" i="1"/>
  <c r="T18" i="1" s="1"/>
  <c r="B32" i="1"/>
  <c r="B36" i="1" s="1"/>
  <c r="T32" i="1" l="1"/>
  <c r="S32" i="1"/>
  <c r="Z31" i="2"/>
  <c r="Z35" i="2"/>
  <c r="Z36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AI4" i="2"/>
  <c r="AO4" i="2" s="1"/>
  <c r="Z7" i="2" l="1"/>
  <c r="Z53" i="2"/>
  <c r="Z9" i="2"/>
  <c r="Z66" i="2"/>
  <c r="AI8" i="2"/>
  <c r="AI66" i="2"/>
  <c r="Z32" i="2"/>
  <c r="Z6" i="2"/>
  <c r="Z8" i="2"/>
  <c r="Z5" i="2" l="1"/>
  <c r="Z2" i="2" s="1"/>
  <c r="AO8" i="2"/>
  <c r="AS8" i="2" s="1"/>
  <c r="AU8" i="2" s="1"/>
  <c r="AO66" i="2"/>
  <c r="AI9" i="2"/>
  <c r="AO9" i="2" l="1"/>
  <c r="AS9" i="2" s="1"/>
  <c r="AU9" i="2" s="1"/>
  <c r="AT9" i="2" l="1"/>
  <c r="AT8" i="2"/>
  <c r="AT66" i="2"/>
  <c r="O13" i="2"/>
  <c r="M14" i="2"/>
  <c r="O14" i="2"/>
  <c r="M15" i="2"/>
  <c r="O15" i="2"/>
  <c r="M16" i="2"/>
  <c r="O16" i="2"/>
  <c r="M17" i="2"/>
  <c r="O17" i="2"/>
  <c r="M18" i="2"/>
  <c r="O18" i="2"/>
  <c r="M19" i="2"/>
  <c r="O19" i="2"/>
  <c r="M20" i="2"/>
  <c r="O20" i="2"/>
  <c r="M22" i="2"/>
  <c r="O22" i="2"/>
  <c r="M23" i="2"/>
  <c r="O23" i="2"/>
  <c r="M24" i="2"/>
  <c r="O24" i="2"/>
  <c r="M25" i="2"/>
  <c r="O25" i="2"/>
  <c r="M26" i="2"/>
  <c r="O26" i="2"/>
  <c r="M27" i="2"/>
  <c r="O27" i="2"/>
  <c r="M28" i="2"/>
  <c r="O28" i="2"/>
  <c r="M29" i="2"/>
  <c r="O29" i="2"/>
  <c r="M30" i="2"/>
  <c r="O30" i="2"/>
  <c r="M31" i="2"/>
  <c r="O31" i="2"/>
  <c r="O35" i="2"/>
  <c r="M38" i="2"/>
  <c r="O38" i="2"/>
  <c r="O39" i="2"/>
  <c r="M41" i="2"/>
  <c r="M42" i="2"/>
  <c r="O42" i="2"/>
  <c r="M43" i="2"/>
  <c r="O43" i="2"/>
  <c r="O44" i="2"/>
  <c r="M45" i="2"/>
  <c r="O45" i="2"/>
  <c r="M46" i="2"/>
  <c r="O46" i="2"/>
  <c r="M47" i="2"/>
  <c r="O47" i="2"/>
  <c r="M48" i="2"/>
  <c r="O48" i="2"/>
  <c r="M49" i="2"/>
  <c r="O49" i="2"/>
  <c r="M50" i="2"/>
  <c r="O50" i="2"/>
  <c r="M51" i="2"/>
  <c r="O51" i="2"/>
  <c r="M52" i="2"/>
  <c r="O52" i="2"/>
  <c r="O6" i="2" l="1"/>
  <c r="O32" i="2"/>
  <c r="M36" i="2"/>
  <c r="O37" i="2"/>
  <c r="M40" i="2"/>
  <c r="O41" i="2"/>
  <c r="M44" i="2"/>
  <c r="M35" i="2"/>
  <c r="O36" i="2"/>
  <c r="O40" i="2"/>
  <c r="O53" i="2" l="1"/>
  <c r="O7" i="2"/>
  <c r="O5" i="2" s="1"/>
  <c r="AK12" i="2" l="1"/>
  <c r="U12" i="2"/>
  <c r="V12" i="2" s="1"/>
  <c r="U38" i="2"/>
  <c r="V38" i="2" s="1"/>
  <c r="U37" i="2"/>
  <c r="V37" i="2" s="1"/>
  <c r="U41" i="2"/>
  <c r="V41" i="2" s="1"/>
  <c r="AK30" i="2"/>
  <c r="AK28" i="2"/>
  <c r="AK24" i="2"/>
  <c r="AK20" i="2"/>
  <c r="AK16" i="2"/>
  <c r="U31" i="2"/>
  <c r="V31" i="2" s="1"/>
  <c r="U25" i="2"/>
  <c r="V25" i="2" s="1"/>
  <c r="U21" i="2"/>
  <c r="V21" i="2" s="1"/>
  <c r="U17" i="2"/>
  <c r="V17" i="2" s="1"/>
  <c r="U13" i="2"/>
  <c r="V13" i="2" s="1"/>
  <c r="AK23" i="2"/>
  <c r="AK15" i="2"/>
  <c r="AK18" i="2"/>
  <c r="U27" i="2"/>
  <c r="V27" i="2" s="1"/>
  <c r="U23" i="2"/>
  <c r="V23" i="2" s="1"/>
  <c r="U18" i="2"/>
  <c r="V18" i="2" s="1"/>
  <c r="AK21" i="2"/>
  <c r="U30" i="2"/>
  <c r="V30" i="2" s="1"/>
  <c r="U28" i="2"/>
  <c r="V28" i="2" s="1"/>
  <c r="U24" i="2"/>
  <c r="V24" i="2" s="1"/>
  <c r="U20" i="2"/>
  <c r="V20" i="2" s="1"/>
  <c r="U16" i="2"/>
  <c r="V16" i="2" s="1"/>
  <c r="AK29" i="2"/>
  <c r="AK27" i="2"/>
  <c r="AK19" i="2"/>
  <c r="AK22" i="2"/>
  <c r="U29" i="2"/>
  <c r="V29" i="2" s="1"/>
  <c r="U19" i="2"/>
  <c r="V19" i="2" s="1"/>
  <c r="U26" i="2"/>
  <c r="V26" i="2" s="1"/>
  <c r="U22" i="2"/>
  <c r="V22" i="2" s="1"/>
  <c r="U14" i="2"/>
  <c r="V14" i="2" s="1"/>
  <c r="AK17" i="2"/>
  <c r="AK26" i="2"/>
  <c r="AK14" i="2"/>
  <c r="U15" i="2"/>
  <c r="V15" i="2" s="1"/>
  <c r="AK25" i="2"/>
  <c r="U36" i="2"/>
  <c r="V36" i="2" s="1"/>
  <c r="U40" i="2"/>
  <c r="V40" i="2" s="1"/>
  <c r="AK37" i="2"/>
  <c r="AK36" i="2"/>
  <c r="AK40" i="2"/>
  <c r="AK13" i="2"/>
  <c r="AK31" i="2"/>
  <c r="AK38" i="2"/>
  <c r="AK48" i="2"/>
  <c r="AK52" i="2"/>
  <c r="AK35" i="2"/>
  <c r="U43" i="2"/>
  <c r="V43" i="2" s="1"/>
  <c r="AK47" i="2"/>
  <c r="U48" i="2"/>
  <c r="V48" i="2" s="1"/>
  <c r="AK51" i="2"/>
  <c r="U52" i="2"/>
  <c r="V52" i="2" s="1"/>
  <c r="U35" i="2"/>
  <c r="AK43" i="2"/>
  <c r="AK46" i="2"/>
  <c r="U47" i="2"/>
  <c r="V47" i="2" s="1"/>
  <c r="AK50" i="2"/>
  <c r="U51" i="2"/>
  <c r="V51" i="2" s="1"/>
  <c r="AK42" i="2"/>
  <c r="U50" i="2"/>
  <c r="V50" i="2" s="1"/>
  <c r="AK39" i="2"/>
  <c r="U46" i="2"/>
  <c r="V46" i="2" s="1"/>
  <c r="AK45" i="2"/>
  <c r="U49" i="2"/>
  <c r="V49" i="2" s="1"/>
  <c r="AK44" i="2"/>
  <c r="U39" i="2"/>
  <c r="V39" i="2" s="1"/>
  <c r="U45" i="2"/>
  <c r="V45" i="2" s="1"/>
  <c r="U42" i="2"/>
  <c r="V42" i="2" s="1"/>
  <c r="AK49" i="2"/>
  <c r="U44" i="2"/>
  <c r="V44" i="2" s="1"/>
  <c r="AK41" i="2"/>
  <c r="U7" i="2" l="1"/>
  <c r="U6" i="2"/>
  <c r="V35" i="2"/>
  <c r="U53" i="2"/>
  <c r="U32" i="2"/>
  <c r="V6" i="2"/>
  <c r="AK6" i="2"/>
  <c r="AK32" i="2"/>
  <c r="AK53" i="2"/>
  <c r="AK7" i="2"/>
  <c r="U5" i="2" l="1"/>
  <c r="AK5" i="2"/>
  <c r="AK2" i="2" s="1"/>
  <c r="V32" i="2"/>
  <c r="V7" i="2"/>
  <c r="AE13" i="2" s="1"/>
  <c r="V53" i="2"/>
  <c r="AE12" i="2" l="1"/>
  <c r="AE17" i="2"/>
  <c r="AE21" i="2"/>
  <c r="AE25" i="2"/>
  <c r="AE29" i="2"/>
  <c r="AE16" i="2"/>
  <c r="AE20" i="2"/>
  <c r="AE22" i="2"/>
  <c r="AE14" i="2"/>
  <c r="AE18" i="2"/>
  <c r="AE26" i="2"/>
  <c r="AE30" i="2"/>
  <c r="AE23" i="2"/>
  <c r="AE28" i="2"/>
  <c r="AE15" i="2"/>
  <c r="AE19" i="2"/>
  <c r="AE24" i="2"/>
  <c r="AE27" i="2"/>
  <c r="AE35" i="2"/>
  <c r="V5" i="2"/>
  <c r="AE36" i="2"/>
  <c r="AE41" i="2"/>
  <c r="AE37" i="2"/>
  <c r="AE46" i="2"/>
  <c r="AE39" i="2"/>
  <c r="AE50" i="2"/>
  <c r="AE47" i="2"/>
  <c r="AE44" i="2"/>
  <c r="AE38" i="2"/>
  <c r="AE45" i="2"/>
  <c r="AE49" i="2"/>
  <c r="AE52" i="2"/>
  <c r="AE31" i="2"/>
  <c r="AE40" i="2"/>
  <c r="AE43" i="2"/>
  <c r="AE48" i="2"/>
  <c r="AE42" i="2"/>
  <c r="AE51" i="2"/>
  <c r="AC12" i="2" l="1"/>
  <c r="AD12" i="2"/>
  <c r="AA12" i="2"/>
  <c r="AD14" i="2"/>
  <c r="AC29" i="2"/>
  <c r="AD18" i="2"/>
  <c r="AC16" i="2"/>
  <c r="AC30" i="2"/>
  <c r="AD26" i="2"/>
  <c r="AC20" i="2"/>
  <c r="AC23" i="2"/>
  <c r="AA14" i="2"/>
  <c r="AD29" i="2"/>
  <c r="AA18" i="2"/>
  <c r="AC17" i="2"/>
  <c r="AD16" i="2"/>
  <c r="AD30" i="2"/>
  <c r="AC21" i="2"/>
  <c r="AA26" i="2"/>
  <c r="AD20" i="2"/>
  <c r="AD23" i="2"/>
  <c r="AC25" i="2"/>
  <c r="AC28" i="2"/>
  <c r="AD22" i="2"/>
  <c r="AC15" i="2"/>
  <c r="AC19" i="2"/>
  <c r="AC24" i="2"/>
  <c r="AC27" i="2"/>
  <c r="AC18" i="2"/>
  <c r="AA21" i="2"/>
  <c r="AA25" i="2"/>
  <c r="AA15" i="2"/>
  <c r="AA29" i="2"/>
  <c r="AD17" i="2"/>
  <c r="AA16" i="2"/>
  <c r="AA30" i="2"/>
  <c r="AD21" i="2"/>
  <c r="AA20" i="2"/>
  <c r="AA23" i="2"/>
  <c r="AD25" i="2"/>
  <c r="AD28" i="2"/>
  <c r="AA22" i="2"/>
  <c r="AD15" i="2"/>
  <c r="AD19" i="2"/>
  <c r="AD24" i="2"/>
  <c r="AD27" i="2"/>
  <c r="AC14" i="2"/>
  <c r="AA17" i="2"/>
  <c r="AC26" i="2"/>
  <c r="AA28" i="2"/>
  <c r="AA19" i="2"/>
  <c r="AA24" i="2"/>
  <c r="AA27" i="2"/>
  <c r="AC22" i="2"/>
  <c r="AE53" i="2"/>
  <c r="AE6" i="2"/>
  <c r="AE7" i="2"/>
  <c r="AE32" i="2"/>
  <c r="U2" i="2"/>
  <c r="AC41" i="2"/>
  <c r="AC36" i="2"/>
  <c r="AC37" i="2"/>
  <c r="AD41" i="2"/>
  <c r="AD37" i="2"/>
  <c r="AA41" i="2"/>
  <c r="AD36" i="2"/>
  <c r="AA37" i="2"/>
  <c r="AA36" i="2"/>
  <c r="AA44" i="2"/>
  <c r="AC48" i="2"/>
  <c r="AD38" i="2"/>
  <c r="AA51" i="2"/>
  <c r="AD45" i="2"/>
  <c r="AD42" i="2"/>
  <c r="AD49" i="2"/>
  <c r="AD52" i="2"/>
  <c r="AD43" i="2"/>
  <c r="AA47" i="2"/>
  <c r="AA31" i="2"/>
  <c r="AA13" i="2"/>
  <c r="AD40" i="2"/>
  <c r="AA46" i="2"/>
  <c r="AD48" i="2"/>
  <c r="AC51" i="2"/>
  <c r="AC42" i="2"/>
  <c r="AA43" i="2"/>
  <c r="AA39" i="2"/>
  <c r="AA50" i="2"/>
  <c r="AC47" i="2"/>
  <c r="AC31" i="2"/>
  <c r="AA40" i="2"/>
  <c r="AD46" i="2"/>
  <c r="AC38" i="2"/>
  <c r="AC45" i="2"/>
  <c r="AC49" i="2"/>
  <c r="AD39" i="2"/>
  <c r="AD13" i="2"/>
  <c r="AC44" i="2"/>
  <c r="AC46" i="2"/>
  <c r="AA38" i="2"/>
  <c r="AD51" i="2"/>
  <c r="AA45" i="2"/>
  <c r="AA49" i="2"/>
  <c r="AA52" i="2"/>
  <c r="AC43" i="2"/>
  <c r="AC39" i="2"/>
  <c r="AC50" i="2"/>
  <c r="AD47" i="2"/>
  <c r="AC13" i="2"/>
  <c r="AD44" i="2"/>
  <c r="AA48" i="2"/>
  <c r="AA42" i="2"/>
  <c r="AC52" i="2"/>
  <c r="AD50" i="2"/>
  <c r="AD31" i="2"/>
  <c r="AC40" i="2"/>
  <c r="AC35" i="2"/>
  <c r="AA35" i="2"/>
  <c r="AD35" i="2"/>
  <c r="AI12" i="2" l="1"/>
  <c r="AO12" i="2" s="1"/>
  <c r="AQ12" i="2" s="1"/>
  <c r="AS12" i="2" s="1"/>
  <c r="AT12" i="2" s="1"/>
  <c r="AI30" i="2"/>
  <c r="AO30" i="2" s="1"/>
  <c r="AQ30" i="2" s="1"/>
  <c r="AS30" i="2" s="1"/>
  <c r="AI21" i="2"/>
  <c r="AO21" i="2" s="1"/>
  <c r="AQ21" i="2" s="1"/>
  <c r="AS21" i="2" s="1"/>
  <c r="AI17" i="2"/>
  <c r="AO17" i="2" s="1"/>
  <c r="AQ17" i="2" s="1"/>
  <c r="AS17" i="2" s="1"/>
  <c r="G9" i="5" s="1"/>
  <c r="M11" i="5" s="1"/>
  <c r="AI20" i="2"/>
  <c r="AO20" i="2" s="1"/>
  <c r="AQ20" i="2" s="1"/>
  <c r="AI24" i="2"/>
  <c r="AO24" i="2" s="1"/>
  <c r="AQ24" i="2" s="1"/>
  <c r="AI22" i="2"/>
  <c r="AO22" i="2" s="1"/>
  <c r="AQ22" i="2" s="1"/>
  <c r="AI27" i="2"/>
  <c r="AO27" i="2" s="1"/>
  <c r="AQ27" i="2" s="1"/>
  <c r="AI26" i="2"/>
  <c r="AO26" i="2" s="1"/>
  <c r="AQ26" i="2" s="1"/>
  <c r="AI29" i="2"/>
  <c r="AO29" i="2" s="1"/>
  <c r="AQ29" i="2" s="1"/>
  <c r="AI42" i="2"/>
  <c r="AO42" i="2" s="1"/>
  <c r="AQ42" i="2" s="1"/>
  <c r="AS42" i="2" s="1"/>
  <c r="AU42" i="2" s="1"/>
  <c r="AI19" i="2"/>
  <c r="AO19" i="2" s="1"/>
  <c r="AQ19" i="2" s="1"/>
  <c r="AI18" i="2"/>
  <c r="AO18" i="2" s="1"/>
  <c r="AQ18" i="2" s="1"/>
  <c r="AI28" i="2"/>
  <c r="AO28" i="2" s="1"/>
  <c r="AQ28" i="2" s="1"/>
  <c r="AI15" i="2"/>
  <c r="AO15" i="2" s="1"/>
  <c r="AQ15" i="2" s="1"/>
  <c r="AI23" i="2"/>
  <c r="AO23" i="2" s="1"/>
  <c r="AQ23" i="2" s="1"/>
  <c r="AI16" i="2"/>
  <c r="AO16" i="2" s="1"/>
  <c r="AQ16" i="2" s="1"/>
  <c r="AI25" i="2"/>
  <c r="AO25" i="2" s="1"/>
  <c r="AQ25" i="2" s="1"/>
  <c r="AI14" i="2"/>
  <c r="AO14" i="2" s="1"/>
  <c r="AQ14" i="2" s="1"/>
  <c r="AE5" i="2"/>
  <c r="AE2" i="2" s="1"/>
  <c r="AO48" i="2"/>
  <c r="AQ48" i="2" s="1"/>
  <c r="AS48" i="2" s="1"/>
  <c r="AT48" i="2" s="1"/>
  <c r="AO49" i="2"/>
  <c r="AQ49" i="2" s="1"/>
  <c r="AS49" i="2" s="1"/>
  <c r="AT49" i="2" s="1"/>
  <c r="AI46" i="2"/>
  <c r="AO46" i="2" s="1"/>
  <c r="AQ46" i="2" s="1"/>
  <c r="AS46" i="2" s="1"/>
  <c r="AU46" i="2" s="1"/>
  <c r="AI37" i="2"/>
  <c r="AO37" i="2" s="1"/>
  <c r="AQ37" i="2" s="1"/>
  <c r="AS37" i="2" s="1"/>
  <c r="G30" i="5" s="1"/>
  <c r="H30" i="5" s="1"/>
  <c r="AI43" i="2"/>
  <c r="AO43" i="2" s="1"/>
  <c r="AQ43" i="2" s="1"/>
  <c r="AS43" i="2" s="1"/>
  <c r="AO47" i="2"/>
  <c r="AQ47" i="2" s="1"/>
  <c r="AS47" i="2" s="1"/>
  <c r="AI35" i="2"/>
  <c r="AA7" i="2"/>
  <c r="AA53" i="2"/>
  <c r="AI45" i="2"/>
  <c r="AO45" i="2" s="1"/>
  <c r="AQ45" i="2" s="1"/>
  <c r="AS45" i="2" s="1"/>
  <c r="AI38" i="2"/>
  <c r="AO38" i="2" s="1"/>
  <c r="AQ38" i="2" s="1"/>
  <c r="AI40" i="2"/>
  <c r="AO40" i="2" s="1"/>
  <c r="AQ40" i="2" s="1"/>
  <c r="AS40" i="2" s="1"/>
  <c r="AI39" i="2"/>
  <c r="AO39" i="2" s="1"/>
  <c r="AQ39" i="2" s="1"/>
  <c r="AI13" i="2"/>
  <c r="AO13" i="2" s="1"/>
  <c r="AQ13" i="2" s="1"/>
  <c r="AI44" i="2"/>
  <c r="AO44" i="2" s="1"/>
  <c r="AQ44" i="2" s="1"/>
  <c r="AS44" i="2" s="1"/>
  <c r="AI41" i="2"/>
  <c r="AO41" i="2" s="1"/>
  <c r="AQ41" i="2" s="1"/>
  <c r="AS41" i="2" s="1"/>
  <c r="AA6" i="2"/>
  <c r="AA32" i="2"/>
  <c r="AC7" i="2"/>
  <c r="AC53" i="2"/>
  <c r="AD7" i="2"/>
  <c r="AD53" i="2"/>
  <c r="AC32" i="2"/>
  <c r="AC6" i="2"/>
  <c r="AO50" i="2"/>
  <c r="AQ50" i="2" s="1"/>
  <c r="AS50" i="2" s="1"/>
  <c r="AD32" i="2"/>
  <c r="AD6" i="2"/>
  <c r="AO52" i="2"/>
  <c r="AQ52" i="2" s="1"/>
  <c r="AS52" i="2" s="1"/>
  <c r="AI31" i="2"/>
  <c r="AO31" i="2" s="1"/>
  <c r="AQ31" i="2" s="1"/>
  <c r="AO51" i="2"/>
  <c r="AQ51" i="2" s="1"/>
  <c r="AS51" i="2" s="1"/>
  <c r="AI36" i="2"/>
  <c r="AO36" i="2" s="1"/>
  <c r="AQ36" i="2" s="1"/>
  <c r="AU12" i="2" l="1"/>
  <c r="K30" i="5"/>
  <c r="BB37" i="2"/>
  <c r="AT37" i="2"/>
  <c r="J9" i="5"/>
  <c r="H9" i="5"/>
  <c r="AT21" i="2"/>
  <c r="G13" i="5"/>
  <c r="O12" i="5" s="1"/>
  <c r="AU30" i="2"/>
  <c r="AT30" i="2"/>
  <c r="AU17" i="2"/>
  <c r="AT17" i="2"/>
  <c r="AS36" i="2"/>
  <c r="AU21" i="2"/>
  <c r="AS38" i="2"/>
  <c r="AS39" i="2"/>
  <c r="AS15" i="2"/>
  <c r="AS29" i="2"/>
  <c r="AS24" i="2"/>
  <c r="AS31" i="2"/>
  <c r="AS13" i="2"/>
  <c r="AS25" i="2"/>
  <c r="AS26" i="2"/>
  <c r="AU26" i="2" s="1"/>
  <c r="AS20" i="2"/>
  <c r="AS14" i="2"/>
  <c r="AS16" i="2"/>
  <c r="AS18" i="2"/>
  <c r="AS27" i="2"/>
  <c r="AS23" i="2"/>
  <c r="AS28" i="2"/>
  <c r="AS19" i="2"/>
  <c r="AS22" i="2"/>
  <c r="AT42" i="2"/>
  <c r="AA5" i="2"/>
  <c r="AA2" i="2" s="1"/>
  <c r="AU49" i="2"/>
  <c r="AU48" i="2"/>
  <c r="AT46" i="2"/>
  <c r="AD5" i="2"/>
  <c r="AD2" i="2" s="1"/>
  <c r="AU45" i="2"/>
  <c r="AT45" i="2"/>
  <c r="AT50" i="2"/>
  <c r="AU50" i="2"/>
  <c r="AT40" i="2"/>
  <c r="AU40" i="2"/>
  <c r="AT41" i="2"/>
  <c r="AU41" i="2"/>
  <c r="AT47" i="2"/>
  <c r="AU47" i="2"/>
  <c r="AT44" i="2"/>
  <c r="AU44" i="2"/>
  <c r="AT43" i="2"/>
  <c r="AU43" i="2"/>
  <c r="AT51" i="2"/>
  <c r="AU51" i="2"/>
  <c r="AT52" i="2"/>
  <c r="AU52" i="2"/>
  <c r="AC5" i="2"/>
  <c r="AC2" i="2" s="1"/>
  <c r="AI6" i="2"/>
  <c r="AI32" i="2"/>
  <c r="AI53" i="2"/>
  <c r="AI7" i="2"/>
  <c r="AO35" i="2"/>
  <c r="K31" i="5" l="1"/>
  <c r="H31" i="5"/>
  <c r="BB39" i="2"/>
  <c r="H32" i="5"/>
  <c r="AT36" i="2"/>
  <c r="H29" i="5"/>
  <c r="AT38" i="2"/>
  <c r="BB38" i="2"/>
  <c r="AU38" i="2"/>
  <c r="J13" i="5"/>
  <c r="H13" i="5"/>
  <c r="AT23" i="2"/>
  <c r="G15" i="5"/>
  <c r="M12" i="5" s="1"/>
  <c r="AT14" i="2"/>
  <c r="O11" i="5"/>
  <c r="AT13" i="2"/>
  <c r="G5" i="5"/>
  <c r="AT15" i="2"/>
  <c r="G7" i="5"/>
  <c r="N6" i="5" s="1"/>
  <c r="AU37" i="2"/>
  <c r="AT16" i="2"/>
  <c r="N11" i="5"/>
  <c r="AT25" i="2"/>
  <c r="N8" i="5"/>
  <c r="AT22" i="2"/>
  <c r="N12" i="5"/>
  <c r="AT27" i="2"/>
  <c r="G19" i="5"/>
  <c r="M6" i="5" s="1"/>
  <c r="J12" i="5"/>
  <c r="H12" i="5"/>
  <c r="AU31" i="2"/>
  <c r="AT39" i="2"/>
  <c r="AU36" i="2"/>
  <c r="J21" i="5"/>
  <c r="H21" i="5"/>
  <c r="AT28" i="2"/>
  <c r="AT29" i="2"/>
  <c r="AU19" i="2"/>
  <c r="G11" i="5"/>
  <c r="N7" i="5" s="1"/>
  <c r="AU18" i="2"/>
  <c r="G10" i="5"/>
  <c r="AT26" i="2"/>
  <c r="AU24" i="2"/>
  <c r="G16" i="5"/>
  <c r="AT24" i="2"/>
  <c r="AU13" i="2"/>
  <c r="AT18" i="2"/>
  <c r="AU14" i="2"/>
  <c r="AT19" i="2"/>
  <c r="AU22" i="2"/>
  <c r="AU16" i="2"/>
  <c r="AU39" i="2"/>
  <c r="AU25" i="2"/>
  <c r="AU27" i="2"/>
  <c r="AT31" i="2"/>
  <c r="AU28" i="2"/>
  <c r="AU23" i="2"/>
  <c r="AU29" i="2"/>
  <c r="AU15" i="2"/>
  <c r="AU20" i="2"/>
  <c r="AT20" i="2"/>
  <c r="AO32" i="2"/>
  <c r="AO6" i="2"/>
  <c r="AO7" i="2"/>
  <c r="AS7" i="2" s="1"/>
  <c r="AU7" i="2" s="1"/>
  <c r="AQ35" i="2"/>
  <c r="AO53" i="2"/>
  <c r="AI5" i="2"/>
  <c r="AI2" i="2" s="1"/>
  <c r="H33" i="5" l="1"/>
  <c r="K32" i="5"/>
  <c r="O8" i="5"/>
  <c r="J16" i="5"/>
  <c r="H16" i="5"/>
  <c r="J10" i="5"/>
  <c r="O7" i="5"/>
  <c r="H10" i="5"/>
  <c r="J20" i="5"/>
  <c r="H20" i="5"/>
  <c r="J14" i="5"/>
  <c r="H14" i="5"/>
  <c r="J8" i="5"/>
  <c r="H8" i="5"/>
  <c r="J7" i="5"/>
  <c r="H7" i="5"/>
  <c r="J6" i="5"/>
  <c r="H6" i="5"/>
  <c r="J18" i="5"/>
  <c r="H18" i="5"/>
  <c r="J11" i="5"/>
  <c r="H11" i="5"/>
  <c r="J22" i="5"/>
  <c r="J19" i="5"/>
  <c r="H19" i="5"/>
  <c r="J17" i="5"/>
  <c r="H17" i="5"/>
  <c r="O6" i="5"/>
  <c r="H5" i="5"/>
  <c r="J15" i="5"/>
  <c r="H15" i="5"/>
  <c r="AS35" i="2"/>
  <c r="H28" i="5" s="1"/>
  <c r="AS6" i="2"/>
  <c r="AS5" i="2" s="1"/>
  <c r="AO5" i="2"/>
  <c r="H23" i="5" l="1"/>
  <c r="H35" i="5" s="1"/>
  <c r="AT35" i="2"/>
  <c r="AT7" i="2" s="1"/>
  <c r="AU35" i="2"/>
  <c r="AT32" i="2"/>
  <c r="AU6" i="2"/>
  <c r="B38" i="1"/>
  <c r="AO2" i="2"/>
  <c r="AT53" i="2" l="1"/>
  <c r="H38" i="5"/>
  <c r="AT6" i="2"/>
  <c r="AT5" i="2" s="1"/>
  <c r="AW4" i="2"/>
  <c r="AW2" i="2" s="1"/>
  <c r="AY4" i="2"/>
  <c r="AY2" i="2" s="1"/>
  <c r="AT4" i="2"/>
  <c r="AT2" i="2" l="1"/>
  <c r="AG6" i="7"/>
  <c r="AH6" i="7"/>
  <c r="AI6" i="7"/>
  <c r="J7" i="7"/>
  <c r="K7" i="7"/>
  <c r="L7" i="7"/>
  <c r="M7" i="7"/>
  <c r="AG7" i="7"/>
  <c r="AH7" i="7"/>
  <c r="AI7" i="7"/>
  <c r="L8" i="7"/>
  <c r="M8" i="7"/>
  <c r="AG8" i="7"/>
  <c r="AH8" i="7"/>
  <c r="AI8" i="7"/>
  <c r="K9" i="7"/>
  <c r="M9" i="7"/>
  <c r="AG9" i="7"/>
  <c r="AH9" i="7"/>
  <c r="AI9" i="7"/>
  <c r="S11" i="7"/>
  <c r="T11" i="7"/>
  <c r="U11" i="7"/>
  <c r="W11" i="7"/>
  <c r="X11" i="7"/>
  <c r="Y11" i="7"/>
  <c r="Z11" i="7"/>
  <c r="AB11" i="7"/>
  <c r="AC11" i="7"/>
  <c r="AD11" i="7"/>
  <c r="AE11" i="7"/>
  <c r="AF11" i="7"/>
  <c r="AG11" i="7"/>
  <c r="AH11" i="7"/>
  <c r="AI11" i="7"/>
  <c r="I12" i="7"/>
  <c r="J12" i="7"/>
  <c r="K12" i="7"/>
  <c r="M12" i="7"/>
  <c r="S12" i="7"/>
  <c r="T12" i="7"/>
  <c r="U12" i="7"/>
  <c r="W12" i="7"/>
  <c r="X12" i="7"/>
  <c r="Y12" i="7"/>
  <c r="Z12" i="7"/>
  <c r="AB12" i="7"/>
  <c r="AC12" i="7"/>
  <c r="AD12" i="7"/>
  <c r="AE12" i="7"/>
  <c r="AF12" i="7"/>
  <c r="AG12" i="7"/>
  <c r="AH12" i="7"/>
  <c r="AI12" i="7"/>
  <c r="S13" i="7"/>
  <c r="T13" i="7"/>
  <c r="U13" i="7"/>
  <c r="W13" i="7"/>
  <c r="X13" i="7"/>
  <c r="Y13" i="7"/>
  <c r="Z13" i="7"/>
  <c r="AB13" i="7"/>
  <c r="AC13" i="7"/>
  <c r="AD13" i="7"/>
  <c r="AE13" i="7"/>
  <c r="AF13" i="7"/>
  <c r="AG13" i="7"/>
  <c r="AH13" i="7"/>
  <c r="AI13" i="7"/>
  <c r="I14" i="7"/>
  <c r="K14" i="7"/>
  <c r="M14" i="7"/>
  <c r="S14" i="7"/>
  <c r="T14" i="7"/>
  <c r="U14" i="7"/>
  <c r="W14" i="7"/>
  <c r="X14" i="7"/>
  <c r="Y14" i="7"/>
  <c r="Z14" i="7"/>
  <c r="AB14" i="7"/>
  <c r="AC14" i="7"/>
  <c r="AD14" i="7"/>
  <c r="AE14" i="7"/>
  <c r="AF14" i="7"/>
  <c r="AG14" i="7"/>
  <c r="AH14" i="7"/>
  <c r="AI14" i="7"/>
  <c r="K16" i="7"/>
  <c r="M16" i="7"/>
  <c r="S16" i="7"/>
  <c r="T16" i="7"/>
  <c r="U16" i="7"/>
  <c r="W16" i="7"/>
  <c r="X16" i="7"/>
  <c r="Y16" i="7"/>
  <c r="Z16" i="7"/>
  <c r="AB16" i="7"/>
  <c r="AC16" i="7"/>
  <c r="AD16" i="7"/>
  <c r="AE16" i="7"/>
  <c r="AF16" i="7"/>
  <c r="AG16" i="7"/>
  <c r="AH16" i="7"/>
  <c r="AI16" i="7"/>
  <c r="S17" i="7"/>
  <c r="T17" i="7"/>
  <c r="U17" i="7"/>
  <c r="W17" i="7"/>
  <c r="X17" i="7"/>
  <c r="Y17" i="7"/>
  <c r="Z17" i="7"/>
  <c r="AB17" i="7"/>
  <c r="AC17" i="7"/>
  <c r="AD17" i="7"/>
  <c r="AE17" i="7"/>
  <c r="AF17" i="7"/>
  <c r="AG17" i="7"/>
  <c r="AH17" i="7"/>
  <c r="AI17" i="7"/>
  <c r="S18" i="7"/>
  <c r="T18" i="7"/>
  <c r="U18" i="7"/>
  <c r="W18" i="7"/>
  <c r="X18" i="7"/>
  <c r="Y18" i="7"/>
  <c r="Z18" i="7"/>
  <c r="AB18" i="7"/>
  <c r="AC18" i="7"/>
  <c r="AD18" i="7"/>
  <c r="AE18" i="7"/>
  <c r="AF18" i="7"/>
  <c r="AG18" i="7"/>
  <c r="AH18" i="7"/>
  <c r="AI18" i="7"/>
  <c r="M19" i="7"/>
  <c r="S19" i="7"/>
  <c r="T19" i="7"/>
  <c r="U19" i="7"/>
  <c r="W19" i="7"/>
  <c r="X19" i="7"/>
  <c r="Y19" i="7"/>
  <c r="Z19" i="7"/>
  <c r="AB19" i="7"/>
  <c r="AC19" i="7"/>
  <c r="AD19" i="7"/>
  <c r="AE19" i="7"/>
  <c r="AF19" i="7"/>
  <c r="AG19" i="7"/>
  <c r="AH19" i="7"/>
  <c r="AI19" i="7"/>
  <c r="J20" i="7"/>
  <c r="M20" i="7"/>
  <c r="J21" i="7"/>
  <c r="M21" i="7"/>
  <c r="S21" i="7"/>
  <c r="T21" i="7"/>
  <c r="U21" i="7"/>
  <c r="W21" i="7"/>
  <c r="X21" i="7"/>
  <c r="Y21" i="7"/>
  <c r="Z21" i="7"/>
  <c r="AB21" i="7"/>
  <c r="AC21" i="7"/>
  <c r="AD21" i="7"/>
  <c r="AE21" i="7"/>
  <c r="AF21" i="7"/>
  <c r="AG21" i="7"/>
  <c r="AH21" i="7"/>
  <c r="AI21" i="7"/>
  <c r="K22" i="7"/>
  <c r="S22" i="7"/>
  <c r="T22" i="7"/>
  <c r="U22" i="7"/>
  <c r="W22" i="7"/>
  <c r="X22" i="7"/>
  <c r="Y22" i="7"/>
  <c r="Z22" i="7"/>
  <c r="AB22" i="7"/>
  <c r="AC22" i="7"/>
  <c r="AD22" i="7"/>
  <c r="AE22" i="7"/>
  <c r="AF22" i="7"/>
  <c r="AG22" i="7"/>
  <c r="AH22" i="7"/>
  <c r="AI22" i="7"/>
  <c r="S23" i="7"/>
  <c r="T23" i="7"/>
  <c r="U23" i="7"/>
  <c r="W23" i="7"/>
  <c r="X23" i="7"/>
  <c r="Y23" i="7"/>
  <c r="Z23" i="7"/>
  <c r="AB23" i="7"/>
  <c r="AC23" i="7"/>
  <c r="AD23" i="7"/>
  <c r="AE23" i="7"/>
  <c r="AF23" i="7"/>
  <c r="AG23" i="7"/>
  <c r="AH23" i="7"/>
  <c r="AI23" i="7"/>
  <c r="S24" i="7"/>
  <c r="T24" i="7"/>
  <c r="U24" i="7"/>
  <c r="W24" i="7"/>
  <c r="X24" i="7"/>
  <c r="Y24" i="7"/>
  <c r="Z24" i="7"/>
  <c r="AB24" i="7"/>
  <c r="AC24" i="7"/>
  <c r="AD24" i="7"/>
  <c r="AE24" i="7"/>
  <c r="AF24" i="7"/>
  <c r="AG24" i="7"/>
  <c r="AH24" i="7"/>
  <c r="AI24" i="7"/>
  <c r="K26" i="7"/>
  <c r="L26" i="7"/>
  <c r="M26" i="7"/>
  <c r="S26" i="7"/>
  <c r="T26" i="7"/>
  <c r="U26" i="7"/>
  <c r="W26" i="7"/>
  <c r="X26" i="7"/>
  <c r="Y26" i="7"/>
  <c r="Z26" i="7"/>
  <c r="AB26" i="7"/>
  <c r="AC26" i="7"/>
  <c r="AD26" i="7"/>
  <c r="AE26" i="7"/>
  <c r="AF26" i="7"/>
  <c r="AG26" i="7"/>
  <c r="AH26" i="7"/>
  <c r="AI26" i="7"/>
  <c r="S27" i="7"/>
  <c r="T27" i="7"/>
  <c r="U27" i="7"/>
  <c r="W27" i="7"/>
  <c r="X27" i="7"/>
  <c r="Y27" i="7"/>
  <c r="Z27" i="7"/>
  <c r="AB27" i="7"/>
  <c r="AC27" i="7"/>
  <c r="AD27" i="7"/>
  <c r="AE27" i="7"/>
  <c r="AF27" i="7"/>
  <c r="AG27" i="7"/>
  <c r="AH27" i="7"/>
  <c r="AI27" i="7"/>
  <c r="L28" i="7"/>
  <c r="M28" i="7"/>
  <c r="S28" i="7"/>
  <c r="T28" i="7"/>
  <c r="U28" i="7"/>
  <c r="W28" i="7"/>
  <c r="X28" i="7"/>
  <c r="Y28" i="7"/>
  <c r="Z28" i="7"/>
  <c r="AB28" i="7"/>
  <c r="AC28" i="7"/>
  <c r="AD28" i="7"/>
  <c r="AE28" i="7"/>
  <c r="AF28" i="7"/>
  <c r="AG28" i="7"/>
  <c r="AH28" i="7"/>
  <c r="AI28" i="7"/>
  <c r="S29" i="7"/>
  <c r="T29" i="7"/>
  <c r="U29" i="7"/>
  <c r="W29" i="7"/>
  <c r="X29" i="7"/>
  <c r="Y29" i="7"/>
  <c r="Z29" i="7"/>
  <c r="AB29" i="7"/>
  <c r="AC29" i="7"/>
  <c r="AD29" i="7"/>
  <c r="AE29" i="7"/>
  <c r="AF29" i="7"/>
  <c r="AG29" i="7"/>
  <c r="AH29" i="7"/>
  <c r="AI29" i="7"/>
  <c r="S31" i="7"/>
  <c r="T31" i="7"/>
  <c r="U31" i="7"/>
  <c r="W31" i="7"/>
  <c r="X31" i="7"/>
  <c r="Y31" i="7"/>
  <c r="Z31" i="7"/>
  <c r="AB31" i="7"/>
  <c r="AC31" i="7"/>
  <c r="AD31" i="7"/>
  <c r="AE31" i="7"/>
  <c r="AF31" i="7"/>
  <c r="AG31" i="7"/>
  <c r="AH31" i="7"/>
  <c r="AI31" i="7"/>
  <c r="S32" i="7"/>
  <c r="T32" i="7"/>
  <c r="U32" i="7"/>
  <c r="W32" i="7"/>
  <c r="X32" i="7"/>
  <c r="Y32" i="7"/>
  <c r="Z32" i="7"/>
  <c r="AB32" i="7"/>
  <c r="AC32" i="7"/>
  <c r="AD32" i="7"/>
  <c r="AE32" i="7"/>
  <c r="AF32" i="7"/>
  <c r="AG32" i="7"/>
  <c r="AH32" i="7"/>
  <c r="AI32" i="7"/>
  <c r="J33" i="7"/>
  <c r="K33" i="7"/>
  <c r="S33" i="7"/>
  <c r="T33" i="7"/>
  <c r="U33" i="7"/>
  <c r="W33" i="7"/>
  <c r="X33" i="7"/>
  <c r="Y33" i="7"/>
  <c r="Z33" i="7"/>
  <c r="AB33" i="7"/>
  <c r="AC33" i="7"/>
  <c r="AD33" i="7"/>
  <c r="AE33" i="7"/>
  <c r="AF33" i="7"/>
  <c r="AG33" i="7"/>
  <c r="AH33" i="7"/>
  <c r="AI33" i="7"/>
  <c r="J34" i="7"/>
  <c r="K34" i="7"/>
  <c r="S34" i="7"/>
  <c r="T34" i="7"/>
  <c r="U34" i="7"/>
  <c r="W34" i="7"/>
  <c r="X34" i="7"/>
  <c r="Y34" i="7"/>
  <c r="Z34" i="7"/>
  <c r="AB34" i="7"/>
  <c r="AC34" i="7"/>
  <c r="AD34" i="7"/>
  <c r="AE34" i="7"/>
  <c r="AF34" i="7"/>
  <c r="AG34" i="7"/>
  <c r="AH34" i="7"/>
  <c r="AI34" i="7"/>
  <c r="J35" i="7"/>
  <c r="K35" i="7"/>
  <c r="J36" i="7"/>
  <c r="K36" i="7"/>
  <c r="S36" i="7"/>
  <c r="T36" i="7"/>
  <c r="U36" i="7"/>
  <c r="W36" i="7"/>
  <c r="X36" i="7"/>
  <c r="Y36" i="7"/>
  <c r="Z36" i="7"/>
  <c r="AB36" i="7"/>
  <c r="AC36" i="7"/>
  <c r="AD36" i="7"/>
  <c r="AE36" i="7"/>
  <c r="AF36" i="7"/>
  <c r="AG36" i="7"/>
  <c r="AH36" i="7"/>
  <c r="AI36" i="7"/>
  <c r="J37" i="7"/>
  <c r="K37" i="7"/>
  <c r="S37" i="7"/>
  <c r="T37" i="7"/>
  <c r="U37" i="7"/>
  <c r="W37" i="7"/>
  <c r="X37" i="7"/>
  <c r="Y37" i="7"/>
  <c r="Z37" i="7"/>
  <c r="AB37" i="7"/>
  <c r="AC37" i="7"/>
  <c r="AD37" i="7"/>
  <c r="AE37" i="7"/>
  <c r="AF37" i="7"/>
  <c r="AG37" i="7"/>
  <c r="AH37" i="7"/>
  <c r="AI37" i="7"/>
  <c r="S38" i="7"/>
  <c r="T38" i="7"/>
  <c r="U38" i="7"/>
  <c r="W38" i="7"/>
  <c r="X38" i="7"/>
  <c r="Y38" i="7"/>
  <c r="Z38" i="7"/>
  <c r="AB38" i="7"/>
  <c r="AC38" i="7"/>
  <c r="AD38" i="7"/>
  <c r="AE38" i="7"/>
  <c r="AF38" i="7"/>
  <c r="AG38" i="7"/>
  <c r="AH38" i="7"/>
  <c r="AI38" i="7"/>
  <c r="S39" i="7"/>
  <c r="T39" i="7"/>
  <c r="U39" i="7"/>
  <c r="W39" i="7"/>
  <c r="X39" i="7"/>
  <c r="Y39" i="7"/>
  <c r="Z39" i="7"/>
  <c r="AB39" i="7"/>
  <c r="AC39" i="7"/>
  <c r="AD39" i="7"/>
  <c r="AE39" i="7"/>
  <c r="AF39" i="7"/>
  <c r="AG39" i="7"/>
  <c r="AH39" i="7"/>
  <c r="AI39" i="7"/>
  <c r="K43" i="7"/>
  <c r="V43" i="7"/>
  <c r="K44" i="7"/>
  <c r="V44" i="7"/>
  <c r="K45" i="7"/>
  <c r="V45" i="7"/>
  <c r="K46" i="7"/>
  <c r="K47" i="7"/>
  <c r="R48" i="7"/>
  <c r="J49" i="7"/>
  <c r="R49" i="7"/>
  <c r="R51" i="7"/>
  <c r="Y63" i="7"/>
  <c r="Z63" i="7"/>
  <c r="Y64" i="7"/>
  <c r="Z64" i="7"/>
  <c r="Y65" i="7"/>
  <c r="Z65" i="7"/>
  <c r="Y66" i="7"/>
  <c r="Z66" i="7"/>
  <c r="Y67" i="7"/>
  <c r="Z6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Young</author>
    <author>Melissa Cheesman</author>
  </authors>
  <commentList>
    <comment ref="K2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This should be the Pro-Forma before rates revenue amount from the ROP divided by cell J6
</t>
        </r>
      </text>
    </comment>
    <comment ref="O2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This should be the actual disposal tons from company records divided by cell N6
</t>
        </r>
      </text>
    </comment>
    <comment ref="AS4" authorId="1" shapeId="0" xr:uid="{00000000-0006-0000-0100-000003000000}">
      <text>
        <r>
          <rPr>
            <sz val="9"/>
            <color indexed="81"/>
            <rFont val="Tahoma"/>
            <family val="2"/>
          </rPr>
          <t>Operating Ratio from the Lurito-Gallagher model (garbage only)</t>
        </r>
      </text>
    </comment>
  </commentList>
</comments>
</file>

<file path=xl/sharedStrings.xml><?xml version="1.0" encoding="utf-8"?>
<sst xmlns="http://schemas.openxmlformats.org/spreadsheetml/2006/main" count="561" uniqueCount="426">
  <si>
    <t>EXPENSE MATRIX</t>
  </si>
  <si>
    <t>Total Expenses</t>
  </si>
  <si>
    <t>Pass-Thru Revenue</t>
  </si>
  <si>
    <t>Billing Expenses</t>
  </si>
  <si>
    <t>Office Payroll &amp; Overhead</t>
  </si>
  <si>
    <t>Driver Payroll</t>
  </si>
  <si>
    <t>Dropbox Driver Payroll</t>
  </si>
  <si>
    <t>Mechanic Payroll</t>
  </si>
  <si>
    <t>All Other Shop Expense</t>
  </si>
  <si>
    <t>Packer Truck Expense</t>
  </si>
  <si>
    <t>Dropbox Truck Expense</t>
  </si>
  <si>
    <t>Container Depn &amp; Repair</t>
  </si>
  <si>
    <t>Dropbox Depn &amp; Repair</t>
  </si>
  <si>
    <t>Officer Wages</t>
  </si>
  <si>
    <t>Dump Fee</t>
  </si>
  <si>
    <t>UTC Fee</t>
  </si>
  <si>
    <t>B &amp; O Taxes</t>
  </si>
  <si>
    <t>Bad Debt</t>
  </si>
  <si>
    <t xml:space="preserve"> </t>
  </si>
  <si>
    <t>Check</t>
  </si>
  <si>
    <t>OPERATING EXPENSES</t>
  </si>
  <si>
    <t>PARTS &amp; REPAIRS</t>
  </si>
  <si>
    <t>TIRES</t>
  </si>
  <si>
    <t>DRIVERS WAGES</t>
  </si>
  <si>
    <t>MECHANICS WAGES</t>
  </si>
  <si>
    <t>FUEL &amp; OIL</t>
  </si>
  <si>
    <t>OTHER COLLECTION EXP. (ferry)</t>
  </si>
  <si>
    <t>DISPOSAL FEES:</t>
  </si>
  <si>
    <t xml:space="preserve">       -REGULAR</t>
  </si>
  <si>
    <t xml:space="preserve">      - PASS THROUGH</t>
  </si>
  <si>
    <t>ADVERTISING</t>
  </si>
  <si>
    <t>PL &amp; PD INSURANCE</t>
  </si>
  <si>
    <t>PAYROLL TAXES</t>
  </si>
  <si>
    <t>OFFICERS WAGES</t>
  </si>
  <si>
    <t>OFFICE WAGES</t>
  </si>
  <si>
    <t>OFFICE EXPENSE</t>
  </si>
  <si>
    <t>LEGAL &amp; ACCOUNTING</t>
  </si>
  <si>
    <t>UTILITIES</t>
  </si>
  <si>
    <t>EMPLOYEE WELFARE</t>
  </si>
  <si>
    <t>REGULATORY EXPENSE</t>
  </si>
  <si>
    <t>OTHER GENERAL EXPENSE</t>
  </si>
  <si>
    <t>Depr- COLLECTION EQUIP</t>
  </si>
  <si>
    <t>Depr- CONTAINERS</t>
  </si>
  <si>
    <t>Depr- SERVICE EQUIPMENT</t>
  </si>
  <si>
    <t>VEHICLE LICENSES &amp; FEES</t>
  </si>
  <si>
    <t>B &amp; O TAX</t>
  </si>
  <si>
    <t>FACILITY COSTS</t>
  </si>
  <si>
    <t>BAD DEBT</t>
  </si>
  <si>
    <t>TOTAL OPERATING EXPENSES</t>
  </si>
  <si>
    <t>Total per Proforma</t>
  </si>
  <si>
    <t>Variance</t>
  </si>
  <si>
    <t>Variance 2</t>
  </si>
  <si>
    <t>12 months ended 12/31/09</t>
  </si>
  <si>
    <t>RESIDENTIAL</t>
  </si>
  <si>
    <t>C.O.S.</t>
  </si>
  <si>
    <t>COMMERCIAL</t>
  </si>
  <si>
    <t>Dropbox</t>
  </si>
  <si>
    <t>Packer Time</t>
  </si>
  <si>
    <t>DROPBOX</t>
  </si>
  <si>
    <t>TOTAL SERVICES</t>
  </si>
  <si>
    <t>MILEAGE &amp; MISC.</t>
  </si>
  <si>
    <t>No. of Customers</t>
  </si>
  <si>
    <t>Adjusted No. of Customers</t>
  </si>
  <si>
    <t>Pickup Frequencey</t>
  </si>
  <si>
    <t>Pickup Frequencey Per Year</t>
  </si>
  <si>
    <t>Proxy No. of Customers</t>
  </si>
  <si>
    <t>Container &amp; Dropbox Units</t>
  </si>
  <si>
    <t>Current Tariff Rate</t>
  </si>
  <si>
    <t>Current Monthly Revenue</t>
  </si>
  <si>
    <t>Current Annual Revenue</t>
  </si>
  <si>
    <t>Adjusted Annual Revenue</t>
  </si>
  <si>
    <t>Unit Lbs.</t>
  </si>
  <si>
    <t>Adjusted Unit Lbs.</t>
  </si>
  <si>
    <t>Calculated Disposal Tons</t>
  </si>
  <si>
    <t>Actual Disposal Tons</t>
  </si>
  <si>
    <t>Unit Stop Time (Sec)</t>
  </si>
  <si>
    <t>Annual Packer Stop Time (Hours)</t>
  </si>
  <si>
    <t>Adjusted Packer Stop Time (Hours)</t>
  </si>
  <si>
    <t>Dropbox Stop Time (Hours)</t>
  </si>
  <si>
    <t>Run Time (Hours)</t>
  </si>
  <si>
    <t>Total Run Time (Hours)</t>
  </si>
  <si>
    <t>Subtotal</t>
  </si>
  <si>
    <t>Cost of Service</t>
  </si>
  <si>
    <t>Revised Rate</t>
  </si>
  <si>
    <t>Annual Revenue (Revised Rate)</t>
  </si>
  <si>
    <t>Percentage Change (Revised Rate)</t>
  </si>
  <si>
    <t>Current Rate</t>
  </si>
  <si>
    <t>Annual Revenue (Current Rate)</t>
  </si>
  <si>
    <t>Proposed Rate</t>
  </si>
  <si>
    <t>Annual Revenue (Proposed Rate)</t>
  </si>
  <si>
    <t>Percentage Change (Proposed Rate)</t>
  </si>
  <si>
    <t xml:space="preserve">RESIDENTIAL </t>
  </si>
  <si>
    <t>1-20 gal Mini Can Wkly</t>
  </si>
  <si>
    <t>1-32 gal Can Wkly</t>
  </si>
  <si>
    <t>2-32 g Can Wkly</t>
  </si>
  <si>
    <t>1-32 g Can EOW</t>
  </si>
  <si>
    <t>2-32 g Can EOW</t>
  </si>
  <si>
    <t>1-32 gal Can Monthly</t>
  </si>
  <si>
    <t>1-20 gal Mini EOW</t>
  </si>
  <si>
    <t>Extra Can, Bag, Box etc</t>
  </si>
  <si>
    <t>Total</t>
  </si>
  <si>
    <t>2-32 g Can Monthly</t>
  </si>
  <si>
    <t>1-45 g Weekly</t>
  </si>
  <si>
    <t>1-45 g EOW</t>
  </si>
  <si>
    <t>1-45 g Monthly</t>
  </si>
  <si>
    <t>2-45 g Weekly</t>
  </si>
  <si>
    <t>2-45 g EOW</t>
  </si>
  <si>
    <t>2-45 g Monthly</t>
  </si>
  <si>
    <t>1-64 g Weekly</t>
  </si>
  <si>
    <t>1-64 g EOW</t>
  </si>
  <si>
    <t>1-64 g Monthly</t>
  </si>
  <si>
    <t>Extra 45</t>
  </si>
  <si>
    <t>Extra 64</t>
  </si>
  <si>
    <t>INPUT CELLS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</si>
  <si>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</si>
  <si>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</si>
  <si>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</si>
  <si>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</si>
  <si>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</si>
  <si>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</si>
  <si>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</si>
  <si>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</si>
  <si>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</si>
  <si>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</si>
  <si>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</si>
  <si>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</si>
  <si>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</si>
  <si>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</si>
  <si>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</si>
  <si>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</si>
  <si>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</si>
  <si>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</si>
  <si>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</si>
  <si>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</si>
  <si>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</si>
  <si>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</si>
  <si>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</si>
  <si>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</si>
  <si>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</si>
  <si>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</si>
  <si>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</si>
  <si>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</si>
  <si>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</si>
  <si>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</si>
  <si>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</si>
  <si>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</si>
  <si>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</si>
  <si>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</si>
  <si>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</si>
  <si>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</si>
  <si>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</si>
  <si>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</si>
  <si>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</si>
  <si>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</si>
  <si>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</si>
  <si>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</si>
  <si>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</si>
  <si>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</si>
  <si>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</si>
  <si>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</si>
  <si>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</si>
  <si>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</si>
  <si>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</si>
  <si>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</si>
  <si>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</si>
  <si>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</si>
  <si>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</si>
  <si>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</si>
  <si>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</si>
  <si>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 xml:space="preserve">* not on meeks - for compactors </t>
  </si>
  <si>
    <t xml:space="preserve">   calculated weight times compaction ratio</t>
  </si>
  <si>
    <t xml:space="preserve">2 -45 gallon </t>
  </si>
  <si>
    <t>2- 60 gallon</t>
  </si>
  <si>
    <t>Monthly Customers</t>
  </si>
  <si>
    <t>Annual Revenue</t>
  </si>
  <si>
    <t>Commercial</t>
  </si>
  <si>
    <t>Per Books</t>
  </si>
  <si>
    <t>Weekly</t>
  </si>
  <si>
    <t>Comm. Can</t>
  </si>
  <si>
    <t>Comm. 45 Gal Can</t>
  </si>
  <si>
    <t>Comm. 64 Gal Can</t>
  </si>
  <si>
    <t>Comm. 96 Gal Can</t>
  </si>
  <si>
    <t>50 Gal Bag</t>
  </si>
  <si>
    <t>Total Disposal Tons</t>
  </si>
  <si>
    <t xml:space="preserve">Residential </t>
  </si>
  <si>
    <t>LG Revenue Requirement</t>
  </si>
  <si>
    <t>Current Revenue from PFIS</t>
  </si>
  <si>
    <t>Rate Increase</t>
  </si>
  <si>
    <t>EOW</t>
  </si>
  <si>
    <t>1 32 Gal</t>
  </si>
  <si>
    <t>1 45 Gal</t>
  </si>
  <si>
    <t>1 64 Gal</t>
  </si>
  <si>
    <t>2 32 Gal</t>
  </si>
  <si>
    <t>2 45 Gal</t>
  </si>
  <si>
    <t>2 64 Gal</t>
  </si>
  <si>
    <t>Revised Rate Per Pickup</t>
  </si>
  <si>
    <t>Current Rate (Monthly)</t>
  </si>
  <si>
    <t>Monthly</t>
  </si>
  <si>
    <t>Weekly Pickup Price (Per Unit)</t>
  </si>
  <si>
    <t>Profit and Loss</t>
  </si>
  <si>
    <t xml:space="preserve"> Mar 1, '20 - Mar 1, 21</t>
  </si>
  <si>
    <t>Restating Adjustments</t>
  </si>
  <si>
    <t>Proforma Adjustments</t>
  </si>
  <si>
    <t>Total After Adjustments</t>
  </si>
  <si>
    <t>Ordinary Income/Expense</t>
  </si>
  <si>
    <t>Income</t>
  </si>
  <si>
    <t>Interest earned</t>
  </si>
  <si>
    <t>Late Fee's payment</t>
  </si>
  <si>
    <t>recon adjustment</t>
  </si>
  <si>
    <t>Sales</t>
  </si>
  <si>
    <t>Total Income</t>
  </si>
  <si>
    <t>Expense</t>
  </si>
  <si>
    <t>Depreciation</t>
  </si>
  <si>
    <t>Payroll</t>
  </si>
  <si>
    <t>Advertising</t>
  </si>
  <si>
    <t>Bank Service Charges and Fees</t>
  </si>
  <si>
    <t>Dumping fee's</t>
  </si>
  <si>
    <t>LAMB SHOP</t>
  </si>
  <si>
    <t>shop exp.</t>
  </si>
  <si>
    <t>Meals and Entertainment</t>
  </si>
  <si>
    <t>OFFICE EXPENSE AND SUPPLIES</t>
  </si>
  <si>
    <t>postage</t>
  </si>
  <si>
    <t>Commercial insurance</t>
  </si>
  <si>
    <t>Refuse Collection and B&amp;O Tax</t>
  </si>
  <si>
    <t>regulitory fees</t>
  </si>
  <si>
    <t>Repairs and Maintenance</t>
  </si>
  <si>
    <t>shop power</t>
  </si>
  <si>
    <t>Shop Rent</t>
  </si>
  <si>
    <t>Truck Fuel</t>
  </si>
  <si>
    <t>truck registration</t>
  </si>
  <si>
    <t>uniforms</t>
  </si>
  <si>
    <t>void</t>
  </si>
  <si>
    <t>Total Expense</t>
  </si>
  <si>
    <t>Net Income</t>
  </si>
  <si>
    <t>Net Ordinary Income</t>
  </si>
  <si>
    <t>Non-Public Companies</t>
  </si>
  <si>
    <t>nonpubco</t>
  </si>
  <si>
    <r>
      <t xml:space="preserve">LURITO - GALLAGHER FORMULA  MODEL 2018  </t>
    </r>
    <r>
      <rPr>
        <sz val="8"/>
        <color indexed="9"/>
        <rFont val="Calibri"/>
        <family val="2"/>
      </rPr>
      <t>V5.0a</t>
    </r>
  </si>
  <si>
    <t>CALCULATION TABLES</t>
  </si>
  <si>
    <t>Revenue Senstive Taxes (RevS)</t>
  </si>
  <si>
    <t>(b) + (c)</t>
  </si>
  <si>
    <t>(d) + (e)</t>
  </si>
  <si>
    <t>Regession</t>
  </si>
  <si>
    <t>Hauler</t>
  </si>
  <si>
    <t>Revenue Req</t>
  </si>
  <si>
    <t>Revenue</t>
  </si>
  <si>
    <t xml:space="preserve">Revenue </t>
  </si>
  <si>
    <t>INPUTS - Test Year</t>
  </si>
  <si>
    <t>(a)</t>
  </si>
  <si>
    <t>(b)</t>
  </si>
  <si>
    <t>(c)</t>
  </si>
  <si>
    <t>(d)</t>
  </si>
  <si>
    <t>(e)</t>
  </si>
  <si>
    <t>(f)</t>
  </si>
  <si>
    <t>Before Tax</t>
  </si>
  <si>
    <t>Less</t>
  </si>
  <si>
    <t>Adjusted</t>
  </si>
  <si>
    <t>After Tax</t>
  </si>
  <si>
    <t>Weighted Cost</t>
  </si>
  <si>
    <t>Before RevS</t>
  </si>
  <si>
    <t xml:space="preserve"> Increase Before</t>
  </si>
  <si>
    <t>Increase After</t>
  </si>
  <si>
    <t xml:space="preserve">RevS </t>
  </si>
  <si>
    <t xml:space="preserve">Total </t>
  </si>
  <si>
    <t>Operating Revenue</t>
  </si>
  <si>
    <t>Line</t>
  </si>
  <si>
    <t>Historical</t>
  </si>
  <si>
    <t>Proforma</t>
  </si>
  <si>
    <t>Add: Revenue</t>
  </si>
  <si>
    <t>Profit Ratio</t>
  </si>
  <si>
    <t>BTROI</t>
  </si>
  <si>
    <t>WCDebt</t>
  </si>
  <si>
    <t>BTROE</t>
  </si>
  <si>
    <t>ROE</t>
  </si>
  <si>
    <t>Equity</t>
  </si>
  <si>
    <t>Equity BFT</t>
  </si>
  <si>
    <t>Debt</t>
  </si>
  <si>
    <t>BTROR</t>
  </si>
  <si>
    <t>Operating Ratio</t>
  </si>
  <si>
    <t>Taxes</t>
  </si>
  <si>
    <t>RevS Taxes</t>
  </si>
  <si>
    <t>Operating Expenses</t>
  </si>
  <si>
    <t>No.</t>
  </si>
  <si>
    <t>Change</t>
  </si>
  <si>
    <t xml:space="preserve"> Sensitive Taxes</t>
  </si>
  <si>
    <t>Requirment</t>
  </si>
  <si>
    <t>Investment</t>
  </si>
  <si>
    <t>Capital Structure - Debt %</t>
  </si>
  <si>
    <t>Capital Structure - Debt Cost</t>
  </si>
  <si>
    <t>Operating Income</t>
  </si>
  <si>
    <t>Federal Income Tax Rate</t>
  </si>
  <si>
    <t>2nd Iteration</t>
  </si>
  <si>
    <t>B&amp;O Tax Rate</t>
  </si>
  <si>
    <t>Interest Expense</t>
  </si>
  <si>
    <t>WUTC Fee</t>
  </si>
  <si>
    <t>Income Tax Expense</t>
  </si>
  <si>
    <t>City Tax</t>
  </si>
  <si>
    <t>Bad Debts</t>
  </si>
  <si>
    <t>3rd Iteration</t>
  </si>
  <si>
    <t>Check when input is complete</t>
  </si>
  <si>
    <t xml:space="preserve">Operating Ratio </t>
  </si>
  <si>
    <t>No</t>
  </si>
  <si>
    <t>For Intial input: Uncheck Checkbox Until Completed</t>
  </si>
  <si>
    <t>Revenue Requirement</t>
  </si>
  <si>
    <t>Historical Revenue</t>
  </si>
  <si>
    <t>Revenue Increase before taxes</t>
  </si>
  <si>
    <t>Rev Sensitive Taxes</t>
  </si>
  <si>
    <t>4th Iteration</t>
  </si>
  <si>
    <t>2018 Version Update Changes</t>
  </si>
  <si>
    <t>● Allows Income Tax Rate Changes,</t>
  </si>
  <si>
    <t>Percent Increase</t>
  </si>
  <si>
    <t>● Minimizes impact of changes in test-year revenue from</t>
  </si>
  <si>
    <t xml:space="preserve">   resulting revenue requirment,</t>
  </si>
  <si>
    <t>Captial Structure Financing Investment</t>
  </si>
  <si>
    <t>Financing Cost</t>
  </si>
  <si>
    <t>● Corrects interest rate transposition in LG.</t>
  </si>
  <si>
    <t>Type</t>
  </si>
  <si>
    <t>Percent</t>
  </si>
  <si>
    <t>Amount</t>
  </si>
  <si>
    <t>Cost of Capital</t>
  </si>
  <si>
    <t>Weighted</t>
  </si>
  <si>
    <t>5th Iteration</t>
  </si>
  <si>
    <t>Before</t>
  </si>
  <si>
    <t>After</t>
  </si>
  <si>
    <t>6th Iteration</t>
  </si>
  <si>
    <t>Operating Statistics</t>
  </si>
  <si>
    <t>Income Tax</t>
  </si>
  <si>
    <t>Return on Investment</t>
  </si>
  <si>
    <t>Return on Equity</t>
  </si>
  <si>
    <t>7th Iteration</t>
  </si>
  <si>
    <t>Profit Margin</t>
  </si>
  <si>
    <t>Final turnover</t>
  </si>
  <si>
    <t>Tax Rate</t>
  </si>
  <si>
    <t>Revenue Sensitive Taxes Charges</t>
  </si>
  <si>
    <t>Curve</t>
  </si>
  <si>
    <t>Rate</t>
  </si>
  <si>
    <t>Lookup Table</t>
  </si>
  <si>
    <t xml:space="preserve"> B &amp; O Tax</t>
  </si>
  <si>
    <t xml:space="preserve"> WUTC Fee</t>
  </si>
  <si>
    <t xml:space="preserve"> City Tax</t>
  </si>
  <si>
    <t>Percent Chg</t>
  </si>
  <si>
    <t xml:space="preserve"> Bad Debts</t>
  </si>
  <si>
    <t>Revenue Sensitive</t>
  </si>
  <si>
    <t>Curve turnover</t>
  </si>
  <si>
    <t>@EXP(5.72260-(.68367*@LN(T)))</t>
  </si>
  <si>
    <t>Conversion Factor</t>
  </si>
  <si>
    <t>Curve No. used</t>
  </si>
  <si>
    <t>@EXP(5.70827-(.68367*@LN(T)))</t>
  </si>
  <si>
    <t>@EXP(5.69850-(.68367*@LN(T)))</t>
  </si>
  <si>
    <t>@EXP(5.69220-(.68367*@LN(T)))</t>
  </si>
  <si>
    <t>Base Utility from LG Sample Study</t>
  </si>
  <si>
    <t>Regression Results</t>
  </si>
  <si>
    <t>Cost</t>
  </si>
  <si>
    <t>Y intercept (1)</t>
  </si>
  <si>
    <t>Y intercept (3)</t>
  </si>
  <si>
    <t>Y intercept (2)</t>
  </si>
  <si>
    <t>Y intercept (4)</t>
  </si>
  <si>
    <t>Pfd.</t>
  </si>
  <si>
    <t>Slope</t>
  </si>
  <si>
    <t>Pre-tax</t>
  </si>
  <si>
    <t>Balance Sheet for March 1 2020 to March 1 2021</t>
  </si>
  <si>
    <t>Current Assets:</t>
  </si>
  <si>
    <t>Cash and Working Funds</t>
  </si>
  <si>
    <t>Accounts Receivable</t>
  </si>
  <si>
    <t>Less: Allowance for Uncollectables</t>
  </si>
  <si>
    <t>Net Accounts Receivable</t>
  </si>
  <si>
    <t>Prepayments</t>
  </si>
  <si>
    <t>Materials and Supplies</t>
  </si>
  <si>
    <r>
      <t xml:space="preserve">Other Current Assets </t>
    </r>
    <r>
      <rPr>
        <sz val="9"/>
        <rFont val="Arial"/>
        <family val="2"/>
      </rPr>
      <t>(specify in Footnote)</t>
    </r>
  </si>
  <si>
    <t>Total Current Assets</t>
  </si>
  <si>
    <t>Tangible Property:</t>
  </si>
  <si>
    <t>Solid Waste Operating Property (Schedule 5, Line 12)</t>
  </si>
  <si>
    <t>Less: Accumulated Depreciation (Schedule 5, Line 22)</t>
  </si>
  <si>
    <t>Net Solid Waste Operating Property</t>
  </si>
  <si>
    <t>Total Net Tangible Property</t>
  </si>
  <si>
    <t>Intangible Property:</t>
  </si>
  <si>
    <t>Organization, Franchises, and Permits</t>
  </si>
  <si>
    <t>Less: Accumulated Amortization - Credit</t>
  </si>
  <si>
    <t>Other Intangible Property</t>
  </si>
  <si>
    <t>Total Net Intangible Property</t>
  </si>
  <si>
    <t>Other Assets and Deferred Items:</t>
  </si>
  <si>
    <t>Deferred Debits</t>
  </si>
  <si>
    <r>
      <t xml:space="preserve">Other Assets and Deferred Items: </t>
    </r>
    <r>
      <rPr>
        <sz val="9"/>
        <rFont val="Arial"/>
        <family val="2"/>
      </rPr>
      <t>(specify in Footnote)</t>
    </r>
  </si>
  <si>
    <t>Total Other Assets and Deferred Items</t>
  </si>
  <si>
    <r>
      <t xml:space="preserve">Total Assets </t>
    </r>
    <r>
      <rPr>
        <i/>
        <sz val="10"/>
        <rFont val="Arial"/>
        <family val="2"/>
      </rPr>
      <t>(add lines 12, 16, 21 and 26)</t>
    </r>
  </si>
  <si>
    <t>Current Liabilities:</t>
  </si>
  <si>
    <t>Notes Payable</t>
  </si>
  <si>
    <t>Accounts Payable</t>
  </si>
  <si>
    <t>Salaries and Wages Payable</t>
  </si>
  <si>
    <t>Accrued Taxes</t>
  </si>
  <si>
    <t>Current Portion of Long Term Debt (Equipment and Other)</t>
  </si>
  <si>
    <r>
      <t xml:space="preserve">Other Current Liabilities </t>
    </r>
    <r>
      <rPr>
        <sz val="9"/>
        <rFont val="Arial"/>
        <family val="2"/>
      </rPr>
      <t>(specify in Footnote)</t>
    </r>
  </si>
  <si>
    <t>Total Current Liabilities</t>
  </si>
  <si>
    <t>Long Term Debt After 1 Year:</t>
  </si>
  <si>
    <t>Equipment Obligations</t>
  </si>
  <si>
    <r>
      <t xml:space="preserve">Other Long Term Debt </t>
    </r>
    <r>
      <rPr>
        <sz val="9"/>
        <rFont val="Arial"/>
        <family val="2"/>
      </rPr>
      <t>(specify in Footnote)</t>
    </r>
  </si>
  <si>
    <t>Total Long Term Debt After 1 Year</t>
  </si>
  <si>
    <t>Deferred Credits and Other Items:</t>
  </si>
  <si>
    <t>Deferred Credits</t>
  </si>
  <si>
    <r>
      <t xml:space="preserve">Other Credits </t>
    </r>
    <r>
      <rPr>
        <sz val="9"/>
        <rFont val="Arial"/>
        <family val="2"/>
      </rPr>
      <t>(specify in Footnote)</t>
    </r>
  </si>
  <si>
    <t>Total Deferred and Other Credits</t>
  </si>
  <si>
    <t>Total Liabilities (Add Lines 8, 12, and 15)</t>
  </si>
  <si>
    <t>Total Capital Stock</t>
  </si>
  <si>
    <t>Proprietor's Equity</t>
  </si>
  <si>
    <t>Sole Proprietor's Capital</t>
  </si>
  <si>
    <t>Total Proprietor's Capital</t>
  </si>
  <si>
    <t>Retained Earnings</t>
  </si>
  <si>
    <t>Total Equity (Add Lines 21 and 26 or 25)</t>
  </si>
  <si>
    <t>Total Liabilities and Equity (Line 16 plus Line 27)</t>
  </si>
  <si>
    <t>Asset Deprication sheet</t>
  </si>
  <si>
    <t>For Test period covering March 1, 2020 through April 31, 2021</t>
  </si>
  <si>
    <t>Placed in Service</t>
  </si>
  <si>
    <t>Cost Basis</t>
  </si>
  <si>
    <t>Service Life</t>
  </si>
  <si>
    <t>Annual Deprecaition</t>
  </si>
  <si>
    <t>Beginning Accum. Dep.</t>
  </si>
  <si>
    <t>Ending Accum. Depr.</t>
  </si>
  <si>
    <t>2013.Depr</t>
  </si>
  <si>
    <t>2014 Depr</t>
  </si>
  <si>
    <t>2015 depr</t>
  </si>
  <si>
    <t>2016 Depr</t>
  </si>
  <si>
    <t>2001 Nissan Garbage Truck</t>
  </si>
  <si>
    <t>Trash cans</t>
  </si>
  <si>
    <t xml:space="preserve"> Garbage truck repair bill</t>
  </si>
  <si>
    <t>Total Depr.</t>
  </si>
  <si>
    <t>Total Invest.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</si>
</sst>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#,##0.000_);\(#,##0.000\)"/>
    <numFmt numFmtId="167" formatCode="0.00000"/>
    <numFmt numFmtId="168" formatCode="0.0%"/>
    <numFmt numFmtId="169" formatCode="#,##0.0_);\(#,##0.0\)"/>
    <numFmt numFmtId="170" formatCode="0.0"/>
    <numFmt numFmtId="171" formatCode="&quot;$&quot;#,##0.00"/>
    <numFmt numFmtId="172" formatCode="#,###_);\(#,###\);&quot;-&quot;"/>
    <numFmt numFmtId="173" formatCode="mmmm\ d\,\ yyyy"/>
    <numFmt numFmtId="174" formatCode="General_)"/>
    <numFmt numFmtId="175" formatCode="_*\ #,###.0,;_(* \(#,###.0,\);_(* &quot;-&quot;??_);_(@_)"/>
    <numFmt numFmtId="176" formatCode="#,##0.0"/>
    <numFmt numFmtId="177" formatCode="_(&quot;$&quot;* #,##0.000_);_(&quot;$&quot;* \(#,##0.000\);_(&quot;$&quot;* &quot;-&quot;??_);_(@_)"/>
    <numFmt numFmtId="178" formatCode="_(* #,##0.000000_);_(* \(#,##0.000000\);_(* &quot;-&quot;??_);_(@_)"/>
    <numFmt numFmtId="179" formatCode="_(&quot;$&quot;* #,##0.000000_);_(&quot;$&quot;* \(#,##0.000000\);_(&quot;$&quot;* &quot;-&quot;??_);_(@_)"/>
    <numFmt numFmtId="180" formatCode="0.0000%"/>
    <numFmt numFmtId="181" formatCode="0.000000"/>
    <numFmt numFmtId="182" formatCode="_(&quot;$&quot;* #,##0_);_(&quot;$&quot;* \(#,##0\);_(&quot;$&quot;* &quot;-&quot;??_);_(@_)"/>
    <numFmt numFmtId="183" formatCode="#,##0.00;\-#,##0.00"/>
    <numFmt numFmtId="184" formatCode="#,##0.0000_);\(#,##0.0000\)"/>
    <numFmt numFmtId="185" formatCode="0.000%"/>
    <numFmt numFmtId="186" formatCode="#,##0.00000_);\(#,##0.00000\)"/>
    <numFmt numFmtId="187" formatCode="_(&quot;$&quot;* #,##0.0_);_(&quot;$&quot;* \(#,##0.0\);_(&quot;$&quot;* &quot;-&quot;??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B050"/>
      <name val="Arial"/>
      <family val="2"/>
    </font>
    <font>
      <sz val="8"/>
      <color theme="9" tint="-0.249977111117893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name val="Helv"/>
    </font>
    <font>
      <sz val="12"/>
      <name val="Arial MT"/>
    </font>
    <font>
      <sz val="12"/>
      <name val="Times New Roman"/>
      <family val="1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12"/>
      <name val="SWISS"/>
    </font>
    <font>
      <b/>
      <sz val="12"/>
      <name val="SWISS"/>
    </font>
    <font>
      <sz val="8"/>
      <color indexed="9"/>
      <name val="Calibri"/>
      <family val="2"/>
    </font>
    <font>
      <sz val="14"/>
      <color indexed="9"/>
      <name val="Calibri"/>
      <family val="2"/>
    </font>
    <font>
      <b/>
      <sz val="14"/>
      <name val="SWISS"/>
    </font>
    <font>
      <sz val="9"/>
      <color rgb="FF0070C0"/>
      <name val="SWISS"/>
    </font>
    <font>
      <b/>
      <sz val="12"/>
      <color indexed="12"/>
      <name val="Times New Roman"/>
      <family val="1"/>
    </font>
    <font>
      <sz val="12"/>
      <color indexed="39"/>
      <name val="SWISS"/>
    </font>
    <font>
      <sz val="12"/>
      <color indexed="39"/>
      <name val="Times New Roman"/>
      <family val="1"/>
    </font>
    <font>
      <b/>
      <sz val="12"/>
      <color indexed="39"/>
      <name val="Times New Roman"/>
      <family val="1"/>
    </font>
    <font>
      <sz val="12"/>
      <color indexed="10"/>
      <name val="SWISS"/>
    </font>
    <font>
      <sz val="12"/>
      <color indexed="8"/>
      <name val="SWISS"/>
    </font>
    <font>
      <sz val="9"/>
      <color indexed="39"/>
      <name val="Times New Roman"/>
      <family val="1"/>
    </font>
    <font>
      <u/>
      <sz val="12"/>
      <color indexed="12"/>
      <name val="Times New Roman"/>
      <family val="1"/>
    </font>
    <font>
      <b/>
      <u/>
      <sz val="12"/>
      <color indexed="39"/>
      <name val="Times New Roman"/>
      <family val="1"/>
    </font>
    <font>
      <sz val="12"/>
      <color indexed="18"/>
      <name val="Times New Roman"/>
      <family val="1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2"/>
      <name val="SWISS"/>
    </font>
    <font>
      <sz val="12"/>
      <color indexed="18"/>
      <name val="SWISS"/>
    </font>
    <font>
      <b/>
      <sz val="10"/>
      <name val="SWISS"/>
    </font>
    <font>
      <sz val="12"/>
      <color indexed="56"/>
      <name val="SWISS"/>
    </font>
    <font>
      <i/>
      <sz val="12"/>
      <name val="SWISS"/>
    </font>
    <font>
      <sz val="11"/>
      <name val="Times New Roman"/>
      <family val="1"/>
    </font>
    <font>
      <sz val="10"/>
      <color indexed="39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6">
    <xf numFmtId="0" fontId="0" fillId="0" borderId="0"/>
    <xf numFmtId="0" fontId="2" fillId="2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1" fillId="0" borderId="0"/>
    <xf numFmtId="171" fontId="5" fillId="0" borderId="0" applyFill="0"/>
    <xf numFmtId="171" fontId="5" fillId="0" borderId="0">
      <alignment horizontal="center"/>
    </xf>
    <xf numFmtId="0" fontId="5" fillId="0" borderId="0" applyFill="0">
      <alignment horizontal="center"/>
    </xf>
    <xf numFmtId="171" fontId="20" fillId="0" borderId="15" applyFill="0"/>
    <xf numFmtId="0" fontId="3" fillId="0" borderId="0" applyFont="0" applyAlignment="0"/>
    <xf numFmtId="0" fontId="21" fillId="0" borderId="0" applyFill="0">
      <alignment vertical="top"/>
    </xf>
    <xf numFmtId="0" fontId="20" fillId="0" borderId="0" applyFill="0">
      <alignment horizontal="left" vertical="top"/>
    </xf>
    <xf numFmtId="171" fontId="8" fillId="0" borderId="16" applyFill="0"/>
    <xf numFmtId="0" fontId="3" fillId="0" borderId="0" applyNumberFormat="0" applyFont="0" applyAlignment="0"/>
    <xf numFmtId="0" fontId="21" fillId="0" borderId="0" applyFill="0">
      <alignment wrapText="1"/>
    </xf>
    <xf numFmtId="0" fontId="20" fillId="0" borderId="0" applyFill="0">
      <alignment horizontal="left" vertical="top" wrapText="1"/>
    </xf>
    <xf numFmtId="171" fontId="22" fillId="0" borderId="0" applyFill="0"/>
    <xf numFmtId="0" fontId="23" fillId="0" borderId="0" applyNumberFormat="0" applyFont="0" applyAlignment="0">
      <alignment horizontal="center"/>
    </xf>
    <xf numFmtId="0" fontId="24" fillId="0" borderId="0" applyFill="0">
      <alignment vertical="top" wrapText="1"/>
    </xf>
    <xf numFmtId="0" fontId="8" fillId="0" borderId="0" applyFill="0">
      <alignment horizontal="left" vertical="top" wrapText="1"/>
    </xf>
    <xf numFmtId="171" fontId="3" fillId="0" borderId="0" applyFill="0"/>
    <xf numFmtId="0" fontId="23" fillId="0" borderId="0" applyNumberFormat="0" applyFont="0" applyAlignment="0">
      <alignment horizontal="center"/>
    </xf>
    <xf numFmtId="0" fontId="25" fillId="0" borderId="0" applyFill="0">
      <alignment vertical="center" wrapText="1"/>
    </xf>
    <xf numFmtId="0" fontId="26" fillId="0" borderId="0">
      <alignment horizontal="left" vertical="center" wrapText="1"/>
    </xf>
    <xf numFmtId="171" fontId="27" fillId="0" borderId="0" applyFill="0"/>
    <xf numFmtId="0" fontId="23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1" fontId="29" fillId="0" borderId="0" applyFill="0"/>
    <xf numFmtId="0" fontId="23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31" fillId="0" borderId="0" applyFill="0">
      <alignment horizontal="center" vertical="center" wrapText="1"/>
    </xf>
    <xf numFmtId="171" fontId="32" fillId="0" borderId="0" applyFill="0"/>
    <xf numFmtId="0" fontId="23" fillId="0" borderId="0" applyNumberFormat="0" applyFont="0" applyAlignment="0">
      <alignment horizontal="center"/>
    </xf>
    <xf numFmtId="0" fontId="33" fillId="0" borderId="0">
      <alignment horizontal="center" wrapText="1"/>
    </xf>
    <xf numFmtId="0" fontId="29" fillId="0" borderId="0" applyFill="0">
      <alignment horizontal="center" wrapText="1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" fillId="0" borderId="0" applyFill="0" applyBorder="0" applyAlignment="0" applyProtection="0"/>
    <xf numFmtId="173" fontId="3" fillId="0" borderId="0" applyFill="0" applyBorder="0" applyAlignment="0" applyProtection="0"/>
    <xf numFmtId="2" fontId="3" fillId="0" borderId="0" applyFill="0" applyBorder="0" applyAlignment="0" applyProtection="0"/>
    <xf numFmtId="38" fontId="5" fillId="3" borderId="0" applyNumberFormat="0" applyBorder="0" applyAlignment="0" applyProtection="0"/>
    <xf numFmtId="0" fontId="8" fillId="0" borderId="17" applyNumberFormat="0" applyAlignment="0" applyProtection="0">
      <alignment horizontal="left" vertical="center"/>
    </xf>
    <xf numFmtId="0" fontId="8" fillId="0" borderId="8">
      <alignment horizontal="left" vertical="center"/>
    </xf>
    <xf numFmtId="10" fontId="5" fillId="10" borderId="7" applyNumberFormat="0" applyBorder="0" applyAlignment="0" applyProtection="0"/>
    <xf numFmtId="41" fontId="35" fillId="11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174" fontId="36" fillId="0" borderId="0"/>
    <xf numFmtId="0" fontId="34" fillId="0" borderId="0"/>
    <xf numFmtId="0" fontId="3" fillId="0" borderId="0"/>
    <xf numFmtId="0" fontId="36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" fillId="0" borderId="0"/>
    <xf numFmtId="0" fontId="37" fillId="0" borderId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39" fillId="0" borderId="0" applyNumberFormat="0" applyFont="0" applyFill="0" applyBorder="0">
      <alignment horizontal="left" indent="4"/>
      <protection locked="0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2">
      <alignment horizontal="center"/>
    </xf>
    <xf numFmtId="0" fontId="41" fillId="0" borderId="12">
      <alignment horizontal="center"/>
    </xf>
    <xf numFmtId="3" fontId="40" fillId="0" borderId="0" applyFont="0" applyFill="0" applyBorder="0" applyAlignment="0" applyProtection="0"/>
    <xf numFmtId="0" fontId="40" fillId="12" borderId="0" applyNumberFormat="0" applyFont="0" applyBorder="0" applyAlignment="0" applyProtection="0"/>
    <xf numFmtId="175" fontId="42" fillId="13" borderId="18" applyNumberFormat="0" applyFill="0"/>
    <xf numFmtId="0" fontId="43" fillId="13" borderId="0" applyNumberFormat="0" applyFill="0" applyBorder="0" applyAlignment="0" applyProtection="0">
      <alignment horizontal="left" indent="7"/>
    </xf>
    <xf numFmtId="0" fontId="3" fillId="2" borderId="18" applyNumberFormat="0" applyFill="0">
      <alignment horizontal="left" indent="6"/>
    </xf>
    <xf numFmtId="175" fontId="22" fillId="0" borderId="19" applyNumberFormat="0" applyFill="0"/>
    <xf numFmtId="0" fontId="4" fillId="14" borderId="7" applyNumberFormat="0" applyFill="0" applyBorder="0" applyAlignment="0">
      <alignment horizontal="right"/>
    </xf>
    <xf numFmtId="0" fontId="44" fillId="15" borderId="18" applyNumberFormat="0" applyFill="0" applyBorder="0" applyAlignment="0"/>
    <xf numFmtId="0" fontId="22" fillId="0" borderId="18" applyNumberFormat="0" applyFill="0"/>
    <xf numFmtId="175" fontId="22" fillId="0" borderId="18" applyNumberFormat="0" applyFill="0"/>
    <xf numFmtId="0" fontId="3" fillId="16" borderId="0" applyNumberFormat="0" applyFill="0" applyBorder="0" applyAlignment="0"/>
    <xf numFmtId="0" fontId="45" fillId="17" borderId="18" applyNumberFormat="0" applyFill="0" applyBorder="0">
      <alignment horizontal="left" indent="1"/>
    </xf>
    <xf numFmtId="0" fontId="4" fillId="0" borderId="18" applyNumberFormat="0" applyFill="0">
      <alignment horizontal="left" indent="1"/>
    </xf>
    <xf numFmtId="175" fontId="22" fillId="0" borderId="18" applyNumberFormat="0" applyFill="0"/>
    <xf numFmtId="0" fontId="3" fillId="18" borderId="0" applyNumberFormat="0" applyFill="0" applyBorder="0" applyAlignment="0"/>
    <xf numFmtId="0" fontId="44" fillId="18" borderId="18" applyNumberFormat="0" applyFill="0" applyBorder="0">
      <alignment horizontal="left" indent="2"/>
    </xf>
    <xf numFmtId="0" fontId="4" fillId="18" borderId="18" applyNumberFormat="0" applyFill="0">
      <alignment horizontal="left" indent="2"/>
    </xf>
    <xf numFmtId="175" fontId="42" fillId="0" borderId="18" applyNumberFormat="0" applyFill="0"/>
    <xf numFmtId="0" fontId="3" fillId="0" borderId="0" applyNumberFormat="0" applyFill="0" applyBorder="0" applyAlignment="0"/>
    <xf numFmtId="0" fontId="45" fillId="0" borderId="18" applyNumberFormat="0" applyFill="0" applyBorder="0">
      <alignment horizontal="left" indent="3"/>
    </xf>
    <xf numFmtId="0" fontId="3" fillId="0" borderId="18" applyNumberFormat="0" applyFill="0" applyProtection="0">
      <alignment horizontal="left" indent="3"/>
    </xf>
    <xf numFmtId="175" fontId="42" fillId="0" borderId="18" applyNumberFormat="0" applyFill="0"/>
    <xf numFmtId="0" fontId="3" fillId="0" borderId="0" applyNumberFormat="0" applyFill="0" applyBorder="0" applyAlignment="0"/>
    <xf numFmtId="0" fontId="46" fillId="0" borderId="18" applyNumberFormat="0" applyFill="0" applyBorder="0">
      <alignment horizontal="left" indent="4"/>
    </xf>
    <xf numFmtId="176" fontId="3" fillId="0" borderId="18" applyNumberFormat="0" applyFill="0">
      <alignment horizontal="left" indent="4"/>
    </xf>
    <xf numFmtId="175" fontId="42" fillId="0" borderId="18" applyNumberFormat="0" applyFill="0"/>
    <xf numFmtId="0" fontId="3" fillId="0" borderId="0" applyNumberFormat="0" applyBorder="0" applyAlignment="0"/>
    <xf numFmtId="0" fontId="46" fillId="0" borderId="18" applyNumberFormat="0" applyFill="0" applyBorder="0">
      <alignment horizontal="left" indent="5"/>
    </xf>
    <xf numFmtId="0" fontId="3" fillId="0" borderId="18" applyNumberFormat="0" applyFill="0">
      <alignment horizontal="left" indent="5"/>
    </xf>
    <xf numFmtId="175" fontId="42" fillId="0" borderId="18" applyNumberFormat="0" applyFill="0"/>
    <xf numFmtId="0" fontId="3" fillId="0" borderId="0" applyNumberFormat="0" applyFill="0" applyBorder="0" applyAlignment="0"/>
    <xf numFmtId="0" fontId="47" fillId="0" borderId="18" applyNumberFormat="0" applyFill="0" applyBorder="0">
      <alignment horizontal="left" indent="6"/>
    </xf>
    <xf numFmtId="0" fontId="28" fillId="0" borderId="18" applyNumberFormat="0" applyFill="0">
      <alignment horizontal="left" indent="6"/>
    </xf>
    <xf numFmtId="0" fontId="48" fillId="0" borderId="0" applyNumberFormat="0" applyBorder="0" applyAlignment="0"/>
    <xf numFmtId="175" fontId="49" fillId="13" borderId="18" applyNumberFormat="0" applyProtection="0">
      <alignment horizontal="right"/>
    </xf>
    <xf numFmtId="164" fontId="26" fillId="13" borderId="0" applyFont="0" applyFill="0" applyBorder="0" applyAlignment="0" applyProtection="0">
      <alignment wrapText="1"/>
    </xf>
    <xf numFmtId="0" fontId="26" fillId="13" borderId="20" applyNumberFormat="0" applyFill="0" applyBorder="0" applyProtection="0">
      <alignment horizontal="right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23" borderId="0" applyNumberFormat="0" applyBorder="0" applyAlignment="0" applyProtection="0"/>
    <xf numFmtId="0" fontId="2" fillId="24" borderId="0"/>
    <xf numFmtId="41" fontId="34" fillId="2" borderId="0">
      <alignment horizontal="left"/>
    </xf>
    <xf numFmtId="10" fontId="34" fillId="2" borderId="0"/>
    <xf numFmtId="0" fontId="2" fillId="24" borderId="0"/>
    <xf numFmtId="9" fontId="1" fillId="0" borderId="0" applyFont="0" applyFill="0" applyBorder="0" applyAlignment="0" applyProtection="0"/>
  </cellStyleXfs>
  <cellXfs count="590">
    <xf numFmtId="0" fontId="0" fillId="0" borderId="0" xfId="0"/>
    <xf numFmtId="0" fontId="3" fillId="2" borderId="0" xfId="1" applyNumberFormat="1" applyFont="1" applyAlignment="1">
      <alignment horizontal="left" vertical="top"/>
    </xf>
    <xf numFmtId="0" fontId="4" fillId="0" borderId="1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Alignment="1">
      <alignment horizontal="center" vertical="top" wrapText="1"/>
    </xf>
    <xf numFmtId="0" fontId="3" fillId="2" borderId="0" xfId="1" applyNumberFormat="1" applyFont="1" applyAlignment="1">
      <alignment horizontal="center" vertical="top"/>
    </xf>
    <xf numFmtId="0" fontId="5" fillId="2" borderId="0" xfId="1" applyNumberFormat="1" applyFont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164" fontId="3" fillId="2" borderId="0" xfId="2" applyNumberFormat="1" applyFont="1" applyFill="1" applyAlignment="1">
      <alignment horizontal="center" vertical="top"/>
    </xf>
    <xf numFmtId="164" fontId="7" fillId="2" borderId="0" xfId="2" applyNumberFormat="1" applyFont="1" applyFill="1" applyAlignment="1">
      <alignment horizontal="center" vertical="top"/>
    </xf>
    <xf numFmtId="10" fontId="3" fillId="2" borderId="0" xfId="1" applyNumberFormat="1" applyFont="1" applyAlignment="1">
      <alignment horizontal="center" vertical="top"/>
    </xf>
    <xf numFmtId="164" fontId="7" fillId="0" borderId="0" xfId="2" applyNumberFormat="1" applyFont="1" applyFill="1" applyAlignment="1">
      <alignment horizontal="center" vertical="top"/>
    </xf>
    <xf numFmtId="164" fontId="7" fillId="2" borderId="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Border="1" applyAlignment="1">
      <alignment horizontal="center" vertical="top"/>
    </xf>
    <xf numFmtId="164" fontId="3" fillId="2" borderId="3" xfId="2" applyNumberFormat="1" applyFont="1" applyFill="1" applyBorder="1" applyAlignment="1">
      <alignment horizontal="center" vertical="top"/>
    </xf>
    <xf numFmtId="0" fontId="3" fillId="3" borderId="0" xfId="1" applyNumberFormat="1" applyFont="1" applyFill="1" applyAlignment="1">
      <alignment horizontal="left" vertical="top"/>
    </xf>
    <xf numFmtId="43" fontId="3" fillId="3" borderId="0" xfId="2" applyFont="1" applyFill="1" applyAlignment="1">
      <alignment horizontal="center" vertical="top"/>
    </xf>
    <xf numFmtId="164" fontId="3" fillId="2" borderId="0" xfId="1" applyNumberFormat="1" applyFont="1" applyAlignment="1">
      <alignment horizontal="center" vertical="top"/>
    </xf>
    <xf numFmtId="0" fontId="3" fillId="3" borderId="0" xfId="1" applyNumberFormat="1" applyFont="1" applyFill="1" applyAlignment="1">
      <alignment horizontal="center" vertical="top"/>
    </xf>
    <xf numFmtId="164" fontId="3" fillId="3" borderId="0" xfId="1" applyNumberFormat="1" applyFont="1" applyFill="1" applyAlignment="1">
      <alignment horizontal="center" vertical="top"/>
    </xf>
    <xf numFmtId="43" fontId="3" fillId="2" borderId="0" xfId="1" applyNumberFormat="1" applyFont="1" applyAlignment="1">
      <alignment horizontal="center" vertical="top"/>
    </xf>
    <xf numFmtId="0" fontId="8" fillId="0" borderId="0" xfId="1" applyNumberFormat="1" applyFont="1" applyFill="1"/>
    <xf numFmtId="0" fontId="5" fillId="0" borderId="0" xfId="1" applyNumberFormat="1" applyFont="1" applyFill="1"/>
    <xf numFmtId="44" fontId="5" fillId="0" borderId="0" xfId="3" applyFont="1" applyFill="1"/>
    <xf numFmtId="165" fontId="5" fillId="0" borderId="0" xfId="1" applyNumberFormat="1" applyFont="1" applyFill="1"/>
    <xf numFmtId="0" fontId="9" fillId="0" borderId="0" xfId="1" applyNumberFormat="1" applyFont="1" applyFill="1"/>
    <xf numFmtId="3" fontId="5" fillId="0" borderId="0" xfId="1" applyNumberFormat="1" applyFont="1" applyFill="1"/>
    <xf numFmtId="0" fontId="5" fillId="0" borderId="0" xfId="3" applyNumberFormat="1" applyFont="1" applyFill="1"/>
    <xf numFmtId="37" fontId="10" fillId="0" borderId="0" xfId="1" applyNumberFormat="1" applyFont="1" applyFill="1"/>
    <xf numFmtId="166" fontId="5" fillId="0" borderId="0" xfId="1" applyNumberFormat="1" applyFont="1" applyFill="1"/>
    <xf numFmtId="43" fontId="5" fillId="0" borderId="0" xfId="1" applyNumberFormat="1" applyFont="1" applyFill="1"/>
    <xf numFmtId="0" fontId="5" fillId="4" borderId="0" xfId="1" applyNumberFormat="1" applyFont="1" applyFill="1"/>
    <xf numFmtId="39" fontId="11" fillId="0" borderId="0" xfId="1" applyNumberFormat="1" applyFont="1" applyFill="1"/>
    <xf numFmtId="164" fontId="5" fillId="0" borderId="0" xfId="4" applyNumberFormat="1" applyFont="1" applyFill="1"/>
    <xf numFmtId="37" fontId="5" fillId="0" borderId="4" xfId="1" applyNumberFormat="1" applyFont="1" applyFill="1" applyBorder="1"/>
    <xf numFmtId="164" fontId="9" fillId="0" borderId="1" xfId="4" applyNumberFormat="1" applyFont="1" applyFill="1" applyBorder="1"/>
    <xf numFmtId="164" fontId="5" fillId="0" borderId="0" xfId="1" applyNumberFormat="1" applyFont="1" applyFill="1"/>
    <xf numFmtId="167" fontId="5" fillId="0" borderId="0" xfId="1" applyNumberFormat="1" applyFont="1" applyFill="1"/>
    <xf numFmtId="37" fontId="11" fillId="0" borderId="0" xfId="1" applyNumberFormat="1" applyFont="1" applyFill="1"/>
    <xf numFmtId="0" fontId="5" fillId="4" borderId="0" xfId="1" applyNumberFormat="1" applyFont="1" applyFill="1" applyAlignment="1">
      <alignment horizontal="center"/>
    </xf>
    <xf numFmtId="37" fontId="5" fillId="0" borderId="0" xfId="1" applyNumberFormat="1" applyFont="1" applyFill="1"/>
    <xf numFmtId="37" fontId="5" fillId="0" borderId="5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37" fontId="9" fillId="0" borderId="1" xfId="1" applyNumberFormat="1" applyFont="1" applyFill="1" applyBorder="1" applyAlignment="1"/>
    <xf numFmtId="37" fontId="5" fillId="0" borderId="0" xfId="1" applyNumberFormat="1" applyFont="1" applyFill="1" applyAlignment="1">
      <alignment horizontal="center"/>
    </xf>
    <xf numFmtId="37" fontId="12" fillId="0" borderId="6" xfId="1" applyNumberFormat="1" applyFont="1" applyFill="1" applyBorder="1"/>
    <xf numFmtId="164" fontId="10" fillId="0" borderId="0" xfId="4" applyNumberFormat="1" applyFont="1" applyFill="1"/>
    <xf numFmtId="37" fontId="9" fillId="0" borderId="1" xfId="1" applyNumberFormat="1" applyFont="1" applyFill="1" applyBorder="1"/>
    <xf numFmtId="10" fontId="10" fillId="5" borderId="7" xfId="5" applyNumberFormat="1" applyFont="1" applyFill="1" applyBorder="1"/>
    <xf numFmtId="44" fontId="5" fillId="0" borderId="0" xfId="3" applyFont="1" applyFill="1" applyAlignment="1">
      <alignment horizontal="center"/>
    </xf>
    <xf numFmtId="0" fontId="9" fillId="0" borderId="8" xfId="1" applyNumberFormat="1" applyFont="1" applyFill="1" applyBorder="1"/>
    <xf numFmtId="164" fontId="9" fillId="0" borderId="8" xfId="4" applyNumberFormat="1" applyFont="1" applyFill="1" applyBorder="1"/>
    <xf numFmtId="164" fontId="9" fillId="0" borderId="8" xfId="4" applyNumberFormat="1" applyFont="1" applyFill="1" applyBorder="1" applyAlignment="1">
      <alignment horizontal="center"/>
    </xf>
    <xf numFmtId="165" fontId="9" fillId="0" borderId="8" xfId="4" applyNumberFormat="1" applyFont="1" applyFill="1" applyBorder="1"/>
    <xf numFmtId="164" fontId="9" fillId="4" borderId="8" xfId="4" applyNumberFormat="1" applyFont="1" applyFill="1" applyBorder="1"/>
    <xf numFmtId="164" fontId="9" fillId="0" borderId="9" xfId="4" applyNumberFormat="1" applyFont="1" applyFill="1" applyBorder="1"/>
    <xf numFmtId="164" fontId="5" fillId="0" borderId="8" xfId="4" applyNumberFormat="1" applyFont="1" applyFill="1" applyBorder="1"/>
    <xf numFmtId="44" fontId="9" fillId="0" borderId="8" xfId="3" applyFont="1" applyFill="1" applyBorder="1"/>
    <xf numFmtId="0" fontId="5" fillId="6" borderId="0" xfId="1" applyNumberFormat="1" applyFont="1" applyFill="1"/>
    <xf numFmtId="164" fontId="5" fillId="6" borderId="0" xfId="4" applyNumberFormat="1" applyFont="1" applyFill="1"/>
    <xf numFmtId="165" fontId="5" fillId="6" borderId="0" xfId="4" applyNumberFormat="1" applyFont="1" applyFill="1"/>
    <xf numFmtId="164" fontId="5" fillId="4" borderId="0" xfId="4" applyNumberFormat="1" applyFont="1" applyFill="1"/>
    <xf numFmtId="164" fontId="5" fillId="6" borderId="10" xfId="4" applyNumberFormat="1" applyFont="1" applyFill="1" applyBorder="1"/>
    <xf numFmtId="10" fontId="5" fillId="6" borderId="0" xfId="1" applyNumberFormat="1" applyFont="1" applyFill="1"/>
    <xf numFmtId="0" fontId="5" fillId="6" borderId="0" xfId="1" applyNumberFormat="1" applyFont="1" applyFill="1" applyBorder="1"/>
    <xf numFmtId="164" fontId="5" fillId="6" borderId="0" xfId="4" applyNumberFormat="1" applyFont="1" applyFill="1" applyBorder="1"/>
    <xf numFmtId="165" fontId="5" fillId="6" borderId="0" xfId="4" applyNumberFormat="1" applyFont="1" applyFill="1" applyBorder="1"/>
    <xf numFmtId="164" fontId="5" fillId="4" borderId="0" xfId="4" applyNumberFormat="1" applyFont="1" applyFill="1" applyBorder="1"/>
    <xf numFmtId="164" fontId="5" fillId="6" borderId="11" xfId="4" applyNumberFormat="1" applyFont="1" applyFill="1" applyBorder="1"/>
    <xf numFmtId="168" fontId="5" fillId="0" borderId="0" xfId="6" applyNumberFormat="1" applyFont="1" applyFill="1" applyBorder="1"/>
    <xf numFmtId="0" fontId="5" fillId="0" borderId="0" xfId="1" applyNumberFormat="1" applyFont="1" applyFill="1" applyBorder="1"/>
    <xf numFmtId="0" fontId="5" fillId="6" borderId="12" xfId="1" applyNumberFormat="1" applyFont="1" applyFill="1" applyBorder="1"/>
    <xf numFmtId="164" fontId="13" fillId="6" borderId="12" xfId="4" applyNumberFormat="1" applyFont="1" applyFill="1" applyBorder="1"/>
    <xf numFmtId="164" fontId="14" fillId="6" borderId="12" xfId="4" applyNumberFormat="1" applyFont="1" applyFill="1" applyBorder="1"/>
    <xf numFmtId="165" fontId="14" fillId="6" borderId="12" xfId="4" applyNumberFormat="1" applyFont="1" applyFill="1" applyBorder="1"/>
    <xf numFmtId="164" fontId="13" fillId="4" borderId="12" xfId="4" applyNumberFormat="1" applyFont="1" applyFill="1" applyBorder="1"/>
    <xf numFmtId="10" fontId="5" fillId="6" borderId="12" xfId="1" applyNumberFormat="1" applyFont="1" applyFill="1" applyBorder="1"/>
    <xf numFmtId="0" fontId="5" fillId="0" borderId="12" xfId="1" applyNumberFormat="1" applyFont="1" applyFill="1" applyBorder="1"/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Alignment="1">
      <alignment horizontal="center" wrapText="1"/>
    </xf>
    <xf numFmtId="2" fontId="5" fillId="0" borderId="0" xfId="1" applyNumberFormat="1" applyFont="1" applyFill="1" applyAlignment="1">
      <alignment horizontal="center" wrapText="1"/>
    </xf>
    <xf numFmtId="44" fontId="5" fillId="0" borderId="0" xfId="3" applyFont="1" applyFill="1" applyAlignment="1">
      <alignment horizontal="center" wrapText="1"/>
    </xf>
    <xf numFmtId="165" fontId="5" fillId="0" borderId="0" xfId="1" applyNumberFormat="1" applyFont="1" applyFill="1" applyAlignment="1">
      <alignment horizontal="center" wrapText="1"/>
    </xf>
    <xf numFmtId="0" fontId="5" fillId="4" borderId="0" xfId="1" applyNumberFormat="1" applyFont="1" applyFill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5" fillId="0" borderId="0" xfId="1" applyNumberFormat="1" applyFont="1" applyFill="1" applyAlignment="1">
      <alignment wrapText="1"/>
    </xf>
    <xf numFmtId="0" fontId="9" fillId="0" borderId="2" xfId="1" applyNumberFormat="1" applyFont="1" applyFill="1" applyBorder="1"/>
    <xf numFmtId="44" fontId="5" fillId="0" borderId="0" xfId="1" applyNumberFormat="1" applyFont="1" applyFill="1"/>
    <xf numFmtId="10" fontId="5" fillId="0" borderId="0" xfId="5" applyNumberFormat="1" applyFont="1" applyFill="1"/>
    <xf numFmtId="0" fontId="5" fillId="7" borderId="0" xfId="7" applyNumberFormat="1" applyFont="1" applyFill="1" applyAlignment="1">
      <alignment horizontal="left"/>
    </xf>
    <xf numFmtId="164" fontId="12" fillId="7" borderId="0" xfId="4" applyNumberFormat="1" applyFont="1" applyFill="1" applyAlignment="1">
      <alignment vertical="center"/>
    </xf>
    <xf numFmtId="164" fontId="5" fillId="7" borderId="0" xfId="4" applyNumberFormat="1" applyFont="1" applyFill="1" applyAlignment="1">
      <alignment vertical="center"/>
    </xf>
    <xf numFmtId="44" fontId="12" fillId="7" borderId="0" xfId="3" applyFont="1" applyFill="1" applyAlignment="1" applyProtection="1">
      <alignment vertical="center"/>
    </xf>
    <xf numFmtId="43" fontId="11" fillId="7" borderId="0" xfId="2" applyFont="1" applyFill="1" applyAlignment="1" applyProtection="1">
      <alignment vertical="center"/>
    </xf>
    <xf numFmtId="165" fontId="5" fillId="7" borderId="0" xfId="1" applyNumberFormat="1" applyFont="1" applyFill="1" applyAlignment="1">
      <alignment vertical="center"/>
    </xf>
    <xf numFmtId="169" fontId="5" fillId="7" borderId="0" xfId="1" applyNumberFormat="1" applyFont="1" applyFill="1" applyAlignment="1">
      <alignment vertical="center"/>
    </xf>
    <xf numFmtId="2" fontId="5" fillId="7" borderId="0" xfId="1" applyNumberFormat="1" applyFont="1" applyFill="1" applyAlignment="1">
      <alignment vertical="center"/>
    </xf>
    <xf numFmtId="0" fontId="5" fillId="4" borderId="0" xfId="1" applyNumberFormat="1" applyFont="1" applyFill="1" applyAlignment="1">
      <alignment vertical="center"/>
    </xf>
    <xf numFmtId="2" fontId="11" fillId="7" borderId="0" xfId="1" applyNumberFormat="1" applyFont="1" applyFill="1" applyAlignment="1">
      <alignment vertical="center"/>
    </xf>
    <xf numFmtId="0" fontId="5" fillId="7" borderId="0" xfId="1" applyNumberFormat="1" applyFont="1" applyFill="1" applyAlignment="1">
      <alignment vertical="center"/>
    </xf>
    <xf numFmtId="170" fontId="5" fillId="7" borderId="0" xfId="1" applyNumberFormat="1" applyFont="1" applyFill="1" applyAlignment="1">
      <alignment vertical="center"/>
    </xf>
    <xf numFmtId="164" fontId="15" fillId="7" borderId="1" xfId="4" applyNumberFormat="1" applyFont="1" applyFill="1" applyBorder="1" applyAlignment="1">
      <alignment vertical="center"/>
    </xf>
    <xf numFmtId="44" fontId="16" fillId="7" borderId="0" xfId="1" applyNumberFormat="1" applyFont="1" applyFill="1" applyAlignment="1">
      <alignment vertical="center"/>
    </xf>
    <xf numFmtId="164" fontId="16" fillId="7" borderId="0" xfId="1" applyNumberFormat="1" applyFont="1" applyFill="1" applyAlignment="1">
      <alignment vertical="center"/>
    </xf>
    <xf numFmtId="10" fontId="5" fillId="7" borderId="0" xfId="1" applyNumberFormat="1" applyFont="1" applyFill="1" applyAlignment="1">
      <alignment vertical="center"/>
    </xf>
    <xf numFmtId="44" fontId="17" fillId="7" borderId="0" xfId="3" applyFont="1" applyFill="1" applyAlignment="1">
      <alignment vertical="center"/>
    </xf>
    <xf numFmtId="164" fontId="11" fillId="7" borderId="0" xfId="1" applyNumberFormat="1" applyFont="1" applyFill="1" applyBorder="1" applyAlignment="1">
      <alignment vertical="center"/>
    </xf>
    <xf numFmtId="44" fontId="12" fillId="7" borderId="0" xfId="3" applyFont="1" applyFill="1" applyAlignment="1">
      <alignment vertical="center"/>
    </xf>
    <xf numFmtId="164" fontId="10" fillId="7" borderId="0" xfId="1" applyNumberFormat="1" applyFont="1" applyFill="1" applyAlignment="1">
      <alignment vertical="center"/>
    </xf>
    <xf numFmtId="10" fontId="5" fillId="7" borderId="0" xfId="6" applyNumberFormat="1" applyFont="1" applyFill="1" applyAlignment="1">
      <alignment vertical="center"/>
    </xf>
    <xf numFmtId="164" fontId="5" fillId="7" borderId="0" xfId="4" applyNumberFormat="1" applyFont="1" applyFill="1" applyBorder="1" applyAlignment="1">
      <alignment vertical="center"/>
    </xf>
    <xf numFmtId="0" fontId="5" fillId="7" borderId="13" xfId="7" applyNumberFormat="1" applyFont="1" applyFill="1" applyBorder="1" applyAlignment="1">
      <alignment horizontal="left"/>
    </xf>
    <xf numFmtId="164" fontId="12" fillId="7" borderId="13" xfId="4" applyNumberFormat="1" applyFont="1" applyFill="1" applyBorder="1" applyAlignment="1">
      <alignment vertical="center"/>
    </xf>
    <xf numFmtId="164" fontId="5" fillId="7" borderId="13" xfId="4" applyNumberFormat="1" applyFont="1" applyFill="1" applyBorder="1" applyAlignment="1">
      <alignment vertical="center"/>
    </xf>
    <xf numFmtId="43" fontId="11" fillId="7" borderId="13" xfId="2" applyFont="1" applyFill="1" applyBorder="1" applyAlignment="1" applyProtection="1">
      <alignment vertical="center"/>
    </xf>
    <xf numFmtId="165" fontId="5" fillId="7" borderId="13" xfId="1" applyNumberFormat="1" applyFont="1" applyFill="1" applyBorder="1" applyAlignment="1">
      <alignment vertical="center"/>
    </xf>
    <xf numFmtId="169" fontId="5" fillId="7" borderId="13" xfId="1" applyNumberFormat="1" applyFont="1" applyFill="1" applyBorder="1" applyAlignment="1">
      <alignment vertical="center"/>
    </xf>
    <xf numFmtId="2" fontId="5" fillId="7" borderId="13" xfId="1" applyNumberFormat="1" applyFont="1" applyFill="1" applyBorder="1" applyAlignment="1">
      <alignment vertical="center"/>
    </xf>
    <xf numFmtId="0" fontId="5" fillId="4" borderId="13" xfId="1" applyNumberFormat="1" applyFont="1" applyFill="1" applyBorder="1" applyAlignment="1">
      <alignment vertical="center"/>
    </xf>
    <xf numFmtId="2" fontId="11" fillId="7" borderId="13" xfId="1" applyNumberFormat="1" applyFont="1" applyFill="1" applyBorder="1" applyAlignment="1">
      <alignment vertical="center"/>
    </xf>
    <xf numFmtId="0" fontId="5" fillId="7" borderId="13" xfId="1" applyNumberFormat="1" applyFont="1" applyFill="1" applyBorder="1" applyAlignment="1">
      <alignment vertical="center"/>
    </xf>
    <xf numFmtId="170" fontId="5" fillId="7" borderId="13" xfId="1" applyNumberFormat="1" applyFont="1" applyFill="1" applyBorder="1" applyAlignment="1">
      <alignment vertical="center"/>
    </xf>
    <xf numFmtId="164" fontId="15" fillId="7" borderId="14" xfId="4" applyNumberFormat="1" applyFont="1" applyFill="1" applyBorder="1" applyAlignment="1">
      <alignment vertical="center"/>
    </xf>
    <xf numFmtId="44" fontId="16" fillId="7" borderId="13" xfId="1" applyNumberFormat="1" applyFont="1" applyFill="1" applyBorder="1" applyAlignment="1">
      <alignment vertical="center"/>
    </xf>
    <xf numFmtId="164" fontId="16" fillId="7" borderId="13" xfId="1" applyNumberFormat="1" applyFont="1" applyFill="1" applyBorder="1" applyAlignment="1">
      <alignment vertical="center"/>
    </xf>
    <xf numFmtId="10" fontId="5" fillId="7" borderId="13" xfId="1" applyNumberFormat="1" applyFont="1" applyFill="1" applyBorder="1" applyAlignment="1">
      <alignment vertical="center"/>
    </xf>
    <xf numFmtId="44" fontId="17" fillId="7" borderId="13" xfId="3" applyFont="1" applyFill="1" applyBorder="1" applyAlignment="1">
      <alignment vertical="center"/>
    </xf>
    <xf numFmtId="164" fontId="11" fillId="7" borderId="13" xfId="1" applyNumberFormat="1" applyFont="1" applyFill="1" applyBorder="1" applyAlignment="1">
      <alignment vertical="center"/>
    </xf>
    <xf numFmtId="44" fontId="12" fillId="7" borderId="13" xfId="3" applyFont="1" applyFill="1" applyBorder="1" applyAlignment="1">
      <alignment vertical="center"/>
    </xf>
    <xf numFmtId="164" fontId="10" fillId="7" borderId="13" xfId="1" applyNumberFormat="1" applyFont="1" applyFill="1" applyBorder="1" applyAlignment="1">
      <alignment vertical="center"/>
    </xf>
    <xf numFmtId="10" fontId="5" fillId="7" borderId="13" xfId="6" applyNumberFormat="1" applyFont="1" applyFill="1" applyBorder="1" applyAlignment="1">
      <alignment vertical="center"/>
    </xf>
    <xf numFmtId="164" fontId="9" fillId="0" borderId="0" xfId="4" applyNumberFormat="1" applyFont="1" applyFill="1" applyAlignment="1">
      <alignment vertical="center"/>
    </xf>
    <xf numFmtId="44" fontId="9" fillId="0" borderId="0" xfId="3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41" fontId="9" fillId="0" borderId="0" xfId="2" applyNumberFormat="1" applyFont="1" applyFill="1" applyAlignment="1">
      <alignment vertical="center"/>
    </xf>
    <xf numFmtId="0" fontId="9" fillId="4" borderId="0" xfId="1" applyNumberFormat="1" applyFont="1" applyFill="1" applyAlignment="1">
      <alignment vertical="center"/>
    </xf>
    <xf numFmtId="164" fontId="9" fillId="0" borderId="1" xfId="4" applyNumberFormat="1" applyFont="1" applyFill="1" applyBorder="1" applyAlignment="1">
      <alignment vertical="center"/>
    </xf>
    <xf numFmtId="2" fontId="9" fillId="0" borderId="0" xfId="1" applyNumberFormat="1" applyFont="1" applyFill="1" applyAlignment="1">
      <alignment vertical="center"/>
    </xf>
    <xf numFmtId="37" fontId="9" fillId="0" borderId="12" xfId="1" applyNumberFormat="1" applyFont="1" applyFill="1" applyBorder="1" applyAlignment="1">
      <alignment vertical="center"/>
    </xf>
    <xf numFmtId="164" fontId="12" fillId="0" borderId="0" xfId="4" applyNumberFormat="1" applyFont="1" applyFill="1" applyAlignment="1">
      <alignment vertical="center"/>
    </xf>
    <xf numFmtId="164" fontId="5" fillId="0" borderId="0" xfId="4" applyNumberFormat="1" applyFont="1" applyFill="1" applyAlignment="1">
      <alignment vertical="center"/>
    </xf>
    <xf numFmtId="44" fontId="12" fillId="0" borderId="0" xfId="3" applyFont="1" applyFill="1" applyAlignment="1" applyProtection="1">
      <alignment vertical="center"/>
    </xf>
    <xf numFmtId="0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37" fontId="5" fillId="0" borderId="0" xfId="1" applyNumberFormat="1" applyFont="1" applyFill="1" applyAlignment="1">
      <alignment vertical="center"/>
    </xf>
    <xf numFmtId="2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44" fontId="5" fillId="0" borderId="0" xfId="3" applyFont="1" applyFill="1" applyAlignment="1">
      <alignment vertical="center"/>
    </xf>
    <xf numFmtId="44" fontId="12" fillId="0" borderId="0" xfId="3" applyFont="1" applyFill="1" applyAlignment="1">
      <alignment vertical="center"/>
    </xf>
    <xf numFmtId="44" fontId="5" fillId="0" borderId="0" xfId="1" applyNumberFormat="1" applyFont="1" applyFill="1" applyAlignment="1">
      <alignment vertical="center"/>
    </xf>
    <xf numFmtId="10" fontId="5" fillId="0" borderId="0" xfId="5" applyNumberFormat="1" applyFont="1" applyFill="1" applyAlignment="1">
      <alignment vertical="center"/>
    </xf>
    <xf numFmtId="0" fontId="5" fillId="8" borderId="0" xfId="8" applyFont="1" applyFill="1"/>
    <xf numFmtId="164" fontId="12" fillId="8" borderId="0" xfId="4" applyNumberFormat="1" applyFont="1" applyFill="1" applyAlignment="1">
      <alignment vertical="center"/>
    </xf>
    <xf numFmtId="164" fontId="5" fillId="8" borderId="0" xfId="4" applyNumberFormat="1" applyFont="1" applyFill="1" applyAlignment="1">
      <alignment vertical="center"/>
    </xf>
    <xf numFmtId="44" fontId="12" fillId="8" borderId="0" xfId="3" applyFont="1" applyFill="1" applyAlignment="1" applyProtection="1">
      <alignment vertical="center"/>
    </xf>
    <xf numFmtId="164" fontId="5" fillId="8" borderId="0" xfId="4" applyNumberFormat="1" applyFont="1" applyFill="1" applyBorder="1" applyAlignment="1">
      <alignment vertical="center"/>
    </xf>
    <xf numFmtId="43" fontId="11" fillId="8" borderId="0" xfId="2" applyFont="1" applyFill="1" applyAlignment="1" applyProtection="1">
      <alignment vertical="center"/>
    </xf>
    <xf numFmtId="165" fontId="5" fillId="8" borderId="0" xfId="1" applyNumberFormat="1" applyFont="1" applyFill="1" applyBorder="1" applyAlignment="1">
      <alignment vertical="center"/>
    </xf>
    <xf numFmtId="169" fontId="5" fillId="8" borderId="0" xfId="1" applyNumberFormat="1" applyFont="1" applyFill="1" applyBorder="1" applyAlignment="1">
      <alignment vertical="center"/>
    </xf>
    <xf numFmtId="2" fontId="5" fillId="8" borderId="0" xfId="1" applyNumberFormat="1" applyFont="1" applyFill="1" applyBorder="1" applyAlignment="1">
      <alignment vertical="center"/>
    </xf>
    <xf numFmtId="2" fontId="11" fillId="8" borderId="0" xfId="1" applyNumberFormat="1" applyFont="1" applyFill="1" applyAlignment="1">
      <alignment vertical="center"/>
    </xf>
    <xf numFmtId="2" fontId="5" fillId="8" borderId="0" xfId="1" applyNumberFormat="1" applyFont="1" applyFill="1" applyAlignment="1">
      <alignment vertical="center"/>
    </xf>
    <xf numFmtId="0" fontId="5" fillId="8" borderId="0" xfId="1" applyNumberFormat="1" applyFont="1" applyFill="1" applyAlignment="1">
      <alignment vertical="center"/>
    </xf>
    <xf numFmtId="170" fontId="5" fillId="8" borderId="0" xfId="1" applyNumberFormat="1" applyFont="1" applyFill="1" applyAlignment="1">
      <alignment vertical="center"/>
    </xf>
    <xf numFmtId="164" fontId="15" fillId="8" borderId="1" xfId="4" applyNumberFormat="1" applyFont="1" applyFill="1" applyBorder="1" applyAlignment="1">
      <alignment vertical="center"/>
    </xf>
    <xf numFmtId="44" fontId="16" fillId="8" borderId="0" xfId="1" applyNumberFormat="1" applyFont="1" applyFill="1" applyAlignment="1">
      <alignment vertical="center"/>
    </xf>
    <xf numFmtId="164" fontId="16" fillId="8" borderId="0" xfId="1" applyNumberFormat="1" applyFont="1" applyFill="1" applyBorder="1" applyAlignment="1">
      <alignment vertical="center"/>
    </xf>
    <xf numFmtId="10" fontId="5" fillId="8" borderId="0" xfId="1" applyNumberFormat="1" applyFont="1" applyFill="1" applyAlignment="1">
      <alignment vertical="center"/>
    </xf>
    <xf numFmtId="44" fontId="17" fillId="8" borderId="0" xfId="3" applyFont="1" applyFill="1" applyAlignment="1">
      <alignment vertical="center"/>
    </xf>
    <xf numFmtId="164" fontId="11" fillId="8" borderId="0" xfId="1" applyNumberFormat="1" applyFont="1" applyFill="1" applyBorder="1" applyAlignment="1">
      <alignment vertical="center"/>
    </xf>
    <xf numFmtId="44" fontId="12" fillId="8" borderId="0" xfId="3" applyFont="1" applyFill="1" applyAlignment="1">
      <alignment vertical="center"/>
    </xf>
    <xf numFmtId="164" fontId="10" fillId="8" borderId="0" xfId="2" applyNumberFormat="1" applyFont="1" applyFill="1" applyBorder="1" applyAlignment="1">
      <alignment vertical="center"/>
    </xf>
    <xf numFmtId="10" fontId="5" fillId="8" borderId="0" xfId="6" applyNumberFormat="1" applyFont="1" applyFill="1" applyAlignment="1">
      <alignment vertical="center"/>
    </xf>
    <xf numFmtId="2" fontId="5" fillId="0" borderId="0" xfId="1" applyNumberFormat="1" applyFont="1" applyFill="1"/>
    <xf numFmtId="43" fontId="5" fillId="0" borderId="0" xfId="2" applyFont="1" applyFill="1"/>
    <xf numFmtId="168" fontId="5" fillId="0" borderId="0" xfId="6" applyNumberFormat="1" applyFont="1" applyFill="1"/>
    <xf numFmtId="0" fontId="5" fillId="8" borderId="13" xfId="8" applyFont="1" applyFill="1" applyBorder="1"/>
    <xf numFmtId="164" fontId="12" fillId="8" borderId="13" xfId="4" applyNumberFormat="1" applyFont="1" applyFill="1" applyBorder="1" applyAlignment="1">
      <alignment vertical="center"/>
    </xf>
    <xf numFmtId="164" fontId="5" fillId="8" borderId="13" xfId="4" applyNumberFormat="1" applyFont="1" applyFill="1" applyBorder="1" applyAlignment="1">
      <alignment vertical="center"/>
    </xf>
    <xf numFmtId="44" fontId="12" fillId="8" borderId="13" xfId="3" applyFont="1" applyFill="1" applyBorder="1" applyAlignment="1" applyProtection="1">
      <alignment vertical="center"/>
    </xf>
    <xf numFmtId="43" fontId="11" fillId="8" borderId="13" xfId="2" applyFont="1" applyFill="1" applyBorder="1" applyAlignment="1" applyProtection="1">
      <alignment vertical="center"/>
    </xf>
    <xf numFmtId="165" fontId="5" fillId="8" borderId="13" xfId="1" applyNumberFormat="1" applyFont="1" applyFill="1" applyBorder="1" applyAlignment="1">
      <alignment vertical="center"/>
    </xf>
    <xf numFmtId="169" fontId="5" fillId="8" borderId="13" xfId="1" applyNumberFormat="1" applyFont="1" applyFill="1" applyBorder="1" applyAlignment="1">
      <alignment vertical="center"/>
    </xf>
    <xf numFmtId="2" fontId="5" fillId="8" borderId="13" xfId="1" applyNumberFormat="1" applyFont="1" applyFill="1" applyBorder="1" applyAlignment="1">
      <alignment vertical="center"/>
    </xf>
    <xf numFmtId="2" fontId="11" fillId="8" borderId="13" xfId="1" applyNumberFormat="1" applyFont="1" applyFill="1" applyBorder="1" applyAlignment="1">
      <alignment vertical="center"/>
    </xf>
    <xf numFmtId="0" fontId="5" fillId="8" borderId="13" xfId="1" applyNumberFormat="1" applyFont="1" applyFill="1" applyBorder="1" applyAlignment="1">
      <alignment vertical="center"/>
    </xf>
    <xf numFmtId="170" fontId="5" fillId="8" borderId="13" xfId="1" applyNumberFormat="1" applyFont="1" applyFill="1" applyBorder="1" applyAlignment="1">
      <alignment vertical="center"/>
    </xf>
    <xf numFmtId="164" fontId="15" fillId="8" borderId="14" xfId="4" applyNumberFormat="1" applyFont="1" applyFill="1" applyBorder="1" applyAlignment="1">
      <alignment vertical="center"/>
    </xf>
    <xf numFmtId="44" fontId="16" fillId="8" borderId="13" xfId="1" applyNumberFormat="1" applyFont="1" applyFill="1" applyBorder="1" applyAlignment="1">
      <alignment vertical="center"/>
    </xf>
    <xf numFmtId="164" fontId="16" fillId="8" borderId="13" xfId="1" applyNumberFormat="1" applyFont="1" applyFill="1" applyBorder="1" applyAlignment="1">
      <alignment vertical="center"/>
    </xf>
    <xf numFmtId="10" fontId="5" fillId="8" borderId="13" xfId="1" applyNumberFormat="1" applyFont="1" applyFill="1" applyBorder="1" applyAlignment="1">
      <alignment vertical="center"/>
    </xf>
    <xf numFmtId="44" fontId="17" fillId="8" borderId="13" xfId="3" applyFont="1" applyFill="1" applyBorder="1" applyAlignment="1">
      <alignment vertical="center"/>
    </xf>
    <xf numFmtId="164" fontId="11" fillId="8" borderId="13" xfId="1" applyNumberFormat="1" applyFont="1" applyFill="1" applyBorder="1" applyAlignment="1">
      <alignment vertical="center"/>
    </xf>
    <xf numFmtId="44" fontId="12" fillId="8" borderId="13" xfId="3" applyFont="1" applyFill="1" applyBorder="1" applyAlignment="1">
      <alignment vertical="center"/>
    </xf>
    <xf numFmtId="164" fontId="10" fillId="8" borderId="13" xfId="2" applyNumberFormat="1" applyFont="1" applyFill="1" applyBorder="1" applyAlignment="1">
      <alignment vertical="center"/>
    </xf>
    <xf numFmtId="10" fontId="5" fillId="8" borderId="13" xfId="6" applyNumberFormat="1" applyFont="1" applyFill="1" applyBorder="1" applyAlignment="1">
      <alignment vertical="center"/>
    </xf>
    <xf numFmtId="0" fontId="9" fillId="0" borderId="0" xfId="7" applyFont="1" applyFill="1" applyBorder="1" applyAlignment="1" applyProtection="1">
      <alignment horizontal="left"/>
    </xf>
    <xf numFmtId="44" fontId="18" fillId="0" borderId="0" xfId="3" applyFont="1" applyFill="1" applyAlignment="1" applyProtection="1">
      <alignment vertical="center"/>
    </xf>
    <xf numFmtId="37" fontId="9" fillId="0" borderId="0" xfId="1" applyNumberFormat="1" applyFont="1" applyFill="1" applyAlignment="1">
      <alignment vertical="center"/>
    </xf>
    <xf numFmtId="37" fontId="9" fillId="4" borderId="0" xfId="1" applyNumberFormat="1" applyFont="1" applyFill="1" applyAlignment="1">
      <alignment vertical="center"/>
    </xf>
    <xf numFmtId="164" fontId="9" fillId="0" borderId="11" xfId="4" applyNumberFormat="1" applyFont="1" applyFill="1" applyBorder="1" applyAlignment="1">
      <alignment vertical="center"/>
    </xf>
    <xf numFmtId="168" fontId="9" fillId="0" borderId="0" xfId="6" applyNumberFormat="1" applyFont="1" applyFill="1" applyAlignment="1">
      <alignment vertical="center"/>
    </xf>
    <xf numFmtId="0" fontId="19" fillId="0" borderId="0" xfId="1" applyNumberFormat="1" applyFont="1" applyFill="1" applyAlignment="1">
      <alignment horizontal="center"/>
    </xf>
    <xf numFmtId="43" fontId="5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5" fillId="9" borderId="0" xfId="8" applyFont="1" applyFill="1"/>
    <xf numFmtId="164" fontId="12" fillId="9" borderId="0" xfId="4" applyNumberFormat="1" applyFont="1" applyFill="1" applyAlignment="1">
      <alignment vertical="center"/>
    </xf>
    <xf numFmtId="164" fontId="5" fillId="9" borderId="0" xfId="4" applyNumberFormat="1" applyFont="1" applyFill="1" applyAlignment="1">
      <alignment vertical="center"/>
    </xf>
    <xf numFmtId="44" fontId="12" fillId="9" borderId="0" xfId="3" applyFont="1" applyFill="1" applyAlignment="1" applyProtection="1">
      <alignment vertical="center"/>
    </xf>
    <xf numFmtId="164" fontId="5" fillId="9" borderId="0" xfId="4" applyNumberFormat="1" applyFont="1" applyFill="1" applyBorder="1" applyAlignment="1">
      <alignment vertical="center"/>
    </xf>
    <xf numFmtId="43" fontId="11" fillId="9" borderId="0" xfId="4" applyFont="1" applyFill="1" applyAlignment="1">
      <alignment vertical="center"/>
    </xf>
    <xf numFmtId="165" fontId="5" fillId="9" borderId="0" xfId="1" applyNumberFormat="1" applyFont="1" applyFill="1" applyBorder="1" applyAlignment="1">
      <alignment vertical="center"/>
    </xf>
    <xf numFmtId="170" fontId="5" fillId="9" borderId="0" xfId="1" applyNumberFormat="1" applyFont="1" applyFill="1" applyBorder="1" applyAlignment="1">
      <alignment vertical="center"/>
    </xf>
    <xf numFmtId="2" fontId="5" fillId="9" borderId="0" xfId="1" applyNumberFormat="1" applyFont="1" applyFill="1" applyBorder="1" applyAlignment="1">
      <alignment vertical="center"/>
    </xf>
    <xf numFmtId="2" fontId="11" fillId="9" borderId="0" xfId="1" applyNumberFormat="1" applyFont="1" applyFill="1" applyAlignment="1">
      <alignment vertical="center"/>
    </xf>
    <xf numFmtId="2" fontId="5" fillId="9" borderId="0" xfId="1" applyNumberFormat="1" applyFont="1" applyFill="1" applyAlignment="1">
      <alignment vertical="center"/>
    </xf>
    <xf numFmtId="2" fontId="5" fillId="9" borderId="0" xfId="2" applyNumberFormat="1" applyFont="1" applyFill="1" applyAlignment="1">
      <alignment vertical="center"/>
    </xf>
    <xf numFmtId="164" fontId="15" fillId="9" borderId="1" xfId="4" applyNumberFormat="1" applyFont="1" applyFill="1" applyBorder="1" applyAlignment="1">
      <alignment vertical="center"/>
    </xf>
    <xf numFmtId="44" fontId="16" fillId="9" borderId="0" xfId="1" applyNumberFormat="1" applyFont="1" applyFill="1" applyAlignment="1">
      <alignment vertical="center"/>
    </xf>
    <xf numFmtId="164" fontId="16" fillId="9" borderId="0" xfId="1" applyNumberFormat="1" applyFont="1" applyFill="1" applyBorder="1" applyAlignment="1">
      <alignment vertical="center"/>
    </xf>
    <xf numFmtId="10" fontId="5" fillId="9" borderId="0" xfId="1" applyNumberFormat="1" applyFont="1" applyFill="1" applyAlignment="1">
      <alignment vertical="center"/>
    </xf>
    <xf numFmtId="44" fontId="17" fillId="9" borderId="0" xfId="3" applyFont="1" applyFill="1" applyAlignment="1">
      <alignment vertical="center"/>
    </xf>
    <xf numFmtId="164" fontId="11" fillId="9" borderId="0" xfId="1" applyNumberFormat="1" applyFont="1" applyFill="1" applyBorder="1" applyAlignment="1">
      <alignment vertical="center"/>
    </xf>
    <xf numFmtId="44" fontId="12" fillId="9" borderId="0" xfId="3" applyFont="1" applyFill="1" applyAlignment="1">
      <alignment vertical="center"/>
    </xf>
    <xf numFmtId="164" fontId="10" fillId="9" borderId="0" xfId="1" applyNumberFormat="1" applyFont="1" applyFill="1" applyBorder="1" applyAlignment="1">
      <alignment vertical="center"/>
    </xf>
    <xf numFmtId="10" fontId="5" fillId="9" borderId="0" xfId="6" applyNumberFormat="1" applyFont="1" applyFill="1" applyAlignment="1">
      <alignment vertical="center"/>
    </xf>
    <xf numFmtId="2" fontId="5" fillId="9" borderId="0" xfId="2" applyNumberFormat="1" applyFont="1" applyFill="1" applyBorder="1" applyAlignment="1">
      <alignment vertical="center"/>
    </xf>
    <xf numFmtId="43" fontId="11" fillId="9" borderId="0" xfId="4" applyFont="1" applyFill="1" applyBorder="1" applyAlignment="1">
      <alignment vertical="center"/>
    </xf>
    <xf numFmtId="0" fontId="5" fillId="9" borderId="0" xfId="7" applyFont="1" applyFill="1" applyAlignment="1">
      <alignment horizontal="left"/>
    </xf>
    <xf numFmtId="44" fontId="10" fillId="9" borderId="0" xfId="3" applyFont="1" applyFill="1" applyAlignment="1">
      <alignment vertical="center"/>
    </xf>
    <xf numFmtId="164" fontId="9" fillId="9" borderId="1" xfId="4" applyNumberFormat="1" applyFont="1" applyFill="1" applyBorder="1" applyAlignment="1">
      <alignment vertical="center"/>
    </xf>
    <xf numFmtId="168" fontId="5" fillId="9" borderId="0" xfId="6" applyNumberFormat="1" applyFont="1" applyFill="1" applyAlignment="1">
      <alignment vertical="center"/>
    </xf>
    <xf numFmtId="0" fontId="5" fillId="9" borderId="0" xfId="8" applyFont="1" applyFill="1" applyBorder="1"/>
    <xf numFmtId="164" fontId="12" fillId="9" borderId="0" xfId="4" applyNumberFormat="1" applyFont="1" applyFill="1" applyBorder="1" applyAlignment="1">
      <alignment vertical="center"/>
    </xf>
    <xf numFmtId="44" fontId="12" fillId="9" borderId="0" xfId="3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>
      <alignment vertical="center"/>
    </xf>
    <xf numFmtId="2" fontId="11" fillId="9" borderId="0" xfId="1" applyNumberFormat="1" applyFont="1" applyFill="1" applyBorder="1" applyAlignment="1">
      <alignment vertical="center"/>
    </xf>
    <xf numFmtId="44" fontId="16" fillId="9" borderId="0" xfId="1" applyNumberFormat="1" applyFont="1" applyFill="1" applyBorder="1" applyAlignment="1">
      <alignment vertical="center"/>
    </xf>
    <xf numFmtId="10" fontId="5" fillId="9" borderId="0" xfId="1" applyNumberFormat="1" applyFont="1" applyFill="1" applyBorder="1" applyAlignment="1">
      <alignment vertical="center"/>
    </xf>
    <xf numFmtId="44" fontId="17" fillId="9" borderId="0" xfId="3" applyFont="1" applyFill="1" applyBorder="1" applyAlignment="1">
      <alignment vertical="center"/>
    </xf>
    <xf numFmtId="44" fontId="12" fillId="9" borderId="0" xfId="3" applyFont="1" applyFill="1" applyBorder="1" applyAlignment="1">
      <alignment vertical="center"/>
    </xf>
    <xf numFmtId="10" fontId="5" fillId="9" borderId="0" xfId="6" applyNumberFormat="1" applyFont="1" applyFill="1" applyBorder="1" applyAlignment="1">
      <alignment vertical="center"/>
    </xf>
    <xf numFmtId="0" fontId="5" fillId="9" borderId="13" xfId="8" applyFont="1" applyFill="1" applyBorder="1"/>
    <xf numFmtId="164" fontId="12" fillId="9" borderId="13" xfId="4" applyNumberFormat="1" applyFont="1" applyFill="1" applyBorder="1" applyAlignment="1">
      <alignment vertical="center"/>
    </xf>
    <xf numFmtId="164" fontId="5" fillId="9" borderId="13" xfId="4" applyNumberFormat="1" applyFont="1" applyFill="1" applyBorder="1" applyAlignment="1">
      <alignment vertical="center"/>
    </xf>
    <xf numFmtId="44" fontId="12" fillId="9" borderId="13" xfId="3" applyFont="1" applyFill="1" applyBorder="1" applyAlignment="1" applyProtection="1">
      <alignment vertical="center"/>
    </xf>
    <xf numFmtId="43" fontId="11" fillId="9" borderId="13" xfId="4" applyFont="1" applyFill="1" applyBorder="1" applyAlignment="1">
      <alignment vertical="center"/>
    </xf>
    <xf numFmtId="165" fontId="5" fillId="9" borderId="13" xfId="1" applyNumberFormat="1" applyFont="1" applyFill="1" applyBorder="1" applyAlignment="1">
      <alignment vertical="center"/>
    </xf>
    <xf numFmtId="170" fontId="5" fillId="9" borderId="13" xfId="1" applyNumberFormat="1" applyFont="1" applyFill="1" applyBorder="1" applyAlignment="1">
      <alignment vertical="center"/>
    </xf>
    <xf numFmtId="2" fontId="5" fillId="9" borderId="13" xfId="1" applyNumberFormat="1" applyFont="1" applyFill="1" applyBorder="1" applyAlignment="1">
      <alignment vertical="center"/>
    </xf>
    <xf numFmtId="2" fontId="11" fillId="9" borderId="13" xfId="1" applyNumberFormat="1" applyFont="1" applyFill="1" applyBorder="1" applyAlignment="1">
      <alignment vertical="center"/>
    </xf>
    <xf numFmtId="2" fontId="5" fillId="9" borderId="13" xfId="2" applyNumberFormat="1" applyFont="1" applyFill="1" applyBorder="1" applyAlignment="1">
      <alignment vertical="center"/>
    </xf>
    <xf numFmtId="164" fontId="15" fillId="9" borderId="14" xfId="4" applyNumberFormat="1" applyFont="1" applyFill="1" applyBorder="1" applyAlignment="1">
      <alignment vertical="center"/>
    </xf>
    <xf numFmtId="44" fontId="16" fillId="9" borderId="13" xfId="1" applyNumberFormat="1" applyFont="1" applyFill="1" applyBorder="1" applyAlignment="1">
      <alignment vertical="center"/>
    </xf>
    <xf numFmtId="164" fontId="16" fillId="9" borderId="13" xfId="1" applyNumberFormat="1" applyFont="1" applyFill="1" applyBorder="1" applyAlignment="1">
      <alignment vertical="center"/>
    </xf>
    <xf numFmtId="10" fontId="5" fillId="9" borderId="13" xfId="1" applyNumberFormat="1" applyFont="1" applyFill="1" applyBorder="1" applyAlignment="1">
      <alignment vertical="center"/>
    </xf>
    <xf numFmtId="44" fontId="17" fillId="9" borderId="13" xfId="3" applyFont="1" applyFill="1" applyBorder="1" applyAlignment="1">
      <alignment vertical="center"/>
    </xf>
    <xf numFmtId="164" fontId="11" fillId="9" borderId="13" xfId="1" applyNumberFormat="1" applyFont="1" applyFill="1" applyBorder="1" applyAlignment="1">
      <alignment vertical="center"/>
    </xf>
    <xf numFmtId="44" fontId="12" fillId="9" borderId="13" xfId="3" applyFont="1" applyFill="1" applyBorder="1" applyAlignment="1">
      <alignment vertical="center"/>
    </xf>
    <xf numFmtId="164" fontId="10" fillId="9" borderId="13" xfId="1" applyNumberFormat="1" applyFont="1" applyFill="1" applyBorder="1" applyAlignment="1">
      <alignment vertical="center"/>
    </xf>
    <xf numFmtId="10" fontId="5" fillId="9" borderId="13" xfId="6" applyNumberFormat="1" applyFont="1" applyFill="1" applyBorder="1" applyAlignment="1">
      <alignment vertical="center"/>
    </xf>
    <xf numFmtId="164" fontId="9" fillId="0" borderId="0" xfId="2" applyNumberFormat="1" applyFont="1" applyFill="1" applyAlignment="1">
      <alignment vertical="center"/>
    </xf>
    <xf numFmtId="165" fontId="9" fillId="0" borderId="0" xfId="2" applyNumberFormat="1" applyFont="1" applyFill="1" applyAlignment="1">
      <alignment vertical="center"/>
    </xf>
    <xf numFmtId="43" fontId="5" fillId="7" borderId="0" xfId="4" applyNumberFormat="1" applyFont="1" applyFill="1" applyAlignment="1">
      <alignment vertical="center"/>
    </xf>
    <xf numFmtId="0" fontId="5" fillId="9" borderId="0" xfId="6" applyNumberFormat="1" applyFont="1" applyFill="1" applyAlignment="1">
      <alignment vertical="center"/>
    </xf>
    <xf numFmtId="43" fontId="5" fillId="7" borderId="0" xfId="4" applyNumberFormat="1" applyFont="1" applyFill="1" applyBorder="1" applyAlignment="1">
      <alignment vertical="center"/>
    </xf>
    <xf numFmtId="43" fontId="5" fillId="7" borderId="13" xfId="4" applyNumberFormat="1" applyFont="1" applyFill="1" applyBorder="1" applyAlignment="1">
      <alignment vertical="center"/>
    </xf>
    <xf numFmtId="0" fontId="53" fillId="0" borderId="0" xfId="0" applyFont="1"/>
    <xf numFmtId="0" fontId="53" fillId="21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43" fontId="0" fillId="0" borderId="0" xfId="138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138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38" applyNumberFormat="1" applyFont="1"/>
    <xf numFmtId="0" fontId="0" fillId="19" borderId="0" xfId="0" applyFill="1" applyAlignment="1">
      <alignment horizontal="center"/>
    </xf>
    <xf numFmtId="0" fontId="54" fillId="0" borderId="0" xfId="0" applyFont="1"/>
    <xf numFmtId="0" fontId="54" fillId="20" borderId="0" xfId="0" applyFont="1" applyFill="1" applyAlignment="1">
      <alignment horizontal="right"/>
    </xf>
    <xf numFmtId="0" fontId="52" fillId="0" borderId="0" xfId="0" applyFont="1"/>
    <xf numFmtId="0" fontId="52" fillId="0" borderId="0" xfId="0" applyFont="1" applyAlignment="1">
      <alignment horizontal="center"/>
    </xf>
    <xf numFmtId="164" fontId="0" fillId="0" borderId="0" xfId="138" applyNumberFormat="1" applyFont="1" applyFill="1"/>
    <xf numFmtId="43" fontId="53" fillId="0" borderId="0" xfId="0" applyNumberFormat="1" applyFont="1"/>
    <xf numFmtId="0" fontId="53" fillId="0" borderId="0" xfId="0" applyFont="1" applyAlignment="1">
      <alignment horizontal="left" indent="1"/>
    </xf>
    <xf numFmtId="41" fontId="0" fillId="0" borderId="0" xfId="138" applyNumberFormat="1" applyFont="1"/>
    <xf numFmtId="44" fontId="0" fillId="0" borderId="0" xfId="139" applyFont="1" applyFill="1" applyBorder="1"/>
    <xf numFmtId="178" fontId="0" fillId="0" borderId="0" xfId="138" applyNumberFormat="1" applyFont="1" applyFill="1" applyBorder="1"/>
    <xf numFmtId="0" fontId="5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77" fontId="0" fillId="0" borderId="0" xfId="139" applyNumberFormat="1" applyFont="1" applyFill="1" applyBorder="1"/>
    <xf numFmtId="0" fontId="0" fillId="0" borderId="0" xfId="0" applyFill="1" applyBorder="1" applyAlignment="1">
      <alignment horizontal="left" indent="1"/>
    </xf>
    <xf numFmtId="179" fontId="0" fillId="0" borderId="0" xfId="139" applyNumberFormat="1" applyFont="1" applyFill="1" applyBorder="1"/>
    <xf numFmtId="10" fontId="0" fillId="0" borderId="0" xfId="0" applyNumberFormat="1" applyFill="1" applyBorder="1"/>
    <xf numFmtId="179" fontId="0" fillId="0" borderId="0" xfId="0" applyNumberFormat="1" applyFill="1" applyBorder="1"/>
    <xf numFmtId="180" fontId="0" fillId="0" borderId="0" xfId="0" applyNumberFormat="1" applyFill="1" applyBorder="1"/>
    <xf numFmtId="178" fontId="0" fillId="0" borderId="0" xfId="0" applyNumberFormat="1" applyFill="1" applyBorder="1"/>
    <xf numFmtId="44" fontId="0" fillId="0" borderId="0" xfId="0" applyNumberFormat="1" applyFill="1" applyBorder="1"/>
    <xf numFmtId="181" fontId="0" fillId="0" borderId="0" xfId="0" applyNumberFormat="1" applyFill="1" applyBorder="1"/>
    <xf numFmtId="164" fontId="0" fillId="0" borderId="0" xfId="138" applyNumberFormat="1" applyFont="1" applyFill="1" applyBorder="1"/>
    <xf numFmtId="42" fontId="53" fillId="0" borderId="0" xfId="0" applyNumberFormat="1" applyFont="1" applyFill="1" applyBorder="1"/>
    <xf numFmtId="42" fontId="0" fillId="0" borderId="0" xfId="139" applyNumberFormat="1" applyFont="1" applyFill="1" applyBorder="1"/>
    <xf numFmtId="0" fontId="55" fillId="0" borderId="0" xfId="0" applyFont="1" applyFill="1" applyBorder="1"/>
    <xf numFmtId="42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19" borderId="0" xfId="139" applyFont="1" applyFill="1"/>
    <xf numFmtId="44" fontId="0" fillId="0" borderId="0" xfId="139" applyFont="1"/>
    <xf numFmtId="44" fontId="0" fillId="0" borderId="0" xfId="0" applyNumberFormat="1"/>
    <xf numFmtId="8" fontId="0" fillId="0" borderId="0" xfId="0" applyNumberFormat="1"/>
    <xf numFmtId="44" fontId="0" fillId="0" borderId="13" xfId="139" applyFont="1" applyBorder="1"/>
    <xf numFmtId="0" fontId="0" fillId="0" borderId="13" xfId="0" applyBorder="1"/>
    <xf numFmtId="0" fontId="5" fillId="0" borderId="0" xfId="1" applyNumberFormat="1" applyFont="1" applyFill="1" applyAlignment="1">
      <alignment horizontal="right"/>
    </xf>
    <xf numFmtId="0" fontId="5" fillId="19" borderId="0" xfId="7" applyNumberFormat="1" applyFont="1" applyFill="1" applyAlignment="1">
      <alignment horizontal="left"/>
    </xf>
    <xf numFmtId="8" fontId="12" fillId="8" borderId="0" xfId="3" applyNumberFormat="1" applyFont="1" applyFill="1" applyAlignment="1" applyProtection="1">
      <alignment vertical="center"/>
    </xf>
    <xf numFmtId="0" fontId="0" fillId="0" borderId="0" xfId="0" applyFill="1"/>
    <xf numFmtId="0" fontId="5" fillId="0" borderId="0" xfId="7" applyNumberFormat="1" applyFont="1" applyFill="1" applyAlignment="1">
      <alignment horizontal="left"/>
    </xf>
    <xf numFmtId="0" fontId="5" fillId="0" borderId="0" xfId="7" applyNumberFormat="1" applyFont="1" applyFill="1" applyBorder="1" applyAlignment="1">
      <alignment horizontal="left"/>
    </xf>
    <xf numFmtId="0" fontId="5" fillId="0" borderId="0" xfId="8" applyFont="1" applyFill="1"/>
    <xf numFmtId="2" fontId="0" fillId="0" borderId="0" xfId="0" applyNumberFormat="1"/>
    <xf numFmtId="182" fontId="0" fillId="0" borderId="0" xfId="139" applyNumberFormat="1" applyFont="1" applyAlignment="1">
      <alignment horizontal="right"/>
    </xf>
    <xf numFmtId="182" fontId="0" fillId="0" borderId="13" xfId="139" applyNumberFormat="1" applyFont="1" applyBorder="1" applyAlignment="1">
      <alignment horizontal="right"/>
    </xf>
    <xf numFmtId="182" fontId="0" fillId="0" borderId="0" xfId="0" applyNumberFormat="1"/>
    <xf numFmtId="44" fontId="0" fillId="0" borderId="13" xfId="0" applyNumberFormat="1" applyBorder="1"/>
    <xf numFmtId="182" fontId="0" fillId="0" borderId="13" xfId="0" applyNumberFormat="1" applyBorder="1"/>
    <xf numFmtId="182" fontId="0" fillId="0" borderId="0" xfId="139" applyNumberFormat="1" applyFont="1"/>
    <xf numFmtId="182" fontId="0" fillId="0" borderId="13" xfId="139" applyNumberFormat="1" applyFont="1" applyBorder="1"/>
    <xf numFmtId="0" fontId="0" fillId="0" borderId="0" xfId="0" applyAlignment="1">
      <alignment horizontal="right"/>
    </xf>
    <xf numFmtId="43" fontId="5" fillId="8" borderId="0" xfId="4" applyNumberFormat="1" applyFont="1" applyFill="1" applyAlignment="1">
      <alignment vertical="center"/>
    </xf>
    <xf numFmtId="2" fontId="0" fillId="19" borderId="0" xfId="0" applyNumberFormat="1" applyFill="1"/>
    <xf numFmtId="44" fontId="12" fillId="19" borderId="0" xfId="3" applyFont="1" applyFill="1" applyAlignment="1" applyProtection="1">
      <alignment vertical="center"/>
    </xf>
    <xf numFmtId="44" fontId="12" fillId="19" borderId="13" xfId="3" applyFont="1" applyFill="1" applyBorder="1" applyAlignment="1" applyProtection="1">
      <alignment vertical="center"/>
    </xf>
    <xf numFmtId="8" fontId="17" fillId="8" borderId="0" xfId="3" applyNumberFormat="1" applyFont="1" applyFill="1" applyAlignment="1">
      <alignment vertical="center"/>
    </xf>
    <xf numFmtId="0" fontId="0" fillId="19" borderId="0" xfId="0" applyFill="1"/>
    <xf numFmtId="164" fontId="12" fillId="5" borderId="0" xfId="4" applyNumberFormat="1" applyFont="1" applyFill="1" applyAlignment="1">
      <alignment vertical="center"/>
    </xf>
    <xf numFmtId="2" fontId="0" fillId="0" borderId="0" xfId="0" applyNumberFormat="1" applyFill="1"/>
    <xf numFmtId="44" fontId="0" fillId="0" borderId="0" xfId="139" applyFont="1" applyFill="1"/>
    <xf numFmtId="44" fontId="0" fillId="0" borderId="0" xfId="0" applyNumberFormat="1" applyFill="1"/>
    <xf numFmtId="0" fontId="57" fillId="0" borderId="0" xfId="0" applyFont="1"/>
    <xf numFmtId="49" fontId="57" fillId="0" borderId="0" xfId="0" applyNumberFormat="1" applyFont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49" fontId="57" fillId="0" borderId="0" xfId="0" applyNumberFormat="1" applyFont="1"/>
    <xf numFmtId="49" fontId="58" fillId="0" borderId="0" xfId="0" applyNumberFormat="1" applyFont="1"/>
    <xf numFmtId="183" fontId="59" fillId="0" borderId="0" xfId="0" applyNumberFormat="1" applyFont="1"/>
    <xf numFmtId="44" fontId="59" fillId="0" borderId="0" xfId="139" applyFont="1"/>
    <xf numFmtId="44" fontId="59" fillId="0" borderId="0" xfId="139" applyFont="1" applyBorder="1"/>
    <xf numFmtId="44" fontId="59" fillId="0" borderId="17" xfId="139" applyFont="1" applyBorder="1"/>
    <xf numFmtId="44" fontId="59" fillId="0" borderId="0" xfId="139" applyFont="1" applyFill="1"/>
    <xf numFmtId="44" fontId="59" fillId="0" borderId="0" xfId="139" applyFont="1" applyFill="1" applyBorder="1"/>
    <xf numFmtId="44" fontId="59" fillId="0" borderId="22" xfId="139" applyFont="1" applyBorder="1"/>
    <xf numFmtId="44" fontId="58" fillId="0" borderId="0" xfId="139" applyFont="1"/>
    <xf numFmtId="44" fontId="57" fillId="0" borderId="0" xfId="139" applyFont="1"/>
    <xf numFmtId="44" fontId="58" fillId="0" borderId="23" xfId="139" applyFont="1" applyBorder="1"/>
    <xf numFmtId="44" fontId="58" fillId="0" borderId="0" xfId="139" applyFont="1" applyBorder="1"/>
    <xf numFmtId="0" fontId="58" fillId="0" borderId="0" xfId="0" applyFont="1"/>
    <xf numFmtId="0" fontId="2" fillId="25" borderId="0" xfId="141" applyFill="1"/>
    <xf numFmtId="0" fontId="60" fillId="25" borderId="0" xfId="141" applyFont="1" applyFill="1"/>
    <xf numFmtId="0" fontId="60" fillId="25" borderId="12" xfId="141" applyFont="1" applyFill="1" applyBorder="1"/>
    <xf numFmtId="0" fontId="60" fillId="0" borderId="1" xfId="141" applyFont="1" applyFill="1" applyBorder="1"/>
    <xf numFmtId="0" fontId="60" fillId="0" borderId="0" xfId="141" applyFont="1" applyFill="1" applyAlignment="1">
      <alignment horizontal="center"/>
    </xf>
    <xf numFmtId="0" fontId="60" fillId="0" borderId="0" xfId="141" applyFont="1" applyFill="1"/>
    <xf numFmtId="0" fontId="62" fillId="23" borderId="24" xfId="140" applyNumberFormat="1" applyFont="1" applyBorder="1" applyAlignment="1">
      <alignment horizontal="centerContinuous"/>
    </xf>
    <xf numFmtId="0" fontId="63" fillId="23" borderId="17" xfId="140" applyNumberFormat="1" applyFont="1" applyBorder="1" applyAlignment="1">
      <alignment horizontal="centerContinuous"/>
    </xf>
    <xf numFmtId="0" fontId="63" fillId="23" borderId="17" xfId="140" applyNumberFormat="1" applyFont="1" applyBorder="1" applyAlignment="1">
      <alignment horizontal="left"/>
    </xf>
    <xf numFmtId="0" fontId="2" fillId="24" borderId="0" xfId="141"/>
    <xf numFmtId="0" fontId="2" fillId="24" borderId="1" xfId="141" applyBorder="1"/>
    <xf numFmtId="0" fontId="64" fillId="24" borderId="9" xfId="141" applyFont="1" applyBorder="1" applyAlignment="1">
      <alignment horizontal="centerContinuous"/>
    </xf>
    <xf numFmtId="0" fontId="64" fillId="24" borderId="25" xfId="141" applyFont="1" applyBorder="1" applyAlignment="1">
      <alignment horizontal="centerContinuous"/>
    </xf>
    <xf numFmtId="0" fontId="2" fillId="24" borderId="25" xfId="141" applyBorder="1" applyAlignment="1">
      <alignment horizontal="centerContinuous"/>
    </xf>
    <xf numFmtId="0" fontId="38" fillId="24" borderId="27" xfId="141" applyFont="1" applyBorder="1"/>
    <xf numFmtId="0" fontId="38" fillId="24" borderId="0" xfId="141" applyFont="1"/>
    <xf numFmtId="0" fontId="65" fillId="24" borderId="0" xfId="141" applyFont="1" applyAlignment="1">
      <alignment horizontal="center"/>
    </xf>
    <xf numFmtId="0" fontId="2" fillId="24" borderId="0" xfId="141" applyAlignment="1">
      <alignment horizontal="center"/>
    </xf>
    <xf numFmtId="0" fontId="63" fillId="23" borderId="28" xfId="140" applyNumberFormat="1" applyFont="1" applyBorder="1" applyAlignment="1">
      <alignment horizontal="left"/>
    </xf>
    <xf numFmtId="0" fontId="63" fillId="23" borderId="9" xfId="140" applyNumberFormat="1" applyFont="1" applyBorder="1" applyAlignment="1">
      <alignment horizontal="left"/>
    </xf>
    <xf numFmtId="0" fontId="2" fillId="19" borderId="0" xfId="141" applyFill="1"/>
    <xf numFmtId="0" fontId="38" fillId="24" borderId="1" xfId="141" applyFont="1" applyBorder="1"/>
    <xf numFmtId="0" fontId="66" fillId="26" borderId="0" xfId="141" applyFont="1" applyFill="1" applyAlignment="1">
      <alignment horizontal="center"/>
    </xf>
    <xf numFmtId="0" fontId="67" fillId="25" borderId="0" xfId="141" applyFont="1" applyFill="1"/>
    <xf numFmtId="0" fontId="68" fillId="24" borderId="29" xfId="141" applyFont="1" applyBorder="1" applyAlignment="1">
      <alignment horizontal="right"/>
    </xf>
    <xf numFmtId="41" fontId="38" fillId="0" borderId="4" xfId="142" applyFont="1" applyFill="1" applyBorder="1">
      <alignment horizontal="left"/>
    </xf>
    <xf numFmtId="0" fontId="68" fillId="24" borderId="1" xfId="141" applyFont="1" applyBorder="1"/>
    <xf numFmtId="0" fontId="68" fillId="24" borderId="0" xfId="141" applyFont="1"/>
    <xf numFmtId="0" fontId="69" fillId="26" borderId="0" xfId="141" applyFont="1" applyFill="1" applyAlignment="1">
      <alignment horizontal="center"/>
    </xf>
    <xf numFmtId="41" fontId="2" fillId="25" borderId="0" xfId="141" applyNumberFormat="1" applyFill="1"/>
    <xf numFmtId="0" fontId="34" fillId="24" borderId="0" xfId="141" applyFont="1"/>
    <xf numFmtId="41" fontId="38" fillId="0" borderId="25" xfId="142" applyFont="1" applyFill="1" applyBorder="1">
      <alignment horizontal="left"/>
    </xf>
    <xf numFmtId="0" fontId="68" fillId="24" borderId="14" xfId="141" applyFont="1" applyBorder="1"/>
    <xf numFmtId="0" fontId="66" fillId="26" borderId="13" xfId="141" applyFont="1" applyFill="1" applyBorder="1"/>
    <xf numFmtId="0" fontId="69" fillId="26" borderId="13" xfId="141" applyFont="1" applyFill="1" applyBorder="1" applyAlignment="1">
      <alignment horizontal="center"/>
    </xf>
    <xf numFmtId="0" fontId="69" fillId="26" borderId="13" xfId="141" applyFont="1" applyFill="1" applyBorder="1"/>
    <xf numFmtId="0" fontId="2" fillId="24" borderId="30" xfId="141" applyBorder="1" applyAlignment="1">
      <alignment horizontal="center"/>
    </xf>
    <xf numFmtId="2" fontId="2" fillId="24" borderId="30" xfId="141" applyNumberFormat="1" applyBorder="1" applyAlignment="1">
      <alignment horizontal="center"/>
    </xf>
    <xf numFmtId="184" fontId="2" fillId="24" borderId="16" xfId="141" applyNumberFormat="1" applyBorder="1"/>
    <xf numFmtId="10" fontId="70" fillId="24" borderId="16" xfId="141" applyNumberFormat="1" applyFont="1" applyBorder="1"/>
    <xf numFmtId="41" fontId="2" fillId="24" borderId="10" xfId="141" applyNumberFormat="1" applyBorder="1"/>
    <xf numFmtId="41" fontId="2" fillId="24" borderId="30" xfId="141" applyNumberFormat="1" applyBorder="1"/>
    <xf numFmtId="41" fontId="2" fillId="24" borderId="16" xfId="141" applyNumberFormat="1" applyBorder="1"/>
    <xf numFmtId="0" fontId="68" fillId="24" borderId="5" xfId="141" applyFont="1" applyBorder="1" applyAlignment="1">
      <alignment horizontal="center"/>
    </xf>
    <xf numFmtId="0" fontId="68" fillId="24" borderId="0" xfId="141" applyFont="1" applyAlignment="1">
      <alignment horizontal="right"/>
    </xf>
    <xf numFmtId="41" fontId="68" fillId="24" borderId="0" xfId="141" applyNumberFormat="1" applyFont="1"/>
    <xf numFmtId="0" fontId="71" fillId="24" borderId="1" xfId="141" applyFont="1" applyBorder="1" applyAlignment="1">
      <alignment horizontal="center"/>
    </xf>
    <xf numFmtId="2" fontId="2" fillId="24" borderId="1" xfId="141" applyNumberFormat="1" applyBorder="1" applyAlignment="1">
      <alignment horizontal="center"/>
    </xf>
    <xf numFmtId="184" fontId="2" fillId="24" borderId="0" xfId="141" applyNumberFormat="1"/>
    <xf numFmtId="10" fontId="70" fillId="24" borderId="0" xfId="141" applyNumberFormat="1" applyFont="1"/>
    <xf numFmtId="41" fontId="2" fillId="24" borderId="11" xfId="141" applyNumberFormat="1" applyBorder="1"/>
    <xf numFmtId="41" fontId="2" fillId="24" borderId="1" xfId="141" applyNumberFormat="1" applyBorder="1"/>
    <xf numFmtId="41" fontId="2" fillId="24" borderId="0" xfId="141" applyNumberFormat="1"/>
    <xf numFmtId="10" fontId="38" fillId="0" borderId="25" xfId="143" applyFont="1" applyFill="1" applyBorder="1"/>
    <xf numFmtId="0" fontId="68" fillId="24" borderId="29" xfId="141" applyFont="1" applyBorder="1" applyAlignment="1">
      <alignment horizontal="center"/>
    </xf>
    <xf numFmtId="0" fontId="2" fillId="24" borderId="1" xfId="141" applyBorder="1" applyAlignment="1">
      <alignment horizontal="center"/>
    </xf>
    <xf numFmtId="41" fontId="68" fillId="24" borderId="8" xfId="141" applyNumberFormat="1" applyFont="1" applyBorder="1"/>
    <xf numFmtId="5" fontId="68" fillId="24" borderId="8" xfId="141" applyNumberFormat="1" applyFont="1" applyBorder="1"/>
    <xf numFmtId="0" fontId="2" fillId="24" borderId="14" xfId="141" applyBorder="1" applyAlignment="1">
      <alignment horizontal="center"/>
    </xf>
    <xf numFmtId="0" fontId="69" fillId="24" borderId="29" xfId="141" applyFont="1" applyBorder="1" applyAlignment="1">
      <alignment horizontal="right"/>
    </xf>
    <xf numFmtId="185" fontId="38" fillId="0" borderId="25" xfId="143" applyNumberFormat="1" applyFont="1" applyFill="1" applyBorder="1"/>
    <xf numFmtId="184" fontId="71" fillId="24" borderId="0" xfId="141" applyNumberFormat="1" applyFont="1"/>
    <xf numFmtId="0" fontId="68" fillId="24" borderId="6" xfId="141" applyFont="1" applyBorder="1" applyAlignment="1">
      <alignment horizontal="right"/>
    </xf>
    <xf numFmtId="41" fontId="68" fillId="24" borderId="31" xfId="141" applyNumberFormat="1" applyFont="1" applyBorder="1"/>
    <xf numFmtId="184" fontId="2" fillId="24" borderId="13" xfId="141" applyNumberFormat="1" applyBorder="1"/>
    <xf numFmtId="41" fontId="38" fillId="24" borderId="0" xfId="141" applyNumberFormat="1" applyFont="1"/>
    <xf numFmtId="0" fontId="68" fillId="24" borderId="32" xfId="144" applyFont="1" applyBorder="1" applyAlignment="1">
      <alignment horizontal="right"/>
    </xf>
    <xf numFmtId="0" fontId="68" fillId="24" borderId="0" xfId="144" applyFont="1" applyAlignment="1">
      <alignment horizontal="right"/>
    </xf>
    <xf numFmtId="10" fontId="68" fillId="24" borderId="0" xfId="144" applyNumberFormat="1" applyFont="1" applyAlignment="1">
      <alignment horizontal="right"/>
    </xf>
    <xf numFmtId="41" fontId="38" fillId="2" borderId="0" xfId="142" applyFont="1" applyAlignment="1">
      <alignment horizontal="right"/>
    </xf>
    <xf numFmtId="0" fontId="2" fillId="24" borderId="0" xfId="144" applyAlignment="1">
      <alignment horizontal="right"/>
    </xf>
    <xf numFmtId="0" fontId="2" fillId="24" borderId="33" xfId="141" applyBorder="1" applyAlignment="1">
      <alignment horizontal="center"/>
    </xf>
    <xf numFmtId="2" fontId="2" fillId="24" borderId="33" xfId="141" applyNumberFormat="1" applyBorder="1" applyAlignment="1">
      <alignment horizontal="center"/>
    </xf>
    <xf numFmtId="184" fontId="2" fillId="24" borderId="34" xfId="141" applyNumberFormat="1" applyBorder="1"/>
    <xf numFmtId="10" fontId="70" fillId="24" borderId="34" xfId="141" applyNumberFormat="1" applyFont="1" applyBorder="1"/>
    <xf numFmtId="41" fontId="2" fillId="24" borderId="35" xfId="141" applyNumberFormat="1" applyBorder="1"/>
    <xf numFmtId="41" fontId="2" fillId="24" borderId="33" xfId="141" applyNumberFormat="1" applyBorder="1"/>
    <xf numFmtId="41" fontId="2" fillId="24" borderId="34" xfId="141" applyNumberFormat="1" applyBorder="1"/>
    <xf numFmtId="0" fontId="38" fillId="24" borderId="0" xfId="144" applyFont="1"/>
    <xf numFmtId="0" fontId="2" fillId="24" borderId="0" xfId="144"/>
    <xf numFmtId="10" fontId="68" fillId="24" borderId="0" xfId="141" applyNumberFormat="1" applyFont="1" applyAlignment="1">
      <alignment horizontal="right"/>
    </xf>
    <xf numFmtId="0" fontId="66" fillId="26" borderId="33" xfId="144" applyFont="1" applyFill="1" applyBorder="1" applyAlignment="1">
      <alignment horizontal="left"/>
    </xf>
    <xf numFmtId="0" fontId="2" fillId="24" borderId="34" xfId="144" applyBorder="1"/>
    <xf numFmtId="0" fontId="2" fillId="24" borderId="35" xfId="144" applyBorder="1"/>
    <xf numFmtId="0" fontId="38" fillId="24" borderId="1" xfId="144" applyFont="1" applyBorder="1"/>
    <xf numFmtId="41" fontId="68" fillId="24" borderId="0" xfId="144" applyNumberFormat="1" applyFont="1"/>
    <xf numFmtId="0" fontId="72" fillId="24" borderId="0" xfId="144" applyFont="1" applyAlignment="1">
      <alignment horizontal="left"/>
    </xf>
    <xf numFmtId="41" fontId="68" fillId="24" borderId="11" xfId="144" applyNumberFormat="1" applyFont="1" applyBorder="1"/>
    <xf numFmtId="0" fontId="61" fillId="25" borderId="0" xfId="141" applyFont="1" applyFill="1"/>
    <xf numFmtId="0" fontId="69" fillId="24" borderId="0" xfId="144" applyFont="1" applyAlignment="1">
      <alignment horizontal="right"/>
    </xf>
    <xf numFmtId="41" fontId="69" fillId="24" borderId="3" xfId="144" applyNumberFormat="1" applyFont="1" applyBorder="1"/>
    <xf numFmtId="41" fontId="69" fillId="24" borderId="37" xfId="144" applyNumberFormat="1" applyFont="1" applyBorder="1"/>
    <xf numFmtId="0" fontId="2" fillId="24" borderId="14" xfId="144" applyBorder="1"/>
    <xf numFmtId="0" fontId="2" fillId="24" borderId="13" xfId="144" applyBorder="1"/>
    <xf numFmtId="0" fontId="68" fillId="24" borderId="13" xfId="144" applyFont="1" applyBorder="1" applyAlignment="1">
      <alignment horizontal="right" vertical="center"/>
    </xf>
    <xf numFmtId="10" fontId="69" fillId="24" borderId="13" xfId="144" applyNumberFormat="1" applyFont="1" applyBorder="1" applyAlignment="1">
      <alignment horizontal="center" vertical="center"/>
    </xf>
    <xf numFmtId="0" fontId="2" fillId="24" borderId="4" xfId="144" applyBorder="1"/>
    <xf numFmtId="0" fontId="66" fillId="26" borderId="0" xfId="141" applyFont="1" applyFill="1" applyAlignment="1">
      <alignment horizontal="right"/>
    </xf>
    <xf numFmtId="0" fontId="66" fillId="2" borderId="0" xfId="141" applyFont="1" applyFill="1" applyAlignment="1">
      <alignment horizontal="centerContinuous"/>
    </xf>
    <xf numFmtId="0" fontId="73" fillId="24" borderId="0" xfId="141" applyFont="1" applyAlignment="1">
      <alignment horizontal="right"/>
    </xf>
    <xf numFmtId="41" fontId="73" fillId="24" borderId="0" xfId="141" applyNumberFormat="1" applyFont="1" applyAlignment="1">
      <alignment horizontal="center"/>
    </xf>
    <xf numFmtId="0" fontId="73" fillId="24" borderId="0" xfId="141" applyFont="1" applyAlignment="1">
      <alignment horizontal="center"/>
    </xf>
    <xf numFmtId="37" fontId="2" fillId="24" borderId="0" xfId="141" applyNumberFormat="1"/>
    <xf numFmtId="39" fontId="2" fillId="24" borderId="0" xfId="141" applyNumberFormat="1"/>
    <xf numFmtId="10" fontId="68" fillId="24" borderId="0" xfId="141" applyNumberFormat="1" applyFont="1" applyAlignment="1">
      <alignment horizontal="center"/>
    </xf>
    <xf numFmtId="41" fontId="68" fillId="24" borderId="0" xfId="141" applyNumberFormat="1" applyFont="1" applyProtection="1">
      <protection locked="0"/>
    </xf>
    <xf numFmtId="41" fontId="68" fillId="24" borderId="13" xfId="141" applyNumberFormat="1" applyFont="1" applyBorder="1" applyProtection="1">
      <protection locked="0"/>
    </xf>
    <xf numFmtId="9" fontId="68" fillId="24" borderId="0" xfId="141" applyNumberFormat="1" applyFont="1" applyAlignment="1">
      <alignment horizontal="center"/>
    </xf>
    <xf numFmtId="41" fontId="68" fillId="24" borderId="38" xfId="141" applyNumberFormat="1" applyFont="1" applyBorder="1"/>
    <xf numFmtId="0" fontId="38" fillId="24" borderId="0" xfId="141" applyFont="1" applyAlignment="1">
      <alignment horizontal="right"/>
    </xf>
    <xf numFmtId="10" fontId="68" fillId="24" borderId="38" xfId="141" applyNumberFormat="1" applyFont="1" applyBorder="1" applyAlignment="1">
      <alignment horizontal="center"/>
    </xf>
    <xf numFmtId="0" fontId="69" fillId="24" borderId="0" xfId="141" applyFont="1" applyAlignment="1">
      <alignment horizontal="center"/>
    </xf>
    <xf numFmtId="0" fontId="74" fillId="24" borderId="0" xfId="141" applyFont="1"/>
    <xf numFmtId="0" fontId="69" fillId="24" borderId="0" xfId="141" applyFont="1"/>
    <xf numFmtId="0" fontId="74" fillId="24" borderId="0" xfId="141" applyFont="1" applyAlignment="1">
      <alignment horizontal="right"/>
    </xf>
    <xf numFmtId="10" fontId="68" fillId="24" borderId="0" xfId="141" applyNumberFormat="1" applyFont="1"/>
    <xf numFmtId="10" fontId="2" fillId="25" borderId="0" xfId="141" applyNumberFormat="1" applyFill="1"/>
    <xf numFmtId="0" fontId="68" fillId="24" borderId="0" xfId="141" quotePrefix="1" applyFont="1" applyAlignment="1">
      <alignment horizontal="left"/>
    </xf>
    <xf numFmtId="166" fontId="2" fillId="24" borderId="0" xfId="141" applyNumberFormat="1"/>
    <xf numFmtId="0" fontId="75" fillId="24" borderId="0" xfId="141" applyFont="1"/>
    <xf numFmtId="39" fontId="68" fillId="24" borderId="0" xfId="141" applyNumberFormat="1" applyFont="1"/>
    <xf numFmtId="0" fontId="2" fillId="24" borderId="29" xfId="141" applyBorder="1"/>
    <xf numFmtId="0" fontId="76" fillId="24" borderId="0" xfId="141" applyFont="1"/>
    <xf numFmtId="0" fontId="2" fillId="24" borderId="33" xfId="141" applyBorder="1" applyAlignment="1">
      <alignment horizontal="centerContinuous"/>
    </xf>
    <xf numFmtId="0" fontId="2" fillId="24" borderId="35" xfId="141" applyBorder="1" applyAlignment="1">
      <alignment horizontal="centerContinuous"/>
    </xf>
    <xf numFmtId="0" fontId="2" fillId="24" borderId="34" xfId="141" applyBorder="1"/>
    <xf numFmtId="0" fontId="2" fillId="24" borderId="35" xfId="141" applyBorder="1"/>
    <xf numFmtId="10" fontId="34" fillId="2" borderId="0" xfId="143"/>
    <xf numFmtId="0" fontId="69" fillId="24" borderId="13" xfId="141" applyFont="1" applyBorder="1" applyAlignment="1">
      <alignment horizontal="right"/>
    </xf>
    <xf numFmtId="0" fontId="69" fillId="24" borderId="13" xfId="141" applyFont="1" applyBorder="1" applyAlignment="1">
      <alignment horizontal="center"/>
    </xf>
    <xf numFmtId="0" fontId="2" fillId="24" borderId="1" xfId="141" applyBorder="1" applyAlignment="1">
      <alignment horizontal="centerContinuous"/>
    </xf>
    <xf numFmtId="0" fontId="2" fillId="24" borderId="11" xfId="141" applyBorder="1" applyAlignment="1">
      <alignment horizontal="centerContinuous"/>
    </xf>
    <xf numFmtId="0" fontId="2" fillId="24" borderId="11" xfId="141" applyBorder="1"/>
    <xf numFmtId="0" fontId="77" fillId="24" borderId="0" xfId="141" applyFont="1"/>
    <xf numFmtId="185" fontId="68" fillId="24" borderId="0" xfId="141" applyNumberFormat="1" applyFont="1"/>
    <xf numFmtId="164" fontId="68" fillId="24" borderId="0" xfId="141" applyNumberFormat="1" applyFont="1" applyProtection="1">
      <protection locked="0"/>
    </xf>
    <xf numFmtId="0" fontId="2" fillId="24" borderId="11" xfId="141" applyBorder="1" applyAlignment="1">
      <alignment horizontal="center"/>
    </xf>
    <xf numFmtId="0" fontId="2" fillId="24" borderId="0" xfId="141" quotePrefix="1" applyAlignment="1">
      <alignment horizontal="right"/>
    </xf>
    <xf numFmtId="10" fontId="2" fillId="24" borderId="11" xfId="141" applyNumberFormat="1" applyBorder="1"/>
    <xf numFmtId="10" fontId="2" fillId="24" borderId="0" xfId="141" applyNumberFormat="1" applyAlignment="1">
      <alignment horizontal="center"/>
    </xf>
    <xf numFmtId="10" fontId="2" fillId="24" borderId="11" xfId="141" applyNumberFormat="1" applyBorder="1" applyAlignment="1">
      <alignment horizontal="right"/>
    </xf>
    <xf numFmtId="0" fontId="2" fillId="24" borderId="4" xfId="141" applyBorder="1" applyAlignment="1">
      <alignment horizontal="center"/>
    </xf>
    <xf numFmtId="0" fontId="2" fillId="24" borderId="13" xfId="141" applyBorder="1"/>
    <xf numFmtId="0" fontId="2" fillId="24" borderId="4" xfId="141" applyBorder="1"/>
    <xf numFmtId="185" fontId="68" fillId="24" borderId="38" xfId="141" applyNumberFormat="1" applyFont="1" applyBorder="1"/>
    <xf numFmtId="39" fontId="2" fillId="24" borderId="33" xfId="141" applyNumberFormat="1" applyBorder="1" applyAlignment="1">
      <alignment horizontal="center"/>
    </xf>
    <xf numFmtId="0" fontId="2" fillId="24" borderId="34" xfId="141" quotePrefix="1" applyBorder="1" applyAlignment="1">
      <alignment horizontal="left"/>
    </xf>
    <xf numFmtId="0" fontId="2" fillId="24" borderId="0" xfId="141" quotePrefix="1" applyAlignment="1">
      <alignment horizontal="left"/>
    </xf>
    <xf numFmtId="0" fontId="78" fillId="25" borderId="0" xfId="141" applyFont="1" applyFill="1"/>
    <xf numFmtId="2" fontId="78" fillId="25" borderId="0" xfId="141" applyNumberFormat="1" applyFont="1" applyFill="1"/>
    <xf numFmtId="10" fontId="2" fillId="24" borderId="14" xfId="141" applyNumberFormat="1" applyBorder="1" applyAlignment="1">
      <alignment horizontal="center"/>
    </xf>
    <xf numFmtId="0" fontId="79" fillId="24" borderId="4" xfId="141" applyFont="1" applyBorder="1"/>
    <xf numFmtId="0" fontId="79" fillId="25" borderId="0" xfId="141" applyFont="1" applyFill="1"/>
    <xf numFmtId="186" fontId="2" fillId="24" borderId="0" xfId="141" applyNumberFormat="1"/>
    <xf numFmtId="0" fontId="61" fillId="24" borderId="0" xfId="141" applyFont="1" applyAlignment="1">
      <alignment horizontal="centerContinuous"/>
    </xf>
    <xf numFmtId="0" fontId="2" fillId="24" borderId="0" xfId="141" applyAlignment="1">
      <alignment horizontal="centerContinuous"/>
    </xf>
    <xf numFmtId="0" fontId="2" fillId="25" borderId="0" xfId="141" applyFill="1" applyAlignment="1">
      <alignment horizontal="right"/>
    </xf>
    <xf numFmtId="0" fontId="2" fillId="24" borderId="33" xfId="141" applyBorder="1"/>
    <xf numFmtId="0" fontId="80" fillId="24" borderId="34" xfId="141" applyFont="1" applyBorder="1" applyAlignment="1">
      <alignment horizontal="center"/>
    </xf>
    <xf numFmtId="0" fontId="80" fillId="24" borderId="35" xfId="141" applyFont="1" applyBorder="1" applyAlignment="1">
      <alignment horizontal="center"/>
    </xf>
    <xf numFmtId="0" fontId="2" fillId="24" borderId="33" xfId="141" applyBorder="1" applyAlignment="1">
      <alignment horizontal="left"/>
    </xf>
    <xf numFmtId="167" fontId="81" fillId="24" borderId="34" xfId="141" applyNumberFormat="1" applyFont="1" applyBorder="1" applyAlignment="1">
      <alignment horizontal="center"/>
    </xf>
    <xf numFmtId="0" fontId="2" fillId="24" borderId="34" xfId="141" applyBorder="1" applyAlignment="1">
      <alignment horizontal="left"/>
    </xf>
    <xf numFmtId="167" fontId="81" fillId="24" borderId="35" xfId="141" applyNumberFormat="1" applyFont="1" applyBorder="1" applyAlignment="1">
      <alignment horizontal="center"/>
    </xf>
    <xf numFmtId="10" fontId="2" fillId="24" borderId="0" xfId="141" applyNumberFormat="1"/>
    <xf numFmtId="0" fontId="2" fillId="24" borderId="1" xfId="141" applyBorder="1" applyAlignment="1">
      <alignment horizontal="left"/>
    </xf>
    <xf numFmtId="167" fontId="81" fillId="24" borderId="0" xfId="141" applyNumberFormat="1" applyFont="1" applyAlignment="1">
      <alignment horizontal="center"/>
    </xf>
    <xf numFmtId="0" fontId="2" fillId="24" borderId="0" xfId="141" applyAlignment="1">
      <alignment horizontal="left"/>
    </xf>
    <xf numFmtId="167" fontId="81" fillId="24" borderId="11" xfId="141" applyNumberFormat="1" applyFont="1" applyBorder="1" applyAlignment="1">
      <alignment horizontal="center"/>
    </xf>
    <xf numFmtId="0" fontId="82" fillId="24" borderId="0" xfId="141" applyFont="1" applyAlignment="1">
      <alignment horizontal="centerContinuous"/>
    </xf>
    <xf numFmtId="167" fontId="2" fillId="24" borderId="11" xfId="141" applyNumberFormat="1" applyBorder="1" applyAlignment="1">
      <alignment horizontal="center"/>
    </xf>
    <xf numFmtId="0" fontId="79" fillId="25" borderId="0" xfId="141" applyFont="1" applyFill="1" applyAlignment="1">
      <alignment horizontal="fill"/>
    </xf>
    <xf numFmtId="10" fontId="2" fillId="24" borderId="13" xfId="141" applyNumberFormat="1" applyBorder="1"/>
    <xf numFmtId="10" fontId="83" fillId="2" borderId="0" xfId="143" applyFont="1"/>
    <xf numFmtId="185" fontId="83" fillId="2" borderId="11" xfId="143" applyNumberFormat="1" applyFont="1" applyBorder="1"/>
    <xf numFmtId="0" fontId="2" fillId="24" borderId="14" xfId="141" applyBorder="1"/>
    <xf numFmtId="0" fontId="2" fillId="24" borderId="13" xfId="141" applyBorder="1" applyAlignment="1">
      <alignment horizontal="right"/>
    </xf>
    <xf numFmtId="167" fontId="81" fillId="24" borderId="13" xfId="141" applyNumberFormat="1" applyFont="1" applyBorder="1" applyAlignment="1">
      <alignment horizontal="left"/>
    </xf>
    <xf numFmtId="167" fontId="2" fillId="24" borderId="4" xfId="141" applyNumberFormat="1" applyBorder="1" applyAlignment="1">
      <alignment horizontal="center"/>
    </xf>
    <xf numFmtId="10" fontId="83" fillId="2" borderId="13" xfId="143" applyFont="1" applyBorder="1"/>
    <xf numFmtId="10" fontId="83" fillId="2" borderId="4" xfId="143" applyFont="1" applyBorder="1"/>
    <xf numFmtId="167" fontId="2" fillId="24" borderId="0" xfId="141" applyNumberFormat="1"/>
    <xf numFmtId="0" fontId="84" fillId="24" borderId="34" xfId="141" applyFont="1" applyBorder="1"/>
    <xf numFmtId="0" fontId="84" fillId="24" borderId="1" xfId="141" applyFont="1" applyBorder="1"/>
    <xf numFmtId="0" fontId="84" fillId="24" borderId="0" xfId="141" applyFont="1"/>
    <xf numFmtId="0" fontId="84" fillId="24" borderId="11" xfId="141" applyFont="1" applyBorder="1"/>
    <xf numFmtId="0" fontId="2" fillId="2" borderId="0" xfId="141" applyFill="1"/>
    <xf numFmtId="0" fontId="85" fillId="24" borderId="0" xfId="141" applyFont="1"/>
    <xf numFmtId="10" fontId="83" fillId="2" borderId="11" xfId="143" applyFont="1" applyBorder="1"/>
    <xf numFmtId="39" fontId="2" fillId="24" borderId="13" xfId="141" applyNumberFormat="1" applyBorder="1"/>
    <xf numFmtId="166" fontId="2" fillId="24" borderId="13" xfId="141" applyNumberFormat="1" applyBorder="1"/>
    <xf numFmtId="184" fontId="2" fillId="24" borderId="4" xfId="141" applyNumberFormat="1" applyBorder="1"/>
    <xf numFmtId="0" fontId="3" fillId="0" borderId="39" xfId="77" applyBorder="1" applyAlignment="1">
      <alignment horizontal="center"/>
    </xf>
    <xf numFmtId="0" fontId="4" fillId="0" borderId="22" xfId="77" applyFont="1" applyBorder="1" applyAlignment="1">
      <alignment horizontal="left" vertical="center"/>
    </xf>
    <xf numFmtId="171" fontId="3" fillId="0" borderId="40" xfId="77" applyNumberFormat="1" applyBorder="1" applyAlignment="1">
      <alignment horizontal="right"/>
    </xf>
    <xf numFmtId="0" fontId="3" fillId="0" borderId="20" xfId="77" applyBorder="1" applyAlignment="1">
      <alignment horizontal="center"/>
    </xf>
    <xf numFmtId="0" fontId="3" fillId="0" borderId="0" xfId="77" applyAlignment="1">
      <alignment vertical="center"/>
    </xf>
    <xf numFmtId="5" fontId="27" fillId="0" borderId="41" xfId="77" applyNumberFormat="1" applyFont="1" applyBorder="1" applyAlignment="1" applyProtection="1">
      <alignment horizontal="right" vertical="center"/>
      <protection locked="0"/>
    </xf>
    <xf numFmtId="0" fontId="3" fillId="0" borderId="0" xfId="77" applyAlignment="1">
      <alignment horizontal="left" vertical="center" indent="2"/>
    </xf>
    <xf numFmtId="5" fontId="27" fillId="0" borderId="41" xfId="77" applyNumberFormat="1" applyFont="1" applyBorder="1" applyAlignment="1">
      <alignment horizontal="right" vertical="center"/>
    </xf>
    <xf numFmtId="0" fontId="3" fillId="0" borderId="0" xfId="77" applyAlignment="1">
      <alignment horizontal="left" vertical="center"/>
    </xf>
    <xf numFmtId="0" fontId="4" fillId="0" borderId="0" xfId="77" applyFont="1" applyAlignment="1">
      <alignment vertical="center"/>
    </xf>
    <xf numFmtId="5" fontId="3" fillId="0" borderId="42" xfId="77" applyNumberFormat="1" applyBorder="1"/>
    <xf numFmtId="0" fontId="3" fillId="0" borderId="0" xfId="77" applyAlignment="1">
      <alignment horizontal="left" vertical="center" indent="3"/>
    </xf>
    <xf numFmtId="0" fontId="3" fillId="0" borderId="0" xfId="77" applyAlignment="1">
      <alignment horizontal="left" vertical="center" indent="1"/>
    </xf>
    <xf numFmtId="0" fontId="3" fillId="0" borderId="43" xfId="77" applyBorder="1" applyAlignment="1">
      <alignment horizontal="center"/>
    </xf>
    <xf numFmtId="0" fontId="4" fillId="0" borderId="12" xfId="77" applyFont="1" applyBorder="1" applyAlignment="1">
      <alignment horizontal="left" vertical="center"/>
    </xf>
    <xf numFmtId="5" fontId="27" fillId="0" borderId="44" xfId="77" applyNumberFormat="1" applyFont="1" applyBorder="1" applyAlignment="1">
      <alignment horizontal="right" vertical="center"/>
    </xf>
    <xf numFmtId="0" fontId="86" fillId="0" borderId="0" xfId="0" applyFont="1"/>
    <xf numFmtId="171" fontId="86" fillId="0" borderId="0" xfId="0" applyNumberFormat="1" applyFont="1" applyAlignment="1">
      <alignment horizontal="right"/>
    </xf>
    <xf numFmtId="0" fontId="4" fillId="0" borderId="22" xfId="77" applyFont="1" applyBorder="1" applyAlignment="1">
      <alignment horizontal="left"/>
    </xf>
    <xf numFmtId="0" fontId="3" fillId="0" borderId="0" xfId="77"/>
    <xf numFmtId="0" fontId="3" fillId="0" borderId="0" xfId="77" applyAlignment="1">
      <alignment horizontal="left"/>
    </xf>
    <xf numFmtId="0" fontId="3" fillId="0" borderId="0" xfId="77" applyAlignment="1">
      <alignment horizontal="left" indent="2"/>
    </xf>
    <xf numFmtId="0" fontId="4" fillId="0" borderId="0" xfId="77" applyFont="1" applyAlignment="1">
      <alignment horizontal="left"/>
    </xf>
    <xf numFmtId="0" fontId="4" fillId="0" borderId="0" xfId="77" applyFont="1"/>
    <xf numFmtId="0" fontId="3" fillId="0" borderId="0" xfId="77" applyAlignment="1">
      <alignment horizontal="left" indent="3"/>
    </xf>
    <xf numFmtId="0" fontId="4" fillId="0" borderId="12" xfId="77" applyFont="1" applyBorder="1"/>
    <xf numFmtId="14" fontId="0" fillId="0" borderId="0" xfId="0" applyNumberFormat="1"/>
    <xf numFmtId="187" fontId="0" fillId="0" borderId="0" xfId="139" applyNumberFormat="1" applyFont="1"/>
    <xf numFmtId="187" fontId="0" fillId="0" borderId="0" xfId="0" applyNumberFormat="1"/>
    <xf numFmtId="0" fontId="38" fillId="25" borderId="36" xfId="141" applyFont="1" applyFill="1" applyBorder="1" applyAlignment="1">
      <alignment horizontal="center"/>
    </xf>
    <xf numFmtId="0" fontId="61" fillId="25" borderId="0" xfId="141" applyFont="1" applyFill="1" applyAlignment="1">
      <alignment horizontal="center"/>
    </xf>
    <xf numFmtId="0" fontId="2" fillId="24" borderId="26" xfId="141" applyBorder="1" applyAlignment="1">
      <alignment horizontal="center"/>
    </xf>
    <xf numFmtId="0" fontId="2" fillId="24" borderId="17" xfId="141" applyBorder="1" applyAlignment="1">
      <alignment horizontal="center"/>
    </xf>
    <xf numFmtId="0" fontId="2" fillId="24" borderId="24" xfId="141" applyBorder="1" applyAlignment="1">
      <alignment horizontal="center"/>
    </xf>
    <xf numFmtId="0" fontId="38" fillId="25" borderId="0" xfId="141" applyFont="1" applyFill="1" applyAlignment="1">
      <alignment horizontal="center"/>
    </xf>
    <xf numFmtId="0" fontId="38" fillId="25" borderId="34" xfId="141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Fill="1" applyBorder="1" applyAlignment="1">
      <alignment horizontal="center"/>
    </xf>
    <xf numFmtId="9" fontId="0" fillId="0" borderId="0" xfId="145" applyFont="1"/>
  </cellXfs>
  <cellStyles count="146">
    <cellStyle name="Accent5" xfId="140" builtinId="45"/>
    <cellStyle name="C00A" xfId="9" xr:uid="{00000000-0005-0000-0000-000000000000}"/>
    <cellStyle name="C00B" xfId="10" xr:uid="{00000000-0005-0000-0000-000001000000}"/>
    <cellStyle name="C00L" xfId="11" xr:uid="{00000000-0005-0000-0000-000002000000}"/>
    <cellStyle name="C01A" xfId="12" xr:uid="{00000000-0005-0000-0000-000003000000}"/>
    <cellStyle name="C01B" xfId="13" xr:uid="{00000000-0005-0000-0000-000004000000}"/>
    <cellStyle name="C01H" xfId="14" xr:uid="{00000000-0005-0000-0000-000005000000}"/>
    <cellStyle name="C01L" xfId="15" xr:uid="{00000000-0005-0000-0000-000006000000}"/>
    <cellStyle name="C02A" xfId="16" xr:uid="{00000000-0005-0000-0000-000007000000}"/>
    <cellStyle name="C02B" xfId="17" xr:uid="{00000000-0005-0000-0000-000008000000}"/>
    <cellStyle name="C02H" xfId="18" xr:uid="{00000000-0005-0000-0000-000009000000}"/>
    <cellStyle name="C02L" xfId="19" xr:uid="{00000000-0005-0000-0000-00000A000000}"/>
    <cellStyle name="C03A" xfId="20" xr:uid="{00000000-0005-0000-0000-00000B000000}"/>
    <cellStyle name="C03B" xfId="21" xr:uid="{00000000-0005-0000-0000-00000C000000}"/>
    <cellStyle name="C03H" xfId="22" xr:uid="{00000000-0005-0000-0000-00000D000000}"/>
    <cellStyle name="C03L" xfId="23" xr:uid="{00000000-0005-0000-0000-00000E000000}"/>
    <cellStyle name="C04A" xfId="24" xr:uid="{00000000-0005-0000-0000-00000F000000}"/>
    <cellStyle name="C04B" xfId="25" xr:uid="{00000000-0005-0000-0000-000010000000}"/>
    <cellStyle name="C04H" xfId="26" xr:uid="{00000000-0005-0000-0000-000011000000}"/>
    <cellStyle name="C04L" xfId="27" xr:uid="{00000000-0005-0000-0000-000012000000}"/>
    <cellStyle name="C05A" xfId="28" xr:uid="{00000000-0005-0000-0000-000013000000}"/>
    <cellStyle name="C05B" xfId="29" xr:uid="{00000000-0005-0000-0000-000014000000}"/>
    <cellStyle name="C05H" xfId="30" xr:uid="{00000000-0005-0000-0000-000015000000}"/>
    <cellStyle name="C05L" xfId="31" xr:uid="{00000000-0005-0000-0000-000016000000}"/>
    <cellStyle name="C06A" xfId="32" xr:uid="{00000000-0005-0000-0000-000017000000}"/>
    <cellStyle name="C06B" xfId="33" xr:uid="{00000000-0005-0000-0000-000018000000}"/>
    <cellStyle name="C06H" xfId="34" xr:uid="{00000000-0005-0000-0000-000019000000}"/>
    <cellStyle name="C06L" xfId="35" xr:uid="{00000000-0005-0000-0000-00001A000000}"/>
    <cellStyle name="C07A" xfId="36" xr:uid="{00000000-0005-0000-0000-00001B000000}"/>
    <cellStyle name="C07B" xfId="37" xr:uid="{00000000-0005-0000-0000-00001C000000}"/>
    <cellStyle name="C07H" xfId="38" xr:uid="{00000000-0005-0000-0000-00001D000000}"/>
    <cellStyle name="C07L" xfId="39" xr:uid="{00000000-0005-0000-0000-00001E000000}"/>
    <cellStyle name="Comma" xfId="138" builtinId="3"/>
    <cellStyle name="Comma [0] 2" xfId="40" xr:uid="{00000000-0005-0000-0000-00001F000000}"/>
    <cellStyle name="Comma 2" xfId="41" xr:uid="{00000000-0005-0000-0000-000020000000}"/>
    <cellStyle name="Comma 2 2" xfId="4" xr:uid="{00000000-0005-0000-0000-000021000000}"/>
    <cellStyle name="Comma 2 3" xfId="142" xr:uid="{57F30F04-FBD3-4A3E-9D48-A4A5B6F88067}"/>
    <cellStyle name="Comma 3" xfId="42" xr:uid="{00000000-0005-0000-0000-000022000000}"/>
    <cellStyle name="Comma 4" xfId="43" xr:uid="{00000000-0005-0000-0000-000023000000}"/>
    <cellStyle name="Comma 5" xfId="44" xr:uid="{00000000-0005-0000-0000-000024000000}"/>
    <cellStyle name="Comma 6" xfId="2" xr:uid="{00000000-0005-0000-0000-000025000000}"/>
    <cellStyle name="Comma0" xfId="45" xr:uid="{00000000-0005-0000-0000-000026000000}"/>
    <cellStyle name="Currency" xfId="139" builtinId="4"/>
    <cellStyle name="Currency 2" xfId="46" xr:uid="{00000000-0005-0000-0000-000027000000}"/>
    <cellStyle name="Currency 2 2" xfId="47" xr:uid="{00000000-0005-0000-0000-000028000000}"/>
    <cellStyle name="Currency 2 3" xfId="48" xr:uid="{00000000-0005-0000-0000-000029000000}"/>
    <cellStyle name="Currency 2 3 2" xfId="49" xr:uid="{00000000-0005-0000-0000-00002A000000}"/>
    <cellStyle name="Currency 3" xfId="50" xr:uid="{00000000-0005-0000-0000-00002B000000}"/>
    <cellStyle name="Currency 4" xfId="51" xr:uid="{00000000-0005-0000-0000-00002C000000}"/>
    <cellStyle name="Currency 5" xfId="52" xr:uid="{00000000-0005-0000-0000-00002D000000}"/>
    <cellStyle name="Currency 5 2" xfId="53" xr:uid="{00000000-0005-0000-0000-00002E000000}"/>
    <cellStyle name="Currency 6" xfId="54" xr:uid="{00000000-0005-0000-0000-00002F000000}"/>
    <cellStyle name="Currency 7" xfId="55" xr:uid="{00000000-0005-0000-0000-000030000000}"/>
    <cellStyle name="Currency 8" xfId="56" xr:uid="{00000000-0005-0000-0000-000031000000}"/>
    <cellStyle name="Currency 9" xfId="3" xr:uid="{00000000-0005-0000-0000-000032000000}"/>
    <cellStyle name="Currency0" xfId="57" xr:uid="{00000000-0005-0000-0000-000033000000}"/>
    <cellStyle name="Date" xfId="58" xr:uid="{00000000-0005-0000-0000-000034000000}"/>
    <cellStyle name="Fixed" xfId="59" xr:uid="{00000000-0005-0000-0000-000035000000}"/>
    <cellStyle name="Grey" xfId="60" xr:uid="{00000000-0005-0000-0000-000036000000}"/>
    <cellStyle name="Header1" xfId="61" xr:uid="{00000000-0005-0000-0000-000037000000}"/>
    <cellStyle name="Header2" xfId="62" xr:uid="{00000000-0005-0000-0000-000038000000}"/>
    <cellStyle name="Input [yellow]" xfId="63" xr:uid="{00000000-0005-0000-0000-000039000000}"/>
    <cellStyle name="MW_STANDARD" xfId="64" xr:uid="{00000000-0005-0000-0000-00003A000000}"/>
    <cellStyle name="Normal" xfId="0" builtinId="0"/>
    <cellStyle name="Normal - Style1" xfId="65" xr:uid="{00000000-0005-0000-0000-00003C000000}"/>
    <cellStyle name="Normal - Style2" xfId="66" xr:uid="{00000000-0005-0000-0000-00003D000000}"/>
    <cellStyle name="Normal - Style3" xfId="67" xr:uid="{00000000-0005-0000-0000-00003E000000}"/>
    <cellStyle name="Normal - Style4" xfId="68" xr:uid="{00000000-0005-0000-0000-00003F000000}"/>
    <cellStyle name="Normal - Style5" xfId="69" xr:uid="{00000000-0005-0000-0000-000040000000}"/>
    <cellStyle name="Normal - Style6" xfId="70" xr:uid="{00000000-0005-0000-0000-000041000000}"/>
    <cellStyle name="Normal - Style7" xfId="71" xr:uid="{00000000-0005-0000-0000-000042000000}"/>
    <cellStyle name="Normal - Style8" xfId="72" xr:uid="{00000000-0005-0000-0000-000043000000}"/>
    <cellStyle name="Normal 10" xfId="73" xr:uid="{00000000-0005-0000-0000-000044000000}"/>
    <cellStyle name="Normal 10 2" xfId="8" xr:uid="{00000000-0005-0000-0000-000045000000}"/>
    <cellStyle name="Normal 11" xfId="74" xr:uid="{00000000-0005-0000-0000-000046000000}"/>
    <cellStyle name="Normal 2" xfId="75" xr:uid="{00000000-0005-0000-0000-000047000000}"/>
    <cellStyle name="Normal 2 2" xfId="76" xr:uid="{00000000-0005-0000-0000-000048000000}"/>
    <cellStyle name="Normal 2 2 2" xfId="144" xr:uid="{3FE897CB-CE45-4E1E-9A1A-CEEBC0517B2D}"/>
    <cellStyle name="Normal 2 3" xfId="77" xr:uid="{00000000-0005-0000-0000-000049000000}"/>
    <cellStyle name="Normal 3" xfId="78" xr:uid="{00000000-0005-0000-0000-00004A000000}"/>
    <cellStyle name="Normal 3 2" xfId="79" xr:uid="{00000000-0005-0000-0000-00004B000000}"/>
    <cellStyle name="Normal 3 3" xfId="141" xr:uid="{31FC90EC-B372-497D-87B1-1131A363429C}"/>
    <cellStyle name="Normal 4" xfId="80" xr:uid="{00000000-0005-0000-0000-00004C000000}"/>
    <cellStyle name="Normal 5" xfId="81" xr:uid="{00000000-0005-0000-0000-00004D000000}"/>
    <cellStyle name="Normal 5 2" xfId="82" xr:uid="{00000000-0005-0000-0000-00004E000000}"/>
    <cellStyle name="Normal 6" xfId="83" xr:uid="{00000000-0005-0000-0000-00004F000000}"/>
    <cellStyle name="Normal 7" xfId="84" xr:uid="{00000000-0005-0000-0000-000050000000}"/>
    <cellStyle name="Normal 8" xfId="85" xr:uid="{00000000-0005-0000-0000-000051000000}"/>
    <cellStyle name="Normal 9" xfId="86" xr:uid="{00000000-0005-0000-0000-000052000000}"/>
    <cellStyle name="Normal_CostStudyTCII" xfId="1" xr:uid="{00000000-0005-0000-0000-000053000000}"/>
    <cellStyle name="Normal_Price out 2" xfId="7" xr:uid="{00000000-0005-0000-0000-000054000000}"/>
    <cellStyle name="Percent" xfId="145" builtinId="5"/>
    <cellStyle name="Percent [2]" xfId="87" xr:uid="{00000000-0005-0000-0000-000055000000}"/>
    <cellStyle name="Percent 2" xfId="88" xr:uid="{00000000-0005-0000-0000-000056000000}"/>
    <cellStyle name="Percent 2 2" xfId="89" xr:uid="{00000000-0005-0000-0000-000057000000}"/>
    <cellStyle name="Percent 2 3" xfId="143" xr:uid="{AFA2FB63-E006-421C-ABDE-764C6528047A}"/>
    <cellStyle name="Percent 3" xfId="90" xr:uid="{00000000-0005-0000-0000-000058000000}"/>
    <cellStyle name="Percent 3 2" xfId="91" xr:uid="{00000000-0005-0000-0000-000059000000}"/>
    <cellStyle name="Percent 4" xfId="92" xr:uid="{00000000-0005-0000-0000-00005A000000}"/>
    <cellStyle name="Percent 4 2" xfId="5" xr:uid="{00000000-0005-0000-0000-00005B000000}"/>
    <cellStyle name="Percent 5" xfId="93" xr:uid="{00000000-0005-0000-0000-00005C000000}"/>
    <cellStyle name="Percent 6" xfId="94" xr:uid="{00000000-0005-0000-0000-00005D000000}"/>
    <cellStyle name="Percent 7" xfId="6" xr:uid="{00000000-0005-0000-0000-00005E000000}"/>
    <cellStyle name="PS_Comma" xfId="95" xr:uid="{00000000-0005-0000-0000-00005F000000}"/>
    <cellStyle name="PSChar" xfId="96" xr:uid="{00000000-0005-0000-0000-000060000000}"/>
    <cellStyle name="PSDate" xfId="97" xr:uid="{00000000-0005-0000-0000-000061000000}"/>
    <cellStyle name="PSDec" xfId="98" xr:uid="{00000000-0005-0000-0000-000062000000}"/>
    <cellStyle name="PSHeading" xfId="99" xr:uid="{00000000-0005-0000-0000-000063000000}"/>
    <cellStyle name="PSHeading 2" xfId="100" xr:uid="{00000000-0005-0000-0000-000064000000}"/>
    <cellStyle name="PSInt" xfId="101" xr:uid="{00000000-0005-0000-0000-000065000000}"/>
    <cellStyle name="PSSpacer" xfId="102" xr:uid="{00000000-0005-0000-0000-000066000000}"/>
    <cellStyle name="R00A" xfId="103" xr:uid="{00000000-0005-0000-0000-000067000000}"/>
    <cellStyle name="R00B" xfId="104" xr:uid="{00000000-0005-0000-0000-000068000000}"/>
    <cellStyle name="R00L" xfId="105" xr:uid="{00000000-0005-0000-0000-000069000000}"/>
    <cellStyle name="R01A" xfId="106" xr:uid="{00000000-0005-0000-0000-00006A000000}"/>
    <cellStyle name="R01B" xfId="107" xr:uid="{00000000-0005-0000-0000-00006B000000}"/>
    <cellStyle name="R01H" xfId="108" xr:uid="{00000000-0005-0000-0000-00006C000000}"/>
    <cellStyle name="R01L" xfId="109" xr:uid="{00000000-0005-0000-0000-00006D000000}"/>
    <cellStyle name="R02A" xfId="110" xr:uid="{00000000-0005-0000-0000-00006E000000}"/>
    <cellStyle name="R02B" xfId="111" xr:uid="{00000000-0005-0000-0000-00006F000000}"/>
    <cellStyle name="R02H" xfId="112" xr:uid="{00000000-0005-0000-0000-000070000000}"/>
    <cellStyle name="R02L" xfId="113" xr:uid="{00000000-0005-0000-0000-000071000000}"/>
    <cellStyle name="R03A" xfId="114" xr:uid="{00000000-0005-0000-0000-000072000000}"/>
    <cellStyle name="R03B" xfId="115" xr:uid="{00000000-0005-0000-0000-000073000000}"/>
    <cellStyle name="R03H" xfId="116" xr:uid="{00000000-0005-0000-0000-000074000000}"/>
    <cellStyle name="R03L" xfId="117" xr:uid="{00000000-0005-0000-0000-000075000000}"/>
    <cellStyle name="R04A" xfId="118" xr:uid="{00000000-0005-0000-0000-000076000000}"/>
    <cellStyle name="R04B" xfId="119" xr:uid="{00000000-0005-0000-0000-000077000000}"/>
    <cellStyle name="R04H" xfId="120" xr:uid="{00000000-0005-0000-0000-000078000000}"/>
    <cellStyle name="R04L" xfId="121" xr:uid="{00000000-0005-0000-0000-000079000000}"/>
    <cellStyle name="R05A" xfId="122" xr:uid="{00000000-0005-0000-0000-00007A000000}"/>
    <cellStyle name="R05B" xfId="123" xr:uid="{00000000-0005-0000-0000-00007B000000}"/>
    <cellStyle name="R05H" xfId="124" xr:uid="{00000000-0005-0000-0000-00007C000000}"/>
    <cellStyle name="R05L" xfId="125" xr:uid="{00000000-0005-0000-0000-00007D000000}"/>
    <cellStyle name="R06A" xfId="126" xr:uid="{00000000-0005-0000-0000-00007E000000}"/>
    <cellStyle name="R06B" xfId="127" xr:uid="{00000000-0005-0000-0000-00007F000000}"/>
    <cellStyle name="R06H" xfId="128" xr:uid="{00000000-0005-0000-0000-000080000000}"/>
    <cellStyle name="R06L" xfId="129" xr:uid="{00000000-0005-0000-0000-000081000000}"/>
    <cellStyle name="R07A" xfId="130" xr:uid="{00000000-0005-0000-0000-000082000000}"/>
    <cellStyle name="R07B" xfId="131" xr:uid="{00000000-0005-0000-0000-000083000000}"/>
    <cellStyle name="R07H" xfId="132" xr:uid="{00000000-0005-0000-0000-000084000000}"/>
    <cellStyle name="R07L" xfId="133" xr:uid="{00000000-0005-0000-0000-000085000000}"/>
    <cellStyle name="STYLE1" xfId="134" xr:uid="{00000000-0005-0000-0000-000086000000}"/>
    <cellStyle name="test" xfId="135" xr:uid="{00000000-0005-0000-0000-000087000000}"/>
    <cellStyle name="WM_STANDARD" xfId="136" xr:uid="{00000000-0005-0000-0000-000088000000}"/>
    <cellStyle name="WMI_Default" xfId="137" xr:uid="{00000000-0005-0000-0000-00008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0.xml"/><Relationship Id="rId41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171450</xdr:rowOff>
        </xdr:from>
        <xdr:to>
          <xdr:col>2</xdr:col>
          <xdr:colOff>361950</xdr:colOff>
          <xdr:row>16</xdr:row>
          <xdr:rowOff>19050</xdr:rowOff>
        </xdr:to>
        <xdr:sp macro="" textlink="">
          <xdr:nvSpPr>
            <xdr:cNvPr id="9217" name="Check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1</xdr:row>
          <xdr:rowOff>228600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1</xdr:row>
          <xdr:rowOff>228600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hris%20M\Solid%20Waste\San%20Juan%20Sanitation%20Co\Year%202010\Staff\San%20Juan%20Sanitation\WUTC\SJS%20Income%20State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een%20LeeAnne\Downloads\Lee%20Lambl%20Profit%20and%20Loss%20LG%20-%2010-6-2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hris%20M\Solid%20Waste\San%20Juan%20Sanitation%20Co\Year%202010\Staff\W_COMP\Rosario\2007%20rate%20case\Worksheets\070944%20Loan%20Recalcul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hris%20M\Solid%20Waste\Waste%20Management\Sno-King\Year%202009\TG-091933\Staff\TG-091933%20WM%20of%20SnoKing%20GRC%20(Workpape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9">
          <cell r="E19">
            <v>68118.76999999999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2a"/>
      <sheetName val="Pro Forma Income Statement"/>
      <sheetName val="Sheet5"/>
      <sheetName val="Balance Sheet"/>
      <sheetName val="Fixed Assets"/>
      <sheetName val="Price Out v3"/>
      <sheetName val="Price Out"/>
      <sheetName val="Price Out V2"/>
      <sheetName val="References"/>
      <sheetName val="Staff Calcs"/>
    </sheetNames>
    <sheetDataSet>
      <sheetData sheetId="0">
        <row r="22">
          <cell r="K22">
            <v>0.36344186653221389</v>
          </cell>
        </row>
        <row r="55">
          <cell r="X55">
            <v>5.7225999999999999</v>
          </cell>
          <cell r="Z55">
            <v>5.6985000000000001</v>
          </cell>
        </row>
        <row r="56">
          <cell r="X56">
            <v>5.7082699999999997</v>
          </cell>
          <cell r="Z56">
            <v>5.6921999999999997</v>
          </cell>
        </row>
        <row r="58">
          <cell r="Y58">
            <v>0.68367</v>
          </cell>
        </row>
      </sheetData>
      <sheetData sheetId="1">
        <row r="8">
          <cell r="G8">
            <v>42025</v>
          </cell>
        </row>
      </sheetData>
      <sheetData sheetId="2" refreshError="1"/>
      <sheetData sheetId="3" refreshError="1"/>
      <sheetData sheetId="4">
        <row r="11">
          <cell r="H11">
            <v>6075.27</v>
          </cell>
        </row>
      </sheetData>
      <sheetData sheetId="5" refreshError="1"/>
      <sheetData sheetId="6">
        <row r="6">
          <cell r="E6">
            <v>37.15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>
        <row r="1">
          <cell r="A1" t="str">
            <v>Waste Management of Ellensburg</v>
          </cell>
        </row>
      </sheetData>
      <sheetData sheetId="22">
        <row r="1">
          <cell r="A1" t="str">
            <v>Waste Management of Ellensburg</v>
          </cell>
        </row>
      </sheetData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>
        <row r="4">
          <cell r="DE4" t="str">
            <v>01815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6A59-E9D0-4197-8D36-362E17D844CE}">
  <sheetPr codeName="Sheet2"/>
  <dimension ref="A1:AT113"/>
  <sheetViews>
    <sheetView showGridLines="0" showOutlineSymbols="0" zoomScale="120" zoomScaleNormal="120" workbookViewId="0">
      <selection activeCell="B15" sqref="B15:C15"/>
    </sheetView>
  </sheetViews>
  <sheetFormatPr defaultColWidth="16.7109375" defaultRowHeight="15"/>
  <cols>
    <col min="1" max="1" width="4.85546875" style="367" customWidth="1"/>
    <col min="2" max="2" width="33.5703125" style="544" bestFit="1" customWidth="1"/>
    <col min="3" max="3" width="21.28515625" style="544" customWidth="1"/>
    <col min="4" max="4" width="21.28515625" style="544" hidden="1" customWidth="1"/>
    <col min="5" max="5" width="7.28515625" style="544" customWidth="1"/>
    <col min="6" max="6" width="5.7109375" style="367" customWidth="1"/>
    <col min="7" max="7" width="8.5703125" style="367" customWidth="1"/>
    <col min="8" max="8" width="15" style="367" customWidth="1"/>
    <col min="9" max="9" width="17.7109375" style="367" customWidth="1"/>
    <col min="10" max="10" width="13.28515625" style="367" customWidth="1"/>
    <col min="11" max="11" width="15.140625" style="367" bestFit="1" customWidth="1"/>
    <col min="12" max="13" width="18.42578125" style="367" customWidth="1"/>
    <col min="14" max="14" width="6.140625" style="367" customWidth="1"/>
    <col min="15" max="15" width="6.28515625" style="544" customWidth="1"/>
    <col min="16" max="16" width="40.42578125" style="544" customWidth="1"/>
    <col min="17" max="17" width="16.7109375" style="368"/>
    <col min="18" max="18" width="13.85546875" style="375" customWidth="1"/>
    <col min="19" max="19" width="16.7109375" style="367"/>
    <col min="20" max="20" width="13.42578125" style="367" customWidth="1"/>
    <col min="21" max="21" width="15.7109375" style="367" customWidth="1"/>
    <col min="22" max="22" width="16.7109375" style="367"/>
    <col min="23" max="24" width="17.7109375" style="367" customWidth="1"/>
    <col min="25" max="25" width="16" style="367" customWidth="1"/>
    <col min="26" max="26" width="16.7109375" style="367"/>
    <col min="27" max="27" width="15.85546875" style="367" customWidth="1"/>
    <col min="28" max="29" width="16.7109375" style="367"/>
    <col min="30" max="30" width="16.42578125" style="367" customWidth="1"/>
    <col min="31" max="31" width="17.28515625" style="367" customWidth="1"/>
    <col min="32" max="32" width="20.7109375" style="367" customWidth="1"/>
    <col min="33" max="33" width="18.140625" style="367" customWidth="1"/>
    <col min="34" max="34" width="16.42578125" style="367" customWidth="1"/>
    <col min="35" max="35" width="16.7109375" style="367"/>
    <col min="36" max="36" width="13.85546875" style="367" customWidth="1"/>
    <col min="37" max="37" width="16.42578125" style="367" customWidth="1"/>
    <col min="38" max="49" width="15.140625" style="367" customWidth="1"/>
    <col min="50" max="16384" width="16.7109375" style="367"/>
  </cols>
  <sheetData>
    <row r="1" spans="1:35" s="363" customFormat="1" ht="15.75" thickBot="1">
      <c r="A1" s="358"/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  <c r="N1" s="360"/>
      <c r="O1" s="359"/>
      <c r="P1" s="359"/>
      <c r="Q1" s="361"/>
      <c r="R1" s="362"/>
    </row>
    <row r="2" spans="1:35" ht="19.5" thickBot="1">
      <c r="A2" s="358"/>
      <c r="B2" s="580" t="s">
        <v>235</v>
      </c>
      <c r="C2" s="580"/>
      <c r="D2" s="358"/>
      <c r="E2" s="358"/>
      <c r="F2" s="364" t="s">
        <v>236</v>
      </c>
      <c r="G2" s="365"/>
      <c r="H2" s="365"/>
      <c r="I2" s="366" t="s">
        <v>237</v>
      </c>
      <c r="J2" s="365"/>
      <c r="K2" s="365"/>
      <c r="L2" s="365"/>
      <c r="M2" s="364" t="s">
        <v>236</v>
      </c>
      <c r="O2" s="358"/>
      <c r="P2" s="358"/>
      <c r="R2" s="369" t="s">
        <v>238</v>
      </c>
      <c r="S2" s="370"/>
      <c r="T2" s="371"/>
      <c r="AF2" s="581" t="s">
        <v>239</v>
      </c>
      <c r="AG2" s="582"/>
      <c r="AH2" s="582"/>
      <c r="AI2" s="583"/>
    </row>
    <row r="3" spans="1:35" ht="15.75">
      <c r="A3" s="358"/>
      <c r="B3" s="358"/>
      <c r="C3" s="358"/>
      <c r="D3" s="358"/>
      <c r="E3" s="358"/>
      <c r="F3" s="372"/>
      <c r="G3" s="373"/>
      <c r="K3" s="374" t="s">
        <v>240</v>
      </c>
      <c r="M3" s="374" t="s">
        <v>241</v>
      </c>
      <c r="O3" s="358"/>
      <c r="P3" s="358"/>
      <c r="R3" s="367"/>
      <c r="T3" s="367" t="s">
        <v>242</v>
      </c>
      <c r="V3" s="375" t="s">
        <v>242</v>
      </c>
      <c r="W3" s="375" t="s">
        <v>242</v>
      </c>
      <c r="X3" s="375" t="s">
        <v>242</v>
      </c>
      <c r="Y3" s="375" t="s">
        <v>243</v>
      </c>
      <c r="Z3" s="375" t="s">
        <v>243</v>
      </c>
      <c r="AA3" s="375" t="s">
        <v>243</v>
      </c>
      <c r="AB3" s="375" t="s">
        <v>243</v>
      </c>
      <c r="AC3" s="375" t="s">
        <v>243</v>
      </c>
      <c r="AD3" s="375" t="s">
        <v>243</v>
      </c>
      <c r="AE3" s="375" t="s">
        <v>244</v>
      </c>
      <c r="AF3" s="375" t="s">
        <v>245</v>
      </c>
      <c r="AG3" s="375" t="s">
        <v>246</v>
      </c>
      <c r="AH3" s="375"/>
    </row>
    <row r="4" spans="1:35" ht="19.5" thickBot="1">
      <c r="A4" s="358"/>
      <c r="B4" s="376" t="s">
        <v>247</v>
      </c>
      <c r="C4" s="377"/>
      <c r="D4" s="378"/>
      <c r="E4" s="358"/>
      <c r="F4" s="379"/>
      <c r="G4" s="373"/>
      <c r="H4" s="380" t="s">
        <v>248</v>
      </c>
      <c r="I4" s="380" t="s">
        <v>249</v>
      </c>
      <c r="J4" s="380" t="s">
        <v>250</v>
      </c>
      <c r="K4" s="380" t="s">
        <v>251</v>
      </c>
      <c r="L4" s="380" t="s">
        <v>252</v>
      </c>
      <c r="M4" s="380" t="s">
        <v>253</v>
      </c>
      <c r="O4" s="381"/>
      <c r="P4" s="358"/>
      <c r="R4" s="367"/>
      <c r="T4" s="375" t="s">
        <v>254</v>
      </c>
      <c r="V4" s="375" t="s">
        <v>255</v>
      </c>
      <c r="W4" s="375" t="s">
        <v>256</v>
      </c>
      <c r="X4" s="375" t="s">
        <v>257</v>
      </c>
      <c r="Y4" s="375" t="s">
        <v>258</v>
      </c>
      <c r="Z4" s="375" t="s">
        <v>258</v>
      </c>
      <c r="AA4" s="375" t="s">
        <v>258</v>
      </c>
      <c r="AB4" s="375" t="s">
        <v>256</v>
      </c>
      <c r="AC4" s="375" t="s">
        <v>254</v>
      </c>
      <c r="AD4" s="375" t="s">
        <v>254</v>
      </c>
      <c r="AE4" s="375" t="s">
        <v>259</v>
      </c>
      <c r="AF4" s="375" t="s">
        <v>260</v>
      </c>
      <c r="AG4" s="375" t="s">
        <v>261</v>
      </c>
      <c r="AH4" s="375" t="s">
        <v>262</v>
      </c>
      <c r="AI4" s="375" t="s">
        <v>263</v>
      </c>
    </row>
    <row r="5" spans="1:35" ht="15.75">
      <c r="A5" s="358"/>
      <c r="B5" s="382" t="s">
        <v>264</v>
      </c>
      <c r="C5" s="383">
        <f>'Pro Forma Income Statement'!J9</f>
        <v>42233.51</v>
      </c>
      <c r="D5" s="378"/>
      <c r="E5" s="358"/>
      <c r="F5" s="384" t="s">
        <v>265</v>
      </c>
      <c r="G5" s="385"/>
      <c r="H5" s="385"/>
      <c r="I5" s="380" t="s">
        <v>266</v>
      </c>
      <c r="J5" s="380" t="s">
        <v>245</v>
      </c>
      <c r="K5" s="386" t="s">
        <v>267</v>
      </c>
      <c r="L5" s="386" t="s">
        <v>268</v>
      </c>
      <c r="M5" s="386" t="s">
        <v>245</v>
      </c>
      <c r="O5" s="387"/>
      <c r="P5" s="358"/>
      <c r="R5" s="388"/>
      <c r="T5" s="375" t="s">
        <v>269</v>
      </c>
      <c r="U5" s="375" t="s">
        <v>270</v>
      </c>
      <c r="V5" s="375" t="s">
        <v>271</v>
      </c>
      <c r="W5" s="375" t="s">
        <v>272</v>
      </c>
      <c r="X5" s="375" t="s">
        <v>273</v>
      </c>
      <c r="Y5" s="375" t="s">
        <v>274</v>
      </c>
      <c r="Z5" s="375" t="s">
        <v>275</v>
      </c>
      <c r="AA5" s="375" t="s">
        <v>276</v>
      </c>
      <c r="AB5" s="375" t="s">
        <v>277</v>
      </c>
      <c r="AC5" s="375" t="s">
        <v>269</v>
      </c>
      <c r="AD5" s="375" t="s">
        <v>278</v>
      </c>
      <c r="AE5" s="375" t="s">
        <v>279</v>
      </c>
      <c r="AF5" s="375" t="s">
        <v>280</v>
      </c>
      <c r="AG5" s="375" t="s">
        <v>280</v>
      </c>
      <c r="AH5" s="375" t="s">
        <v>279</v>
      </c>
      <c r="AI5" s="375" t="s">
        <v>244</v>
      </c>
    </row>
    <row r="6" spans="1:35" ht="15.75">
      <c r="A6" s="358"/>
      <c r="B6" s="382" t="s">
        <v>281</v>
      </c>
      <c r="C6" s="389">
        <f>'Pro Forma Income Statement'!J32</f>
        <v>53514.369999999995</v>
      </c>
      <c r="D6" s="378"/>
      <c r="E6" s="358"/>
      <c r="F6" s="390" t="s">
        <v>282</v>
      </c>
      <c r="G6" s="385"/>
      <c r="H6" s="385"/>
      <c r="I6" s="391"/>
      <c r="J6" s="392" t="s">
        <v>283</v>
      </c>
      <c r="K6" s="393"/>
      <c r="L6" s="392" t="s">
        <v>284</v>
      </c>
      <c r="M6" s="392" t="s">
        <v>285</v>
      </c>
      <c r="O6" s="387"/>
      <c r="P6" s="358"/>
      <c r="R6" s="394">
        <v>1</v>
      </c>
      <c r="S6" s="395">
        <f>Revenue/Investment*100</f>
        <v>262.01105777164565</v>
      </c>
      <c r="T6" s="396">
        <f>EXP(y_inter1-(slope*LN(+S6)))</f>
        <v>6.7914268490722041</v>
      </c>
      <c r="U6" s="397">
        <f>(+S6*T6/100)/100</f>
        <v>0.17794289325041629</v>
      </c>
      <c r="V6" s="397">
        <f>regDebt_weighted</f>
        <v>3.5860000000000003E-2</v>
      </c>
      <c r="W6" s="397">
        <f>+U6-V6</f>
        <v>0.14208289325041629</v>
      </c>
      <c r="X6" s="397">
        <f>+((W6*(1-0.34))-Pfd_weighted)/Equity_percent</f>
        <v>0.25460671379440331</v>
      </c>
      <c r="Y6" s="397">
        <f>X6*equityP</f>
        <v>0.15276402827664198</v>
      </c>
      <c r="Z6" s="397">
        <f>+Y6/(1-taxrate)</f>
        <v>0.19337218769195186</v>
      </c>
      <c r="AA6" s="397">
        <f>debtP*Debt_Rate</f>
        <v>2.0000000000000004E-2</v>
      </c>
      <c r="AB6" s="397">
        <f>AA6+Z6</f>
        <v>0.21337218769195188</v>
      </c>
      <c r="AC6" s="397">
        <f>AB6/(S6/100)</f>
        <v>8.1436329255200862E-2</v>
      </c>
      <c r="AD6" s="397">
        <f>1-AC6</f>
        <v>0.91856367074479917</v>
      </c>
      <c r="AE6" s="398">
        <f>expenses/(AD6)</f>
        <v>58258.748635909942</v>
      </c>
      <c r="AF6" s="399">
        <f>+AE6-Revenue</f>
        <v>16025.23863590994</v>
      </c>
      <c r="AG6" s="400">
        <f ca="1">+AF6/$J$49</f>
        <v>17514.416552750929</v>
      </c>
      <c r="AH6" s="400">
        <f ca="1">+AG6*$J$47</f>
        <v>352.03977271029368</v>
      </c>
      <c r="AI6" s="398">
        <f ca="1">ROUND(+AH6+AE6,5)</f>
        <v>58610.788410000001</v>
      </c>
    </row>
    <row r="7" spans="1:35" ht="15.75">
      <c r="A7" s="358"/>
      <c r="B7" s="382" t="s">
        <v>286</v>
      </c>
      <c r="C7" s="389">
        <f>'Fixed Assets'!K11</f>
        <v>16118.98</v>
      </c>
      <c r="D7" s="378"/>
      <c r="E7" s="358"/>
      <c r="F7" s="401">
        <v>1</v>
      </c>
      <c r="G7" s="385"/>
      <c r="H7" s="402" t="s">
        <v>264</v>
      </c>
      <c r="I7" s="403">
        <f>IF(A65=TRUE,C5,0)</f>
        <v>42233.51</v>
      </c>
      <c r="J7" s="403">
        <f ca="1">(+$I8/($R51))-I7</f>
        <v>15019.480264255908</v>
      </c>
      <c r="K7" s="403">
        <f ca="1">+I7+J7</f>
        <v>57252.99026425591</v>
      </c>
      <c r="L7" s="403">
        <f ca="1">((+J7/J49*K35)-J7)</f>
        <v>329.94544035101353</v>
      </c>
      <c r="M7" s="403">
        <f ca="1">IFERROR(+K7+L7,0.00001)</f>
        <v>57582.93570460692</v>
      </c>
      <c r="O7" s="387"/>
      <c r="P7" s="358"/>
      <c r="R7" s="404">
        <v>2</v>
      </c>
      <c r="S7" s="405">
        <f>Revenue/Investment*100</f>
        <v>262.01105777164565</v>
      </c>
      <c r="T7" s="406">
        <f>EXP(y_inter1-(slope*LN(+S7)))</f>
        <v>6.7914268490722041</v>
      </c>
      <c r="U7" s="407">
        <f>(+S7*T7/100)/100</f>
        <v>0.17794289325041629</v>
      </c>
      <c r="V7" s="407">
        <f>regDebt_weighted</f>
        <v>3.5860000000000003E-2</v>
      </c>
      <c r="W7" s="407">
        <f>+U7-V7</f>
        <v>0.14208289325041629</v>
      </c>
      <c r="X7" s="407">
        <f>+((W7*(1-0.34))-Pfd_weighted)/Equity_percent</f>
        <v>0.25460671379440331</v>
      </c>
      <c r="Y7" s="407">
        <f>X7*equityP</f>
        <v>0.15276402827664198</v>
      </c>
      <c r="Z7" s="407">
        <f>+Y7/(1-taxrate)</f>
        <v>0.19337218769195186</v>
      </c>
      <c r="AA7" s="407">
        <f>debtP*Debt_Rate</f>
        <v>2.0000000000000004E-2</v>
      </c>
      <c r="AB7" s="407">
        <f>AA7+Z7</f>
        <v>0.21337218769195188</v>
      </c>
      <c r="AC7" s="407">
        <f>AB7/(S7/100)</f>
        <v>8.1436329255200862E-2</v>
      </c>
      <c r="AD7" s="407">
        <f>1-AC7</f>
        <v>0.91856367074479917</v>
      </c>
      <c r="AE7" s="408">
        <f>expenses/(AD7)</f>
        <v>58258.748635909942</v>
      </c>
      <c r="AF7" s="409">
        <f>+AE7-Revenue</f>
        <v>16025.23863590994</v>
      </c>
      <c r="AG7" s="410">
        <f ca="1">+AF7/$J$49</f>
        <v>17514.416552750929</v>
      </c>
      <c r="AH7" s="410">
        <f ca="1">+AG7*$J$47</f>
        <v>352.03977271029368</v>
      </c>
      <c r="AI7" s="408">
        <f ca="1">ROUND(+AH7+AE7,5)</f>
        <v>58610.788410000001</v>
      </c>
    </row>
    <row r="8" spans="1:35" ht="15.75">
      <c r="A8" s="358"/>
      <c r="B8" s="382" t="s">
        <v>287</v>
      </c>
      <c r="C8" s="411">
        <v>0.4</v>
      </c>
      <c r="D8" s="378"/>
      <c r="E8" s="358"/>
      <c r="F8" s="412">
        <f t="shared" ref="F8:F49" si="0">+F7+1</f>
        <v>2</v>
      </c>
      <c r="G8" s="385"/>
      <c r="H8" s="402" t="s">
        <v>281</v>
      </c>
      <c r="I8" s="403">
        <f>IF(A65=TRUE,C6,0)</f>
        <v>53514.369999999995</v>
      </c>
      <c r="J8" s="373"/>
      <c r="K8" s="403">
        <f>+I8</f>
        <v>53514.369999999995</v>
      </c>
      <c r="L8" s="403">
        <f ca="1">+L7</f>
        <v>329.94544035101353</v>
      </c>
      <c r="M8" s="403">
        <f ca="1">IFERROR(+K8+L8,0.00001)</f>
        <v>53844.315440351013</v>
      </c>
      <c r="O8" s="387"/>
      <c r="P8" s="358"/>
      <c r="R8" s="413">
        <v>3</v>
      </c>
      <c r="S8" s="405">
        <f>Revenue/Investment*100</f>
        <v>262.01105777164565</v>
      </c>
      <c r="T8" s="406">
        <f>EXP(y_inter1-(slope*LN(+S8)))</f>
        <v>6.7914268490722041</v>
      </c>
      <c r="U8" s="407">
        <f>(+S8*T8/100)/100</f>
        <v>0.17794289325041629</v>
      </c>
      <c r="V8" s="407">
        <f>regDebt_weighted</f>
        <v>3.5860000000000003E-2</v>
      </c>
      <c r="W8" s="407">
        <f>+U8-V8</f>
        <v>0.14208289325041629</v>
      </c>
      <c r="X8" s="407">
        <f>+((W8*(1-0.34))-Pfd_weighted)/Equity_percent</f>
        <v>0.25460671379440331</v>
      </c>
      <c r="Y8" s="407">
        <f>X8*equityP</f>
        <v>0.15276402827664198</v>
      </c>
      <c r="Z8" s="407">
        <f>+Y8/(1-taxrate)</f>
        <v>0.19337218769195186</v>
      </c>
      <c r="AA8" s="407">
        <f>debtP*Debt_Rate</f>
        <v>2.0000000000000004E-2</v>
      </c>
      <c r="AB8" s="407">
        <f>AA8+Z8</f>
        <v>0.21337218769195188</v>
      </c>
      <c r="AC8" s="407">
        <f>AB8/(S8/100)</f>
        <v>8.1436329255200862E-2</v>
      </c>
      <c r="AD8" s="407">
        <f>1-AC8</f>
        <v>0.91856367074479917</v>
      </c>
      <c r="AE8" s="408">
        <f>expenses/(AD8)</f>
        <v>58258.748635909942</v>
      </c>
      <c r="AF8" s="409">
        <f>+AE8-Revenue</f>
        <v>16025.23863590994</v>
      </c>
      <c r="AG8" s="410">
        <f ca="1">+AF8/$J$49</f>
        <v>17514.416552750929</v>
      </c>
      <c r="AH8" s="410">
        <f ca="1">+AG8*$J$47</f>
        <v>352.03977271029368</v>
      </c>
      <c r="AI8" s="408">
        <f ca="1">ROUND(+AH8+AE8,5)</f>
        <v>58610.788410000001</v>
      </c>
    </row>
    <row r="9" spans="1:35" ht="15.75">
      <c r="A9" s="358"/>
      <c r="B9" s="382" t="s">
        <v>288</v>
      </c>
      <c r="C9" s="411">
        <v>0.05</v>
      </c>
      <c r="D9" s="378"/>
      <c r="E9" s="358"/>
      <c r="F9" s="412">
        <f t="shared" si="0"/>
        <v>3</v>
      </c>
      <c r="G9" s="385"/>
      <c r="H9" s="402" t="s">
        <v>289</v>
      </c>
      <c r="I9" s="414">
        <f>+I7-I8</f>
        <v>-11280.859999999993</v>
      </c>
      <c r="J9" s="373"/>
      <c r="K9" s="414">
        <f ca="1">+K7-K8</f>
        <v>3738.6202642559147</v>
      </c>
      <c r="L9" s="385"/>
      <c r="M9" s="415">
        <f ca="1">+M7-M8</f>
        <v>3738.6202642559074</v>
      </c>
      <c r="O9" s="387"/>
      <c r="P9" s="358"/>
      <c r="R9" s="416">
        <v>4</v>
      </c>
      <c r="S9" s="405">
        <f>Revenue/Investment*100</f>
        <v>262.01105777164565</v>
      </c>
      <c r="T9" s="406">
        <f>EXP(y_inter1-(slope*LN(+S9)))</f>
        <v>6.7914268490722041</v>
      </c>
      <c r="U9" s="407">
        <f>(+S9*T9/100)/100</f>
        <v>0.17794289325041629</v>
      </c>
      <c r="V9" s="407">
        <f>regDebt_weighted</f>
        <v>3.5860000000000003E-2</v>
      </c>
      <c r="W9" s="407">
        <f>+U9-V9</f>
        <v>0.14208289325041629</v>
      </c>
      <c r="X9" s="407">
        <f>+((W9*(1-0.34))-Pfd_weighted)/Equity_percent</f>
        <v>0.25460671379440331</v>
      </c>
      <c r="Y9" s="407">
        <f>X9*equityP</f>
        <v>0.15276402827664198</v>
      </c>
      <c r="Z9" s="407">
        <f>+Y9/(1-taxrate)</f>
        <v>0.19337218769195186</v>
      </c>
      <c r="AA9" s="407">
        <f>debtP*Debt_Rate</f>
        <v>2.0000000000000004E-2</v>
      </c>
      <c r="AB9" s="407">
        <f>AA9+Z9</f>
        <v>0.21337218769195188</v>
      </c>
      <c r="AC9" s="407">
        <f>AB9/(S9/100)</f>
        <v>8.1436329255200862E-2</v>
      </c>
      <c r="AD9" s="407">
        <f>1-AC9</f>
        <v>0.91856367074479917</v>
      </c>
      <c r="AE9" s="408">
        <f>expenses/(AD9)</f>
        <v>58258.748635909942</v>
      </c>
      <c r="AF9" s="409">
        <f>+AE9-Revenue</f>
        <v>16025.23863590994</v>
      </c>
      <c r="AG9" s="410">
        <f ca="1">+AF9/$J$49</f>
        <v>17514.416552750929</v>
      </c>
      <c r="AH9" s="410">
        <f ca="1">+AG9*$J$47</f>
        <v>352.03977271029368</v>
      </c>
      <c r="AI9" s="408">
        <f ca="1">ROUND(+AH9+AE9,5)</f>
        <v>58610.788410000001</v>
      </c>
    </row>
    <row r="10" spans="1:35" ht="15.75">
      <c r="A10" s="358"/>
      <c r="B10" s="417" t="s">
        <v>290</v>
      </c>
      <c r="C10" s="411">
        <v>0.21</v>
      </c>
      <c r="D10" s="378"/>
      <c r="E10" s="358"/>
      <c r="F10" s="412">
        <f t="shared" si="0"/>
        <v>4</v>
      </c>
      <c r="G10" s="385"/>
      <c r="H10" s="385"/>
      <c r="I10" s="373"/>
      <c r="J10" s="373"/>
      <c r="K10" s="403"/>
      <c r="L10" s="385"/>
      <c r="M10" s="385"/>
      <c r="N10" s="385"/>
      <c r="O10" s="387"/>
      <c r="P10" s="358"/>
      <c r="R10" s="375" t="s">
        <v>291</v>
      </c>
    </row>
    <row r="11" spans="1:35" ht="15.75">
      <c r="A11" s="358"/>
      <c r="B11" s="382" t="s">
        <v>292</v>
      </c>
      <c r="C11" s="418">
        <v>1.4999999999999999E-2</v>
      </c>
      <c r="D11" s="378"/>
      <c r="E11" s="358"/>
      <c r="F11" s="412">
        <f t="shared" si="0"/>
        <v>5</v>
      </c>
      <c r="G11" s="385"/>
      <c r="H11" s="402" t="s">
        <v>293</v>
      </c>
      <c r="I11" s="403">
        <f>+K11</f>
        <v>322.37960000000004</v>
      </c>
      <c r="J11" s="373"/>
      <c r="K11" s="403">
        <f>+M27</f>
        <v>322.37960000000004</v>
      </c>
      <c r="L11" s="385"/>
      <c r="M11" s="403">
        <f>+K11</f>
        <v>322.37960000000004</v>
      </c>
      <c r="O11" s="387"/>
      <c r="P11" s="358"/>
      <c r="R11" s="394">
        <v>1</v>
      </c>
      <c r="S11" s="395">
        <f ca="1">IF((AI6/Investment*100)&gt;0,(AI6/Investment*100),0)</f>
        <v>363.61350662386826</v>
      </c>
      <c r="T11" s="396">
        <f ca="1">EXP(y_inter1-(slope*LN(S11)))</f>
        <v>5.4282625933492437</v>
      </c>
      <c r="U11" s="397">
        <f ca="1">(+S11*T11/100)/100</f>
        <v>0.19737895964428914</v>
      </c>
      <c r="V11" s="397">
        <f>regDebt_weighted</f>
        <v>3.5860000000000003E-2</v>
      </c>
      <c r="W11" s="397">
        <f ca="1">+U11-V11</f>
        <v>0.16151895964428914</v>
      </c>
      <c r="X11" s="397">
        <f ca="1">+((W11*(1-0.34))-Pfd_weighted)/Equity_percent</f>
        <v>0.29189684117799658</v>
      </c>
      <c r="Y11" s="397">
        <f ca="1">+X11*equityP</f>
        <v>0.17513810470679794</v>
      </c>
      <c r="Z11" s="397">
        <f ca="1">+Y11/(1-taxrate)</f>
        <v>0.2216938034263265</v>
      </c>
      <c r="AA11" s="397">
        <f>debtP*Debt_Rate</f>
        <v>2.0000000000000004E-2</v>
      </c>
      <c r="AB11" s="397">
        <f ca="1">+AA11+Z11</f>
        <v>0.24169380342632651</v>
      </c>
      <c r="AC11" s="397">
        <f ca="1">+AB11/(S11/100)</f>
        <v>6.6469974031064027E-2</v>
      </c>
      <c r="AD11" s="397">
        <f ca="1">1-AC11</f>
        <v>0.93353002596893597</v>
      </c>
      <c r="AE11" s="398">
        <f ca="1">expenses/(AD11)</f>
        <v>57324.744262463319</v>
      </c>
      <c r="AF11" s="399">
        <f ca="1">+AE11-Revenue</f>
        <v>15091.234262463317</v>
      </c>
      <c r="AG11" s="400">
        <f ca="1">+AF11/$J$49</f>
        <v>16493.617921897567</v>
      </c>
      <c r="AH11" s="400">
        <f ca="1">+AG11*$J$47</f>
        <v>331.52172023014111</v>
      </c>
      <c r="AI11" s="398">
        <f ca="1">ROUND(+AH11+AE11,5)</f>
        <v>57656.265979999996</v>
      </c>
    </row>
    <row r="12" spans="1:35" ht="15.75">
      <c r="A12" s="358"/>
      <c r="B12" s="382" t="s">
        <v>294</v>
      </c>
      <c r="C12" s="418">
        <v>5.1000000000000004E-3</v>
      </c>
      <c r="D12" s="378"/>
      <c r="E12" s="358"/>
      <c r="F12" s="412">
        <f t="shared" si="0"/>
        <v>6</v>
      </c>
      <c r="G12" s="385"/>
      <c r="H12" s="402" t="s">
        <v>295</v>
      </c>
      <c r="I12" s="403">
        <f ca="1">IF(I14&lt;0,0,+J38*I14)</f>
        <v>0</v>
      </c>
      <c r="J12" s="403">
        <f ca="1">+K12-I12</f>
        <v>717.41053949374202</v>
      </c>
      <c r="K12" s="403">
        <f ca="1">+(K9-K11)*taxrate</f>
        <v>717.41053949374202</v>
      </c>
      <c r="L12" s="385"/>
      <c r="M12" s="403">
        <f ca="1">+K12</f>
        <v>717.41053949374202</v>
      </c>
      <c r="O12" s="387"/>
      <c r="P12" s="358"/>
      <c r="R12" s="404">
        <v>2</v>
      </c>
      <c r="S12" s="405">
        <f ca="1">IF((AI7/Investment*100)&gt;0,(AI7/Investment*100),0)</f>
        <v>363.61350662386826</v>
      </c>
      <c r="T12" s="419">
        <f ca="1">EXP(y_inter2-(slope*LN(+S12)))</f>
        <v>5.3510302815270867</v>
      </c>
      <c r="U12" s="407">
        <f ca="1">(+S12*T12/100)/100</f>
        <v>0.1945706884716569</v>
      </c>
      <c r="V12" s="407">
        <f>regDebt_weighted</f>
        <v>3.5860000000000003E-2</v>
      </c>
      <c r="W12" s="407">
        <f ca="1">+U12-V12</f>
        <v>0.1587106884716569</v>
      </c>
      <c r="X12" s="407">
        <f ca="1">+((W12*(1-0.34))-Pfd_weighted)/Equity_percent</f>
        <v>0.28650887904445799</v>
      </c>
      <c r="Y12" s="407">
        <f ca="1">+X12*equityP</f>
        <v>0.17190532742667478</v>
      </c>
      <c r="Z12" s="407">
        <f ca="1">+Y12/(1-taxrate)</f>
        <v>0.21760168028693008</v>
      </c>
      <c r="AA12" s="407">
        <f>debtP*Debt_Rate</f>
        <v>2.0000000000000004E-2</v>
      </c>
      <c r="AB12" s="407">
        <f ca="1">+AA12+Z12</f>
        <v>0.23760168028693007</v>
      </c>
      <c r="AC12" s="407">
        <f ca="1">+AB12/(S12/100)</f>
        <v>6.5344569428415586E-2</v>
      </c>
      <c r="AD12" s="407">
        <f ca="1">1-AC12</f>
        <v>0.9346554305715844</v>
      </c>
      <c r="AE12" s="408">
        <f ca="1">expenses/(AD12)</f>
        <v>57255.720396631645</v>
      </c>
      <c r="AF12" s="409">
        <f ca="1">+AE12-Revenue</f>
        <v>15022.210396631643</v>
      </c>
      <c r="AG12" s="410">
        <f ca="1">+AF12/$J$49</f>
        <v>16418.179872847351</v>
      </c>
      <c r="AH12" s="410">
        <f ca="1">+AG12*$J$47</f>
        <v>330.00541544423174</v>
      </c>
      <c r="AI12" s="408">
        <f ca="1">ROUND(+AH12+AE12,5)</f>
        <v>57585.725810000004</v>
      </c>
    </row>
    <row r="13" spans="1:35" ht="15.75">
      <c r="A13" s="358"/>
      <c r="B13" s="382" t="s">
        <v>296</v>
      </c>
      <c r="C13" s="418">
        <v>0</v>
      </c>
      <c r="D13" s="378"/>
      <c r="E13" s="358"/>
      <c r="F13" s="412">
        <f t="shared" si="0"/>
        <v>7</v>
      </c>
      <c r="G13" s="385"/>
      <c r="H13" s="385"/>
      <c r="I13" s="373"/>
      <c r="J13" s="373"/>
      <c r="K13" s="403"/>
      <c r="L13" s="385"/>
      <c r="M13" s="385"/>
      <c r="O13" s="387"/>
      <c r="P13" s="358"/>
      <c r="R13" s="413">
        <v>3</v>
      </c>
      <c r="S13" s="405">
        <f ca="1">IF((AI8/Investment*100)&gt;0,(AI8/Investment*100),0)</f>
        <v>363.61350662386826</v>
      </c>
      <c r="T13" s="406">
        <f ca="1">EXP(y_inter3-(slope*LN(S13)))</f>
        <v>5.2990052716772</v>
      </c>
      <c r="U13" s="407">
        <f ca="1">(+S13*T13/100)/100</f>
        <v>0.19267898884529103</v>
      </c>
      <c r="V13" s="407">
        <f>regDebt_weighted</f>
        <v>3.5860000000000003E-2</v>
      </c>
      <c r="W13" s="407">
        <f ca="1">+U13-V13</f>
        <v>0.15681898884529102</v>
      </c>
      <c r="X13" s="407">
        <f ca="1">+((W13*(1-0.34))-Pfd_weighted)/Equity_percent</f>
        <v>0.28287945534270953</v>
      </c>
      <c r="Y13" s="407">
        <f ca="1">+X13*equityP</f>
        <v>0.16972767320562571</v>
      </c>
      <c r="Z13" s="407">
        <f ca="1">+Y13/(1-taxrate)</f>
        <v>0.21484515595648823</v>
      </c>
      <c r="AA13" s="407">
        <f>debtP*Debt_Rate</f>
        <v>2.0000000000000004E-2</v>
      </c>
      <c r="AB13" s="407">
        <f ca="1">+AA13+Z13</f>
        <v>0.23484515595648825</v>
      </c>
      <c r="AC13" s="407">
        <f ca="1">+AB13/(S13/100)</f>
        <v>6.4586477586328642E-2</v>
      </c>
      <c r="AD13" s="407">
        <f ca="1">1-AC13</f>
        <v>0.93541352241367137</v>
      </c>
      <c r="AE13" s="408">
        <f ca="1">expenses/(AD13)</f>
        <v>57209.3183578483</v>
      </c>
      <c r="AF13" s="409">
        <f ca="1">+AE13-Revenue</f>
        <v>14975.808357848298</v>
      </c>
      <c r="AG13" s="410">
        <f ca="1">+AF13/$J$49</f>
        <v>16367.46583016675</v>
      </c>
      <c r="AH13" s="410">
        <f ca="1">+AG13*$J$47</f>
        <v>328.98606318635166</v>
      </c>
      <c r="AI13" s="408">
        <f ca="1">ROUND(+AH13+AE13,5)</f>
        <v>57538.30442</v>
      </c>
    </row>
    <row r="14" spans="1:35" ht="16.5" thickBot="1">
      <c r="A14" s="358"/>
      <c r="B14" s="420" t="s">
        <v>297</v>
      </c>
      <c r="C14" s="418">
        <v>0</v>
      </c>
      <c r="D14" s="378"/>
      <c r="E14" s="358"/>
      <c r="F14" s="412">
        <f t="shared" si="0"/>
        <v>8</v>
      </c>
      <c r="G14" s="385"/>
      <c r="H14" s="385" t="s">
        <v>233</v>
      </c>
      <c r="I14" s="421">
        <f ca="1">+I9-SUM(I11:I13)</f>
        <v>-11603.239599999994</v>
      </c>
      <c r="J14" s="373"/>
      <c r="K14" s="421">
        <f ca="1">+K9-SUM(K11:K13)</f>
        <v>2698.8301247621725</v>
      </c>
      <c r="L14" s="385"/>
      <c r="M14" s="421">
        <f ca="1">+M9-SUM(M11:M13)</f>
        <v>2698.8301247621653</v>
      </c>
      <c r="O14" s="387"/>
      <c r="P14" s="358"/>
      <c r="R14" s="416">
        <v>4</v>
      </c>
      <c r="S14" s="405">
        <f ca="1">IF((AI9/Investment*100)&gt;0,(AI9/Investment*100),0)</f>
        <v>363.61350662386826</v>
      </c>
      <c r="T14" s="422">
        <f ca="1">EXP(y_inter4-(slope*LN(S14)))</f>
        <v>5.2657264767392276</v>
      </c>
      <c r="U14" s="407">
        <f ca="1">(+S14*T14/100)/100</f>
        <v>0.19146892691292977</v>
      </c>
      <c r="V14" s="407">
        <f>regDebt_weighted</f>
        <v>3.5860000000000003E-2</v>
      </c>
      <c r="W14" s="407">
        <f ca="1">+U14-V14</f>
        <v>0.15560892691292977</v>
      </c>
      <c r="X14" s="407">
        <f ca="1">+((W14*(1-0.34))-Pfd_weighted)/Equity_percent</f>
        <v>0.28055782489108616</v>
      </c>
      <c r="Y14" s="407">
        <f ca="1">+X14*equityP</f>
        <v>0.1683346949346517</v>
      </c>
      <c r="Z14" s="407">
        <f ca="1">+Y14/(1-taxrate)</f>
        <v>0.2130818923223439</v>
      </c>
      <c r="AA14" s="407">
        <f>debtP*Debt_Rate</f>
        <v>2.0000000000000004E-2</v>
      </c>
      <c r="AB14" s="407">
        <f ca="1">+AA14+Z14</f>
        <v>0.23308189232234389</v>
      </c>
      <c r="AC14" s="407">
        <f ca="1">+AB14/(S14/100)</f>
        <v>6.4101549605925442E-2</v>
      </c>
      <c r="AD14" s="407">
        <f ca="1">1-AC14</f>
        <v>0.9358984503940746</v>
      </c>
      <c r="AE14" s="408">
        <f ca="1">expenses/(AD14)</f>
        <v>57179.675826439219</v>
      </c>
      <c r="AF14" s="409">
        <f ca="1">+AE14-Revenue</f>
        <v>14946.165826439217</v>
      </c>
      <c r="AG14" s="410">
        <f ca="1">+AF14/$J$49</f>
        <v>16335.068706194237</v>
      </c>
      <c r="AH14" s="410">
        <f ca="1">+AG14*$J$47</f>
        <v>328.33488099450415</v>
      </c>
      <c r="AI14" s="408">
        <f ca="1">ROUND(+AH14+AE14,5)</f>
        <v>57508.010710000002</v>
      </c>
    </row>
    <row r="15" spans="1:35" ht="16.5" thickTop="1">
      <c r="A15" s="358"/>
      <c r="B15" s="584"/>
      <c r="C15" s="584"/>
      <c r="D15" s="358"/>
      <c r="E15" s="358"/>
      <c r="F15" s="412">
        <f t="shared" si="0"/>
        <v>9</v>
      </c>
      <c r="G15" s="373"/>
      <c r="H15" s="373"/>
      <c r="I15" s="373"/>
      <c r="J15" s="373"/>
      <c r="K15" s="423"/>
      <c r="L15" s="373"/>
      <c r="M15" s="373"/>
      <c r="O15" s="387"/>
      <c r="P15" s="358"/>
      <c r="R15" s="375" t="s">
        <v>298</v>
      </c>
    </row>
    <row r="16" spans="1:35" ht="15.75">
      <c r="A16" s="358"/>
      <c r="B16" s="424" t="s">
        <v>299</v>
      </c>
      <c r="C16" s="584"/>
      <c r="D16" s="584"/>
      <c r="E16" s="358"/>
      <c r="F16" s="412">
        <f t="shared" si="0"/>
        <v>10</v>
      </c>
      <c r="G16" s="373"/>
      <c r="H16" s="425" t="s">
        <v>300</v>
      </c>
      <c r="I16" s="426">
        <f>+I8/I7</f>
        <v>1.2671068542491495</v>
      </c>
      <c r="J16" s="427"/>
      <c r="K16" s="426">
        <f ca="1">+K8/K7</f>
        <v>0.93469999999999998</v>
      </c>
      <c r="L16" s="428"/>
      <c r="M16" s="426">
        <f ca="1">+M8/M7</f>
        <v>0.935074163577999</v>
      </c>
      <c r="O16" s="387"/>
      <c r="P16" s="358"/>
      <c r="R16" s="429">
        <v>1</v>
      </c>
      <c r="S16" s="430">
        <f ca="1">AI11/Investment*100</f>
        <v>357.69177689903455</v>
      </c>
      <c r="T16" s="431">
        <f ca="1">EXP(y_inter1-(slope*LN(+S16)))</f>
        <v>5.4895422772325091</v>
      </c>
      <c r="U16" s="432">
        <f ca="1">(+S16*T16/100)/100</f>
        <v>0.19635641315056687</v>
      </c>
      <c r="V16" s="432">
        <f>regDebt_weighted</f>
        <v>3.5860000000000003E-2</v>
      </c>
      <c r="W16" s="432">
        <f ca="1">+U16-V16</f>
        <v>0.16049641315056687</v>
      </c>
      <c r="X16" s="432">
        <f ca="1">+((W16*(1-0.34))-Pfd_weighted)/Equity_percent</f>
        <v>0.28993497871911084</v>
      </c>
      <c r="Y16" s="432">
        <f ca="1">+X16*equityP</f>
        <v>0.1739609872314665</v>
      </c>
      <c r="Z16" s="432">
        <f ca="1">+Y16/(1-taxrate)</f>
        <v>0.2202037813056538</v>
      </c>
      <c r="AA16" s="432">
        <f>debtP*Debt_Rate</f>
        <v>2.0000000000000004E-2</v>
      </c>
      <c r="AB16" s="432">
        <f ca="1">+AA16+Z16</f>
        <v>0.24020378130565379</v>
      </c>
      <c r="AC16" s="432">
        <f ca="1">+AB16/(S16/100)</f>
        <v>6.7153844963412729E-2</v>
      </c>
      <c r="AD16" s="432">
        <f ca="1">1-AC16</f>
        <v>0.9328461550365873</v>
      </c>
      <c r="AE16" s="433">
        <f ca="1">expenses/(AD16)</f>
        <v>57366.769119502991</v>
      </c>
      <c r="AF16" s="434">
        <f ca="1">+AE16-Revenue</f>
        <v>15133.259119502989</v>
      </c>
      <c r="AG16" s="435">
        <f ca="1">+AF16/$J$49</f>
        <v>16539.548024311971</v>
      </c>
      <c r="AH16" s="435">
        <f ca="1">+AG16*$J$47</f>
        <v>332.44491528867059</v>
      </c>
      <c r="AI16" s="433">
        <f ca="1">ROUND(+AH16+AE16,5)</f>
        <v>57699.214030000003</v>
      </c>
    </row>
    <row r="17" spans="1:35" ht="15.75">
      <c r="A17" s="358"/>
      <c r="B17" s="585"/>
      <c r="C17" s="584"/>
      <c r="D17" s="358" t="s">
        <v>301</v>
      </c>
      <c r="E17" s="358"/>
      <c r="F17" s="412">
        <f t="shared" si="0"/>
        <v>11</v>
      </c>
      <c r="G17" s="373"/>
      <c r="H17" s="436"/>
      <c r="I17" s="436"/>
      <c r="J17" s="437"/>
      <c r="K17" s="436"/>
      <c r="L17" s="425"/>
      <c r="M17" s="425"/>
      <c r="N17" s="438"/>
      <c r="O17" s="358"/>
      <c r="P17" s="358"/>
      <c r="R17" s="404">
        <v>2</v>
      </c>
      <c r="S17" s="405">
        <f ca="1">AI12/Investment*100</f>
        <v>357.25415510162554</v>
      </c>
      <c r="T17" s="419">
        <f ca="1">EXP(y_inter2-(slope*LN(+S17)))</f>
        <v>5.4159691176875349</v>
      </c>
      <c r="U17" s="407">
        <f ca="1">(+S17*T17/100)/100</f>
        <v>0.19348774711959563</v>
      </c>
      <c r="V17" s="407">
        <f>regDebt_weighted</f>
        <v>3.5860000000000003E-2</v>
      </c>
      <c r="W17" s="407">
        <f ca="1">+U17-V17</f>
        <v>0.15762774711959562</v>
      </c>
      <c r="X17" s="407">
        <f ca="1">+((W17*(1-0.34))-Pfd_weighted)/Equity_percent</f>
        <v>0.28443114272945669</v>
      </c>
      <c r="Y17" s="407">
        <f ca="1">+X17*equityP</f>
        <v>0.170658685637674</v>
      </c>
      <c r="Z17" s="407">
        <f ca="1">+Y17/(1-taxrate)</f>
        <v>0.21602365270591645</v>
      </c>
      <c r="AA17" s="407">
        <f>debtP*Debt_Rate</f>
        <v>2.0000000000000004E-2</v>
      </c>
      <c r="AB17" s="407">
        <f ca="1">+AA17+Z17</f>
        <v>0.23602365270591646</v>
      </c>
      <c r="AC17" s="407">
        <f ca="1">+AB17/(S17/100)</f>
        <v>6.6066034316319286E-2</v>
      </c>
      <c r="AD17" s="407">
        <f ca="1">1-AC17</f>
        <v>0.9339339656836807</v>
      </c>
      <c r="AE17" s="408">
        <f ca="1">expenses/(AD17)</f>
        <v>57299.950495777426</v>
      </c>
      <c r="AF17" s="409">
        <f ca="1">+AE17-Revenue</f>
        <v>15066.440495777424</v>
      </c>
      <c r="AG17" s="410">
        <f ca="1">+AF17/$J$49</f>
        <v>16466.520143978967</v>
      </c>
      <c r="AH17" s="410">
        <f ca="1">+AG17*$J$47</f>
        <v>330.97705489397725</v>
      </c>
      <c r="AI17" s="408">
        <f ca="1">ROUND(+AH17+AE17,5)</f>
        <v>57630.92755</v>
      </c>
    </row>
    <row r="18" spans="1:35" ht="15.75">
      <c r="A18" s="358"/>
      <c r="B18" s="579" t="s">
        <v>302</v>
      </c>
      <c r="C18" s="579"/>
      <c r="D18" s="358"/>
      <c r="E18" s="358"/>
      <c r="F18" s="412">
        <f t="shared" si="0"/>
        <v>12</v>
      </c>
      <c r="G18" s="373"/>
      <c r="H18" s="439" t="s">
        <v>303</v>
      </c>
      <c r="I18" s="440"/>
      <c r="J18" s="440"/>
      <c r="K18" s="440"/>
      <c r="L18" s="440"/>
      <c r="M18" s="441"/>
      <c r="N18" s="437"/>
      <c r="O18" s="358"/>
      <c r="P18" s="358"/>
      <c r="R18" s="413">
        <v>3</v>
      </c>
      <c r="S18" s="405">
        <f ca="1">AI13/Investment*100</f>
        <v>356.95995912892749</v>
      </c>
      <c r="T18" s="406">
        <f ca="1">EXP(y_inter3-(slope*LN(S18)))</f>
        <v>5.3663343675850639</v>
      </c>
      <c r="U18" s="407">
        <f ca="1">(+S18*T18/100)/100</f>
        <v>0.19155664965253233</v>
      </c>
      <c r="V18" s="407">
        <f>regDebt_weighted</f>
        <v>3.5860000000000003E-2</v>
      </c>
      <c r="W18" s="407">
        <f ca="1">+U18-V18</f>
        <v>0.15569664965253233</v>
      </c>
      <c r="X18" s="407">
        <f ca="1">+((W18*(1-0.34))-Pfd_weighted)/Equity_percent</f>
        <v>0.28072613014730036</v>
      </c>
      <c r="Y18" s="407">
        <f ca="1">+X18*equityP</f>
        <v>0.1684356780883802</v>
      </c>
      <c r="Z18" s="407">
        <f ca="1">+Y18/(1-taxrate)</f>
        <v>0.21320971909921543</v>
      </c>
      <c r="AA18" s="407">
        <f>debtP*Debt_Rate</f>
        <v>2.0000000000000004E-2</v>
      </c>
      <c r="AB18" s="407">
        <f ca="1">+AA18+Z18</f>
        <v>0.23320971909921545</v>
      </c>
      <c r="AC18" s="407">
        <f ca="1">+AB18/(S18/100)</f>
        <v>6.5332178899926499E-2</v>
      </c>
      <c r="AD18" s="407">
        <f ca="1">1-AC18</f>
        <v>0.93466782110007351</v>
      </c>
      <c r="AE18" s="408">
        <f ca="1">expenses/(AD18)</f>
        <v>57254.961379771616</v>
      </c>
      <c r="AF18" s="409">
        <f ca="1">+AE18-Revenue</f>
        <v>15021.451379771614</v>
      </c>
      <c r="AG18" s="410">
        <f ca="1">+AF18/$J$49</f>
        <v>16417.350322800758</v>
      </c>
      <c r="AH18" s="410">
        <f ca="1">+AG18*$J$47</f>
        <v>329.9887414882952</v>
      </c>
      <c r="AI18" s="408">
        <f ca="1">ROUND(+AH18+AE18,5)</f>
        <v>57584.950120000001</v>
      </c>
    </row>
    <row r="19" spans="1:35" ht="15.75">
      <c r="A19" s="358"/>
      <c r="B19" s="358"/>
      <c r="C19" s="358"/>
      <c r="D19" s="358"/>
      <c r="E19" s="358"/>
      <c r="F19" s="412">
        <f t="shared" si="0"/>
        <v>13</v>
      </c>
      <c r="G19" s="373"/>
      <c r="H19" s="442"/>
      <c r="I19" s="425" t="s">
        <v>304</v>
      </c>
      <c r="J19" s="443">
        <f>+Revenue</f>
        <v>42233.51</v>
      </c>
      <c r="K19" s="444"/>
      <c r="L19" s="425" t="s">
        <v>305</v>
      </c>
      <c r="M19" s="445">
        <f ca="1">+J7</f>
        <v>15019.480264255908</v>
      </c>
      <c r="O19" s="358"/>
      <c r="P19" s="358"/>
      <c r="R19" s="416">
        <v>4</v>
      </c>
      <c r="S19" s="405">
        <f ca="1">AI14/Investment*100</f>
        <v>356.77202099636582</v>
      </c>
      <c r="T19" s="422">
        <f ca="1">EXP(y_inter4-(slope*LN(S19)))</f>
        <v>5.3345530638897163</v>
      </c>
      <c r="U19" s="407">
        <f ca="1">(+S19*T19/100)/100</f>
        <v>0.19032192777162893</v>
      </c>
      <c r="V19" s="407">
        <f>regDebt_weighted</f>
        <v>3.5860000000000003E-2</v>
      </c>
      <c r="W19" s="407">
        <f ca="1">+U19-V19</f>
        <v>0.15446192777162893</v>
      </c>
      <c r="X19" s="407">
        <f ca="1">+((W19*(1-0.34))-Pfd_weighted)/Equity_percent</f>
        <v>0.27835718700370665</v>
      </c>
      <c r="Y19" s="407">
        <f ca="1">+X19*equityP</f>
        <v>0.16701431220222399</v>
      </c>
      <c r="Z19" s="407">
        <f ca="1">+Y19/(1-taxrate)</f>
        <v>0.21141052177496705</v>
      </c>
      <c r="AA19" s="407">
        <f>debtP*Debt_Rate</f>
        <v>2.0000000000000004E-2</v>
      </c>
      <c r="AB19" s="407">
        <f ca="1">+AA19+Z19</f>
        <v>0.23141052177496707</v>
      </c>
      <c r="AC19" s="407">
        <f ca="1">+AB19/(S19/100)</f>
        <v>6.4862295291178193E-2</v>
      </c>
      <c r="AD19" s="407">
        <f ca="1">1-AC19</f>
        <v>0.93513770470882185</v>
      </c>
      <c r="AE19" s="408">
        <f ca="1">expenses/(AD19)</f>
        <v>57226.192175261516</v>
      </c>
      <c r="AF19" s="409">
        <f ca="1">+AE19-Revenue</f>
        <v>14992.682175261514</v>
      </c>
      <c r="AG19" s="410">
        <f ca="1">+AF19/$J$49</f>
        <v>16385.907681406821</v>
      </c>
      <c r="AH19" s="410">
        <f ca="1">+AG19*$J$47</f>
        <v>329.35674439627712</v>
      </c>
      <c r="AI19" s="408">
        <f ca="1">ROUND(+AH19+AE19,5)</f>
        <v>57555.548920000001</v>
      </c>
    </row>
    <row r="20" spans="1:35" ht="15.75">
      <c r="A20" s="358"/>
      <c r="B20" s="446"/>
      <c r="C20" s="358"/>
      <c r="D20" s="358"/>
      <c r="E20" s="358"/>
      <c r="F20" s="412">
        <f t="shared" si="0"/>
        <v>14</v>
      </c>
      <c r="G20" s="373"/>
      <c r="H20" s="442"/>
      <c r="I20" s="425" t="s">
        <v>187</v>
      </c>
      <c r="J20" s="443">
        <f ca="1">+J21-J19</f>
        <v>15349.425704606925</v>
      </c>
      <c r="K20" s="444"/>
      <c r="L20" s="425" t="s">
        <v>306</v>
      </c>
      <c r="M20" s="445">
        <f ca="1">+L8</f>
        <v>329.94544035101353</v>
      </c>
      <c r="O20" s="358"/>
      <c r="P20" s="358"/>
      <c r="R20" s="375" t="s">
        <v>307</v>
      </c>
    </row>
    <row r="21" spans="1:35" ht="16.5" thickBot="1">
      <c r="A21" s="358"/>
      <c r="B21" s="446" t="s">
        <v>308</v>
      </c>
      <c r="C21" s="358"/>
      <c r="D21" s="358"/>
      <c r="E21" s="358"/>
      <c r="F21" s="412">
        <f t="shared" si="0"/>
        <v>15</v>
      </c>
      <c r="G21" s="373"/>
      <c r="H21" s="442"/>
      <c r="I21" s="447" t="s">
        <v>303</v>
      </c>
      <c r="J21" s="448">
        <f ca="1">+M7</f>
        <v>57582.93570460692</v>
      </c>
      <c r="K21" s="437"/>
      <c r="L21" s="447" t="s">
        <v>187</v>
      </c>
      <c r="M21" s="449">
        <f ca="1">+M19+M20</f>
        <v>15349.425704606921</v>
      </c>
      <c r="O21" s="358"/>
      <c r="P21" s="358"/>
      <c r="R21" s="429">
        <v>1</v>
      </c>
      <c r="S21" s="430">
        <f ca="1">AI16/Investment*100</f>
        <v>357.95822086757352</v>
      </c>
      <c r="T21" s="431">
        <f ca="1">EXP(y_inter1-(slope*LN(+S21)))</f>
        <v>5.4867483997800877</v>
      </c>
      <c r="U21" s="432">
        <f ca="1">(+S21*T21/100)/100</f>
        <v>0.19640266955332863</v>
      </c>
      <c r="V21" s="432">
        <f>regDebt_weighted</f>
        <v>3.5860000000000003E-2</v>
      </c>
      <c r="W21" s="432">
        <f ca="1">+U21-V21</f>
        <v>0.16054266955332863</v>
      </c>
      <c r="X21" s="432">
        <f ca="1">+((W21*(1-0.34))-Pfd_weighted)/Equity_percent</f>
        <v>0.29002372646859559</v>
      </c>
      <c r="Y21" s="432">
        <f ca="1">+X21*equityP</f>
        <v>0.17401423588115736</v>
      </c>
      <c r="Z21" s="432">
        <f ca="1">+Y21/(1-taxrate)</f>
        <v>0.22027118465969284</v>
      </c>
      <c r="AA21" s="432">
        <f>debtP*Debt_Rate</f>
        <v>2.0000000000000004E-2</v>
      </c>
      <c r="AB21" s="432">
        <f ca="1">+AA21+Z21</f>
        <v>0.24027118465969283</v>
      </c>
      <c r="AC21" s="432">
        <f ca="1">+AB21/(S21/100)</f>
        <v>6.712268936786929E-2</v>
      </c>
      <c r="AD21" s="432">
        <f ca="1">1-AC21</f>
        <v>0.93287731063213075</v>
      </c>
      <c r="AE21" s="433">
        <f ca="1">expenses/(AD21)</f>
        <v>57364.853223558312</v>
      </c>
      <c r="AF21" s="434">
        <f ca="1">+AE21-Revenue</f>
        <v>15131.34322355831</v>
      </c>
      <c r="AG21" s="435">
        <f ca="1">+AF21/$J$49</f>
        <v>16537.454089837156</v>
      </c>
      <c r="AH21" s="435">
        <f ca="1">+AG21*$J$47</f>
        <v>332.40282720572685</v>
      </c>
      <c r="AI21" s="433">
        <f ca="1">ROUND(+AH21+AE21,5)</f>
        <v>57697.256050000004</v>
      </c>
    </row>
    <row r="22" spans="1:35" ht="16.5" thickTop="1">
      <c r="A22" s="358"/>
      <c r="B22" s="358" t="s">
        <v>309</v>
      </c>
      <c r="C22" s="358"/>
      <c r="D22" s="358"/>
      <c r="E22" s="358"/>
      <c r="F22" s="412">
        <f t="shared" si="0"/>
        <v>16</v>
      </c>
      <c r="G22" s="373"/>
      <c r="H22" s="450"/>
      <c r="I22" s="451"/>
      <c r="J22" s="452" t="s">
        <v>310</v>
      </c>
      <c r="K22" s="453">
        <f ca="1">+(J21/J19)-1</f>
        <v>0.36344186653221389</v>
      </c>
      <c r="L22" s="451"/>
      <c r="M22" s="454"/>
      <c r="O22" s="358"/>
      <c r="P22" s="358"/>
      <c r="R22" s="404">
        <v>2</v>
      </c>
      <c r="S22" s="405">
        <f ca="1">AI17/Investment*100</f>
        <v>357.53458066205184</v>
      </c>
      <c r="T22" s="419">
        <f ca="1">EXP(y_inter2-(slope*LN(+S22)))</f>
        <v>5.4130645858790736</v>
      </c>
      <c r="U22" s="407">
        <f ca="1">(+S22*T22/100)/100</f>
        <v>0.19353577768088781</v>
      </c>
      <c r="V22" s="407">
        <f>regDebt_weighted</f>
        <v>3.5860000000000003E-2</v>
      </c>
      <c r="W22" s="407">
        <f ca="1">+U22-V22</f>
        <v>0.15767577768088781</v>
      </c>
      <c r="X22" s="407">
        <f ca="1">+((W22*(1-0.34))-Pfd_weighted)/Equity_percent</f>
        <v>0.28452329438774987</v>
      </c>
      <c r="Y22" s="407">
        <f ca="1">+X22*equityP</f>
        <v>0.17071397663264992</v>
      </c>
      <c r="Z22" s="407">
        <f ca="1">+Y22/(1-taxrate)</f>
        <v>0.21609364130715178</v>
      </c>
      <c r="AA22" s="407">
        <f>debtP*Debt_Rate</f>
        <v>2.0000000000000004E-2</v>
      </c>
      <c r="AB22" s="407">
        <f ca="1">+AA22+Z22</f>
        <v>0.23609364130715177</v>
      </c>
      <c r="AC22" s="407">
        <f ca="1">+AB22/(S22/100)</f>
        <v>6.6033791995720764E-2</v>
      </c>
      <c r="AD22" s="407">
        <f ca="1">1-AC22</f>
        <v>0.93396620800427921</v>
      </c>
      <c r="AE22" s="408">
        <f ca="1">expenses/(AD22)</f>
        <v>57297.972390618663</v>
      </c>
      <c r="AF22" s="409">
        <f ca="1">+AE22-Revenue</f>
        <v>15064.462390618661</v>
      </c>
      <c r="AG22" s="410">
        <f ca="1">+AF22/$J$49</f>
        <v>16464.358219372232</v>
      </c>
      <c r="AH22" s="410">
        <f ca="1">+AG22*$J$47</f>
        <v>330.93360020938189</v>
      </c>
      <c r="AI22" s="408">
        <f ca="1">ROUND(+AH22+AE22,5)</f>
        <v>57628.905989999999</v>
      </c>
    </row>
    <row r="23" spans="1:35" ht="15.75">
      <c r="A23" s="358"/>
      <c r="B23" s="358" t="s">
        <v>311</v>
      </c>
      <c r="C23" s="358"/>
      <c r="D23" s="358"/>
      <c r="E23" s="358"/>
      <c r="F23" s="412">
        <f t="shared" si="0"/>
        <v>17</v>
      </c>
      <c r="H23" s="373"/>
      <c r="I23" s="373"/>
      <c r="J23" s="373"/>
      <c r="K23" s="373"/>
      <c r="L23" s="373"/>
      <c r="M23" s="373"/>
      <c r="N23" s="373"/>
      <c r="O23" s="358"/>
      <c r="P23" s="358"/>
      <c r="R23" s="413">
        <v>3</v>
      </c>
      <c r="S23" s="405">
        <f ca="1">AI18/Investment*100</f>
        <v>357.24934282442189</v>
      </c>
      <c r="T23" s="406">
        <f ca="1">EXP(y_inter3-(slope*LN(S23)))</f>
        <v>5.3633621367881794</v>
      </c>
      <c r="U23" s="407">
        <f ca="1">(+S23*T23/100)/100</f>
        <v>0.19160575986969644</v>
      </c>
      <c r="V23" s="407">
        <f>regDebt_weighted</f>
        <v>3.5860000000000003E-2</v>
      </c>
      <c r="W23" s="407">
        <f ca="1">+U23-V23</f>
        <v>0.15574575986969644</v>
      </c>
      <c r="X23" s="407">
        <f ca="1">+((W23*(1-0.34))-Pfd_weighted)/Equity_percent</f>
        <v>0.28082035323837107</v>
      </c>
      <c r="Y23" s="407">
        <f ca="1">+X23*equityP</f>
        <v>0.16849221194302264</v>
      </c>
      <c r="Z23" s="407">
        <f ca="1">+Y23/(1-taxrate)</f>
        <v>0.21328128094053497</v>
      </c>
      <c r="AA23" s="407">
        <f>debtP*Debt_Rate</f>
        <v>2.0000000000000004E-2</v>
      </c>
      <c r="AB23" s="407">
        <f ca="1">+AA23+Z23</f>
        <v>0.23328128094053496</v>
      </c>
      <c r="AC23" s="407">
        <f ca="1">+AB23/(S23/100)</f>
        <v>6.5299289033314251E-2</v>
      </c>
      <c r="AD23" s="407">
        <f ca="1">1-AC23</f>
        <v>0.93470071096668572</v>
      </c>
      <c r="AE23" s="408">
        <f ca="1">expenses/(AD23)</f>
        <v>57252.946715590268</v>
      </c>
      <c r="AF23" s="409">
        <f ca="1">+AE23-Revenue</f>
        <v>15019.436715590266</v>
      </c>
      <c r="AG23" s="410">
        <f ca="1">+AF23/$J$49</f>
        <v>16415.148441849859</v>
      </c>
      <c r="AH23" s="410">
        <f ca="1">+AG23*$J$47</f>
        <v>329.94448368118213</v>
      </c>
      <c r="AI23" s="408">
        <f ca="1">ROUND(+AH23+AE23,5)</f>
        <v>57582.891199999998</v>
      </c>
    </row>
    <row r="24" spans="1:35" ht="15.75">
      <c r="A24" s="358"/>
      <c r="B24" s="358" t="s">
        <v>312</v>
      </c>
      <c r="C24" s="358"/>
      <c r="D24" s="358"/>
      <c r="E24" s="358"/>
      <c r="F24" s="412">
        <f t="shared" si="0"/>
        <v>18</v>
      </c>
      <c r="H24" s="373"/>
      <c r="J24" s="455" t="s">
        <v>313</v>
      </c>
      <c r="K24" s="456" t="s">
        <v>314</v>
      </c>
      <c r="L24" s="456"/>
      <c r="M24" s="456"/>
      <c r="N24" s="456"/>
      <c r="O24" s="358"/>
      <c r="P24" s="358"/>
      <c r="R24" s="416">
        <v>4</v>
      </c>
      <c r="S24" s="405">
        <f ca="1">AI19/Investment*100</f>
        <v>357.06694170474805</v>
      </c>
      <c r="T24" s="422">
        <f ca="1">EXP(y_inter4-(slope*LN(S24)))</f>
        <v>5.3315403565953954</v>
      </c>
      <c r="U24" s="407">
        <f ca="1">(+S24*T24/100)/100</f>
        <v>0.19037168097049595</v>
      </c>
      <c r="V24" s="407">
        <f>regDebt_weighted</f>
        <v>3.5860000000000003E-2</v>
      </c>
      <c r="W24" s="407">
        <f ca="1">+U24-V24</f>
        <v>0.15451168097049595</v>
      </c>
      <c r="X24" s="407">
        <f ca="1">+((W24*(1-0.34))-Pfd_weighted)/Equity_percent</f>
        <v>0.27845264372246314</v>
      </c>
      <c r="Y24" s="407">
        <f ca="1">+X24*equityP</f>
        <v>0.16707158623347787</v>
      </c>
      <c r="Z24" s="407">
        <f ca="1">+Y24/(1-taxrate)</f>
        <v>0.21148302054870616</v>
      </c>
      <c r="AA24" s="407">
        <f>debtP*Debt_Rate</f>
        <v>2.0000000000000004E-2</v>
      </c>
      <c r="AB24" s="407">
        <f ca="1">+AA24+Z24</f>
        <v>0.23148302054870618</v>
      </c>
      <c r="AC24" s="407">
        <f ca="1">+AB24/(S24/100)</f>
        <v>6.4829026020592831E-2</v>
      </c>
      <c r="AD24" s="407">
        <f ca="1">1-AC24</f>
        <v>0.93517097397940718</v>
      </c>
      <c r="AE24" s="408">
        <f ca="1">expenses/(AD24)</f>
        <v>57224.156319011672</v>
      </c>
      <c r="AF24" s="409">
        <f ca="1">+AE24-Revenue</f>
        <v>14990.64631901167</v>
      </c>
      <c r="AG24" s="410">
        <f ca="1">+AF24/$J$49</f>
        <v>16383.682639071329</v>
      </c>
      <c r="AH24" s="410">
        <f ca="1">+AG24*$J$47</f>
        <v>329.31202104533372</v>
      </c>
      <c r="AI24" s="408">
        <f ca="1">ROUND(+AH24+AE24,5)</f>
        <v>57553.468339999999</v>
      </c>
    </row>
    <row r="25" spans="1:35" ht="15.75">
      <c r="A25" s="358"/>
      <c r="B25" s="358" t="s">
        <v>315</v>
      </c>
      <c r="C25" s="358"/>
      <c r="D25" s="358"/>
      <c r="E25" s="358"/>
      <c r="F25" s="412">
        <f t="shared" si="0"/>
        <v>19</v>
      </c>
      <c r="H25" s="457" t="s">
        <v>316</v>
      </c>
      <c r="I25" s="458" t="s">
        <v>317</v>
      </c>
      <c r="J25" s="459" t="s">
        <v>318</v>
      </c>
      <c r="K25" s="457" t="s">
        <v>319</v>
      </c>
      <c r="L25" s="459" t="s">
        <v>320</v>
      </c>
      <c r="M25" s="459" t="s">
        <v>318</v>
      </c>
      <c r="O25" s="358"/>
      <c r="P25" s="358"/>
      <c r="R25" s="375" t="s">
        <v>321</v>
      </c>
      <c r="W25" s="460"/>
      <c r="X25" s="461"/>
      <c r="Y25" s="406"/>
      <c r="Z25" s="406"/>
      <c r="AA25" s="461"/>
      <c r="AC25" s="461"/>
      <c r="AD25" s="461"/>
      <c r="AE25" s="406"/>
      <c r="AF25" s="460"/>
    </row>
    <row r="26" spans="1:35" ht="15.75">
      <c r="A26" s="358"/>
      <c r="B26" s="358"/>
      <c r="C26" s="358"/>
      <c r="D26" s="358"/>
      <c r="E26" s="358"/>
      <c r="F26" s="412">
        <f t="shared" si="0"/>
        <v>20</v>
      </c>
      <c r="H26" s="402" t="s">
        <v>274</v>
      </c>
      <c r="I26" s="462">
        <f>1-I27</f>
        <v>0.6</v>
      </c>
      <c r="J26" s="463">
        <f>+I26*J28</f>
        <v>9671.387999999999</v>
      </c>
      <c r="K26" s="438">
        <f ca="1">+K34</f>
        <v>0.27905302990244757</v>
      </c>
      <c r="L26" s="462">
        <f ca="1">+K26*I26</f>
        <v>0.16743181794146852</v>
      </c>
      <c r="M26" s="403">
        <f ca="1">+J26*K26</f>
        <v>2698.8301247621721</v>
      </c>
      <c r="O26" s="358"/>
      <c r="P26" s="358"/>
      <c r="R26" s="429">
        <v>1</v>
      </c>
      <c r="S26" s="430">
        <f ca="1">AI21/Investment*100</f>
        <v>357.94607382104829</v>
      </c>
      <c r="T26" s="431">
        <f ca="1">EXP(y_inter1-(slope*LN(+S26)))</f>
        <v>5.4868756950685391</v>
      </c>
      <c r="U26" s="432">
        <f ca="1">(+S26*T26/100)/100</f>
        <v>0.1964005612593919</v>
      </c>
      <c r="V26" s="432">
        <f>regDebt_weighted</f>
        <v>3.5860000000000003E-2</v>
      </c>
      <c r="W26" s="432">
        <f ca="1">+U26-V26</f>
        <v>0.1605405612593919</v>
      </c>
      <c r="X26" s="432">
        <f ca="1">+((W26*(1-0.34))-Pfd_weighted)/Equity_percent</f>
        <v>0.29001968148604257</v>
      </c>
      <c r="Y26" s="432">
        <f ca="1">+X26*equityP</f>
        <v>0.17401180889162554</v>
      </c>
      <c r="Z26" s="432">
        <f ca="1">+Y26/(1-taxrate)</f>
        <v>0.22026811252104497</v>
      </c>
      <c r="AA26" s="432">
        <f>debtP*Debt_Rate</f>
        <v>2.0000000000000004E-2</v>
      </c>
      <c r="AB26" s="432">
        <f ca="1">+AA26+Z26</f>
        <v>0.24026811252104496</v>
      </c>
      <c r="AC26" s="432">
        <f ca="1">+AB26/(S26/100)</f>
        <v>6.7124108935237181E-2</v>
      </c>
      <c r="AD26" s="432">
        <f ca="1">1-AC26</f>
        <v>0.93287589106476276</v>
      </c>
      <c r="AE26" s="433">
        <f ca="1">expenses/(AD26)</f>
        <v>57364.940516278046</v>
      </c>
      <c r="AF26" s="434">
        <f ca="1">+AE26-Revenue</f>
        <v>15131.430516278044</v>
      </c>
      <c r="AG26" s="435">
        <f ca="1">+AF26/$J$49</f>
        <v>16537.549494410541</v>
      </c>
      <c r="AH26" s="435">
        <f ca="1">+AG26*$J$47</f>
        <v>332.40474483765189</v>
      </c>
      <c r="AI26" s="433">
        <f ca="1">ROUND(+AH26+AE26,5)</f>
        <v>57697.345260000002</v>
      </c>
    </row>
    <row r="27" spans="1:35" ht="15.75">
      <c r="A27" s="358"/>
      <c r="B27" s="358"/>
      <c r="C27" s="358"/>
      <c r="D27" s="358"/>
      <c r="E27" s="358"/>
      <c r="F27" s="412">
        <f t="shared" si="0"/>
        <v>21</v>
      </c>
      <c r="H27" s="402" t="s">
        <v>276</v>
      </c>
      <c r="I27" s="462">
        <f>IF(A65=TRUE,C8,0)</f>
        <v>0.4</v>
      </c>
      <c r="J27" s="464">
        <f>+I27*J28</f>
        <v>6447.5920000000006</v>
      </c>
      <c r="K27" s="438">
        <f>IF(A65=TRUE,C9,0)</f>
        <v>0.05</v>
      </c>
      <c r="L27" s="462">
        <f>+K27*I27</f>
        <v>2.0000000000000004E-2</v>
      </c>
      <c r="M27" s="403">
        <f>+K27*J27</f>
        <v>322.37960000000004</v>
      </c>
      <c r="O27" s="358"/>
      <c r="P27" s="358"/>
      <c r="R27" s="404">
        <v>2</v>
      </c>
      <c r="S27" s="405">
        <f ca="1">AI22/Investment*100</f>
        <v>357.52203917369462</v>
      </c>
      <c r="T27" s="419">
        <f ca="1">EXP(y_inter2-(slope*LN(+S27)))</f>
        <v>5.4131944034812323</v>
      </c>
      <c r="U27" s="407">
        <f ca="1">(+S27*T27/100)/100</f>
        <v>0.19353363015762415</v>
      </c>
      <c r="V27" s="407">
        <f>regDebt_weighted</f>
        <v>3.5860000000000003E-2</v>
      </c>
      <c r="W27" s="407">
        <f ca="1">+U27-V27</f>
        <v>0.15767363015762415</v>
      </c>
      <c r="X27" s="407">
        <f ca="1">+((W27*(1-0.34))-Pfd_weighted)/Equity_percent</f>
        <v>0.28451917413962774</v>
      </c>
      <c r="Y27" s="407">
        <f ca="1">+X27*equityP</f>
        <v>0.17071150448377664</v>
      </c>
      <c r="Z27" s="407">
        <f ca="1">+Y27/(1-taxrate)</f>
        <v>0.21609051200478055</v>
      </c>
      <c r="AA27" s="407">
        <f>debtP*Debt_Rate</f>
        <v>2.0000000000000004E-2</v>
      </c>
      <c r="AB27" s="407">
        <f ca="1">+AA27+Z27</f>
        <v>0.23609051200478054</v>
      </c>
      <c r="AC27" s="407">
        <f ca="1">+AB27/(S27/100)</f>
        <v>6.6035233114700623E-2</v>
      </c>
      <c r="AD27" s="407">
        <f ca="1">1-AC27</f>
        <v>0.93396476688529939</v>
      </c>
      <c r="AE27" s="408">
        <f ca="1">expenses/(AD27)</f>
        <v>57298.060802086038</v>
      </c>
      <c r="AF27" s="409">
        <f ca="1">+AE27-Revenue</f>
        <v>15064.550802086036</v>
      </c>
      <c r="AG27" s="410">
        <f ca="1">+AF27/$J$49</f>
        <v>16464.454846655161</v>
      </c>
      <c r="AH27" s="410">
        <f ca="1">+AG27*$J$47</f>
        <v>330.93554241776872</v>
      </c>
      <c r="AI27" s="408">
        <f ca="1">ROUND(+AH27+AE27,5)</f>
        <v>57628.996339999998</v>
      </c>
    </row>
    <row r="28" spans="1:35" ht="16.5" thickBot="1">
      <c r="A28" s="358"/>
      <c r="B28" s="358"/>
      <c r="C28" s="358"/>
      <c r="D28" s="358"/>
      <c r="E28" s="358"/>
      <c r="F28" s="412">
        <f t="shared" si="0"/>
        <v>22</v>
      </c>
      <c r="H28" s="402" t="s">
        <v>100</v>
      </c>
      <c r="I28" s="465">
        <f>SUM(I26:I27)</f>
        <v>1</v>
      </c>
      <c r="J28" s="466">
        <f>IF(A65=TRUE,C7,0)</f>
        <v>16118.98</v>
      </c>
      <c r="K28" s="467"/>
      <c r="L28" s="468">
        <f ca="1">SUM(L26:L27)</f>
        <v>0.18743181794146851</v>
      </c>
      <c r="M28" s="466">
        <f ca="1">SUM(M26:M27)</f>
        <v>3021.2097247621723</v>
      </c>
      <c r="O28" s="358"/>
      <c r="P28" s="358"/>
      <c r="R28" s="413">
        <v>3</v>
      </c>
      <c r="S28" s="405">
        <f ca="1">AI23/Investment*100</f>
        <v>357.23656955961235</v>
      </c>
      <c r="T28" s="406">
        <f ca="1">EXP(y_inter3-(slope*LN(S28)))</f>
        <v>5.3634932441849843</v>
      </c>
      <c r="U28" s="407">
        <f ca="1">(+S28*T28/100)/100</f>
        <v>0.19160359274088001</v>
      </c>
      <c r="V28" s="407">
        <f>regDebt_weighted</f>
        <v>3.5860000000000003E-2</v>
      </c>
      <c r="W28" s="407">
        <f ca="1">+U28-V28</f>
        <v>0.15574359274088001</v>
      </c>
      <c r="X28" s="407">
        <f ca="1">+((W28*(1-0.34))-Pfd_weighted)/Equity_percent</f>
        <v>0.28081619537494418</v>
      </c>
      <c r="Y28" s="407">
        <f ca="1">+X28*equityP</f>
        <v>0.1684897172249665</v>
      </c>
      <c r="Z28" s="407">
        <f ca="1">+Y28/(1-taxrate)</f>
        <v>0.21327812306957783</v>
      </c>
      <c r="AA28" s="407">
        <f>debtP*Debt_Rate</f>
        <v>2.0000000000000004E-2</v>
      </c>
      <c r="AB28" s="407">
        <f ca="1">+AA28+Z28</f>
        <v>0.23327812306957785</v>
      </c>
      <c r="AC28" s="407">
        <f ca="1">+AB28/(S28/100)</f>
        <v>6.5300739887059783E-2</v>
      </c>
      <c r="AD28" s="407">
        <f ca="1">1-AC28</f>
        <v>0.93469926011294024</v>
      </c>
      <c r="AE28" s="408">
        <f ca="1">expenses/(AD28)</f>
        <v>57253.035584444377</v>
      </c>
      <c r="AF28" s="409">
        <f ca="1">+AE28-Revenue</f>
        <v>15019.525584444375</v>
      </c>
      <c r="AG28" s="410">
        <f ca="1">+AF28/$J$49</f>
        <v>16415.245569023111</v>
      </c>
      <c r="AH28" s="410">
        <f ca="1">+AG28*$J$47</f>
        <v>329.94643593736453</v>
      </c>
      <c r="AI28" s="408">
        <f ca="1">ROUND(+AH28+AE28,5)</f>
        <v>57582.982020000003</v>
      </c>
    </row>
    <row r="29" spans="1:35" ht="16.5" thickTop="1">
      <c r="A29" s="358"/>
      <c r="B29" s="358"/>
      <c r="C29" s="358"/>
      <c r="D29" s="358"/>
      <c r="E29" s="358"/>
      <c r="F29" s="412">
        <f t="shared" si="0"/>
        <v>23</v>
      </c>
      <c r="G29" s="373"/>
      <c r="H29" s="373"/>
      <c r="I29" s="373"/>
      <c r="J29" s="373"/>
      <c r="K29" s="373"/>
      <c r="L29" s="373"/>
      <c r="M29" s="373"/>
      <c r="N29" s="373"/>
      <c r="O29" s="358"/>
      <c r="P29" s="358"/>
      <c r="R29" s="416">
        <v>4</v>
      </c>
      <c r="S29" s="405">
        <f ca="1">AI24/Investment*100</f>
        <v>357.05403406419015</v>
      </c>
      <c r="T29" s="422">
        <f ca="1">EXP(y_inter4-(slope*LN(S29)))</f>
        <v>5.3316721245060483</v>
      </c>
      <c r="U29" s="407">
        <f ca="1">(+S29*T29/100)/100</f>
        <v>0.19036950403624753</v>
      </c>
      <c r="V29" s="407">
        <f>regDebt_weighted</f>
        <v>3.5860000000000003E-2</v>
      </c>
      <c r="W29" s="407">
        <f ca="1">+U29-V29</f>
        <v>0.15450950403624752</v>
      </c>
      <c r="X29" s="407">
        <f ca="1">+((W29*(1-0.34))-Pfd_weighted)/Equity_percent</f>
        <v>0.27844846704628884</v>
      </c>
      <c r="Y29" s="407">
        <f ca="1">+X29*equityP</f>
        <v>0.16706908022777331</v>
      </c>
      <c r="Z29" s="407">
        <f ca="1">+Y29/(1-taxrate)</f>
        <v>0.21147984838958644</v>
      </c>
      <c r="AA29" s="407">
        <f>debtP*Debt_Rate</f>
        <v>2.0000000000000004E-2</v>
      </c>
      <c r="AB29" s="407">
        <f ca="1">+AA29+Z29</f>
        <v>0.23147984838958646</v>
      </c>
      <c r="AC29" s="407">
        <f ca="1">+AB29/(S29/100)</f>
        <v>6.4830481189290148E-2</v>
      </c>
      <c r="AD29" s="407">
        <f ca="1">1-AC29</f>
        <v>0.93516951881070987</v>
      </c>
      <c r="AE29" s="408">
        <f ca="1">expenses/(AD29)</f>
        <v>57224.245362547983</v>
      </c>
      <c r="AF29" s="409">
        <f ca="1">+AE29-Revenue</f>
        <v>14990.735362547981</v>
      </c>
      <c r="AG29" s="410">
        <f ca="1">+AF29/$J$49</f>
        <v>16383.779957159484</v>
      </c>
      <c r="AH29" s="410">
        <f ca="1">+AG29*$J$47</f>
        <v>329.31397713890561</v>
      </c>
      <c r="AI29" s="408">
        <f ca="1">ROUND(+AH29+AE29,5)</f>
        <v>57553.55934</v>
      </c>
    </row>
    <row r="30" spans="1:35" ht="15.75">
      <c r="A30" s="358"/>
      <c r="B30" s="358"/>
      <c r="C30" s="358"/>
      <c r="D30" s="358"/>
      <c r="E30" s="358"/>
      <c r="F30" s="412">
        <f t="shared" si="0"/>
        <v>24</v>
      </c>
      <c r="G30" s="373"/>
      <c r="H30" s="373"/>
      <c r="I30" s="373"/>
      <c r="J30" s="469" t="s">
        <v>322</v>
      </c>
      <c r="K30" s="469" t="s">
        <v>323</v>
      </c>
      <c r="L30" s="373"/>
      <c r="M30" s="373"/>
      <c r="N30" s="373"/>
      <c r="O30" s="358"/>
      <c r="P30" s="358"/>
      <c r="R30" s="375" t="s">
        <v>324</v>
      </c>
      <c r="W30" s="460"/>
      <c r="X30" s="461"/>
      <c r="Y30" s="406"/>
      <c r="Z30" s="406"/>
      <c r="AA30" s="461"/>
      <c r="AC30" s="461"/>
      <c r="AD30" s="461"/>
      <c r="AE30" s="406"/>
      <c r="AF30" s="460"/>
      <c r="AH30" s="406"/>
    </row>
    <row r="31" spans="1:35" ht="15.75">
      <c r="A31" s="358"/>
      <c r="B31" s="358"/>
      <c r="C31" s="358"/>
      <c r="D31" s="358"/>
      <c r="E31" s="358"/>
      <c r="F31" s="412">
        <f t="shared" si="0"/>
        <v>25</v>
      </c>
      <c r="G31" s="373"/>
      <c r="H31" s="470" t="s">
        <v>325</v>
      </c>
      <c r="I31" s="471"/>
      <c r="J31" s="472" t="s">
        <v>326</v>
      </c>
      <c r="K31" s="472" t="s">
        <v>326</v>
      </c>
      <c r="L31" s="373"/>
      <c r="M31" s="373"/>
      <c r="N31" s="373"/>
      <c r="O31" s="358"/>
      <c r="P31" s="358"/>
      <c r="R31" s="429">
        <v>1</v>
      </c>
      <c r="S31" s="430">
        <f ca="1">AI26/Investment*100</f>
        <v>357.9466272679785</v>
      </c>
      <c r="T31" s="431">
        <f ca="1">EXP(y_inter1-(slope*LN(+S31)))</f>
        <v>5.4868698950489705</v>
      </c>
      <c r="U31" s="432">
        <f ca="1">(+S31*T31/100)/100</f>
        <v>0.19640065731909861</v>
      </c>
      <c r="V31" s="432">
        <f>regDebt_weighted</f>
        <v>3.5860000000000003E-2</v>
      </c>
      <c r="W31" s="432">
        <f ca="1">+U31-V31</f>
        <v>0.16054065731909861</v>
      </c>
      <c r="X31" s="432">
        <f ca="1">+((W31*(1-0.34))-Pfd_weighted)/Equity_percent</f>
        <v>0.29001986578664268</v>
      </c>
      <c r="Y31" s="432">
        <f ca="1">+X31*equityP</f>
        <v>0.1740119194719856</v>
      </c>
      <c r="Z31" s="432">
        <f ca="1">+Y31/(1-taxrate)</f>
        <v>0.22026825249618429</v>
      </c>
      <c r="AA31" s="432">
        <f>debtP*Debt_Rate</f>
        <v>2.0000000000000004E-2</v>
      </c>
      <c r="AB31" s="432">
        <f ca="1">+AA31+Z31</f>
        <v>0.24026825249618428</v>
      </c>
      <c r="AC31" s="432">
        <f ca="1">+AB31/(S31/100)</f>
        <v>6.7124044254873297E-2</v>
      </c>
      <c r="AD31" s="432">
        <f ca="1">1-AC31</f>
        <v>0.93287595574512672</v>
      </c>
      <c r="AE31" s="433">
        <f ca="1">expenses/(AD31)</f>
        <v>57364.936538916205</v>
      </c>
      <c r="AF31" s="434">
        <f ca="1">+AE31-Revenue</f>
        <v>15131.426538916203</v>
      </c>
      <c r="AG31" s="435">
        <f ca="1">+AF31/$J$49</f>
        <v>16537.545147444256</v>
      </c>
      <c r="AH31" s="435">
        <f ca="1">+AG31*$J$47</f>
        <v>332.40465746362952</v>
      </c>
      <c r="AI31" s="433">
        <f ca="1">ROUND(+AH31+AE31,5)</f>
        <v>57697.341200000003</v>
      </c>
    </row>
    <row r="32" spans="1:35" ht="15.75">
      <c r="A32" s="358"/>
      <c r="B32" s="358"/>
      <c r="C32" s="358"/>
      <c r="D32" s="358"/>
      <c r="E32" s="358"/>
      <c r="F32" s="412">
        <f t="shared" si="0"/>
        <v>26</v>
      </c>
      <c r="G32" s="373"/>
      <c r="H32" s="385"/>
      <c r="I32" s="385"/>
      <c r="J32" s="385"/>
      <c r="K32" s="385"/>
      <c r="L32" s="373"/>
      <c r="M32" s="373"/>
      <c r="N32" s="373"/>
      <c r="O32" s="358"/>
      <c r="P32" s="358"/>
      <c r="R32" s="404">
        <v>2</v>
      </c>
      <c r="S32" s="405">
        <f ca="1">AI27/Investment*100</f>
        <v>357.5225996930327</v>
      </c>
      <c r="T32" s="419">
        <f ca="1">EXP(y_inter2-(slope*LN(+S32)))</f>
        <v>5.4131886013525561</v>
      </c>
      <c r="U32" s="407">
        <f ca="1">(+S32*T32/100)/100</f>
        <v>0.19353372613842576</v>
      </c>
      <c r="V32" s="407">
        <f>regDebt_weighted</f>
        <v>3.5860000000000003E-2</v>
      </c>
      <c r="W32" s="407">
        <f ca="1">+U32-V32</f>
        <v>0.15767372613842576</v>
      </c>
      <c r="X32" s="407">
        <f ca="1">+((W32*(1-0.34))-Pfd_weighted)/Equity_percent</f>
        <v>0.28451935828884012</v>
      </c>
      <c r="Y32" s="407">
        <f ca="1">+X32*equityP</f>
        <v>0.17071161497330406</v>
      </c>
      <c r="Z32" s="407">
        <f ca="1">+Y32/(1-taxrate)</f>
        <v>0.21609065186494184</v>
      </c>
      <c r="AA32" s="407">
        <f>debtP*Debt_Rate</f>
        <v>2.0000000000000004E-2</v>
      </c>
      <c r="AB32" s="407">
        <f ca="1">+AA32+Z32</f>
        <v>0.23609065186494183</v>
      </c>
      <c r="AC32" s="407">
        <f ca="1">+AB32/(S32/100)</f>
        <v>6.6035168704761102E-2</v>
      </c>
      <c r="AD32" s="407">
        <f ca="1">1-AC32</f>
        <v>0.93396483129523888</v>
      </c>
      <c r="AE32" s="408">
        <f ca="1">expenses/(AD32)</f>
        <v>57298.056850583256</v>
      </c>
      <c r="AF32" s="409">
        <f ca="1">+AE32-Revenue</f>
        <v>15064.546850583254</v>
      </c>
      <c r="AG32" s="410">
        <f ca="1">+AF32/$J$49</f>
        <v>16464.450527950939</v>
      </c>
      <c r="AH32" s="410">
        <f ca="1">+AG32*$J$47</f>
        <v>330.93545561181389</v>
      </c>
      <c r="AI32" s="408">
        <f ca="1">ROUND(+AH32+AE32,5)</f>
        <v>57628.992310000001</v>
      </c>
    </row>
    <row r="33" spans="1:46" ht="15.75">
      <c r="A33" s="358"/>
      <c r="B33" s="358"/>
      <c r="C33" s="358"/>
      <c r="D33" s="358"/>
      <c r="E33" s="358"/>
      <c r="F33" s="412">
        <f t="shared" si="0"/>
        <v>27</v>
      </c>
      <c r="G33" s="373"/>
      <c r="H33" s="385" t="s">
        <v>327</v>
      </c>
      <c r="I33" s="385"/>
      <c r="J33" s="473">
        <f ca="1">+K9/J28</f>
        <v>0.23193901005249182</v>
      </c>
      <c r="K33" s="473">
        <f ca="1">+(M14+M11)/J28</f>
        <v>0.1874318179414681</v>
      </c>
      <c r="L33" s="373"/>
      <c r="M33" s="373"/>
      <c r="N33" s="373"/>
      <c r="O33" s="358"/>
      <c r="P33" s="358"/>
      <c r="R33" s="413">
        <v>3</v>
      </c>
      <c r="S33" s="405">
        <f ca="1">AI28/Investment*100</f>
        <v>357.23713299476765</v>
      </c>
      <c r="T33" s="406">
        <f ca="1">EXP(y_inter3-(slope*LN(S33)))</f>
        <v>5.3634874608051675</v>
      </c>
      <c r="U33" s="407">
        <f ca="1">(+S33*T33/100)/100</f>
        <v>0.19160368833514241</v>
      </c>
      <c r="V33" s="407">
        <f>regDebt_weighted</f>
        <v>3.5860000000000003E-2</v>
      </c>
      <c r="W33" s="407">
        <f ca="1">+U33-V33</f>
        <v>0.15574368833514241</v>
      </c>
      <c r="X33" s="407">
        <f ca="1">+((W33*(1-0.34))-Pfd_weighted)/Equity_percent</f>
        <v>0.28081637878254062</v>
      </c>
      <c r="Y33" s="407">
        <f ca="1">+X33*equityP</f>
        <v>0.16848982726952436</v>
      </c>
      <c r="Z33" s="407">
        <f ca="1">+Y33/(1-taxrate)</f>
        <v>0.2132782623664865</v>
      </c>
      <c r="AA33" s="407">
        <f>debtP*Debt_Rate</f>
        <v>2.0000000000000004E-2</v>
      </c>
      <c r="AB33" s="407">
        <f ca="1">+AA33+Z33</f>
        <v>0.23327826236648652</v>
      </c>
      <c r="AC33" s="407">
        <f ca="1">+AB33/(S33/100)</f>
        <v>6.5300675887437293E-2</v>
      </c>
      <c r="AD33" s="407">
        <f ca="1">1-AC33</f>
        <v>0.93469932411256273</v>
      </c>
      <c r="AE33" s="408">
        <f ca="1">expenses/(AD33)</f>
        <v>57253.031664282491</v>
      </c>
      <c r="AF33" s="409">
        <f ca="1">+AE33-Revenue</f>
        <v>15019.521664282489</v>
      </c>
      <c r="AG33" s="410">
        <f ca="1">+AF33/$J$49</f>
        <v>16415.241284572206</v>
      </c>
      <c r="AH33" s="410">
        <f ca="1">+AG33*$J$47</f>
        <v>329.94634981990134</v>
      </c>
      <c r="AI33" s="408">
        <f ca="1">ROUND(+AH33+AE33,5)</f>
        <v>57582.978009999999</v>
      </c>
    </row>
    <row r="34" spans="1:46" ht="15.75">
      <c r="A34" s="358"/>
      <c r="B34" s="358"/>
      <c r="C34" s="358"/>
      <c r="D34" s="358"/>
      <c r="E34" s="358"/>
      <c r="F34" s="412">
        <f t="shared" si="0"/>
        <v>28</v>
      </c>
      <c r="G34" s="373"/>
      <c r="H34" s="385" t="s">
        <v>328</v>
      </c>
      <c r="I34" s="385"/>
      <c r="J34" s="473">
        <f ca="1">+(M9-M11)/J26</f>
        <v>0.35323168342081895</v>
      </c>
      <c r="K34" s="473">
        <f ca="1">+M14/J26</f>
        <v>0.27905302990244685</v>
      </c>
      <c r="L34" s="373"/>
      <c r="M34" s="373"/>
      <c r="N34" s="373"/>
      <c r="O34" s="474"/>
      <c r="P34" s="358"/>
      <c r="R34" s="416">
        <v>4</v>
      </c>
      <c r="S34" s="405">
        <f ca="1">AI29/Investment*100</f>
        <v>357.05459861604146</v>
      </c>
      <c r="T34" s="422">
        <f ca="1">EXP(y_inter4-(slope*LN(S34)))</f>
        <v>5.3316663610992947</v>
      </c>
      <c r="U34" s="407">
        <f ca="1">(+S34*T34/100)/100</f>
        <v>0.19036959925169591</v>
      </c>
      <c r="V34" s="407">
        <f>regDebt_weighted</f>
        <v>3.5860000000000003E-2</v>
      </c>
      <c r="W34" s="407">
        <f ca="1">+U34-V34</f>
        <v>0.15450959925169591</v>
      </c>
      <c r="X34" s="407">
        <f ca="1">+((W34*(1-0.34))-Pfd_weighted)/Equity_percent</f>
        <v>0.27844864972709099</v>
      </c>
      <c r="Y34" s="407">
        <f ca="1">+X34*equityP</f>
        <v>0.1670691898362546</v>
      </c>
      <c r="Z34" s="407">
        <f ca="1">+Y34/(1-taxrate)</f>
        <v>0.21147998713449948</v>
      </c>
      <c r="AA34" s="407">
        <f>debtP*Debt_Rate</f>
        <v>2.0000000000000004E-2</v>
      </c>
      <c r="AB34" s="407">
        <f ca="1">+AA34+Z34</f>
        <v>0.23147998713449947</v>
      </c>
      <c r="AC34" s="407">
        <f ca="1">+AB34/(S34/100)</f>
        <v>6.4830417541666047E-2</v>
      </c>
      <c r="AD34" s="407">
        <f ca="1">1-AC34</f>
        <v>0.93516958245833393</v>
      </c>
      <c r="AE34" s="408">
        <f ca="1">expenses/(AD34)</f>
        <v>57224.24146786693</v>
      </c>
      <c r="AF34" s="409">
        <f ca="1">+AE34-Revenue</f>
        <v>14990.731467866928</v>
      </c>
      <c r="AG34" s="410">
        <f ca="1">+AF34/$J$49</f>
        <v>16383.775700557268</v>
      </c>
      <c r="AH34" s="410">
        <f ca="1">+AG34*$J$47</f>
        <v>329.31389158120106</v>
      </c>
      <c r="AI34" s="408">
        <f ca="1">ROUND(+AH34+AE34,5)</f>
        <v>57553.555359999998</v>
      </c>
    </row>
    <row r="35" spans="1:46" ht="15.75">
      <c r="A35" s="358"/>
      <c r="B35" s="358"/>
      <c r="C35" s="358"/>
      <c r="D35" s="358"/>
      <c r="E35" s="358"/>
      <c r="F35" s="412">
        <f t="shared" si="0"/>
        <v>29</v>
      </c>
      <c r="G35" s="373"/>
      <c r="H35" s="475" t="s">
        <v>278</v>
      </c>
      <c r="I35" s="385"/>
      <c r="J35" s="473">
        <f ca="1">+K8/K7</f>
        <v>0.93469999999999998</v>
      </c>
      <c r="K35" s="473">
        <f ca="1">+M8/M7</f>
        <v>0.935074163577999</v>
      </c>
      <c r="L35" s="373"/>
      <c r="M35" s="373"/>
      <c r="N35" s="373"/>
      <c r="O35" s="358"/>
      <c r="P35" s="358"/>
      <c r="R35" s="375" t="s">
        <v>329</v>
      </c>
      <c r="X35" s="461"/>
      <c r="Y35" s="476"/>
      <c r="Z35" s="406"/>
      <c r="AA35" s="461"/>
      <c r="AC35" s="461"/>
      <c r="AD35" s="461"/>
      <c r="AE35" s="406"/>
      <c r="AF35" s="460"/>
      <c r="AH35" s="406"/>
    </row>
    <row r="36" spans="1:46" ht="15.75">
      <c r="A36" s="358"/>
      <c r="B36" s="358"/>
      <c r="C36" s="358"/>
      <c r="D36" s="358"/>
      <c r="E36" s="358"/>
      <c r="F36" s="412">
        <f t="shared" si="0"/>
        <v>30</v>
      </c>
      <c r="G36" s="373"/>
      <c r="H36" s="385" t="s">
        <v>330</v>
      </c>
      <c r="I36" s="385"/>
      <c r="J36" s="473">
        <f ca="1">+K9/K7</f>
        <v>6.5300000000000066E-2</v>
      </c>
      <c r="K36" s="473">
        <f ca="1">+J36</f>
        <v>6.5300000000000066E-2</v>
      </c>
      <c r="L36" s="373"/>
      <c r="M36" s="373"/>
      <c r="N36" s="373"/>
      <c r="O36" s="358"/>
      <c r="P36" s="358"/>
      <c r="R36" s="429">
        <v>1</v>
      </c>
      <c r="S36" s="430">
        <f ca="1">AI31/Investment*100</f>
        <v>357.94660208028051</v>
      </c>
      <c r="T36" s="431">
        <f ca="1">EXP(y_inter1-(slope*LN(+S36)))</f>
        <v>5.4868701590109739</v>
      </c>
      <c r="U36" s="432">
        <f ca="1">(+S36*T36/100)/100</f>
        <v>0.19640065294736664</v>
      </c>
      <c r="V36" s="432">
        <f>regDebt_weighted</f>
        <v>3.5860000000000003E-2</v>
      </c>
      <c r="W36" s="432">
        <f ca="1">+U36-V36</f>
        <v>0.16054065294736664</v>
      </c>
      <c r="X36" s="432">
        <f ca="1">+((W36*(1-0.34))-Pfd_weighted)/Equity_percent</f>
        <v>0.29001985739901737</v>
      </c>
      <c r="Y36" s="432">
        <f ca="1">+X36*equityP</f>
        <v>0.17401191443941041</v>
      </c>
      <c r="Z36" s="432">
        <f ca="1">+Y36/(1-taxrate)</f>
        <v>0.22026824612583595</v>
      </c>
      <c r="AA36" s="432">
        <f>debtP*Debt_Rate</f>
        <v>2.0000000000000004E-2</v>
      </c>
      <c r="AB36" s="432">
        <f ca="1">+AA36+Z36</f>
        <v>0.24026824612583597</v>
      </c>
      <c r="AC36" s="432">
        <f ca="1">+AB36/(S36/100)</f>
        <v>6.7124047198511588E-2</v>
      </c>
      <c r="AD36" s="432">
        <f ca="1">1-AC36</f>
        <v>0.93287595280148838</v>
      </c>
      <c r="AE36" s="433">
        <f ca="1">expenses/(AD36)</f>
        <v>57364.936719928082</v>
      </c>
      <c r="AF36" s="434">
        <f ca="1">+AE36-Revenue</f>
        <v>15131.42671992808</v>
      </c>
      <c r="AG36" s="435">
        <f ca="1">+AF36/$J$49</f>
        <v>16537.545345277031</v>
      </c>
      <c r="AH36" s="435">
        <f ca="1">+AG36*$J$47</f>
        <v>332.40466144006831</v>
      </c>
      <c r="AI36" s="433">
        <f ca="1">ROUND(+AH36+AE36,5)</f>
        <v>57697.341379999998</v>
      </c>
    </row>
    <row r="37" spans="1:46" ht="15.75">
      <c r="A37" s="358"/>
      <c r="B37" s="358"/>
      <c r="C37" s="358"/>
      <c r="D37" s="358"/>
      <c r="E37" s="358"/>
      <c r="F37" s="412">
        <f t="shared" si="0"/>
        <v>31</v>
      </c>
      <c r="G37" s="373"/>
      <c r="H37" s="385" t="s">
        <v>331</v>
      </c>
      <c r="I37" s="477"/>
      <c r="J37" s="478">
        <f ca="1">+S39/100</f>
        <v>3.5705457392465281</v>
      </c>
      <c r="K37" s="478">
        <f ca="1">+J37</f>
        <v>3.5705457392465281</v>
      </c>
      <c r="L37" s="373"/>
      <c r="M37" s="373"/>
      <c r="N37" s="373"/>
      <c r="O37" s="358"/>
      <c r="P37" s="358"/>
      <c r="R37" s="404">
        <v>2</v>
      </c>
      <c r="S37" s="405">
        <f ca="1">AI32/Investment*100</f>
        <v>357.5225746914507</v>
      </c>
      <c r="T37" s="419">
        <f ca="1">EXP(y_inter2-(slope*LN(+S37)))</f>
        <v>5.4131888601522125</v>
      </c>
      <c r="U37" s="407">
        <f ca="1">(+S37*T37/100)/100</f>
        <v>0.19353372185726983</v>
      </c>
      <c r="V37" s="407">
        <f>regDebt_weighted</f>
        <v>3.5860000000000003E-2</v>
      </c>
      <c r="W37" s="407">
        <f ca="1">+U37-V37</f>
        <v>0.15767372185726983</v>
      </c>
      <c r="X37" s="407">
        <f ca="1">+((W37*(1-0.34))-Pfd_weighted)/Equity_percent</f>
        <v>0.2845193500749944</v>
      </c>
      <c r="Y37" s="407">
        <f ca="1">+X37*equityP</f>
        <v>0.17071161004499663</v>
      </c>
      <c r="Z37" s="407">
        <f ca="1">+Y37/(1-taxrate)</f>
        <v>0.21609064562657801</v>
      </c>
      <c r="AA37" s="407">
        <f>debtP*Debt_Rate</f>
        <v>2.0000000000000004E-2</v>
      </c>
      <c r="AB37" s="407">
        <f ca="1">+AA37+Z37</f>
        <v>0.236090645626578</v>
      </c>
      <c r="AC37" s="407">
        <f ca="1">+AB37/(S37/100)</f>
        <v>6.6035171577718987E-2</v>
      </c>
      <c r="AD37" s="407">
        <f ca="1">1-AC37</f>
        <v>0.93396482842228101</v>
      </c>
      <c r="AE37" s="408">
        <f ca="1">expenses/(AD37)</f>
        <v>57298.057026837108</v>
      </c>
      <c r="AF37" s="409">
        <f ca="1">+AE37-Revenue</f>
        <v>15064.547026837106</v>
      </c>
      <c r="AG37" s="410">
        <f ca="1">+AF37/$J$49</f>
        <v>16464.45072058354</v>
      </c>
      <c r="AH37" s="410">
        <f ca="1">+AG37*$J$47</f>
        <v>330.93545948372912</v>
      </c>
      <c r="AI37" s="408">
        <f ca="1">ROUND(+AH37+AE37,5)</f>
        <v>57628.992489999997</v>
      </c>
    </row>
    <row r="38" spans="1:46" ht="15.75">
      <c r="A38" s="358"/>
      <c r="B38" s="358"/>
      <c r="C38" s="358"/>
      <c r="D38" s="358"/>
      <c r="E38" s="358"/>
      <c r="F38" s="412">
        <f t="shared" si="0"/>
        <v>32</v>
      </c>
      <c r="G38" s="373"/>
      <c r="H38" s="385" t="s">
        <v>332</v>
      </c>
      <c r="I38" s="373"/>
      <c r="J38" s="473">
        <f>+C10</f>
        <v>0.21</v>
      </c>
      <c r="K38" s="473">
        <f>+J38</f>
        <v>0.21</v>
      </c>
      <c r="L38" s="373"/>
      <c r="M38" s="373"/>
      <c r="N38" s="373"/>
      <c r="O38" s="358"/>
      <c r="P38" s="358"/>
      <c r="Q38" s="479"/>
      <c r="R38" s="413">
        <v>3</v>
      </c>
      <c r="S38" s="405">
        <f ca="1">AI33/Investment*100</f>
        <v>357.23710811726301</v>
      </c>
      <c r="T38" s="406">
        <f ca="1">EXP(y_inter3-(slope*LN(S38)))</f>
        <v>5.3634877161599697</v>
      </c>
      <c r="U38" s="407">
        <f ca="1">(+S38*T38/100)/100</f>
        <v>0.19160368411434511</v>
      </c>
      <c r="V38" s="407">
        <f>regDebt_weighted</f>
        <v>3.5860000000000003E-2</v>
      </c>
      <c r="W38" s="407">
        <f ca="1">+U38-V38</f>
        <v>0.15574368411434511</v>
      </c>
      <c r="X38" s="407">
        <f ca="1">+((W38*(1-0.34))-Pfd_weighted)/Equity_percent</f>
        <v>0.28081637068449933</v>
      </c>
      <c r="Y38" s="407">
        <f ca="1">+X38*equityP</f>
        <v>0.1684898224106996</v>
      </c>
      <c r="Z38" s="407">
        <f ca="1">+Y38/(1-taxrate)</f>
        <v>0.21327825621607543</v>
      </c>
      <c r="AA38" s="407">
        <f>debtP*Debt_Rate</f>
        <v>2.0000000000000004E-2</v>
      </c>
      <c r="AB38" s="407">
        <f ca="1">+AA38+Z38</f>
        <v>0.23327825621607545</v>
      </c>
      <c r="AC38" s="407">
        <f ca="1">+AB38/(S38/100)</f>
        <v>6.5300678713226493E-2</v>
      </c>
      <c r="AD38" s="407">
        <f ca="1">1-AC38</f>
        <v>0.93469932128677347</v>
      </c>
      <c r="AE38" s="408">
        <f ca="1">expenses/(AD38)</f>
        <v>57253.031837370239</v>
      </c>
      <c r="AF38" s="409">
        <f ca="1">+AE38-Revenue</f>
        <v>15019.521837370237</v>
      </c>
      <c r="AG38" s="410">
        <f ca="1">+AF38/$J$49</f>
        <v>16415.241473744485</v>
      </c>
      <c r="AH38" s="410">
        <f ca="1">+AG38*$J$47</f>
        <v>329.94635362226416</v>
      </c>
      <c r="AI38" s="408">
        <f ca="1">ROUND(+AH38+AE38,5)</f>
        <v>57582.978190000002</v>
      </c>
    </row>
    <row r="39" spans="1:46" ht="15.75">
      <c r="A39" s="358"/>
      <c r="B39" s="358"/>
      <c r="C39" s="358"/>
      <c r="D39" s="358"/>
      <c r="E39" s="358"/>
      <c r="F39" s="412">
        <f t="shared" si="0"/>
        <v>33</v>
      </c>
      <c r="G39" s="373"/>
      <c r="H39" s="373"/>
      <c r="I39" s="373"/>
      <c r="J39" s="373"/>
      <c r="K39" s="373"/>
      <c r="L39" s="373"/>
      <c r="M39" s="373"/>
      <c r="N39" s="373"/>
      <c r="O39" s="358"/>
      <c r="P39" s="358"/>
      <c r="R39" s="416">
        <v>4</v>
      </c>
      <c r="S39" s="405">
        <f ca="1">AI34/Investment*100</f>
        <v>357.0545739246528</v>
      </c>
      <c r="T39" s="422">
        <f ca="1">EXP(y_inter4-(slope*LN(S39)))</f>
        <v>5.3316666131688528</v>
      </c>
      <c r="U39" s="407">
        <f ca="1">(+S39*T39/100)/100</f>
        <v>0.19036959508733012</v>
      </c>
      <c r="V39" s="407">
        <f>regDebt_weighted</f>
        <v>3.5860000000000003E-2</v>
      </c>
      <c r="W39" s="407">
        <f ca="1">+U39-V39</f>
        <v>0.15450959508733011</v>
      </c>
      <c r="X39" s="407">
        <f ca="1">+((W39*(1-0.34))-Pfd_weighted)/Equity_percent</f>
        <v>0.27844864173731937</v>
      </c>
      <c r="Y39" s="407">
        <f ca="1">+X39*equityP</f>
        <v>0.16706918504239163</v>
      </c>
      <c r="Z39" s="407">
        <f ca="1">+Y39/(1-taxrate)</f>
        <v>0.21147998106631852</v>
      </c>
      <c r="AA39" s="407">
        <f>debtP*Debt_Rate</f>
        <v>2.0000000000000004E-2</v>
      </c>
      <c r="AB39" s="407">
        <f ca="1">+AA39+Z39</f>
        <v>0.23147998106631851</v>
      </c>
      <c r="AC39" s="407">
        <f ca="1">+AB39/(S39/100)</f>
        <v>6.4830420325372007E-2</v>
      </c>
      <c r="AD39" s="407">
        <f ca="1">1-AC39</f>
        <v>0.93516957967462799</v>
      </c>
      <c r="AE39" s="408">
        <f ca="1">expenses/(AD39)</f>
        <v>57224.241638205516</v>
      </c>
      <c r="AF39" s="409">
        <f ca="1">+AE39-Revenue</f>
        <v>14990.731638205514</v>
      </c>
      <c r="AG39" s="410">
        <f ca="1">+AF39/$J$49</f>
        <v>16383.775886724912</v>
      </c>
      <c r="AH39" s="410">
        <f ca="1">+AG39*$J$47</f>
        <v>329.31389532317075</v>
      </c>
      <c r="AI39" s="408">
        <f ca="1">ROUND(+AH39+AE39,5)</f>
        <v>57553.555529999998</v>
      </c>
    </row>
    <row r="40" spans="1:46" ht="15.75">
      <c r="A40" s="358"/>
      <c r="B40" s="358"/>
      <c r="C40" s="358"/>
      <c r="D40" s="358"/>
      <c r="E40" s="358"/>
      <c r="F40" s="412">
        <f t="shared" si="0"/>
        <v>34</v>
      </c>
      <c r="G40" s="477"/>
      <c r="H40" s="373"/>
      <c r="I40" s="373"/>
      <c r="J40" s="373"/>
      <c r="K40" s="373"/>
      <c r="L40" s="373"/>
      <c r="M40" s="373"/>
      <c r="N40" s="373"/>
      <c r="O40" s="358"/>
      <c r="P40" s="358"/>
      <c r="X40" s="461"/>
      <c r="Y40" s="476"/>
      <c r="Z40" s="406"/>
      <c r="AA40" s="461"/>
      <c r="AC40" s="461"/>
      <c r="AD40" s="461"/>
      <c r="AE40" s="406"/>
      <c r="AF40" s="460"/>
      <c r="AH40" s="406"/>
    </row>
    <row r="41" spans="1:46" ht="15.75">
      <c r="A41" s="358"/>
      <c r="B41" s="358"/>
      <c r="C41" s="358"/>
      <c r="D41" s="358"/>
      <c r="E41" s="358"/>
      <c r="F41" s="412">
        <f t="shared" si="0"/>
        <v>35</v>
      </c>
      <c r="G41" s="373"/>
      <c r="H41" s="470" t="s">
        <v>333</v>
      </c>
      <c r="I41" s="480"/>
      <c r="J41" s="373"/>
      <c r="K41" s="373"/>
      <c r="L41" s="373"/>
      <c r="M41" s="373"/>
      <c r="N41" s="373"/>
      <c r="O41" s="358"/>
      <c r="P41" s="358"/>
      <c r="R41" s="481" t="s">
        <v>334</v>
      </c>
      <c r="S41" s="482"/>
      <c r="T41" s="483"/>
      <c r="U41" s="483"/>
      <c r="V41" s="484"/>
      <c r="X41" s="485"/>
      <c r="Y41" s="476"/>
      <c r="Z41" s="406"/>
      <c r="AA41" s="461"/>
      <c r="AC41" s="461"/>
      <c r="AD41" s="461"/>
      <c r="AE41" s="406"/>
      <c r="AF41" s="460"/>
      <c r="AH41" s="406"/>
    </row>
    <row r="42" spans="1:46" ht="15.75">
      <c r="A42" s="358"/>
      <c r="B42" s="358"/>
      <c r="C42" s="358"/>
      <c r="D42" s="358"/>
      <c r="E42" s="358"/>
      <c r="F42" s="412">
        <f t="shared" si="0"/>
        <v>36</v>
      </c>
      <c r="G42" s="373"/>
      <c r="H42" s="373"/>
      <c r="I42" s="373"/>
      <c r="J42" s="486" t="s">
        <v>335</v>
      </c>
      <c r="K42" s="487" t="s">
        <v>279</v>
      </c>
      <c r="L42" s="373"/>
      <c r="M42" s="373"/>
      <c r="N42" s="373"/>
      <c r="O42" s="358"/>
      <c r="P42" s="358"/>
      <c r="R42" s="488" t="s">
        <v>336</v>
      </c>
      <c r="S42" s="489"/>
      <c r="V42" s="490"/>
      <c r="X42" s="461"/>
      <c r="Y42" s="476"/>
      <c r="Z42" s="406"/>
      <c r="AA42" s="461"/>
      <c r="AC42" s="461"/>
      <c r="AD42" s="461"/>
      <c r="AE42" s="406"/>
      <c r="AH42" s="406"/>
    </row>
    <row r="43" spans="1:46" ht="15.75">
      <c r="A43" s="358"/>
      <c r="B43" s="358"/>
      <c r="C43" s="358"/>
      <c r="D43" s="358"/>
      <c r="E43" s="358"/>
      <c r="F43" s="412">
        <f t="shared" si="0"/>
        <v>37</v>
      </c>
      <c r="G43" s="373"/>
      <c r="H43" s="385" t="s">
        <v>337</v>
      </c>
      <c r="I43" s="491"/>
      <c r="J43" s="492">
        <f>IF($A$65=TRUE,C11,0)</f>
        <v>1.4999999999999999E-2</v>
      </c>
      <c r="K43" s="493">
        <f ca="1">+J43*($J$7/$J$49)</f>
        <v>246.22794056045834</v>
      </c>
      <c r="L43" s="373"/>
      <c r="M43" s="373"/>
      <c r="N43" s="373"/>
      <c r="O43" s="358"/>
      <c r="P43" s="358"/>
      <c r="R43" s="413">
        <v>0</v>
      </c>
      <c r="S43" s="494">
        <v>1</v>
      </c>
      <c r="U43" s="495" t="s">
        <v>330</v>
      </c>
      <c r="V43" s="496">
        <f ca="1">VLOOKUP(R49,R36:AE39,12)</f>
        <v>6.5300678713226493E-2</v>
      </c>
      <c r="AA43" s="461"/>
      <c r="AC43" s="461"/>
      <c r="AH43" s="406"/>
      <c r="AL43" s="461"/>
      <c r="AM43" s="461"/>
      <c r="AN43" s="461"/>
      <c r="AO43" s="461"/>
      <c r="AP43" s="461"/>
      <c r="AQ43" s="461"/>
      <c r="AR43" s="461"/>
      <c r="AS43" s="461"/>
      <c r="AT43" s="461"/>
    </row>
    <row r="44" spans="1:46" ht="15.75">
      <c r="A44" s="358"/>
      <c r="B44" s="358"/>
      <c r="C44" s="358"/>
      <c r="D44" s="358"/>
      <c r="E44" s="358"/>
      <c r="F44" s="412">
        <f t="shared" si="0"/>
        <v>38</v>
      </c>
      <c r="G44" s="373"/>
      <c r="H44" s="385" t="s">
        <v>338</v>
      </c>
      <c r="I44" s="491"/>
      <c r="J44" s="492">
        <f>IF($A$65=TRUE,C12,0)</f>
        <v>5.1000000000000004E-3</v>
      </c>
      <c r="K44" s="493">
        <f ca="1">+J44*($J$7/$J$49)</f>
        <v>83.717499790555848</v>
      </c>
      <c r="L44" s="373"/>
      <c r="M44" s="373"/>
      <c r="N44" s="373"/>
      <c r="O44" s="358"/>
      <c r="P44" s="358"/>
      <c r="R44" s="413">
        <v>50</v>
      </c>
      <c r="S44" s="494">
        <v>2</v>
      </c>
      <c r="U44" s="495" t="s">
        <v>278</v>
      </c>
      <c r="V44" s="496">
        <f ca="1">ROUND(1-V43,5)</f>
        <v>0.93469999999999998</v>
      </c>
      <c r="Y44" s="497"/>
      <c r="Z44" s="375"/>
      <c r="AA44" s="375"/>
      <c r="AC44" s="461"/>
      <c r="AF44" s="460"/>
      <c r="AH44" s="406"/>
      <c r="AL44" s="461"/>
      <c r="AM44" s="461"/>
      <c r="AN44" s="461"/>
      <c r="AO44" s="461"/>
      <c r="AP44" s="461"/>
      <c r="AQ44" s="461"/>
      <c r="AR44" s="461"/>
      <c r="AS44" s="461"/>
      <c r="AT44" s="461"/>
    </row>
    <row r="45" spans="1:46" ht="15.75">
      <c r="A45" s="358"/>
      <c r="B45" s="358"/>
      <c r="C45" s="358"/>
      <c r="D45" s="358"/>
      <c r="E45" s="358"/>
      <c r="F45" s="412">
        <f t="shared" si="0"/>
        <v>39</v>
      </c>
      <c r="G45" s="373"/>
      <c r="H45" s="385" t="s">
        <v>339</v>
      </c>
      <c r="I45" s="491"/>
      <c r="J45" s="492">
        <f>IF($A$65=TRUE,C13,0)</f>
        <v>0</v>
      </c>
      <c r="K45" s="493">
        <f ca="1">+J45*($J$7/$J$49)</f>
        <v>0</v>
      </c>
      <c r="L45" s="373"/>
      <c r="M45" s="373"/>
      <c r="N45" s="373"/>
      <c r="O45" s="358"/>
      <c r="P45" s="358"/>
      <c r="R45" s="413">
        <v>125</v>
      </c>
      <c r="S45" s="494">
        <v>3</v>
      </c>
      <c r="U45" s="367" t="s">
        <v>340</v>
      </c>
      <c r="V45" s="498">
        <f ca="1">+M7/Revenue-1</f>
        <v>0.36344186653221389</v>
      </c>
      <c r="W45" s="410"/>
      <c r="X45" s="461"/>
      <c r="Y45" s="497"/>
      <c r="Z45" s="406"/>
      <c r="AA45" s="461"/>
      <c r="AC45" s="461"/>
      <c r="AD45" s="461"/>
      <c r="AE45" s="406"/>
      <c r="AF45" s="460"/>
      <c r="AH45" s="406"/>
      <c r="AL45" s="461"/>
      <c r="AM45" s="461"/>
      <c r="AN45" s="461"/>
      <c r="AO45" s="461"/>
      <c r="AP45" s="461"/>
      <c r="AQ45" s="461"/>
      <c r="AR45" s="461"/>
      <c r="AS45" s="461"/>
      <c r="AT45" s="461"/>
    </row>
    <row r="46" spans="1:46" ht="15.75">
      <c r="A46" s="358"/>
      <c r="B46" s="358"/>
      <c r="C46" s="358"/>
      <c r="D46" s="358"/>
      <c r="E46" s="358"/>
      <c r="F46" s="412">
        <f t="shared" si="0"/>
        <v>40</v>
      </c>
      <c r="G46" s="373"/>
      <c r="H46" s="385" t="s">
        <v>341</v>
      </c>
      <c r="I46" s="491"/>
      <c r="J46" s="492">
        <f>IF($A$65=TRUE,C14,0)</f>
        <v>0</v>
      </c>
      <c r="K46" s="493">
        <f ca="1">+J46*($J$7/$J$49)</f>
        <v>0</v>
      </c>
      <c r="L46" s="373"/>
      <c r="M46" s="373"/>
      <c r="N46" s="373"/>
      <c r="O46" s="358"/>
      <c r="P46" s="358"/>
      <c r="R46" s="416">
        <v>401</v>
      </c>
      <c r="S46" s="499">
        <v>4</v>
      </c>
      <c r="T46" s="500"/>
      <c r="U46" s="500"/>
      <c r="V46" s="501"/>
      <c r="X46" s="461"/>
      <c r="Y46" s="476"/>
      <c r="Z46" s="406"/>
      <c r="AA46" s="461"/>
      <c r="AC46" s="461"/>
      <c r="AD46" s="461"/>
      <c r="AE46" s="406"/>
      <c r="AF46" s="460"/>
      <c r="AH46" s="406"/>
      <c r="AL46" s="461"/>
      <c r="AM46" s="461"/>
      <c r="AN46" s="461"/>
      <c r="AO46" s="461"/>
      <c r="AP46" s="461"/>
      <c r="AQ46" s="461"/>
      <c r="AR46" s="461"/>
      <c r="AS46" s="461"/>
      <c r="AT46" s="461"/>
    </row>
    <row r="47" spans="1:46" ht="16.5" thickBot="1">
      <c r="A47" s="358"/>
      <c r="B47" s="358"/>
      <c r="C47" s="358"/>
      <c r="D47" s="358"/>
      <c r="E47" s="358"/>
      <c r="F47" s="412">
        <f t="shared" si="0"/>
        <v>41</v>
      </c>
      <c r="G47" s="373"/>
      <c r="H47" s="385" t="s">
        <v>342</v>
      </c>
      <c r="I47" s="477"/>
      <c r="J47" s="502">
        <f>SUM(J43:J46)</f>
        <v>2.01E-2</v>
      </c>
      <c r="K47" s="466">
        <f ca="1">+K43+K44+K45+K46</f>
        <v>329.94544035101421</v>
      </c>
      <c r="L47" s="373"/>
      <c r="M47" s="373"/>
      <c r="N47" s="373"/>
      <c r="O47" s="358"/>
      <c r="P47" s="358"/>
      <c r="R47" s="413"/>
      <c r="S47" s="375"/>
      <c r="X47" s="461"/>
      <c r="Y47" s="476"/>
      <c r="Z47" s="406"/>
      <c r="AA47" s="461"/>
      <c r="AC47" s="461"/>
      <c r="AD47" s="461"/>
      <c r="AE47" s="406"/>
      <c r="AF47" s="460"/>
      <c r="AH47" s="406"/>
      <c r="AL47" s="461"/>
      <c r="AM47" s="461"/>
      <c r="AN47" s="461"/>
      <c r="AO47" s="461"/>
      <c r="AP47" s="461"/>
      <c r="AQ47" s="461"/>
      <c r="AR47" s="461"/>
      <c r="AS47" s="461"/>
      <c r="AT47" s="461"/>
    </row>
    <row r="48" spans="1:46" ht="16.5" thickTop="1">
      <c r="A48" s="358"/>
      <c r="B48" s="358"/>
      <c r="C48" s="358"/>
      <c r="D48" s="358"/>
      <c r="E48" s="358"/>
      <c r="F48" s="412">
        <f t="shared" si="0"/>
        <v>42</v>
      </c>
      <c r="G48" s="373"/>
      <c r="H48" s="385"/>
      <c r="I48" s="477"/>
      <c r="J48" s="492"/>
      <c r="K48" s="403"/>
      <c r="L48" s="373"/>
      <c r="M48" s="373"/>
      <c r="N48" s="373"/>
      <c r="O48" s="358"/>
      <c r="P48" s="358"/>
      <c r="R48" s="503">
        <f ca="1">VLOOKUP(R49,R36:S39,2)</f>
        <v>357.23710811726301</v>
      </c>
      <c r="S48" s="504" t="s">
        <v>343</v>
      </c>
      <c r="T48" s="484"/>
      <c r="V48" s="483"/>
      <c r="X48" s="367" t="s">
        <v>344</v>
      </c>
      <c r="AC48" s="461"/>
      <c r="AF48" s="460"/>
      <c r="AH48" s="406"/>
    </row>
    <row r="49" spans="1:46" ht="15.75">
      <c r="A49" s="358"/>
      <c r="B49" s="358"/>
      <c r="C49" s="358"/>
      <c r="D49" s="358"/>
      <c r="E49" s="358"/>
      <c r="F49" s="412">
        <f t="shared" si="0"/>
        <v>43</v>
      </c>
      <c r="G49" s="379"/>
      <c r="H49" s="385" t="s">
        <v>345</v>
      </c>
      <c r="I49" s="373"/>
      <c r="J49" s="473">
        <f ca="1">((K35)-J47)</f>
        <v>0.91497416357799899</v>
      </c>
      <c r="K49" s="373"/>
      <c r="L49" s="373"/>
      <c r="M49" s="373"/>
      <c r="N49" s="373"/>
      <c r="O49" s="358"/>
      <c r="P49" s="358"/>
      <c r="R49" s="413">
        <f ca="1">VLOOKUP(S36,R43:S46,2)</f>
        <v>3</v>
      </c>
      <c r="S49" s="505" t="s">
        <v>346</v>
      </c>
      <c r="T49" s="490"/>
      <c r="X49" s="367" t="s">
        <v>347</v>
      </c>
      <c r="AA49" s="375"/>
      <c r="AC49" s="461"/>
      <c r="AH49" s="406"/>
    </row>
    <row r="50" spans="1:46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506"/>
      <c r="L50" s="358"/>
      <c r="M50" s="358"/>
      <c r="N50" s="507"/>
      <c r="O50" s="358"/>
      <c r="P50" s="358"/>
      <c r="R50" s="413"/>
      <c r="T50" s="490"/>
      <c r="X50" s="367" t="s">
        <v>348</v>
      </c>
      <c r="AA50" s="461"/>
      <c r="AC50" s="461"/>
      <c r="AD50" s="461"/>
      <c r="AE50" s="406"/>
      <c r="AH50" s="406"/>
    </row>
    <row r="51" spans="1:46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506"/>
      <c r="L51" s="358"/>
      <c r="M51" s="358"/>
      <c r="N51" s="507"/>
      <c r="O51" s="358"/>
      <c r="P51" s="358"/>
      <c r="R51" s="508">
        <f ca="1">+V44</f>
        <v>0.93469999999999998</v>
      </c>
      <c r="S51" s="500" t="s">
        <v>278</v>
      </c>
      <c r="T51" s="509"/>
      <c r="X51" s="367" t="s">
        <v>349</v>
      </c>
      <c r="AA51" s="461"/>
      <c r="AC51" s="461"/>
      <c r="AD51" s="461"/>
      <c r="AE51" s="406"/>
      <c r="AF51" s="461"/>
      <c r="AH51" s="406"/>
      <c r="AL51" s="461"/>
      <c r="AM51" s="461"/>
      <c r="AN51" s="461"/>
      <c r="AO51" s="461"/>
      <c r="AP51" s="461"/>
      <c r="AQ51" s="461"/>
      <c r="AR51" s="461"/>
      <c r="AS51" s="461"/>
      <c r="AT51" s="461"/>
    </row>
    <row r="52" spans="1:46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Z52" s="406"/>
      <c r="AA52" s="461"/>
      <c r="AC52" s="461"/>
      <c r="AD52" s="461"/>
      <c r="AE52" s="406"/>
      <c r="AF52" s="460"/>
      <c r="AH52" s="406"/>
      <c r="AL52" s="461"/>
      <c r="AM52" s="461"/>
      <c r="AN52" s="461"/>
      <c r="AO52" s="461"/>
      <c r="AP52" s="461"/>
      <c r="AQ52" s="461"/>
      <c r="AR52" s="461"/>
      <c r="AS52" s="461"/>
      <c r="AT52" s="461"/>
    </row>
    <row r="53" spans="1:46">
      <c r="A53" s="358"/>
      <c r="B53" s="358"/>
      <c r="C53" s="358"/>
      <c r="D53" s="358"/>
      <c r="E53" s="358"/>
      <c r="F53" s="358"/>
      <c r="G53" s="358"/>
      <c r="H53" s="358"/>
      <c r="I53" s="358"/>
      <c r="J53" s="510"/>
      <c r="K53" s="510"/>
      <c r="L53" s="510"/>
      <c r="M53" s="510"/>
      <c r="N53" s="358"/>
      <c r="O53" s="358"/>
      <c r="P53" s="358"/>
      <c r="R53" s="367"/>
      <c r="Z53" s="406"/>
      <c r="AA53" s="461"/>
      <c r="AC53" s="461"/>
      <c r="AD53" s="461"/>
      <c r="AE53" s="406"/>
      <c r="AF53" s="460"/>
      <c r="AH53" s="406"/>
      <c r="AL53" s="461"/>
      <c r="AM53" s="461"/>
      <c r="AN53" s="461"/>
      <c r="AO53" s="461"/>
      <c r="AP53" s="461"/>
      <c r="AQ53" s="461"/>
      <c r="AR53" s="461"/>
      <c r="AS53" s="461"/>
      <c r="AT53" s="461"/>
    </row>
    <row r="54" spans="1:46" ht="15.7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510"/>
      <c r="L54" s="510"/>
      <c r="M54" s="510"/>
      <c r="N54" s="358"/>
      <c r="O54" s="358"/>
      <c r="P54" s="358"/>
      <c r="R54" s="367"/>
      <c r="S54" s="367" t="s">
        <v>350</v>
      </c>
      <c r="T54" s="461"/>
      <c r="U54" s="511"/>
      <c r="W54" s="512" t="s">
        <v>351</v>
      </c>
      <c r="X54" s="513"/>
      <c r="Y54" s="513"/>
      <c r="Z54" s="513"/>
      <c r="AC54" s="461"/>
      <c r="AF54" s="460"/>
      <c r="AH54" s="406"/>
      <c r="AL54" s="461"/>
      <c r="AM54" s="461"/>
      <c r="AN54" s="461"/>
      <c r="AO54" s="461"/>
      <c r="AP54" s="461"/>
      <c r="AQ54" s="461"/>
      <c r="AR54" s="461"/>
      <c r="AS54" s="461"/>
      <c r="AT54" s="461"/>
    </row>
    <row r="55" spans="1:46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514"/>
      <c r="M55" s="514"/>
      <c r="N55" s="358"/>
      <c r="O55" s="358"/>
      <c r="P55" s="358"/>
      <c r="R55" s="515"/>
      <c r="S55" s="516" t="s">
        <v>317</v>
      </c>
      <c r="T55" s="516" t="s">
        <v>352</v>
      </c>
      <c r="U55" s="517" t="s">
        <v>320</v>
      </c>
      <c r="W55" s="518" t="s">
        <v>353</v>
      </c>
      <c r="X55" s="519">
        <v>5.7225999999999999</v>
      </c>
      <c r="Y55" s="520" t="s">
        <v>354</v>
      </c>
      <c r="Z55" s="521">
        <v>5.6985000000000001</v>
      </c>
      <c r="AA55" s="375"/>
      <c r="AC55" s="461"/>
      <c r="AH55" s="406"/>
    </row>
    <row r="56" spans="1:46">
      <c r="A56" s="358"/>
      <c r="B56" s="358"/>
      <c r="C56" s="358"/>
      <c r="D56" s="358"/>
      <c r="E56" s="358"/>
      <c r="F56" s="358"/>
      <c r="G56" s="358"/>
      <c r="H56" s="358"/>
      <c r="I56" s="358"/>
      <c r="J56" s="514"/>
      <c r="K56" s="358"/>
      <c r="L56" s="514"/>
      <c r="M56" s="514"/>
      <c r="N56" s="358"/>
      <c r="O56" s="358"/>
      <c r="P56" s="358"/>
      <c r="R56" s="368" t="s">
        <v>276</v>
      </c>
      <c r="S56" s="522">
        <v>0.56200000000000006</v>
      </c>
      <c r="T56" s="522">
        <v>6.3799999999999996E-2</v>
      </c>
      <c r="U56" s="496">
        <f>ROUND(+S56*T56,5)</f>
        <v>3.5860000000000003E-2</v>
      </c>
      <c r="W56" s="523" t="s">
        <v>355</v>
      </c>
      <c r="X56" s="524">
        <v>5.7082699999999997</v>
      </c>
      <c r="Y56" s="525" t="s">
        <v>356</v>
      </c>
      <c r="Z56" s="526">
        <v>5.6921999999999997</v>
      </c>
      <c r="AA56" s="461"/>
      <c r="AC56" s="461"/>
      <c r="AD56" s="461"/>
      <c r="AE56" s="406"/>
      <c r="AH56" s="406"/>
    </row>
    <row r="57" spans="1:46">
      <c r="A57" s="358"/>
      <c r="B57" s="358"/>
      <c r="C57" s="358"/>
      <c r="D57" s="358"/>
      <c r="E57" s="510"/>
      <c r="F57" s="358"/>
      <c r="G57" s="358"/>
      <c r="H57" s="358"/>
      <c r="I57" s="358"/>
      <c r="J57" s="514"/>
      <c r="K57" s="358"/>
      <c r="L57" s="514"/>
      <c r="M57" s="514"/>
      <c r="N57" s="358"/>
      <c r="O57" s="358"/>
      <c r="P57" s="358"/>
      <c r="R57" s="368" t="s">
        <v>357</v>
      </c>
      <c r="S57" s="522">
        <v>9.4E-2</v>
      </c>
      <c r="T57" s="522">
        <v>6.59E-2</v>
      </c>
      <c r="U57" s="496">
        <f>ROUND(+S57*T57,5)</f>
        <v>6.1900000000000002E-3</v>
      </c>
      <c r="W57" s="368"/>
      <c r="Y57" s="527"/>
      <c r="Z57" s="528"/>
      <c r="AA57" s="461"/>
      <c r="AC57" s="461"/>
      <c r="AD57" s="461"/>
      <c r="AE57" s="406"/>
      <c r="AF57" s="460"/>
      <c r="AH57" s="406"/>
      <c r="AL57" s="461"/>
    </row>
    <row r="58" spans="1:46" ht="15.75">
      <c r="A58" s="358"/>
      <c r="B58" s="358"/>
      <c r="C58" s="358"/>
      <c r="D58" s="358"/>
      <c r="E58" s="510"/>
      <c r="F58" s="510"/>
      <c r="G58" s="510"/>
      <c r="H58" s="529"/>
      <c r="I58" s="510"/>
      <c r="J58" s="514"/>
      <c r="K58" s="358"/>
      <c r="L58" s="358"/>
      <c r="M58" s="358"/>
      <c r="N58" s="358"/>
      <c r="O58" s="358"/>
      <c r="P58" s="358"/>
      <c r="R58" s="368" t="s">
        <v>274</v>
      </c>
      <c r="S58" s="530">
        <v>0.34399999999999997</v>
      </c>
      <c r="T58" s="531"/>
      <c r="U58" s="532"/>
      <c r="W58" s="533"/>
      <c r="X58" s="534" t="s">
        <v>358</v>
      </c>
      <c r="Y58" s="535">
        <v>0.68367</v>
      </c>
      <c r="Z58" s="536"/>
      <c r="AA58" s="461"/>
      <c r="AC58" s="461"/>
      <c r="AD58" s="461"/>
      <c r="AE58" s="406"/>
      <c r="AF58" s="460"/>
      <c r="AH58" s="406"/>
    </row>
    <row r="59" spans="1:46" ht="15.7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R59" s="533"/>
      <c r="S59" s="530">
        <f>SUM(S56:S58)</f>
        <v>1</v>
      </c>
      <c r="T59" s="537"/>
      <c r="U59" s="538"/>
      <c r="X59" s="461"/>
      <c r="Y59" s="476"/>
      <c r="Z59" s="406"/>
      <c r="AA59" s="461"/>
      <c r="AC59" s="461"/>
      <c r="AD59" s="461"/>
      <c r="AE59" s="406"/>
      <c r="AF59" s="460"/>
      <c r="AH59" s="406"/>
    </row>
    <row r="60" spans="1:46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X60" s="539"/>
      <c r="AC60" s="461"/>
      <c r="AF60" s="460"/>
      <c r="AH60" s="406"/>
      <c r="AL60" s="460"/>
      <c r="AM60" s="460"/>
      <c r="AN60" s="460"/>
      <c r="AO60" s="460"/>
      <c r="AP60" s="460"/>
      <c r="AQ60" s="460"/>
      <c r="AR60" s="460"/>
      <c r="AS60" s="460"/>
      <c r="AT60" s="460"/>
    </row>
    <row r="61" spans="1:46">
      <c r="A61" s="358"/>
      <c r="B61" s="358"/>
      <c r="C61" s="358"/>
      <c r="D61" s="358"/>
      <c r="E61" s="510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W61" s="515" t="s">
        <v>325</v>
      </c>
      <c r="X61" s="540"/>
      <c r="Y61" s="483" t="s">
        <v>359</v>
      </c>
      <c r="Z61" s="484" t="s">
        <v>257</v>
      </c>
      <c r="AC61" s="461"/>
      <c r="AH61" s="406"/>
      <c r="AL61" s="460"/>
      <c r="AM61" s="460"/>
      <c r="AN61" s="460"/>
      <c r="AO61" s="460"/>
      <c r="AP61" s="460"/>
      <c r="AQ61" s="460"/>
      <c r="AR61" s="460"/>
      <c r="AS61" s="460"/>
      <c r="AT61" s="460"/>
    </row>
    <row r="62" spans="1:46">
      <c r="A62" s="358"/>
      <c r="B62" s="358"/>
      <c r="C62" s="358"/>
      <c r="D62" s="358"/>
      <c r="E62" s="358"/>
      <c r="F62" s="510"/>
      <c r="G62" s="510"/>
      <c r="H62" s="510"/>
      <c r="I62" s="510"/>
      <c r="J62" s="510"/>
      <c r="K62" s="510"/>
      <c r="L62" s="510"/>
      <c r="M62" s="510"/>
      <c r="N62" s="510"/>
      <c r="O62" s="358"/>
      <c r="P62" s="358"/>
      <c r="W62" s="541"/>
      <c r="X62" s="542"/>
      <c r="Y62" s="542"/>
      <c r="Z62" s="543"/>
      <c r="AC62" s="461"/>
      <c r="AD62" s="461"/>
      <c r="AE62" s="406"/>
      <c r="AH62" s="406"/>
      <c r="AL62" s="460"/>
      <c r="AM62" s="460"/>
      <c r="AN62" s="460"/>
      <c r="AO62" s="460"/>
      <c r="AP62" s="460"/>
      <c r="AQ62" s="460"/>
      <c r="AR62" s="460"/>
      <c r="AS62" s="460"/>
      <c r="AT62" s="460"/>
    </row>
    <row r="63" spans="1:46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W63" s="368" t="s">
        <v>327</v>
      </c>
      <c r="X63" s="542"/>
      <c r="Y63" s="496">
        <f t="shared" ref="Y63:Z68" ca="1" si="1">+J33</f>
        <v>0.23193901005249182</v>
      </c>
      <c r="Z63" s="496">
        <f t="shared" ca="1" si="1"/>
        <v>0.1874318179414681</v>
      </c>
      <c r="AC63" s="461"/>
      <c r="AD63" s="461"/>
      <c r="AE63" s="406"/>
      <c r="AF63" s="460"/>
      <c r="AH63" s="406"/>
      <c r="AL63" s="460"/>
      <c r="AM63" s="460"/>
      <c r="AN63" s="460"/>
      <c r="AO63" s="460"/>
      <c r="AP63" s="460"/>
      <c r="AQ63" s="460"/>
      <c r="AR63" s="460"/>
      <c r="AS63" s="460"/>
      <c r="AT63" s="460"/>
    </row>
    <row r="64" spans="1:46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W64" s="368" t="s">
        <v>328</v>
      </c>
      <c r="X64" s="542"/>
      <c r="Y64" s="496">
        <f t="shared" ca="1" si="1"/>
        <v>0.35323168342081895</v>
      </c>
      <c r="Z64" s="496">
        <f t="shared" ca="1" si="1"/>
        <v>0.27905302990244685</v>
      </c>
      <c r="AC64" s="461"/>
      <c r="AD64" s="461"/>
      <c r="AE64" s="406"/>
      <c r="AF64" s="460"/>
      <c r="AH64" s="406"/>
    </row>
    <row r="65" spans="1:38">
      <c r="A65" s="367" t="b">
        <v>1</v>
      </c>
      <c r="F65" s="358"/>
      <c r="G65" s="358"/>
      <c r="H65" s="358"/>
      <c r="I65" s="358"/>
      <c r="J65" s="358"/>
      <c r="K65" s="358"/>
      <c r="L65" s="358"/>
      <c r="M65" s="358"/>
      <c r="N65" s="358"/>
      <c r="W65" s="368" t="s">
        <v>278</v>
      </c>
      <c r="X65" s="542"/>
      <c r="Y65" s="496">
        <f t="shared" ca="1" si="1"/>
        <v>0.93469999999999998</v>
      </c>
      <c r="Z65" s="496">
        <f t="shared" ca="1" si="1"/>
        <v>0.935074163577999</v>
      </c>
      <c r="AC65" s="461"/>
      <c r="AD65" s="461"/>
      <c r="AE65" s="406"/>
      <c r="AF65" s="460"/>
      <c r="AH65" s="406"/>
    </row>
    <row r="66" spans="1:38">
      <c r="H66" s="460"/>
      <c r="I66" s="460"/>
      <c r="J66" s="460"/>
      <c r="K66" s="460"/>
      <c r="L66" s="460"/>
      <c r="M66" s="460"/>
      <c r="N66" s="460"/>
      <c r="O66" s="460"/>
      <c r="W66" s="368" t="s">
        <v>330</v>
      </c>
      <c r="X66" s="542"/>
      <c r="Y66" s="496">
        <f t="shared" ca="1" si="1"/>
        <v>6.5300000000000066E-2</v>
      </c>
      <c r="Z66" s="496">
        <f t="shared" ca="1" si="1"/>
        <v>6.5300000000000066E-2</v>
      </c>
      <c r="AC66" s="461"/>
      <c r="AF66" s="460"/>
      <c r="AH66" s="406"/>
      <c r="AL66" s="460"/>
    </row>
    <row r="67" spans="1:38">
      <c r="H67" s="460"/>
      <c r="I67" s="460"/>
      <c r="J67" s="460"/>
      <c r="K67" s="460"/>
      <c r="L67" s="460"/>
      <c r="M67" s="460"/>
      <c r="N67" s="460"/>
      <c r="O67" s="460"/>
      <c r="W67" s="368" t="s">
        <v>331</v>
      </c>
      <c r="X67" s="545"/>
      <c r="Y67" s="496">
        <f t="shared" ca="1" si="1"/>
        <v>3.5705457392465281</v>
      </c>
      <c r="Z67" s="496">
        <f t="shared" ca="1" si="1"/>
        <v>3.5705457392465281</v>
      </c>
      <c r="AC67" s="461"/>
      <c r="AH67" s="406"/>
    </row>
    <row r="68" spans="1:38">
      <c r="O68" s="460"/>
      <c r="W68" s="368" t="s">
        <v>332</v>
      </c>
      <c r="X68" s="388"/>
      <c r="Y68" s="496">
        <f t="shared" si="1"/>
        <v>0.21</v>
      </c>
      <c r="Z68" s="496">
        <f t="shared" si="1"/>
        <v>0.21</v>
      </c>
      <c r="AC68" s="461"/>
      <c r="AD68" s="461"/>
      <c r="AE68" s="406"/>
      <c r="AH68" s="406"/>
    </row>
    <row r="69" spans="1:38" ht="15.75">
      <c r="O69" s="460"/>
      <c r="W69" s="368"/>
      <c r="Y69" s="531"/>
      <c r="Z69" s="546"/>
      <c r="AC69" s="461"/>
      <c r="AD69" s="461"/>
      <c r="AE69" s="406"/>
      <c r="AF69" s="460"/>
      <c r="AH69" s="406"/>
    </row>
    <row r="70" spans="1:38">
      <c r="O70" s="460"/>
      <c r="W70" s="533"/>
      <c r="X70" s="547"/>
      <c r="Y70" s="548"/>
      <c r="Z70" s="549"/>
      <c r="AA70" s="461"/>
      <c r="AC70" s="461"/>
      <c r="AD70" s="461"/>
      <c r="AE70" s="406"/>
      <c r="AF70" s="460"/>
      <c r="AH70" s="406"/>
    </row>
    <row r="71" spans="1:38">
      <c r="X71" s="461"/>
      <c r="Y71" s="476"/>
      <c r="Z71" s="406"/>
      <c r="AA71" s="461"/>
      <c r="AC71" s="461"/>
      <c r="AD71" s="461"/>
      <c r="AE71" s="406"/>
      <c r="AF71" s="460"/>
      <c r="AH71" s="406"/>
    </row>
    <row r="72" spans="1:38">
      <c r="AC72" s="461"/>
      <c r="AF72" s="460"/>
      <c r="AH72" s="406"/>
    </row>
    <row r="73" spans="1:38">
      <c r="Y73" s="375"/>
      <c r="Z73" s="375"/>
      <c r="AA73" s="375"/>
      <c r="AC73" s="461"/>
      <c r="AH73" s="406"/>
    </row>
    <row r="74" spans="1:38">
      <c r="X74" s="461"/>
      <c r="Y74" s="476"/>
      <c r="Z74" s="406"/>
      <c r="AA74" s="461"/>
      <c r="AC74" s="461"/>
      <c r="AD74" s="461"/>
      <c r="AE74" s="406"/>
      <c r="AH74" s="406"/>
    </row>
    <row r="75" spans="1:38">
      <c r="X75" s="461"/>
      <c r="Y75" s="476"/>
      <c r="Z75" s="406"/>
      <c r="AA75" s="461"/>
      <c r="AC75" s="461"/>
      <c r="AD75" s="461"/>
      <c r="AE75" s="406"/>
      <c r="AF75" s="460"/>
      <c r="AH75" s="406"/>
    </row>
    <row r="76" spans="1:38">
      <c r="X76" s="461"/>
      <c r="Y76" s="476"/>
      <c r="Z76" s="406"/>
      <c r="AA76" s="461"/>
      <c r="AC76" s="461"/>
      <c r="AD76" s="461"/>
      <c r="AE76" s="406"/>
      <c r="AF76" s="460"/>
      <c r="AH76" s="406"/>
    </row>
    <row r="77" spans="1:38">
      <c r="X77" s="461"/>
      <c r="Y77" s="476"/>
      <c r="Z77" s="406"/>
      <c r="AA77" s="461"/>
      <c r="AC77" s="461"/>
      <c r="AD77" s="461"/>
      <c r="AE77" s="406"/>
      <c r="AF77" s="460"/>
      <c r="AH77" s="406"/>
    </row>
    <row r="78" spans="1:38">
      <c r="AC78" s="461"/>
      <c r="AF78" s="460"/>
      <c r="AH78" s="406"/>
    </row>
    <row r="80" spans="1:38">
      <c r="X80" s="461"/>
      <c r="Y80" s="476"/>
      <c r="Z80" s="406"/>
      <c r="AA80" s="461"/>
      <c r="AD80" s="461"/>
      <c r="AE80" s="406"/>
    </row>
    <row r="81" spans="24:32">
      <c r="X81" s="461"/>
      <c r="Y81" s="476"/>
      <c r="Z81" s="406"/>
      <c r="AA81" s="461"/>
      <c r="AD81" s="461"/>
      <c r="AE81" s="406"/>
      <c r="AF81" s="460"/>
    </row>
    <row r="82" spans="24:32">
      <c r="X82" s="461"/>
      <c r="Y82" s="476"/>
      <c r="Z82" s="406"/>
      <c r="AA82" s="461"/>
      <c r="AD82" s="461"/>
      <c r="AE82" s="406"/>
      <c r="AF82" s="460"/>
    </row>
    <row r="83" spans="24:32">
      <c r="X83" s="461"/>
      <c r="Y83" s="476"/>
      <c r="Z83" s="406"/>
      <c r="AA83" s="461"/>
      <c r="AD83" s="461"/>
      <c r="AE83" s="406"/>
      <c r="AF83" s="460"/>
    </row>
    <row r="84" spans="24:32">
      <c r="AF84" s="460"/>
    </row>
    <row r="86" spans="24:32">
      <c r="X86" s="461"/>
      <c r="Y86" s="476"/>
      <c r="Z86" s="406"/>
      <c r="AA86" s="461"/>
      <c r="AD86" s="461"/>
      <c r="AE86" s="406"/>
    </row>
    <row r="87" spans="24:32">
      <c r="X87" s="461"/>
      <c r="Y87" s="476"/>
      <c r="Z87" s="406"/>
      <c r="AA87" s="461"/>
      <c r="AD87" s="461"/>
      <c r="AE87" s="406"/>
      <c r="AF87" s="460"/>
    </row>
    <row r="88" spans="24:32">
      <c r="X88" s="461"/>
      <c r="Y88" s="476"/>
      <c r="Z88" s="406"/>
      <c r="AA88" s="461"/>
      <c r="AD88" s="461"/>
      <c r="AE88" s="406"/>
      <c r="AF88" s="460"/>
    </row>
    <row r="89" spans="24:32">
      <c r="X89" s="461"/>
      <c r="Y89" s="476"/>
      <c r="Z89" s="406"/>
      <c r="AA89" s="461"/>
      <c r="AD89" s="461"/>
      <c r="AE89" s="406"/>
      <c r="AF89" s="460"/>
    </row>
    <row r="90" spans="24:32">
      <c r="AF90" s="460"/>
    </row>
    <row r="92" spans="24:32">
      <c r="X92" s="461"/>
      <c r="Y92" s="476"/>
      <c r="Z92" s="406"/>
      <c r="AA92" s="461"/>
      <c r="AD92" s="461"/>
      <c r="AE92" s="406"/>
    </row>
    <row r="93" spans="24:32">
      <c r="X93" s="461"/>
      <c r="Y93" s="476"/>
      <c r="Z93" s="406"/>
      <c r="AA93" s="461"/>
      <c r="AD93" s="461"/>
      <c r="AE93" s="406"/>
      <c r="AF93" s="460"/>
    </row>
    <row r="94" spans="24:32">
      <c r="X94" s="461"/>
      <c r="Y94" s="476"/>
      <c r="Z94" s="406"/>
      <c r="AA94" s="461"/>
      <c r="AD94" s="461"/>
      <c r="AE94" s="406"/>
      <c r="AF94" s="460"/>
    </row>
    <row r="95" spans="24:32">
      <c r="X95" s="461"/>
      <c r="Y95" s="476"/>
      <c r="Z95" s="406"/>
      <c r="AA95" s="461"/>
      <c r="AD95" s="461"/>
      <c r="AE95" s="406"/>
      <c r="AF95" s="460"/>
    </row>
    <row r="96" spans="24:32">
      <c r="AF96" s="460"/>
    </row>
    <row r="98" spans="24:32">
      <c r="X98" s="461"/>
      <c r="Y98" s="476"/>
      <c r="Z98" s="406"/>
      <c r="AA98" s="461"/>
      <c r="AD98" s="461"/>
      <c r="AE98" s="406"/>
    </row>
    <row r="99" spans="24:32">
      <c r="X99" s="461"/>
      <c r="Y99" s="476"/>
      <c r="Z99" s="406"/>
      <c r="AA99" s="461"/>
      <c r="AD99" s="461"/>
      <c r="AE99" s="406"/>
      <c r="AF99" s="460"/>
    </row>
    <row r="100" spans="24:32">
      <c r="X100" s="461"/>
      <c r="Y100" s="476"/>
      <c r="Z100" s="406"/>
      <c r="AA100" s="461"/>
      <c r="AD100" s="461"/>
      <c r="AE100" s="406"/>
      <c r="AF100" s="460"/>
    </row>
    <row r="101" spans="24:32">
      <c r="X101" s="461"/>
      <c r="Y101" s="476"/>
      <c r="Z101" s="406"/>
      <c r="AA101" s="461"/>
      <c r="AD101" s="461"/>
      <c r="AE101" s="406"/>
      <c r="AF101" s="460"/>
    </row>
    <row r="102" spans="24:32">
      <c r="AF102" s="460"/>
    </row>
    <row r="104" spans="24:32">
      <c r="X104" s="461"/>
      <c r="Y104" s="476"/>
      <c r="Z104" s="406"/>
      <c r="AA104" s="461"/>
      <c r="AD104" s="461"/>
      <c r="AE104" s="406"/>
    </row>
    <row r="105" spans="24:32">
      <c r="X105" s="461"/>
      <c r="Y105" s="476"/>
      <c r="Z105" s="406"/>
      <c r="AA105" s="461"/>
      <c r="AD105" s="461"/>
      <c r="AE105" s="406"/>
      <c r="AF105" s="460"/>
    </row>
    <row r="106" spans="24:32">
      <c r="X106" s="461"/>
      <c r="Y106" s="476"/>
      <c r="Z106" s="406"/>
      <c r="AA106" s="461"/>
      <c r="AD106" s="461"/>
      <c r="AE106" s="406"/>
      <c r="AF106" s="460"/>
    </row>
    <row r="107" spans="24:32">
      <c r="X107" s="461"/>
      <c r="Y107" s="476"/>
      <c r="Z107" s="406"/>
      <c r="AA107" s="461"/>
      <c r="AD107" s="461"/>
      <c r="AE107" s="406"/>
      <c r="AF107" s="460"/>
    </row>
    <row r="108" spans="24:32">
      <c r="AF108" s="460"/>
    </row>
    <row r="110" spans="24:32">
      <c r="X110" s="461"/>
      <c r="Y110" s="476"/>
      <c r="Z110" s="406"/>
      <c r="AA110" s="461"/>
      <c r="AD110" s="461"/>
      <c r="AE110" s="406"/>
    </row>
    <row r="111" spans="24:32">
      <c r="X111" s="461"/>
      <c r="Y111" s="476"/>
      <c r="Z111" s="406"/>
      <c r="AA111" s="461"/>
      <c r="AD111" s="461"/>
      <c r="AE111" s="406"/>
    </row>
    <row r="112" spans="24:32">
      <c r="X112" s="461"/>
      <c r="Y112" s="476"/>
      <c r="Z112" s="406"/>
      <c r="AA112" s="461"/>
      <c r="AD112" s="461"/>
      <c r="AE112" s="406"/>
    </row>
    <row r="113" spans="24:31">
      <c r="X113" s="461"/>
      <c r="Y113" s="476"/>
      <c r="Z113" s="406"/>
      <c r="AA113" s="461"/>
      <c r="AD113" s="461"/>
      <c r="AE113" s="406"/>
    </row>
  </sheetData>
  <mergeCells count="6">
    <mergeCell ref="B18:C18"/>
    <mergeCell ref="B2:C2"/>
    <mergeCell ref="AF2:AI2"/>
    <mergeCell ref="B15:C15"/>
    <mergeCell ref="C16:D16"/>
    <mergeCell ref="B17:C17"/>
  </mergeCells>
  <pageMargins left="0.25" right="0.25" top="0.3" bottom="0.44" header="0.23" footer="0.21"/>
  <pageSetup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heckBox1">
          <controlPr defaultSize="0" autoFill="0" autoLine="0" linkedCell="A65" r:id="rId5">
            <anchor moveWithCells="1">
              <from>
                <xdr:col>2</xdr:col>
                <xdr:colOff>95250</xdr:colOff>
                <xdr:row>14</xdr:row>
                <xdr:rowOff>171450</xdr:rowOff>
              </from>
              <to>
                <xdr:col>2</xdr:col>
                <xdr:colOff>361950</xdr:colOff>
                <xdr:row>16</xdr:row>
                <xdr:rowOff>19050</xdr:rowOff>
              </to>
            </anchor>
          </controlPr>
        </control>
      </mc:Choice>
      <mc:Fallback>
        <control shapeId="9217" r:id="rId4" name="Check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F5E3-B552-46E0-92B3-0F10AE024182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9873-9A88-4C87-BB39-FC1DC33E2D3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60DC-7032-43BA-A4E7-8ADF350D04A7}">
  <sheetPr codeName="Sheet1"/>
  <dimension ref="A1:J82"/>
  <sheetViews>
    <sheetView workbookViewId="0">
      <pane xSplit="6" ySplit="2" topLeftCell="G3" activePane="bottomRight" state="frozenSplit"/>
      <selection pane="topRight" activeCell="G1" sqref="G1"/>
      <selection pane="bottomLeft" activeCell="A2" sqref="A2"/>
      <selection pane="bottomRight" activeCell="G6" sqref="G6"/>
    </sheetView>
  </sheetViews>
  <sheetFormatPr defaultRowHeight="15"/>
  <cols>
    <col min="1" max="5" width="3" style="341" customWidth="1"/>
    <col min="6" max="6" width="31.7109375" style="341" customWidth="1"/>
    <col min="7" max="7" width="18.5703125" customWidth="1"/>
    <col min="8" max="8" width="14" customWidth="1"/>
    <col min="9" max="9" width="14.7109375" customWidth="1"/>
    <col min="10" max="10" width="14" customWidth="1"/>
  </cols>
  <sheetData>
    <row r="1" spans="1:10">
      <c r="F1" s="341" t="s">
        <v>199</v>
      </c>
      <c r="G1" t="s">
        <v>200</v>
      </c>
    </row>
    <row r="2" spans="1:10" s="306" customFormat="1" ht="30.75" thickBot="1">
      <c r="A2" s="342"/>
      <c r="B2" s="342"/>
      <c r="C2" s="342"/>
      <c r="D2" s="342"/>
      <c r="E2" s="342"/>
      <c r="F2" s="342"/>
      <c r="G2" s="343" t="s">
        <v>176</v>
      </c>
      <c r="H2" s="308" t="s">
        <v>201</v>
      </c>
      <c r="I2" s="308" t="s">
        <v>202</v>
      </c>
      <c r="J2" s="308" t="s">
        <v>203</v>
      </c>
    </row>
    <row r="3" spans="1:10" ht="15.75" thickTop="1">
      <c r="A3" s="344"/>
      <c r="B3" s="345" t="s">
        <v>204</v>
      </c>
      <c r="C3" s="345"/>
      <c r="D3" s="345"/>
      <c r="E3" s="345"/>
      <c r="F3" s="345"/>
      <c r="G3" s="346"/>
    </row>
    <row r="4" spans="1:10">
      <c r="A4" s="344"/>
      <c r="B4" s="345"/>
      <c r="C4" s="345"/>
      <c r="D4" s="345" t="s">
        <v>205</v>
      </c>
      <c r="E4" s="345"/>
      <c r="F4" s="345"/>
      <c r="G4" s="346"/>
    </row>
    <row r="5" spans="1:10">
      <c r="A5" s="344"/>
      <c r="B5" s="345"/>
      <c r="C5" s="345"/>
      <c r="D5" s="345"/>
      <c r="E5" s="345" t="s">
        <v>206</v>
      </c>
      <c r="F5" s="345"/>
      <c r="G5" s="347">
        <v>1.08</v>
      </c>
      <c r="H5" s="310"/>
      <c r="I5" s="310"/>
      <c r="J5" s="310">
        <f>G5+H5+I5</f>
        <v>1.08</v>
      </c>
    </row>
    <row r="6" spans="1:10">
      <c r="A6" s="344"/>
      <c r="B6" s="345"/>
      <c r="C6" s="345"/>
      <c r="D6" s="345"/>
      <c r="E6" s="345" t="s">
        <v>207</v>
      </c>
      <c r="F6" s="345"/>
      <c r="G6" s="347">
        <v>2</v>
      </c>
      <c r="H6" s="310"/>
      <c r="I6" s="310"/>
      <c r="J6" s="310">
        <f t="shared" ref="J6:J8" si="0">G6+H6+I6</f>
        <v>2</v>
      </c>
    </row>
    <row r="7" spans="1:10">
      <c r="A7" s="344"/>
      <c r="B7" s="345"/>
      <c r="C7" s="345"/>
      <c r="D7" s="345"/>
      <c r="E7" s="345" t="s">
        <v>208</v>
      </c>
      <c r="F7" s="345"/>
      <c r="G7" s="347">
        <v>205.43</v>
      </c>
      <c r="H7" s="310"/>
      <c r="I7" s="310"/>
      <c r="J7" s="310">
        <f t="shared" si="0"/>
        <v>205.43</v>
      </c>
    </row>
    <row r="8" spans="1:10" ht="15.75" thickBot="1">
      <c r="A8" s="344"/>
      <c r="B8" s="345"/>
      <c r="C8" s="345"/>
      <c r="D8" s="345"/>
      <c r="E8" s="345" t="s">
        <v>209</v>
      </c>
      <c r="F8" s="345"/>
      <c r="G8" s="348">
        <v>42025</v>
      </c>
      <c r="H8" s="313"/>
      <c r="I8" s="313"/>
      <c r="J8" s="313">
        <f t="shared" si="0"/>
        <v>42025</v>
      </c>
    </row>
    <row r="9" spans="1:10" ht="15.75" thickBot="1">
      <c r="A9" s="344"/>
      <c r="B9" s="345"/>
      <c r="C9" s="345"/>
      <c r="D9" s="345" t="s">
        <v>210</v>
      </c>
      <c r="E9" s="345"/>
      <c r="F9" s="345"/>
      <c r="G9" s="349">
        <f>ROUND(SUM(G4:G8),5)</f>
        <v>42233.51</v>
      </c>
      <c r="H9" s="310">
        <f>SUM(H5:H8)</f>
        <v>0</v>
      </c>
      <c r="I9" s="310">
        <f>SUM(I5:I8)</f>
        <v>0</v>
      </c>
      <c r="J9" s="310">
        <f>SUM(J5:J8)</f>
        <v>42233.51</v>
      </c>
    </row>
    <row r="10" spans="1:10">
      <c r="A10" s="344"/>
      <c r="B10" s="345"/>
      <c r="C10" s="345"/>
      <c r="D10" s="345"/>
      <c r="E10" s="345"/>
      <c r="F10" s="345"/>
      <c r="G10" s="347"/>
      <c r="H10" s="310"/>
      <c r="I10" s="310"/>
      <c r="J10" s="310"/>
    </row>
    <row r="11" spans="1:10">
      <c r="A11" s="344"/>
      <c r="B11" s="345"/>
      <c r="C11" s="345"/>
      <c r="D11" s="345" t="s">
        <v>211</v>
      </c>
      <c r="E11" s="345"/>
      <c r="F11" s="345"/>
      <c r="G11" s="347"/>
      <c r="H11" s="310"/>
      <c r="I11" s="310"/>
      <c r="J11" s="310"/>
    </row>
    <row r="12" spans="1:10">
      <c r="A12" s="344"/>
      <c r="B12" s="345"/>
      <c r="C12" s="345"/>
      <c r="D12" s="345"/>
      <c r="E12" s="345" t="s">
        <v>212</v>
      </c>
      <c r="F12" s="345"/>
      <c r="G12" s="350">
        <v>256</v>
      </c>
      <c r="H12" s="339">
        <f>'[23]Fixed Assets'!H11-'Pro Forma Income Statement'!G12</f>
        <v>5819.27</v>
      </c>
      <c r="I12" s="310"/>
      <c r="J12" s="310">
        <f>G12+H12+I12</f>
        <v>6075.27</v>
      </c>
    </row>
    <row r="13" spans="1:10">
      <c r="A13" s="344"/>
      <c r="B13" s="345"/>
      <c r="C13" s="345"/>
      <c r="D13" s="345"/>
      <c r="E13" s="345" t="s">
        <v>213</v>
      </c>
      <c r="F13" s="345"/>
      <c r="G13" s="350">
        <v>22620</v>
      </c>
      <c r="H13" s="339"/>
      <c r="I13" s="310"/>
      <c r="J13" s="310">
        <f>G13+H13+I13</f>
        <v>22620</v>
      </c>
    </row>
    <row r="14" spans="1:10">
      <c r="A14" s="344"/>
      <c r="B14" s="345"/>
      <c r="C14" s="345"/>
      <c r="D14" s="345"/>
      <c r="E14" s="345" t="s">
        <v>214</v>
      </c>
      <c r="F14" s="345"/>
      <c r="G14" s="350">
        <v>288</v>
      </c>
      <c r="H14" s="339"/>
      <c r="I14" s="310"/>
      <c r="J14" s="310">
        <f t="shared" ref="J14:J31" si="1">G14+H14+I14</f>
        <v>288</v>
      </c>
    </row>
    <row r="15" spans="1:10">
      <c r="A15" s="344"/>
      <c r="B15" s="345"/>
      <c r="C15" s="345"/>
      <c r="D15" s="345"/>
      <c r="E15" s="345" t="s">
        <v>215</v>
      </c>
      <c r="F15" s="345"/>
      <c r="G15" s="350">
        <v>82.13</v>
      </c>
      <c r="H15" s="339"/>
      <c r="I15" s="310"/>
      <c r="J15" s="310">
        <f t="shared" si="1"/>
        <v>82.13</v>
      </c>
    </row>
    <row r="16" spans="1:10">
      <c r="A16" s="344"/>
      <c r="B16" s="345"/>
      <c r="C16" s="345"/>
      <c r="D16" s="345"/>
      <c r="E16" s="345" t="s">
        <v>216</v>
      </c>
      <c r="F16" s="345"/>
      <c r="G16" s="350">
        <v>8140.87</v>
      </c>
      <c r="H16" s="339"/>
      <c r="I16" s="310"/>
      <c r="J16" s="310">
        <f t="shared" si="1"/>
        <v>8140.87</v>
      </c>
    </row>
    <row r="17" spans="1:10">
      <c r="A17" s="344"/>
      <c r="B17" s="345"/>
      <c r="C17" s="345"/>
      <c r="D17" s="345"/>
      <c r="E17" s="345" t="s">
        <v>217</v>
      </c>
      <c r="F17" s="345"/>
      <c r="G17" s="350"/>
      <c r="H17" s="339"/>
      <c r="I17" s="310"/>
      <c r="J17" s="310">
        <f t="shared" si="1"/>
        <v>0</v>
      </c>
    </row>
    <row r="18" spans="1:10">
      <c r="A18" s="344"/>
      <c r="B18" s="345"/>
      <c r="C18" s="345"/>
      <c r="D18" s="345"/>
      <c r="E18" s="345"/>
      <c r="F18" s="345" t="s">
        <v>218</v>
      </c>
      <c r="G18" s="351">
        <v>1000</v>
      </c>
      <c r="H18" s="339"/>
      <c r="I18" s="310"/>
      <c r="J18" s="310">
        <f t="shared" si="1"/>
        <v>1000</v>
      </c>
    </row>
    <row r="19" spans="1:10">
      <c r="A19" s="344"/>
      <c r="B19" s="345"/>
      <c r="C19" s="345"/>
      <c r="D19" s="345"/>
      <c r="E19" s="345" t="s">
        <v>219</v>
      </c>
      <c r="F19" s="345"/>
      <c r="G19" s="350">
        <v>32.26</v>
      </c>
      <c r="H19" s="339"/>
      <c r="I19" s="310"/>
      <c r="J19" s="310">
        <f t="shared" si="1"/>
        <v>32.26</v>
      </c>
    </row>
    <row r="20" spans="1:10">
      <c r="A20" s="344"/>
      <c r="B20" s="345"/>
      <c r="C20" s="345"/>
      <c r="D20" s="345"/>
      <c r="E20" s="345" t="s">
        <v>220</v>
      </c>
      <c r="F20" s="345"/>
      <c r="G20" s="350">
        <v>1370.59</v>
      </c>
      <c r="H20" s="339"/>
      <c r="I20" s="310"/>
      <c r="J20" s="310">
        <f t="shared" si="1"/>
        <v>1370.59</v>
      </c>
    </row>
    <row r="21" spans="1:10">
      <c r="A21" s="344"/>
      <c r="B21" s="345"/>
      <c r="C21" s="345"/>
      <c r="D21" s="345"/>
      <c r="E21" s="345" t="s">
        <v>221</v>
      </c>
      <c r="F21" s="345"/>
      <c r="G21" s="350">
        <v>220</v>
      </c>
      <c r="H21" s="339"/>
      <c r="I21" s="310"/>
      <c r="J21" s="310">
        <f t="shared" si="1"/>
        <v>220</v>
      </c>
    </row>
    <row r="22" spans="1:10">
      <c r="A22" s="344"/>
      <c r="B22" s="345"/>
      <c r="C22" s="345"/>
      <c r="D22" s="345"/>
      <c r="E22" s="345" t="s">
        <v>222</v>
      </c>
      <c r="F22" s="345"/>
      <c r="G22" s="350">
        <v>2985.38</v>
      </c>
      <c r="H22" s="339"/>
      <c r="I22" s="310"/>
      <c r="J22" s="310">
        <f t="shared" si="1"/>
        <v>2985.38</v>
      </c>
    </row>
    <row r="23" spans="1:10">
      <c r="A23" s="344"/>
      <c r="B23" s="345"/>
      <c r="C23" s="345"/>
      <c r="D23" s="345"/>
      <c r="E23" s="345" t="s">
        <v>223</v>
      </c>
      <c r="F23" s="345"/>
      <c r="G23" s="350">
        <v>1385.46</v>
      </c>
      <c r="H23" s="339"/>
      <c r="I23" s="310"/>
      <c r="J23" s="310">
        <f t="shared" si="1"/>
        <v>1385.46</v>
      </c>
    </row>
    <row r="24" spans="1:10">
      <c r="A24" s="344"/>
      <c r="B24" s="345"/>
      <c r="C24" s="345"/>
      <c r="D24" s="345"/>
      <c r="E24" s="345" t="s">
        <v>224</v>
      </c>
      <c r="F24" s="345"/>
      <c r="G24" s="350">
        <v>196.04</v>
      </c>
      <c r="H24" s="339"/>
      <c r="I24" s="310"/>
      <c r="J24" s="310">
        <f t="shared" si="1"/>
        <v>196.04</v>
      </c>
    </row>
    <row r="25" spans="1:10">
      <c r="A25" s="344"/>
      <c r="B25" s="345"/>
      <c r="C25" s="345"/>
      <c r="D25" s="345"/>
      <c r="E25" s="345" t="s">
        <v>225</v>
      </c>
      <c r="F25" s="345"/>
      <c r="G25" s="350">
        <v>2427</v>
      </c>
      <c r="H25" s="339"/>
      <c r="I25" s="310"/>
      <c r="J25" s="310">
        <f t="shared" si="1"/>
        <v>2427</v>
      </c>
    </row>
    <row r="26" spans="1:10">
      <c r="A26" s="344"/>
      <c r="B26" s="345"/>
      <c r="C26" s="345"/>
      <c r="D26" s="345"/>
      <c r="E26" s="345" t="s">
        <v>226</v>
      </c>
      <c r="F26" s="345"/>
      <c r="G26" s="350">
        <v>818.39</v>
      </c>
      <c r="H26" s="339"/>
      <c r="I26" s="310"/>
      <c r="J26" s="310">
        <f t="shared" si="1"/>
        <v>818.39</v>
      </c>
    </row>
    <row r="27" spans="1:10">
      <c r="A27" s="344"/>
      <c r="B27" s="345"/>
      <c r="C27" s="345"/>
      <c r="D27" s="345"/>
      <c r="E27" s="345" t="s">
        <v>227</v>
      </c>
      <c r="F27" s="345"/>
      <c r="G27" s="350">
        <v>3300</v>
      </c>
      <c r="H27" s="339"/>
      <c r="I27" s="310"/>
      <c r="J27" s="310">
        <f t="shared" si="1"/>
        <v>3300</v>
      </c>
    </row>
    <row r="28" spans="1:10">
      <c r="A28" s="344"/>
      <c r="B28" s="345"/>
      <c r="C28" s="345"/>
      <c r="D28" s="345"/>
      <c r="E28" s="345" t="s">
        <v>228</v>
      </c>
      <c r="F28" s="345"/>
      <c r="G28" s="350">
        <v>2219.64</v>
      </c>
      <c r="H28" s="339"/>
      <c r="I28" s="310"/>
      <c r="J28" s="310">
        <f t="shared" si="1"/>
        <v>2219.64</v>
      </c>
    </row>
    <row r="29" spans="1:10">
      <c r="A29" s="344"/>
      <c r="B29" s="345"/>
      <c r="C29" s="345"/>
      <c r="D29" s="345"/>
      <c r="E29" s="345" t="s">
        <v>229</v>
      </c>
      <c r="F29" s="345"/>
      <c r="G29" s="350">
        <v>256.5</v>
      </c>
      <c r="H29" s="339"/>
      <c r="I29" s="310"/>
      <c r="J29" s="310">
        <f t="shared" si="1"/>
        <v>256.5</v>
      </c>
    </row>
    <row r="30" spans="1:10">
      <c r="A30" s="344"/>
      <c r="B30" s="345"/>
      <c r="C30" s="345"/>
      <c r="D30" s="345"/>
      <c r="E30" s="345" t="s">
        <v>230</v>
      </c>
      <c r="F30" s="345"/>
      <c r="G30" s="350">
        <v>96.84</v>
      </c>
      <c r="H30" s="339"/>
      <c r="I30" s="310"/>
      <c r="J30" s="310">
        <f t="shared" si="1"/>
        <v>96.84</v>
      </c>
    </row>
    <row r="31" spans="1:10" ht="15.75" thickBot="1">
      <c r="A31" s="344"/>
      <c r="B31" s="345"/>
      <c r="C31" s="345"/>
      <c r="D31" s="345"/>
      <c r="E31" s="345" t="s">
        <v>231</v>
      </c>
      <c r="F31" s="345"/>
      <c r="G31" s="348">
        <v>0</v>
      </c>
      <c r="H31" s="313"/>
      <c r="I31" s="313"/>
      <c r="J31" s="313">
        <f t="shared" si="1"/>
        <v>0</v>
      </c>
    </row>
    <row r="32" spans="1:10">
      <c r="A32" s="344"/>
      <c r="B32" s="345"/>
      <c r="C32" s="345"/>
      <c r="D32" s="345" t="s">
        <v>232</v>
      </c>
      <c r="E32" s="345"/>
      <c r="F32" s="345"/>
      <c r="G32" s="352">
        <f>SUM(G12:G31)</f>
        <v>47695.099999999991</v>
      </c>
      <c r="H32" s="310">
        <f>SUM(H12:H31)</f>
        <v>5819.27</v>
      </c>
      <c r="I32" s="310">
        <f>SUM(I12:I31)</f>
        <v>0</v>
      </c>
      <c r="J32" s="310">
        <f>SUM(J12:J31)</f>
        <v>53514.369999999995</v>
      </c>
    </row>
    <row r="33" spans="1:10">
      <c r="A33" s="344"/>
      <c r="B33" s="345"/>
    </row>
    <row r="34" spans="1:10">
      <c r="A34" s="344"/>
      <c r="H34" s="310"/>
      <c r="I34" s="310"/>
      <c r="J34" s="310"/>
    </row>
    <row r="35" spans="1:10" s="341" customFormat="1" ht="15.75" thickBot="1">
      <c r="A35" s="344" t="s">
        <v>233</v>
      </c>
      <c r="H35" s="353"/>
      <c r="I35" s="354"/>
      <c r="J35" s="354"/>
    </row>
    <row r="36" spans="1:10" ht="15.75" thickBot="1">
      <c r="B36" s="345" t="s">
        <v>234</v>
      </c>
      <c r="C36" s="345"/>
      <c r="D36" s="345"/>
      <c r="E36" s="345"/>
      <c r="F36" s="345"/>
      <c r="G36" s="352">
        <f>ROUND(G3+G9-G32,5)</f>
        <v>-5461.59</v>
      </c>
      <c r="H36" s="348"/>
      <c r="I36" s="348"/>
      <c r="J36" s="352">
        <f t="shared" ref="J36" si="2">ROUND(J3+J9-J32,5)</f>
        <v>-11280.86</v>
      </c>
    </row>
    <row r="37" spans="1:10" ht="15.75" thickBot="1">
      <c r="B37" s="345"/>
      <c r="C37" s="345"/>
      <c r="D37" s="345"/>
      <c r="E37" s="345"/>
      <c r="F37" s="345"/>
      <c r="G37" s="355">
        <f>G36</f>
        <v>-5461.59</v>
      </c>
      <c r="H37" s="356"/>
      <c r="I37" s="356"/>
      <c r="J37" s="355">
        <f t="shared" ref="J37" si="3">J36</f>
        <v>-11280.86</v>
      </c>
    </row>
    <row r="38" spans="1:10" ht="15.75" thickTop="1">
      <c r="B38" s="357"/>
      <c r="C38" s="357"/>
      <c r="D38" s="357"/>
      <c r="E38" s="357"/>
      <c r="F38" s="357"/>
      <c r="G38" s="310"/>
      <c r="H38" s="310"/>
      <c r="I38" s="310"/>
      <c r="J38" s="310"/>
    </row>
    <row r="39" spans="1:10">
      <c r="B39" s="357"/>
      <c r="C39" s="357"/>
      <c r="D39" s="357"/>
      <c r="E39" s="357"/>
      <c r="F39" s="357"/>
      <c r="G39" s="310"/>
      <c r="H39" s="310"/>
      <c r="I39" s="310"/>
      <c r="J39" s="310"/>
    </row>
    <row r="40" spans="1:10">
      <c r="B40" s="357"/>
      <c r="C40" s="357"/>
      <c r="D40" s="357"/>
      <c r="E40" s="357"/>
      <c r="F40" s="357"/>
      <c r="G40" s="310"/>
      <c r="H40" s="310"/>
      <c r="I40" s="310"/>
      <c r="J40" s="310"/>
    </row>
    <row r="41" spans="1:10">
      <c r="B41" s="357"/>
      <c r="C41" s="357"/>
      <c r="D41" s="357"/>
      <c r="E41" s="357"/>
      <c r="F41" s="357"/>
      <c r="G41" s="310"/>
      <c r="H41" s="310"/>
      <c r="I41" s="310"/>
      <c r="J41" s="310"/>
    </row>
    <row r="42" spans="1:10">
      <c r="B42" s="357"/>
      <c r="C42" s="357"/>
      <c r="D42" s="357"/>
      <c r="E42" s="357"/>
      <c r="F42" s="357"/>
      <c r="G42" s="310"/>
      <c r="H42" s="310"/>
      <c r="I42" s="310"/>
      <c r="J42" s="310"/>
    </row>
    <row r="43" spans="1:10">
      <c r="B43" s="357"/>
      <c r="C43" s="357"/>
      <c r="D43" s="357"/>
      <c r="E43" s="357"/>
      <c r="F43" s="357"/>
      <c r="G43" s="310"/>
      <c r="H43" s="310"/>
      <c r="I43" s="310"/>
      <c r="J43" s="310"/>
    </row>
    <row r="44" spans="1:10">
      <c r="G44" s="310"/>
      <c r="H44" s="310"/>
      <c r="I44" s="310"/>
      <c r="J44" s="310"/>
    </row>
    <row r="45" spans="1:10">
      <c r="G45" s="310"/>
      <c r="H45" s="310"/>
      <c r="I45" s="310"/>
      <c r="J45" s="310"/>
    </row>
    <row r="46" spans="1:10">
      <c r="G46" s="310"/>
      <c r="H46" s="310"/>
      <c r="I46" s="310"/>
      <c r="J46" s="310"/>
    </row>
    <row r="47" spans="1:10">
      <c r="G47" s="310"/>
      <c r="H47" s="310"/>
      <c r="I47" s="310"/>
      <c r="J47" s="310"/>
    </row>
    <row r="48" spans="1:10">
      <c r="G48" s="310"/>
      <c r="H48" s="310"/>
      <c r="I48" s="310"/>
      <c r="J48" s="310"/>
    </row>
    <row r="49" spans="7:10">
      <c r="G49" s="310"/>
      <c r="H49" s="310"/>
      <c r="I49" s="310"/>
      <c r="J49" s="310"/>
    </row>
    <row r="50" spans="7:10">
      <c r="G50" s="310"/>
      <c r="H50" s="310"/>
      <c r="I50" s="310"/>
      <c r="J50" s="310"/>
    </row>
    <row r="51" spans="7:10">
      <c r="G51" s="310"/>
      <c r="H51" s="310"/>
      <c r="I51" s="310"/>
      <c r="J51" s="310"/>
    </row>
    <row r="52" spans="7:10">
      <c r="G52" s="310"/>
      <c r="H52" s="310"/>
      <c r="I52" s="310"/>
      <c r="J52" s="310"/>
    </row>
    <row r="53" spans="7:10">
      <c r="G53" s="310"/>
      <c r="H53" s="310"/>
      <c r="I53" s="310"/>
      <c r="J53" s="310"/>
    </row>
    <row r="54" spans="7:10">
      <c r="G54" s="310"/>
      <c r="H54" s="310"/>
      <c r="I54" s="310"/>
      <c r="J54" s="310"/>
    </row>
    <row r="55" spans="7:10">
      <c r="G55" s="310"/>
      <c r="H55" s="310"/>
      <c r="I55" s="310"/>
      <c r="J55" s="310"/>
    </row>
    <row r="56" spans="7:10">
      <c r="G56" s="310"/>
      <c r="H56" s="310"/>
      <c r="I56" s="310"/>
      <c r="J56" s="310"/>
    </row>
    <row r="57" spans="7:10">
      <c r="G57" s="310"/>
      <c r="H57" s="310"/>
      <c r="I57" s="310"/>
      <c r="J57" s="310"/>
    </row>
    <row r="58" spans="7:10">
      <c r="G58" s="310"/>
      <c r="H58" s="310"/>
      <c r="I58" s="310"/>
      <c r="J58" s="310"/>
    </row>
    <row r="59" spans="7:10">
      <c r="G59" s="310"/>
      <c r="H59" s="310"/>
      <c r="I59" s="310"/>
      <c r="J59" s="310"/>
    </row>
    <row r="60" spans="7:10">
      <c r="G60" s="310"/>
      <c r="H60" s="310"/>
      <c r="I60" s="310"/>
      <c r="J60" s="310"/>
    </row>
    <row r="61" spans="7:10">
      <c r="G61" s="310"/>
      <c r="H61" s="310"/>
      <c r="I61" s="310"/>
      <c r="J61" s="310"/>
    </row>
    <row r="62" spans="7:10">
      <c r="G62" s="310"/>
      <c r="H62" s="310"/>
      <c r="I62" s="310"/>
      <c r="J62" s="310"/>
    </row>
    <row r="63" spans="7:10">
      <c r="G63" s="310"/>
      <c r="H63" s="310"/>
      <c r="I63" s="310"/>
      <c r="J63" s="310"/>
    </row>
    <row r="64" spans="7:10">
      <c r="G64" s="310"/>
      <c r="H64" s="310"/>
      <c r="I64" s="310"/>
      <c r="J64" s="310"/>
    </row>
    <row r="65" spans="7:10">
      <c r="G65" s="310"/>
      <c r="H65" s="310"/>
      <c r="I65" s="310"/>
      <c r="J65" s="310"/>
    </row>
    <row r="66" spans="7:10">
      <c r="G66" s="310"/>
      <c r="H66" s="310"/>
      <c r="I66" s="310"/>
      <c r="J66" s="310"/>
    </row>
    <row r="67" spans="7:10">
      <c r="G67" s="310"/>
      <c r="H67" s="310"/>
      <c r="I67" s="310"/>
      <c r="J67" s="310"/>
    </row>
    <row r="68" spans="7:10">
      <c r="G68" s="310"/>
      <c r="H68" s="310"/>
      <c r="I68" s="310"/>
      <c r="J68" s="310"/>
    </row>
    <row r="69" spans="7:10">
      <c r="G69" s="310"/>
      <c r="H69" s="310"/>
      <c r="I69" s="310"/>
      <c r="J69" s="310"/>
    </row>
    <row r="70" spans="7:10">
      <c r="G70" s="310"/>
      <c r="H70" s="310"/>
      <c r="I70" s="310"/>
      <c r="J70" s="310"/>
    </row>
    <row r="71" spans="7:10">
      <c r="G71" s="310"/>
      <c r="H71" s="310"/>
      <c r="I71" s="310"/>
      <c r="J71" s="310"/>
    </row>
    <row r="72" spans="7:10">
      <c r="G72" s="310"/>
      <c r="H72" s="310"/>
      <c r="I72" s="310"/>
      <c r="J72" s="310"/>
    </row>
    <row r="73" spans="7:10">
      <c r="G73" s="310"/>
      <c r="H73" s="310"/>
      <c r="I73" s="310"/>
      <c r="J73" s="310"/>
    </row>
    <row r="74" spans="7:10">
      <c r="G74" s="310"/>
      <c r="H74" s="310"/>
      <c r="I74" s="310"/>
      <c r="J74" s="310"/>
    </row>
    <row r="75" spans="7:10">
      <c r="G75" s="310"/>
      <c r="H75" s="310"/>
      <c r="I75" s="310"/>
      <c r="J75" s="310"/>
    </row>
    <row r="76" spans="7:10">
      <c r="G76" s="310"/>
      <c r="H76" s="310"/>
      <c r="I76" s="310"/>
      <c r="J76" s="310"/>
    </row>
    <row r="77" spans="7:10">
      <c r="G77" s="310"/>
      <c r="H77" s="310"/>
      <c r="I77" s="310"/>
      <c r="J77" s="310"/>
    </row>
    <row r="78" spans="7:10">
      <c r="G78" s="310"/>
      <c r="H78" s="310"/>
      <c r="I78" s="310"/>
      <c r="J78" s="310"/>
    </row>
    <row r="79" spans="7:10">
      <c r="G79" s="310"/>
      <c r="H79" s="310"/>
      <c r="I79" s="310"/>
      <c r="J79" s="310"/>
    </row>
    <row r="80" spans="7:10">
      <c r="G80" s="310"/>
      <c r="H80" s="310"/>
      <c r="I80" s="310"/>
      <c r="J80" s="310"/>
    </row>
    <row r="81" spans="7:10">
      <c r="G81" s="310"/>
      <c r="H81" s="310"/>
      <c r="I81" s="310"/>
      <c r="J81" s="310"/>
    </row>
    <row r="82" spans="7:10">
      <c r="G82" s="310"/>
      <c r="H82" s="310"/>
      <c r="I82" s="310"/>
      <c r="J82" s="310"/>
    </row>
  </sheetData>
  <pageMargins left="0.7" right="0.7" top="0.75" bottom="0.75" header="0.1" footer="0.3"/>
  <pageSetup orientation="portrait" r:id="rId1"/>
  <headerFooter>
    <oddHeader>&amp;L&amp;"Arial,Bold"&amp;8 5:24 PM
&amp;"Arial,Bold"&amp;8 08/18/21
&amp;"Arial,Bold"&amp;8 Accrual Basis&amp;C&amp;"Arial,Bold"&amp;12 Lamb's Disposal
&amp;"Arial,Bold"&amp;14 Profit &amp;&amp; Loss
&amp;"Arial,Bold"&amp;10 March 1, 2020 through March 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1</xdr:row>
                <xdr:rowOff>228600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1</xdr:row>
                <xdr:rowOff>228600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DFC2-5BC0-41B9-8471-83CD1C4B99C6}">
  <dimension ref="A2:U11"/>
  <sheetViews>
    <sheetView workbookViewId="0">
      <selection activeCell="D17" sqref="D17"/>
    </sheetView>
  </sheetViews>
  <sheetFormatPr defaultRowHeight="15"/>
  <cols>
    <col min="4" max="4" width="12.85546875" customWidth="1"/>
    <col min="5" max="5" width="4.5703125" customWidth="1"/>
    <col min="6" max="6" width="13.140625" customWidth="1"/>
    <col min="7" max="7" width="9.5703125" customWidth="1"/>
    <col min="8" max="8" width="12.28515625" customWidth="1"/>
    <col min="9" max="9" width="12.42578125" customWidth="1"/>
    <col min="10" max="10" width="15.140625" customWidth="1"/>
    <col min="11" max="11" width="12.7109375" customWidth="1"/>
  </cols>
  <sheetData>
    <row r="2" spans="1:21">
      <c r="C2" t="s">
        <v>409</v>
      </c>
      <c r="H2" t="s">
        <v>410</v>
      </c>
    </row>
    <row r="4" spans="1:21" ht="45">
      <c r="D4" t="s">
        <v>411</v>
      </c>
      <c r="F4" t="s">
        <v>412</v>
      </c>
      <c r="G4" s="308" t="s">
        <v>413</v>
      </c>
      <c r="H4" s="307" t="s">
        <v>414</v>
      </c>
      <c r="I4" s="307" t="s">
        <v>415</v>
      </c>
      <c r="J4" s="307" t="s">
        <v>416</v>
      </c>
      <c r="K4" s="307" t="s">
        <v>286</v>
      </c>
      <c r="N4" t="s">
        <v>417</v>
      </c>
      <c r="O4" t="s">
        <v>418</v>
      </c>
      <c r="P4" t="s">
        <v>419</v>
      </c>
      <c r="Q4" t="s">
        <v>420</v>
      </c>
      <c r="R4">
        <v>2017</v>
      </c>
      <c r="S4">
        <v>2018</v>
      </c>
      <c r="T4">
        <v>2019</v>
      </c>
      <c r="U4">
        <v>2020</v>
      </c>
    </row>
    <row r="5" spans="1:21">
      <c r="A5" t="s">
        <v>421</v>
      </c>
      <c r="D5" s="576">
        <v>41472</v>
      </c>
      <c r="F5" s="310">
        <v>39465</v>
      </c>
      <c r="G5">
        <v>10</v>
      </c>
      <c r="H5" s="577">
        <f>F5/G5</f>
        <v>3946.5</v>
      </c>
      <c r="I5" s="577">
        <f>H5*7</f>
        <v>27625.5</v>
      </c>
      <c r="J5" s="577">
        <f>I5+H5</f>
        <v>31572</v>
      </c>
      <c r="K5" s="577">
        <f>F5-J5</f>
        <v>7893</v>
      </c>
      <c r="N5">
        <v>7893</v>
      </c>
      <c r="O5">
        <v>12629</v>
      </c>
      <c r="P5">
        <v>7577</v>
      </c>
      <c r="Q5">
        <v>4546</v>
      </c>
      <c r="R5">
        <v>4546</v>
      </c>
      <c r="S5">
        <v>2274</v>
      </c>
      <c r="T5">
        <v>0</v>
      </c>
      <c r="U5">
        <v>0</v>
      </c>
    </row>
    <row r="6" spans="1:21">
      <c r="F6" s="310"/>
      <c r="H6" s="577"/>
      <c r="I6" s="577"/>
      <c r="J6" s="577"/>
      <c r="K6" s="577"/>
    </row>
    <row r="7" spans="1:21">
      <c r="A7" t="s">
        <v>422</v>
      </c>
      <c r="D7" s="576">
        <v>41904</v>
      </c>
      <c r="F7" s="310">
        <v>2891</v>
      </c>
      <c r="G7">
        <v>10</v>
      </c>
      <c r="H7" s="577">
        <f>F7/G7</f>
        <v>289.10000000000002</v>
      </c>
      <c r="I7" s="577">
        <f>H7*6</f>
        <v>1734.6000000000001</v>
      </c>
      <c r="J7" s="577">
        <f>I7+H7</f>
        <v>2023.7000000000003</v>
      </c>
      <c r="K7" s="577">
        <f>F7-J7</f>
        <v>867.29999999999973</v>
      </c>
      <c r="O7">
        <v>310</v>
      </c>
      <c r="P7">
        <v>737</v>
      </c>
      <c r="Q7">
        <v>527</v>
      </c>
      <c r="R7">
        <v>376</v>
      </c>
      <c r="S7">
        <v>269</v>
      </c>
      <c r="T7">
        <v>256</v>
      </c>
      <c r="U7">
        <v>256</v>
      </c>
    </row>
    <row r="8" spans="1:21">
      <c r="F8" s="310"/>
      <c r="H8" s="577"/>
      <c r="I8" s="577"/>
      <c r="J8" s="577"/>
      <c r="K8" s="577"/>
    </row>
    <row r="9" spans="1:21">
      <c r="A9" t="s">
        <v>423</v>
      </c>
      <c r="D9" s="576">
        <v>44006</v>
      </c>
      <c r="F9" s="310">
        <v>9198.35</v>
      </c>
      <c r="G9">
        <v>5</v>
      </c>
      <c r="H9" s="577">
        <f>F9/G9</f>
        <v>1839.67</v>
      </c>
      <c r="I9" s="577">
        <v>0</v>
      </c>
      <c r="J9" s="577">
        <f>H9</f>
        <v>1839.67</v>
      </c>
      <c r="K9" s="577">
        <f>F9-J9</f>
        <v>7358.68</v>
      </c>
    </row>
    <row r="11" spans="1:21">
      <c r="F11" s="311">
        <f>SUM(F5:F9)</f>
        <v>51554.35</v>
      </c>
      <c r="G11" s="330" t="s">
        <v>424</v>
      </c>
      <c r="H11" s="578">
        <f>SUM(H5:H9)</f>
        <v>6075.27</v>
      </c>
      <c r="J11" t="s">
        <v>425</v>
      </c>
      <c r="K11" s="578">
        <f>SUM(K5:K9)</f>
        <v>16118.98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E29B-A9AC-4418-9E76-3D7CD5BFC0F9}">
  <dimension ref="B1:D53"/>
  <sheetViews>
    <sheetView workbookViewId="0">
      <selection activeCell="D20" sqref="D20"/>
    </sheetView>
  </sheetViews>
  <sheetFormatPr defaultRowHeight="15"/>
  <cols>
    <col min="3" max="3" width="48.7109375" customWidth="1"/>
    <col min="4" max="4" width="24.28515625" customWidth="1"/>
  </cols>
  <sheetData>
    <row r="1" spans="2:4">
      <c r="C1" t="s">
        <v>360</v>
      </c>
    </row>
    <row r="2" spans="2:4" ht="15.75" thickBot="1"/>
    <row r="3" spans="2:4">
      <c r="B3" s="550"/>
      <c r="C3" s="551" t="s">
        <v>361</v>
      </c>
      <c r="D3" s="552"/>
    </row>
    <row r="4" spans="2:4">
      <c r="B4" s="553">
        <v>1</v>
      </c>
      <c r="C4" s="554" t="s">
        <v>362</v>
      </c>
      <c r="D4" s="555">
        <v>991.23</v>
      </c>
    </row>
    <row r="5" spans="2:4">
      <c r="B5" s="553">
        <v>6</v>
      </c>
      <c r="C5" s="554" t="s">
        <v>363</v>
      </c>
      <c r="D5" s="555">
        <v>42025</v>
      </c>
    </row>
    <row r="6" spans="2:4">
      <c r="B6" s="553">
        <v>7</v>
      </c>
      <c r="C6" s="556" t="s">
        <v>364</v>
      </c>
      <c r="D6" s="555">
        <v>876</v>
      </c>
    </row>
    <row r="7" spans="2:4">
      <c r="B7" s="553">
        <v>8</v>
      </c>
      <c r="C7" s="556" t="s">
        <v>365</v>
      </c>
      <c r="D7" s="557">
        <f>IF(OR(D5&lt;&gt;"",D6&lt;&gt;""),IF(D5="",0,D5)-IF(D6="",0,D6),"")</f>
        <v>41149</v>
      </c>
    </row>
    <row r="8" spans="2:4">
      <c r="B8" s="553">
        <v>9</v>
      </c>
      <c r="C8" s="558" t="s">
        <v>366</v>
      </c>
      <c r="D8" s="555">
        <v>709.38</v>
      </c>
    </row>
    <row r="9" spans="2:4">
      <c r="B9" s="553">
        <v>10</v>
      </c>
      <c r="C9" s="558" t="s">
        <v>367</v>
      </c>
      <c r="D9" s="555">
        <v>0</v>
      </c>
    </row>
    <row r="10" spans="2:4">
      <c r="B10" s="553">
        <v>11</v>
      </c>
      <c r="C10" s="558" t="s">
        <v>368</v>
      </c>
      <c r="D10" s="555">
        <v>0</v>
      </c>
    </row>
    <row r="11" spans="2:4">
      <c r="B11" s="553">
        <v>12</v>
      </c>
      <c r="C11" s="556" t="s">
        <v>369</v>
      </c>
      <c r="D11" s="557">
        <f>IF(SUM(D4:D6,D7:D10)&lt;&gt;0,SUM(D4:D6,D7:D10),"")</f>
        <v>85750.610000000015</v>
      </c>
    </row>
    <row r="12" spans="2:4">
      <c r="B12" s="553"/>
      <c r="C12" s="559" t="s">
        <v>370</v>
      </c>
      <c r="D12" s="560"/>
    </row>
    <row r="13" spans="2:4">
      <c r="B13" s="553">
        <v>13</v>
      </c>
      <c r="C13" s="554" t="s">
        <v>371</v>
      </c>
      <c r="D13" s="557">
        <v>42356</v>
      </c>
    </row>
    <row r="14" spans="2:4">
      <c r="B14" s="553">
        <v>14</v>
      </c>
      <c r="C14" s="556" t="s">
        <v>372</v>
      </c>
      <c r="D14" s="557">
        <v>256</v>
      </c>
    </row>
    <row r="15" spans="2:4">
      <c r="B15" s="553">
        <v>15</v>
      </c>
      <c r="C15" s="556" t="s">
        <v>373</v>
      </c>
      <c r="D15" s="557">
        <f>IF(OR(D13&lt;&gt;"",D14&lt;&gt;""),IF(D13="",0,D13)-IF(D14="",0,D14),"")</f>
        <v>42100</v>
      </c>
    </row>
    <row r="16" spans="2:4">
      <c r="B16" s="553">
        <v>16</v>
      </c>
      <c r="C16" s="561" t="s">
        <v>374</v>
      </c>
      <c r="D16" s="557">
        <f>IF(D15&lt;&gt;"",D15,"")</f>
        <v>42100</v>
      </c>
    </row>
    <row r="17" spans="2:4">
      <c r="B17" s="553"/>
      <c r="C17" s="559" t="s">
        <v>375</v>
      </c>
      <c r="D17" s="560"/>
    </row>
    <row r="18" spans="2:4">
      <c r="B18" s="553">
        <v>17</v>
      </c>
      <c r="C18" s="554" t="s">
        <v>376</v>
      </c>
      <c r="D18" s="555">
        <v>0</v>
      </c>
    </row>
    <row r="19" spans="2:4">
      <c r="B19" s="553">
        <v>18</v>
      </c>
      <c r="C19" s="562" t="s">
        <v>377</v>
      </c>
      <c r="D19" s="555">
        <v>0</v>
      </c>
    </row>
    <row r="20" spans="2:4">
      <c r="B20" s="553">
        <v>19</v>
      </c>
      <c r="C20" s="554" t="s">
        <v>378</v>
      </c>
      <c r="D20" s="555">
        <v>20000</v>
      </c>
    </row>
    <row r="21" spans="2:4">
      <c r="B21" s="553">
        <v>20</v>
      </c>
      <c r="C21" s="562" t="s">
        <v>377</v>
      </c>
      <c r="D21" s="555">
        <v>8225</v>
      </c>
    </row>
    <row r="22" spans="2:4">
      <c r="B22" s="553">
        <v>21</v>
      </c>
      <c r="C22" s="556" t="s">
        <v>379</v>
      </c>
      <c r="D22" s="557">
        <f>IF(D18+D20-D19-D21&lt;&gt;0,SUM(D18,D20)-SUM(D19,D21),"")</f>
        <v>11775</v>
      </c>
    </row>
    <row r="23" spans="2:4">
      <c r="B23" s="553"/>
      <c r="C23" s="559" t="s">
        <v>380</v>
      </c>
      <c r="D23" s="560"/>
    </row>
    <row r="24" spans="2:4">
      <c r="B24" s="553">
        <v>24</v>
      </c>
      <c r="C24" s="554" t="s">
        <v>381</v>
      </c>
      <c r="D24" s="555">
        <v>0</v>
      </c>
    </row>
    <row r="25" spans="2:4">
      <c r="B25" s="553">
        <v>25</v>
      </c>
      <c r="C25" s="554" t="s">
        <v>382</v>
      </c>
      <c r="D25" s="555">
        <v>0</v>
      </c>
    </row>
    <row r="26" spans="2:4">
      <c r="B26" s="553">
        <v>26</v>
      </c>
      <c r="C26" s="556" t="s">
        <v>383</v>
      </c>
      <c r="D26" s="557">
        <v>0</v>
      </c>
    </row>
    <row r="27" spans="2:4" ht="15.75" thickBot="1">
      <c r="B27" s="563">
        <v>27</v>
      </c>
      <c r="C27" s="564" t="s">
        <v>384</v>
      </c>
      <c r="D27" s="565">
        <f>IF(OR(D11&lt;&gt;"",D16&lt;&gt;"",D22&lt;&gt;"",D26&lt;&gt;""),IF(D11&lt;&gt;"",D11,0)+IF(D16&lt;&gt;"",D16,0)+IF(D22&lt;&gt;"",D22,0)+IF(D26&lt;&gt;"",D26,0),"")</f>
        <v>139625.61000000002</v>
      </c>
    </row>
    <row r="28" spans="2:4" ht="15.75" thickBot="1">
      <c r="B28" s="566"/>
      <c r="C28" s="566"/>
      <c r="D28" s="567"/>
    </row>
    <row r="29" spans="2:4">
      <c r="B29" s="550"/>
      <c r="C29" s="568" t="s">
        <v>385</v>
      </c>
      <c r="D29" s="552"/>
    </row>
    <row r="30" spans="2:4">
      <c r="B30" s="553">
        <v>1</v>
      </c>
      <c r="C30" s="569" t="s">
        <v>386</v>
      </c>
      <c r="D30" s="555">
        <v>0</v>
      </c>
    </row>
    <row r="31" spans="2:4">
      <c r="B31" s="553">
        <v>3</v>
      </c>
      <c r="C31" s="569" t="s">
        <v>387</v>
      </c>
      <c r="D31" s="555">
        <v>0</v>
      </c>
    </row>
    <row r="32" spans="2:4">
      <c r="B32" s="553">
        <v>4</v>
      </c>
      <c r="C32" s="569" t="s">
        <v>388</v>
      </c>
      <c r="D32" s="555">
        <v>600</v>
      </c>
    </row>
    <row r="33" spans="2:4">
      <c r="B33" s="553">
        <v>5</v>
      </c>
      <c r="C33" s="569" t="s">
        <v>389</v>
      </c>
      <c r="D33" s="555">
        <v>0</v>
      </c>
    </row>
    <row r="34" spans="2:4">
      <c r="B34" s="553">
        <v>6</v>
      </c>
      <c r="C34" s="569" t="s">
        <v>390</v>
      </c>
      <c r="D34" s="555">
        <v>0</v>
      </c>
    </row>
    <row r="35" spans="2:4">
      <c r="B35" s="553">
        <v>7</v>
      </c>
      <c r="C35" s="570" t="s">
        <v>391</v>
      </c>
      <c r="D35" s="555">
        <v>0</v>
      </c>
    </row>
    <row r="36" spans="2:4">
      <c r="B36" s="553">
        <v>8</v>
      </c>
      <c r="C36" s="571" t="s">
        <v>392</v>
      </c>
      <c r="D36" s="557">
        <f>IF(SUM(D30:D35)=0,"",SUM(D30:D35))</f>
        <v>600</v>
      </c>
    </row>
    <row r="37" spans="2:4">
      <c r="B37" s="553"/>
      <c r="C37" s="572" t="s">
        <v>393</v>
      </c>
      <c r="D37" s="560"/>
    </row>
    <row r="38" spans="2:4">
      <c r="B38" s="553">
        <v>9</v>
      </c>
      <c r="C38" s="570" t="s">
        <v>394</v>
      </c>
      <c r="D38" s="557">
        <v>0</v>
      </c>
    </row>
    <row r="39" spans="2:4">
      <c r="B39" s="553">
        <v>10</v>
      </c>
      <c r="C39" s="570" t="s">
        <v>395</v>
      </c>
      <c r="D39" s="557">
        <v>0</v>
      </c>
    </row>
    <row r="40" spans="2:4">
      <c r="B40" s="553">
        <v>12</v>
      </c>
      <c r="C40" s="571" t="s">
        <v>396</v>
      </c>
      <c r="D40" s="557">
        <v>0</v>
      </c>
    </row>
    <row r="41" spans="2:4">
      <c r="B41" s="553"/>
      <c r="C41" s="573" t="s">
        <v>397</v>
      </c>
      <c r="D41" s="560"/>
    </row>
    <row r="42" spans="2:4">
      <c r="B42" s="553">
        <v>13</v>
      </c>
      <c r="C42" s="570" t="s">
        <v>398</v>
      </c>
      <c r="D42" s="557">
        <v>0</v>
      </c>
    </row>
    <row r="43" spans="2:4">
      <c r="B43" s="553">
        <v>14</v>
      </c>
      <c r="C43" s="570" t="s">
        <v>399</v>
      </c>
      <c r="D43" s="557">
        <v>0</v>
      </c>
    </row>
    <row r="44" spans="2:4">
      <c r="B44" s="553">
        <v>15</v>
      </c>
      <c r="C44" s="571" t="s">
        <v>400</v>
      </c>
      <c r="D44" s="557">
        <v>0</v>
      </c>
    </row>
    <row r="45" spans="2:4">
      <c r="B45" s="553">
        <v>16</v>
      </c>
      <c r="C45" s="574" t="s">
        <v>401</v>
      </c>
      <c r="D45" s="557">
        <f>IF(OR(D36&lt;&gt;"",D40&lt;&gt;"",D44&lt;&gt;""),IF(D36&lt;&gt;"",D36,0)+IF(D40&lt;&gt;"",D40,0)+IF(D44&lt;&gt;"",D44,0),"")</f>
        <v>600</v>
      </c>
    </row>
    <row r="46" spans="2:4">
      <c r="B46" s="553">
        <v>21</v>
      </c>
      <c r="C46" s="574" t="s">
        <v>402</v>
      </c>
      <c r="D46" s="557">
        <v>0</v>
      </c>
    </row>
    <row r="47" spans="2:4">
      <c r="B47" s="553">
        <v>22</v>
      </c>
      <c r="C47" s="569" t="s">
        <v>403</v>
      </c>
      <c r="D47" s="560"/>
    </row>
    <row r="48" spans="2:4">
      <c r="B48" s="553">
        <v>23</v>
      </c>
      <c r="C48" s="571" t="s">
        <v>404</v>
      </c>
      <c r="D48" s="557">
        <v>9233</v>
      </c>
    </row>
    <row r="49" spans="2:4">
      <c r="B49" s="553">
        <v>25</v>
      </c>
      <c r="C49" s="574" t="s">
        <v>405</v>
      </c>
      <c r="D49" s="557">
        <v>9233</v>
      </c>
    </row>
    <row r="50" spans="2:4">
      <c r="B50" s="553">
        <v>26</v>
      </c>
      <c r="C50" s="569" t="s">
        <v>406</v>
      </c>
      <c r="D50" s="557">
        <v>130392</v>
      </c>
    </row>
    <row r="51" spans="2:4">
      <c r="B51" s="553">
        <v>27</v>
      </c>
      <c r="C51" s="571" t="s">
        <v>407</v>
      </c>
      <c r="D51" s="557">
        <f>IF(OR(D50&lt;&gt;"",D49&lt;&gt;"",D46&lt;&gt;""),IF(D46="",0,D46)+IF(D49="",0,D49)+IF(D50&lt;&gt;"",D50,0),"")</f>
        <v>139625</v>
      </c>
    </row>
    <row r="52" spans="2:4" ht="15.75" thickBot="1">
      <c r="B52" s="563">
        <v>28</v>
      </c>
      <c r="C52" s="575" t="s">
        <v>408</v>
      </c>
      <c r="D52" s="565">
        <v>139625</v>
      </c>
    </row>
    <row r="53" spans="2:4">
      <c r="B53" s="566"/>
      <c r="C53" s="566"/>
      <c r="D53" s="567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B838-F660-4E5E-B8A7-D0CC2D3B26D8}">
  <dimension ref="B3:S40"/>
  <sheetViews>
    <sheetView tabSelected="1" zoomScale="110" zoomScaleNormal="110" workbookViewId="0">
      <selection activeCell="K26" sqref="K26"/>
    </sheetView>
  </sheetViews>
  <sheetFormatPr defaultRowHeight="15"/>
  <cols>
    <col min="2" max="2" width="22.140625" customWidth="1"/>
    <col min="3" max="3" width="11.28515625" customWidth="1"/>
    <col min="4" max="4" width="10.42578125" customWidth="1"/>
    <col min="5" max="5" width="15.140625" customWidth="1"/>
    <col min="8" max="8" width="13.28515625" customWidth="1"/>
    <col min="11" max="11" width="16.5703125" customWidth="1"/>
    <col min="12" max="12" width="14.85546875" customWidth="1"/>
    <col min="14" max="15" width="9.42578125" customWidth="1"/>
  </cols>
  <sheetData>
    <row r="3" spans="2:19" ht="30">
      <c r="C3" s="307" t="s">
        <v>173</v>
      </c>
      <c r="D3" s="307" t="s">
        <v>86</v>
      </c>
      <c r="E3" s="307" t="s">
        <v>174</v>
      </c>
      <c r="G3" s="307" t="s">
        <v>83</v>
      </c>
      <c r="H3" s="307" t="s">
        <v>174</v>
      </c>
      <c r="J3" s="307" t="s">
        <v>187</v>
      </c>
      <c r="K3" s="307"/>
    </row>
    <row r="4" spans="2:19">
      <c r="B4" s="268" t="s">
        <v>184</v>
      </c>
    </row>
    <row r="5" spans="2:19">
      <c r="B5" s="319" t="s">
        <v>93</v>
      </c>
      <c r="C5">
        <f>COS!B13</f>
        <v>6</v>
      </c>
      <c r="D5" s="311">
        <f>COS!H13</f>
        <v>25</v>
      </c>
      <c r="E5" s="323">
        <f t="shared" ref="E5:E22" si="0">C5*D5*12</f>
        <v>1800</v>
      </c>
      <c r="G5" s="310">
        <f>COS!AS13</f>
        <v>32.77929316328575</v>
      </c>
      <c r="H5" s="325">
        <f t="shared" ref="H5:H21" si="1">C5*G5*12</f>
        <v>2360.1091077565738</v>
      </c>
      <c r="J5" s="311">
        <f>G5-D5</f>
        <v>7.7792931632857503</v>
      </c>
      <c r="K5" s="589">
        <f>J5/D5</f>
        <v>0.31117172653142999</v>
      </c>
      <c r="M5" t="s">
        <v>197</v>
      </c>
      <c r="N5" t="s">
        <v>188</v>
      </c>
      <c r="O5" t="s">
        <v>177</v>
      </c>
    </row>
    <row r="6" spans="2:19">
      <c r="B6" s="319" t="s">
        <v>94</v>
      </c>
      <c r="C6">
        <f>COS!B14</f>
        <v>18</v>
      </c>
      <c r="D6" s="311">
        <f>COS!H14</f>
        <v>47.63</v>
      </c>
      <c r="E6" s="323">
        <f t="shared" si="0"/>
        <v>10288.08</v>
      </c>
      <c r="G6" s="310">
        <v>48.15</v>
      </c>
      <c r="H6" s="325">
        <f t="shared" si="1"/>
        <v>10400.4</v>
      </c>
      <c r="J6" s="311">
        <f t="shared" ref="J6:J22" si="2">G6-D6</f>
        <v>0.51999999999999602</v>
      </c>
      <c r="K6" s="589">
        <f t="shared" ref="K6:K22" si="3">J6/D6</f>
        <v>1.0917488977535084E-2</v>
      </c>
      <c r="L6" t="s">
        <v>189</v>
      </c>
      <c r="M6" s="311">
        <f>G19</f>
        <v>13.199726247576562</v>
      </c>
      <c r="N6" s="311">
        <f>G7</f>
        <v>20.030691652076804</v>
      </c>
      <c r="O6" s="311">
        <f>G5</f>
        <v>32.77929316328575</v>
      </c>
      <c r="S6" s="311"/>
    </row>
    <row r="7" spans="2:19">
      <c r="B7" s="319" t="s">
        <v>95</v>
      </c>
      <c r="C7">
        <f>COS!B15</f>
        <v>11</v>
      </c>
      <c r="D7" s="311">
        <f>COS!H15</f>
        <v>13</v>
      </c>
      <c r="E7" s="323">
        <f t="shared" si="0"/>
        <v>1716</v>
      </c>
      <c r="G7" s="310">
        <f>COS!AS15</f>
        <v>20.030691652076804</v>
      </c>
      <c r="H7" s="325">
        <f t="shared" si="1"/>
        <v>2644.0512980741382</v>
      </c>
      <c r="J7" s="311">
        <f t="shared" si="2"/>
        <v>7.0306916520768041</v>
      </c>
      <c r="K7" s="589">
        <f t="shared" si="3"/>
        <v>0.54082243477513881</v>
      </c>
      <c r="L7" t="s">
        <v>190</v>
      </c>
      <c r="M7" s="340">
        <f>G12</f>
        <v>13.82</v>
      </c>
      <c r="N7" s="340">
        <f>G11</f>
        <v>22.400414284207869</v>
      </c>
      <c r="O7" s="311">
        <f>G10</f>
        <v>37.527104177544146</v>
      </c>
      <c r="S7" s="311"/>
    </row>
    <row r="8" spans="2:19">
      <c r="B8" s="319" t="s">
        <v>96</v>
      </c>
      <c r="C8">
        <f>COS!B16</f>
        <v>50</v>
      </c>
      <c r="D8" s="311">
        <f>COS!H16</f>
        <v>24.95</v>
      </c>
      <c r="E8" s="323">
        <f t="shared" si="0"/>
        <v>14970</v>
      </c>
      <c r="G8" s="310">
        <v>27.98</v>
      </c>
      <c r="H8" s="325">
        <f t="shared" si="1"/>
        <v>16788</v>
      </c>
      <c r="J8" s="311">
        <f t="shared" si="2"/>
        <v>3.0300000000000011</v>
      </c>
      <c r="K8" s="589">
        <f t="shared" si="3"/>
        <v>0.12144288577154314</v>
      </c>
      <c r="L8" t="s">
        <v>191</v>
      </c>
      <c r="M8" s="340">
        <f>G18</f>
        <v>14.84</v>
      </c>
      <c r="N8" s="340">
        <f>G17</f>
        <v>25.04</v>
      </c>
      <c r="O8" s="311">
        <f>G16</f>
        <v>43.030252845522902</v>
      </c>
    </row>
    <row r="9" spans="2:19">
      <c r="B9" s="319" t="s">
        <v>101</v>
      </c>
      <c r="C9">
        <f>COS!B17</f>
        <v>5</v>
      </c>
      <c r="D9" s="311">
        <f>COS!H17</f>
        <v>17.38</v>
      </c>
      <c r="E9" s="323">
        <f t="shared" si="0"/>
        <v>1042.8</v>
      </c>
      <c r="G9" s="310">
        <f>COS!AS17</f>
        <v>16.447791504303645</v>
      </c>
      <c r="H9" s="325">
        <f t="shared" si="1"/>
        <v>986.8674902582186</v>
      </c>
      <c r="J9" s="311">
        <f t="shared" si="2"/>
        <v>-0.93220849569635433</v>
      </c>
      <c r="K9" s="589">
        <f t="shared" si="3"/>
        <v>-5.3636852456637192E-2</v>
      </c>
      <c r="L9" s="318"/>
      <c r="M9" s="318"/>
      <c r="N9" s="318"/>
      <c r="O9" s="338"/>
    </row>
    <row r="10" spans="2:19">
      <c r="B10" s="319" t="s">
        <v>102</v>
      </c>
      <c r="C10">
        <f>COS!B18</f>
        <v>2</v>
      </c>
      <c r="D10" s="311">
        <f>COS!H18</f>
        <v>35</v>
      </c>
      <c r="E10" s="323">
        <f t="shared" si="0"/>
        <v>840</v>
      </c>
      <c r="G10" s="310">
        <f>COS!AS18</f>
        <v>37.527104177544146</v>
      </c>
      <c r="H10" s="325">
        <f t="shared" si="1"/>
        <v>900.65050026105951</v>
      </c>
      <c r="J10" s="311">
        <f t="shared" si="2"/>
        <v>2.5271041775441461</v>
      </c>
      <c r="K10" s="589">
        <f t="shared" si="3"/>
        <v>7.2202976501261312E-2</v>
      </c>
    </row>
    <row r="11" spans="2:19">
      <c r="B11" s="319" t="s">
        <v>103</v>
      </c>
      <c r="C11">
        <f>COS!B19</f>
        <v>1</v>
      </c>
      <c r="D11" s="311">
        <f>COS!H19</f>
        <v>18</v>
      </c>
      <c r="E11" s="323">
        <f t="shared" si="0"/>
        <v>216</v>
      </c>
      <c r="G11" s="310">
        <f>COS!AS19</f>
        <v>22.400414284207869</v>
      </c>
      <c r="H11" s="325">
        <f t="shared" si="1"/>
        <v>268.80497141049443</v>
      </c>
      <c r="J11" s="311">
        <f t="shared" si="2"/>
        <v>4.4004142842078693</v>
      </c>
      <c r="K11" s="589">
        <f t="shared" si="3"/>
        <v>0.24446746023377053</v>
      </c>
      <c r="L11" t="s">
        <v>192</v>
      </c>
      <c r="M11" s="340">
        <f>G9</f>
        <v>16.447791504303645</v>
      </c>
      <c r="N11" s="311">
        <f>G8</f>
        <v>27.98</v>
      </c>
      <c r="O11" s="311">
        <f>G6</f>
        <v>48.15</v>
      </c>
    </row>
    <row r="12" spans="2:19">
      <c r="B12" s="319" t="s">
        <v>104</v>
      </c>
      <c r="C12">
        <f>COS!B20</f>
        <v>0</v>
      </c>
      <c r="D12" s="311">
        <f>COS!H20</f>
        <v>0</v>
      </c>
      <c r="E12" s="323">
        <f t="shared" si="0"/>
        <v>0</v>
      </c>
      <c r="G12" s="309">
        <v>13.82</v>
      </c>
      <c r="H12" s="325">
        <f t="shared" si="1"/>
        <v>0</v>
      </c>
      <c r="J12" s="311">
        <f t="shared" si="2"/>
        <v>13.82</v>
      </c>
      <c r="K12" t="e">
        <f t="shared" si="3"/>
        <v>#DIV/0!</v>
      </c>
      <c r="L12" t="s">
        <v>193</v>
      </c>
      <c r="M12" s="340">
        <f>G15</f>
        <v>17.980839980256697</v>
      </c>
      <c r="N12" s="311">
        <f>G14</f>
        <v>31.05</v>
      </c>
      <c r="O12" s="311">
        <f>G13</f>
        <v>52.504179915293449</v>
      </c>
    </row>
    <row r="13" spans="2:19">
      <c r="B13" s="319" t="s">
        <v>105</v>
      </c>
      <c r="C13">
        <f>COS!B21</f>
        <v>6</v>
      </c>
      <c r="D13" s="311">
        <f>COS!H21</f>
        <v>49.79</v>
      </c>
      <c r="E13" s="323">
        <f t="shared" si="0"/>
        <v>3584.88</v>
      </c>
      <c r="G13" s="310">
        <f>COS!AS21</f>
        <v>52.504179915293449</v>
      </c>
      <c r="H13" s="325">
        <f t="shared" si="1"/>
        <v>3780.3009539011287</v>
      </c>
      <c r="J13" s="311">
        <f t="shared" si="2"/>
        <v>2.7141799152934496</v>
      </c>
      <c r="K13" s="589">
        <f t="shared" si="3"/>
        <v>5.4512551020153635E-2</v>
      </c>
      <c r="L13" t="s">
        <v>194</v>
      </c>
      <c r="M13" s="336"/>
      <c r="N13" s="336"/>
      <c r="O13" s="336"/>
    </row>
    <row r="14" spans="2:19">
      <c r="B14" s="319" t="s">
        <v>106</v>
      </c>
      <c r="C14">
        <f>COS!B22</f>
        <v>8</v>
      </c>
      <c r="D14" s="311">
        <f>COS!H22</f>
        <v>27.12</v>
      </c>
      <c r="E14" s="323">
        <f t="shared" si="0"/>
        <v>2603.52</v>
      </c>
      <c r="G14" s="310">
        <v>31.05</v>
      </c>
      <c r="H14" s="325">
        <f t="shared" si="1"/>
        <v>2980.8</v>
      </c>
      <c r="J14" s="311">
        <f t="shared" si="2"/>
        <v>3.9299999999999997</v>
      </c>
      <c r="K14" s="589">
        <f t="shared" si="3"/>
        <v>0.14491150442477874</v>
      </c>
    </row>
    <row r="15" spans="2:19">
      <c r="B15" s="319" t="s">
        <v>107</v>
      </c>
      <c r="C15">
        <f>COS!B23</f>
        <v>1</v>
      </c>
      <c r="D15" s="311">
        <f>COS!H23</f>
        <v>18.38</v>
      </c>
      <c r="E15" s="323">
        <f t="shared" si="0"/>
        <v>220.56</v>
      </c>
      <c r="G15" s="310">
        <f>COS!AS23</f>
        <v>17.980839980256697</v>
      </c>
      <c r="H15" s="325">
        <f t="shared" si="1"/>
        <v>215.77007976308036</v>
      </c>
      <c r="J15" s="311">
        <f t="shared" si="2"/>
        <v>-0.39916001974330229</v>
      </c>
      <c r="K15" s="589">
        <f t="shared" si="3"/>
        <v>-2.171708486089784E-2</v>
      </c>
    </row>
    <row r="16" spans="2:19">
      <c r="B16" s="319" t="s">
        <v>108</v>
      </c>
      <c r="C16">
        <f>COS!B24</f>
        <v>1</v>
      </c>
      <c r="D16" s="311">
        <f>COS!H24</f>
        <v>47.63</v>
      </c>
      <c r="E16" s="323">
        <f t="shared" si="0"/>
        <v>571.56000000000006</v>
      </c>
      <c r="G16" s="310">
        <f>COS!AS24</f>
        <v>43.030252845522902</v>
      </c>
      <c r="H16" s="325">
        <f t="shared" si="1"/>
        <v>516.3630341462748</v>
      </c>
      <c r="J16" s="311">
        <f t="shared" si="2"/>
        <v>-4.5997471544771003</v>
      </c>
      <c r="K16" s="589">
        <f t="shared" si="3"/>
        <v>-9.6572478573947088E-2</v>
      </c>
    </row>
    <row r="17" spans="2:12">
      <c r="B17" s="319" t="s">
        <v>109</v>
      </c>
      <c r="C17">
        <f>COS!B25</f>
        <v>0</v>
      </c>
      <c r="D17" s="311">
        <f>COS!H25</f>
        <v>24.95</v>
      </c>
      <c r="E17" s="323">
        <f t="shared" si="0"/>
        <v>0</v>
      </c>
      <c r="G17" s="309">
        <v>25.04</v>
      </c>
      <c r="H17" s="325">
        <f t="shared" si="1"/>
        <v>0</v>
      </c>
      <c r="J17" s="311">
        <f t="shared" si="2"/>
        <v>8.9999999999999858E-2</v>
      </c>
      <c r="K17" s="589">
        <f t="shared" si="3"/>
        <v>3.6072144288577098E-3</v>
      </c>
    </row>
    <row r="18" spans="2:12">
      <c r="B18" s="319" t="s">
        <v>110</v>
      </c>
      <c r="C18">
        <f>COS!B26</f>
        <v>0</v>
      </c>
      <c r="D18" s="311">
        <f>COS!H26</f>
        <v>0</v>
      </c>
      <c r="E18" s="323">
        <f t="shared" si="0"/>
        <v>0</v>
      </c>
      <c r="G18" s="309">
        <v>14.84</v>
      </c>
      <c r="H18" s="325">
        <f t="shared" si="1"/>
        <v>0</v>
      </c>
      <c r="J18" s="311">
        <f t="shared" si="2"/>
        <v>14.84</v>
      </c>
      <c r="K18" t="e">
        <f t="shared" si="3"/>
        <v>#DIV/0!</v>
      </c>
    </row>
    <row r="19" spans="2:12">
      <c r="B19" s="319" t="s">
        <v>97</v>
      </c>
      <c r="C19">
        <f>COS!B27</f>
        <v>1</v>
      </c>
      <c r="D19" s="311">
        <f>COS!H27</f>
        <v>10</v>
      </c>
      <c r="E19" s="323">
        <f t="shared" si="0"/>
        <v>120</v>
      </c>
      <c r="G19" s="310">
        <f>COS!AS27</f>
        <v>13.199726247576562</v>
      </c>
      <c r="H19" s="325">
        <f t="shared" si="1"/>
        <v>158.39671497091874</v>
      </c>
      <c r="J19" s="311">
        <f t="shared" si="2"/>
        <v>3.199726247576562</v>
      </c>
      <c r="K19" s="589">
        <f t="shared" si="3"/>
        <v>0.3199726247576562</v>
      </c>
    </row>
    <row r="20" spans="2:12">
      <c r="B20" s="319" t="s">
        <v>111</v>
      </c>
      <c r="C20">
        <f>COS!B29</f>
        <v>0</v>
      </c>
      <c r="D20" s="311">
        <f>COS!H29</f>
        <v>0</v>
      </c>
      <c r="E20" s="323">
        <f t="shared" si="0"/>
        <v>0</v>
      </c>
      <c r="G20" s="309">
        <v>7</v>
      </c>
      <c r="H20" s="325">
        <f t="shared" si="1"/>
        <v>0</v>
      </c>
      <c r="J20" s="311">
        <f t="shared" si="2"/>
        <v>7</v>
      </c>
      <c r="K20" t="e">
        <f t="shared" si="3"/>
        <v>#DIV/0!</v>
      </c>
    </row>
    <row r="21" spans="2:12">
      <c r="B21" s="319" t="s">
        <v>112</v>
      </c>
      <c r="C21">
        <f>COS!B30</f>
        <v>0</v>
      </c>
      <c r="D21" s="311">
        <f>COS!H30</f>
        <v>0</v>
      </c>
      <c r="E21" s="323">
        <f t="shared" si="0"/>
        <v>0</v>
      </c>
      <c r="G21" s="309">
        <v>7.5</v>
      </c>
      <c r="H21" s="325">
        <f t="shared" si="1"/>
        <v>0</v>
      </c>
      <c r="J21" s="311">
        <f t="shared" si="2"/>
        <v>7.5</v>
      </c>
      <c r="K21" t="e">
        <f t="shared" si="3"/>
        <v>#DIV/0!</v>
      </c>
    </row>
    <row r="22" spans="2:12">
      <c r="B22" s="320" t="s">
        <v>99</v>
      </c>
      <c r="C22" s="314">
        <f>COS!B31</f>
        <v>5</v>
      </c>
      <c r="D22" s="311">
        <f>COS!H31</f>
        <v>1.29</v>
      </c>
      <c r="E22" s="324">
        <f t="shared" si="0"/>
        <v>77.400000000000006</v>
      </c>
      <c r="G22" s="339">
        <v>6.5</v>
      </c>
      <c r="H22" s="327">
        <f>C22*G22*12</f>
        <v>390</v>
      </c>
      <c r="J22" s="311">
        <f t="shared" si="2"/>
        <v>5.21</v>
      </c>
      <c r="K22" s="589">
        <f t="shared" si="3"/>
        <v>4.0387596899224807</v>
      </c>
    </row>
    <row r="23" spans="2:12">
      <c r="C23">
        <f>SUM(C5:C22)</f>
        <v>115</v>
      </c>
      <c r="E23" s="325">
        <f>SUM(E5:E22)</f>
        <v>38050.799999999996</v>
      </c>
      <c r="H23" s="311">
        <f>SUM(H5:H22)</f>
        <v>42390.514150541894</v>
      </c>
    </row>
    <row r="26" spans="2:12" ht="45">
      <c r="C26" s="307" t="s">
        <v>173</v>
      </c>
      <c r="D26" s="307" t="s">
        <v>196</v>
      </c>
      <c r="E26" s="307" t="s">
        <v>174</v>
      </c>
      <c r="G26" s="307" t="s">
        <v>195</v>
      </c>
      <c r="H26" s="307" t="s">
        <v>174</v>
      </c>
      <c r="J26" s="307"/>
      <c r="K26" s="307"/>
    </row>
    <row r="27" spans="2:12" ht="49.5" customHeight="1">
      <c r="B27" s="268" t="s">
        <v>175</v>
      </c>
      <c r="K27" s="307" t="s">
        <v>198</v>
      </c>
    </row>
    <row r="28" spans="2:12">
      <c r="B28" s="321" t="s">
        <v>178</v>
      </c>
      <c r="C28">
        <f>COS!B35</f>
        <v>0</v>
      </c>
      <c r="D28" s="311">
        <f>COS!H35</f>
        <v>0</v>
      </c>
      <c r="E28" s="311">
        <f>C28*D28*12</f>
        <v>0</v>
      </c>
      <c r="G28" s="332">
        <v>5.94</v>
      </c>
      <c r="H28" s="328">
        <f>C28*G28*12*4.33</f>
        <v>0</v>
      </c>
      <c r="K28" s="310">
        <f t="shared" ref="K28:K29" si="4">G28*4.33</f>
        <v>25.720200000000002</v>
      </c>
      <c r="L28" s="311"/>
    </row>
    <row r="29" spans="2:12">
      <c r="B29" s="321" t="s">
        <v>179</v>
      </c>
      <c r="C29">
        <f>COS!B36</f>
        <v>0</v>
      </c>
      <c r="D29" s="311">
        <f>COS!H36</f>
        <v>0</v>
      </c>
      <c r="E29" s="311">
        <f t="shared" ref="E29:E32" si="5">C29*D29*12</f>
        <v>0</v>
      </c>
      <c r="G29" s="332">
        <v>6.76</v>
      </c>
      <c r="H29" s="328">
        <f t="shared" ref="H29:H32" si="6">C29*G29*12*4.33</f>
        <v>0</v>
      </c>
      <c r="K29" s="310">
        <f t="shared" si="4"/>
        <v>29.270800000000001</v>
      </c>
      <c r="L29" s="311"/>
    </row>
    <row r="30" spans="2:12">
      <c r="B30" s="321" t="s">
        <v>180</v>
      </c>
      <c r="C30">
        <f>COS!B37</f>
        <v>5</v>
      </c>
      <c r="D30" s="312">
        <v>19.333333333333332</v>
      </c>
      <c r="E30" s="311">
        <f t="shared" si="5"/>
        <v>1160</v>
      </c>
      <c r="G30" s="322">
        <f>COS!AS37</f>
        <v>7.8394044514167263</v>
      </c>
      <c r="H30" s="328">
        <f>C30*G30*12*4.33</f>
        <v>2036.6772764780656</v>
      </c>
      <c r="K30" s="310">
        <f>G30*4.33</f>
        <v>33.944621274634429</v>
      </c>
      <c r="L30" s="311"/>
    </row>
    <row r="31" spans="2:12">
      <c r="B31" s="321" t="s">
        <v>181</v>
      </c>
      <c r="C31">
        <f>COS!B38</f>
        <v>21</v>
      </c>
      <c r="D31" s="312">
        <v>22.5</v>
      </c>
      <c r="E31" s="311">
        <f>C31*D31*12</f>
        <v>5670</v>
      </c>
      <c r="G31" s="322">
        <v>9.1999999999999993</v>
      </c>
      <c r="H31" s="328">
        <f t="shared" si="6"/>
        <v>10038.671999999999</v>
      </c>
      <c r="K31" s="310">
        <f>G31*4.33</f>
        <v>39.835999999999999</v>
      </c>
    </row>
    <row r="32" spans="2:12">
      <c r="B32" s="321" t="s">
        <v>182</v>
      </c>
      <c r="C32">
        <f>COS!B39</f>
        <v>6</v>
      </c>
      <c r="D32" s="311">
        <v>20.83</v>
      </c>
      <c r="E32" s="326">
        <f t="shared" si="5"/>
        <v>1499.7599999999998</v>
      </c>
      <c r="G32" s="322">
        <v>7.2</v>
      </c>
      <c r="H32" s="329">
        <f t="shared" si="6"/>
        <v>2244.6720000000005</v>
      </c>
      <c r="K32" s="310">
        <f t="shared" ref="K32" si="7">G32*4.33</f>
        <v>31.176000000000002</v>
      </c>
    </row>
    <row r="33" spans="2:9">
      <c r="E33" s="311">
        <f>SUM(E28:E32)</f>
        <v>8329.76</v>
      </c>
      <c r="H33" s="325">
        <f>SUM(H28:H32)</f>
        <v>14320.021276478064</v>
      </c>
    </row>
    <row r="35" spans="2:9">
      <c r="B35" s="268" t="s">
        <v>100</v>
      </c>
      <c r="E35" s="311">
        <f>E23+E33</f>
        <v>46380.56</v>
      </c>
      <c r="H35" s="311">
        <f>H23+H33</f>
        <v>56710.53542701996</v>
      </c>
    </row>
    <row r="37" spans="2:9">
      <c r="D37" s="330" t="s">
        <v>186</v>
      </c>
      <c r="E37" s="313">
        <v>42233</v>
      </c>
      <c r="H37" s="313">
        <v>57583</v>
      </c>
      <c r="I37" t="s">
        <v>185</v>
      </c>
    </row>
    <row r="38" spans="2:9">
      <c r="D38" t="s">
        <v>50</v>
      </c>
      <c r="E38" s="311">
        <f>E35-E37</f>
        <v>4147.5599999999977</v>
      </c>
      <c r="H38" s="311">
        <f>H35-H37</f>
        <v>-872.46457298003952</v>
      </c>
      <c r="I38" t="s">
        <v>50</v>
      </c>
    </row>
    <row r="40" spans="2:9">
      <c r="E40">
        <f>E38/E37</f>
        <v>9.8206615679681711E-2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fitToPage="1"/>
  </sheetPr>
  <dimension ref="A1:AH41"/>
  <sheetViews>
    <sheetView zoomScale="110" zoomScaleNormal="110" workbookViewId="0">
      <pane xSplit="2" ySplit="3" topLeftCell="C4" activePane="bottomRight" state="frozen"/>
      <selection pane="topRight" activeCell="D44" sqref="D44"/>
      <selection pane="bottomLeft" activeCell="D44" sqref="D44"/>
      <selection pane="bottomRight" activeCell="L26" sqref="L26"/>
    </sheetView>
  </sheetViews>
  <sheetFormatPr defaultColWidth="8" defaultRowHeight="12.75"/>
  <cols>
    <col min="1" max="1" width="29.42578125" style="1" bestFit="1" customWidth="1"/>
    <col min="2" max="2" width="11.140625" style="4" bestFit="1" customWidth="1"/>
    <col min="3" max="3" width="9.5703125" style="4" bestFit="1" customWidth="1"/>
    <col min="4" max="4" width="9.85546875" style="4" bestFit="1" customWidth="1"/>
    <col min="5" max="6" width="11.140625" style="4" bestFit="1" customWidth="1"/>
    <col min="7" max="8" width="9.5703125" style="4" bestFit="1" customWidth="1"/>
    <col min="9" max="9" width="8.7109375" style="4" bestFit="1" customWidth="1"/>
    <col min="10" max="10" width="9.5703125" style="4" bestFit="1" customWidth="1"/>
    <col min="11" max="11" width="8.7109375" style="4" bestFit="1" customWidth="1"/>
    <col min="12" max="12" width="9.5703125" style="4" bestFit="1" customWidth="1"/>
    <col min="13" max="13" width="8.5703125" style="4" bestFit="1" customWidth="1"/>
    <col min="14" max="14" width="9.5703125" style="4" bestFit="1" customWidth="1"/>
    <col min="15" max="15" width="11.140625" style="4" bestFit="1" customWidth="1"/>
    <col min="16" max="16" width="8.5703125" style="4" bestFit="1" customWidth="1"/>
    <col min="17" max="17" width="9.5703125" style="4" bestFit="1" customWidth="1"/>
    <col min="18" max="18" width="9.140625" style="4" bestFit="1" customWidth="1"/>
    <col min="19" max="19" width="11.140625" style="4" bestFit="1" customWidth="1"/>
    <col min="20" max="20" width="6.5703125" style="4" bestFit="1" customWidth="1"/>
    <col min="21" max="16384" width="8" style="4"/>
  </cols>
  <sheetData>
    <row r="1" spans="1:34" ht="38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2" t="s">
        <v>1</v>
      </c>
    </row>
    <row r="2" spans="1:34">
      <c r="T2" s="4" t="s">
        <v>18</v>
      </c>
    </row>
    <row r="3" spans="1:34">
      <c r="B3" s="5"/>
      <c r="M3" s="4" t="s">
        <v>18</v>
      </c>
      <c r="T3" s="4" t="s">
        <v>19</v>
      </c>
    </row>
    <row r="4" spans="1:34" ht="13.5" thickBot="1">
      <c r="A4" s="6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18</v>
      </c>
      <c r="T4" s="7" t="s">
        <v>18</v>
      </c>
    </row>
    <row r="5" spans="1:34" ht="13.5" thickTop="1">
      <c r="A5" s="1" t="s">
        <v>21</v>
      </c>
      <c r="B5" s="8">
        <v>2427</v>
      </c>
      <c r="C5" s="7"/>
      <c r="D5" s="7"/>
      <c r="E5" s="7"/>
      <c r="F5" s="7"/>
      <c r="G5" s="7"/>
      <c r="H5" s="7"/>
      <c r="I5" s="7"/>
      <c r="J5" s="7">
        <f>+B5-M5-L5</f>
        <v>2427</v>
      </c>
      <c r="K5" s="8"/>
      <c r="L5" s="8">
        <v>0</v>
      </c>
      <c r="M5" s="8">
        <v>0</v>
      </c>
      <c r="N5" s="7"/>
      <c r="O5" s="7"/>
      <c r="P5" s="7"/>
      <c r="Q5" s="7"/>
      <c r="R5" s="7"/>
      <c r="S5" s="7">
        <f t="shared" ref="S5:S31" si="0">SUM(C5:R5)</f>
        <v>2427</v>
      </c>
      <c r="T5" s="7">
        <f t="shared" ref="T5:T31" si="1">B5-S5</f>
        <v>0</v>
      </c>
    </row>
    <row r="6" spans="1:34">
      <c r="A6" s="1" t="s">
        <v>22</v>
      </c>
      <c r="B6" s="8">
        <v>0</v>
      </c>
      <c r="C6" s="7"/>
      <c r="D6" s="7"/>
      <c r="E6" s="7"/>
      <c r="F6" s="7"/>
      <c r="G6" s="7"/>
      <c r="H6" s="7"/>
      <c r="I6" s="7"/>
      <c r="J6" s="7">
        <f>+B6-K6</f>
        <v>0</v>
      </c>
      <c r="K6" s="8"/>
      <c r="L6" s="7"/>
      <c r="M6" s="7"/>
      <c r="N6" s="7"/>
      <c r="O6" s="7"/>
      <c r="P6" s="7"/>
      <c r="Q6" s="7"/>
      <c r="R6" s="7"/>
      <c r="S6" s="7">
        <f t="shared" si="0"/>
        <v>0</v>
      </c>
      <c r="T6" s="7">
        <f t="shared" si="1"/>
        <v>0</v>
      </c>
    </row>
    <row r="7" spans="1:34">
      <c r="A7" s="1" t="s">
        <v>23</v>
      </c>
      <c r="B7" s="8">
        <f>D38</f>
        <v>16965</v>
      </c>
      <c r="C7" s="7"/>
      <c r="D7" s="7"/>
      <c r="E7" s="7"/>
      <c r="F7" s="7">
        <f>+B7-G7</f>
        <v>16965</v>
      </c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16965</v>
      </c>
      <c r="T7" s="7">
        <f t="shared" si="1"/>
        <v>0</v>
      </c>
      <c r="AH7" s="9"/>
    </row>
    <row r="8" spans="1:34">
      <c r="A8" s="1" t="s">
        <v>24</v>
      </c>
      <c r="B8" s="8">
        <v>1000</v>
      </c>
      <c r="C8" s="7"/>
      <c r="D8" s="7"/>
      <c r="E8" s="7"/>
      <c r="F8" s="7"/>
      <c r="G8" s="7"/>
      <c r="H8" s="7">
        <f>B8-L8</f>
        <v>1000</v>
      </c>
      <c r="I8" s="7"/>
      <c r="J8" s="7"/>
      <c r="K8" s="7"/>
      <c r="L8" s="8"/>
      <c r="M8" s="8"/>
      <c r="N8" s="7"/>
      <c r="O8" s="7"/>
      <c r="P8" s="7"/>
      <c r="Q8" s="7"/>
      <c r="R8" s="7"/>
      <c r="S8" s="7">
        <f t="shared" si="0"/>
        <v>1000</v>
      </c>
      <c r="T8" s="7">
        <f t="shared" si="1"/>
        <v>0</v>
      </c>
      <c r="AH8" s="9"/>
    </row>
    <row r="9" spans="1:34">
      <c r="A9" s="1" t="s">
        <v>25</v>
      </c>
      <c r="B9" s="8">
        <v>2219.64</v>
      </c>
      <c r="C9" s="7"/>
      <c r="D9" s="7"/>
      <c r="E9" s="7"/>
      <c r="F9" s="7"/>
      <c r="G9" s="7"/>
      <c r="H9" s="7"/>
      <c r="I9" s="7"/>
      <c r="J9" s="7">
        <f>B9-K9</f>
        <v>2219.64</v>
      </c>
      <c r="K9" s="8"/>
      <c r="L9" s="7"/>
      <c r="M9" s="7"/>
      <c r="N9" s="7"/>
      <c r="O9" s="7"/>
      <c r="P9" s="7"/>
      <c r="Q9" s="7"/>
      <c r="R9" s="7"/>
      <c r="S9" s="7">
        <f t="shared" si="0"/>
        <v>2219.64</v>
      </c>
      <c r="T9" s="7">
        <f t="shared" si="1"/>
        <v>0</v>
      </c>
      <c r="AH9" s="9"/>
    </row>
    <row r="10" spans="1:34">
      <c r="A10" s="1" t="s">
        <v>26</v>
      </c>
      <c r="B10" s="10"/>
      <c r="C10" s="7"/>
      <c r="D10" s="7"/>
      <c r="E10" s="7"/>
      <c r="F10" s="7"/>
      <c r="G10" s="7"/>
      <c r="H10" s="7"/>
      <c r="I10" s="7">
        <f>B10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0</v>
      </c>
      <c r="T10" s="7">
        <f t="shared" si="1"/>
        <v>0</v>
      </c>
      <c r="AH10" s="9"/>
    </row>
    <row r="11" spans="1:34">
      <c r="A11" s="1" t="s">
        <v>27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 t="shared" si="0"/>
        <v>0</v>
      </c>
      <c r="T11" s="7">
        <f t="shared" si="1"/>
        <v>0</v>
      </c>
    </row>
    <row r="12" spans="1:34">
      <c r="A12" s="1" t="s">
        <v>28</v>
      </c>
      <c r="B12" s="8">
        <v>8140.87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>B12</f>
        <v>8140.87</v>
      </c>
      <c r="P12" s="7"/>
      <c r="Q12" s="7"/>
      <c r="R12" s="7"/>
      <c r="S12" s="7">
        <f t="shared" si="0"/>
        <v>8140.87</v>
      </c>
      <c r="T12" s="7">
        <f t="shared" si="1"/>
        <v>0</v>
      </c>
    </row>
    <row r="13" spans="1:34">
      <c r="A13" s="1" t="s">
        <v>29</v>
      </c>
      <c r="B13" s="8">
        <v>0</v>
      </c>
      <c r="C13" s="7">
        <f>B13</f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  <c r="T13" s="7">
        <f t="shared" si="1"/>
        <v>0</v>
      </c>
    </row>
    <row r="14" spans="1:34">
      <c r="A14" s="1" t="s">
        <v>30</v>
      </c>
      <c r="B14" s="8">
        <v>288</v>
      </c>
      <c r="C14" s="7"/>
      <c r="D14" s="7"/>
      <c r="E14" s="7">
        <f>B14</f>
        <v>288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288</v>
      </c>
      <c r="T14" s="7">
        <f t="shared" si="1"/>
        <v>0</v>
      </c>
    </row>
    <row r="15" spans="1:34">
      <c r="A15" s="1" t="s">
        <v>31</v>
      </c>
      <c r="B15" s="8">
        <v>2985.38</v>
      </c>
      <c r="C15" s="7"/>
      <c r="D15" s="7"/>
      <c r="E15" s="7"/>
      <c r="F15" s="7"/>
      <c r="G15" s="7"/>
      <c r="H15" s="7"/>
      <c r="I15" s="7"/>
      <c r="J15" s="7">
        <f>B15-K15</f>
        <v>2985.38</v>
      </c>
      <c r="K15" s="8">
        <v>0</v>
      </c>
      <c r="L15" s="7"/>
      <c r="M15" s="7"/>
      <c r="N15" s="7"/>
      <c r="O15" s="7"/>
      <c r="P15" s="7"/>
      <c r="Q15" s="7"/>
      <c r="R15" s="7"/>
      <c r="S15" s="7">
        <f t="shared" si="0"/>
        <v>2985.38</v>
      </c>
      <c r="T15" s="7">
        <f t="shared" si="1"/>
        <v>0</v>
      </c>
    </row>
    <row r="16" spans="1:34">
      <c r="A16" s="1" t="s">
        <v>32</v>
      </c>
      <c r="B16" s="8">
        <v>0</v>
      </c>
      <c r="C16" s="7"/>
      <c r="D16" s="7"/>
      <c r="E16" s="8">
        <v>0</v>
      </c>
      <c r="F16" s="7">
        <f>+B16-E16-G16-H16-L16</f>
        <v>0</v>
      </c>
      <c r="G16" s="8">
        <v>0</v>
      </c>
      <c r="H16" s="8">
        <v>0</v>
      </c>
      <c r="I16" s="7"/>
      <c r="J16" s="7"/>
      <c r="K16" s="7"/>
      <c r="L16" s="8">
        <v>0</v>
      </c>
      <c r="M16" s="7"/>
      <c r="N16" s="7"/>
      <c r="O16" s="7"/>
      <c r="P16" s="7"/>
      <c r="Q16" s="7"/>
      <c r="R16" s="7"/>
      <c r="S16" s="7">
        <f t="shared" si="0"/>
        <v>0</v>
      </c>
      <c r="T16" s="7">
        <f t="shared" si="1"/>
        <v>0</v>
      </c>
    </row>
    <row r="17" spans="1:20">
      <c r="A17" s="1" t="s">
        <v>33</v>
      </c>
      <c r="B17" s="8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>B17</f>
        <v>0</v>
      </c>
      <c r="O17" s="7"/>
      <c r="P17" s="7"/>
      <c r="Q17" s="7"/>
      <c r="R17" s="7"/>
      <c r="S17" s="7">
        <f t="shared" si="0"/>
        <v>0</v>
      </c>
      <c r="T17" s="7">
        <f t="shared" si="1"/>
        <v>0</v>
      </c>
    </row>
    <row r="18" spans="1:20">
      <c r="A18" s="1" t="s">
        <v>34</v>
      </c>
      <c r="B18" s="8">
        <f>D37</f>
        <v>5655</v>
      </c>
      <c r="C18" s="7"/>
      <c r="D18" s="7"/>
      <c r="E18" s="7">
        <f>B18</f>
        <v>5655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5655</v>
      </c>
      <c r="T18" s="7">
        <f t="shared" si="1"/>
        <v>0</v>
      </c>
    </row>
    <row r="19" spans="1:20">
      <c r="A19" s="1" t="s">
        <v>35</v>
      </c>
      <c r="B19" s="10">
        <f>1370.59+220+32.26+82.13</f>
        <v>1704.98</v>
      </c>
      <c r="C19" s="7"/>
      <c r="D19" s="7"/>
      <c r="E19" s="7">
        <f>B19</f>
        <v>1704.98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1704.98</v>
      </c>
      <c r="T19" s="7">
        <f t="shared" si="1"/>
        <v>0</v>
      </c>
    </row>
    <row r="20" spans="1:20">
      <c r="A20" s="1" t="s">
        <v>36</v>
      </c>
      <c r="B20" s="8">
        <v>0</v>
      </c>
      <c r="C20" s="7"/>
      <c r="D20" s="7"/>
      <c r="E20" s="7">
        <f>B20</f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  <c r="T20" s="7">
        <f t="shared" si="1"/>
        <v>0</v>
      </c>
    </row>
    <row r="21" spans="1:20">
      <c r="A21" s="1" t="s">
        <v>37</v>
      </c>
      <c r="B21" s="8">
        <v>818.39</v>
      </c>
      <c r="C21" s="7"/>
      <c r="D21" s="7"/>
      <c r="E21" s="7">
        <f>B21</f>
        <v>818.39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818.39</v>
      </c>
      <c r="T21" s="7">
        <f t="shared" si="1"/>
        <v>0</v>
      </c>
    </row>
    <row r="22" spans="1:20">
      <c r="A22" s="1" t="s">
        <v>38</v>
      </c>
      <c r="B22" s="8">
        <v>0</v>
      </c>
      <c r="C22" s="7"/>
      <c r="D22" s="7"/>
      <c r="E22" s="7">
        <f>B22</f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  <c r="T22" s="7">
        <f t="shared" si="1"/>
        <v>0</v>
      </c>
    </row>
    <row r="23" spans="1:20">
      <c r="A23" s="1" t="s">
        <v>39</v>
      </c>
      <c r="B23" s="8">
        <v>196.04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>B23</f>
        <v>196.04</v>
      </c>
      <c r="Q23" s="7"/>
      <c r="R23" s="7"/>
      <c r="S23" s="7">
        <f t="shared" si="0"/>
        <v>196.04</v>
      </c>
      <c r="T23" s="7">
        <f t="shared" si="1"/>
        <v>0</v>
      </c>
    </row>
    <row r="24" spans="1:20">
      <c r="A24" s="1" t="s">
        <v>40</v>
      </c>
      <c r="B24" s="10">
        <v>96.84</v>
      </c>
      <c r="C24" s="7"/>
      <c r="D24" s="8"/>
      <c r="E24" s="7">
        <f>B24-D24</f>
        <v>96.84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96.84</v>
      </c>
      <c r="T24" s="7">
        <f t="shared" si="1"/>
        <v>0</v>
      </c>
    </row>
    <row r="25" spans="1:20">
      <c r="A25" s="1" t="s">
        <v>41</v>
      </c>
      <c r="B25" s="8">
        <v>5786.2</v>
      </c>
      <c r="C25" s="7"/>
      <c r="D25" s="7"/>
      <c r="E25" s="7"/>
      <c r="F25" s="7"/>
      <c r="G25" s="7"/>
      <c r="H25" s="7"/>
      <c r="I25" s="7"/>
      <c r="J25" s="7">
        <f>B25-K25</f>
        <v>5786.2</v>
      </c>
      <c r="K25" s="8"/>
      <c r="L25" s="7"/>
      <c r="M25" s="7"/>
      <c r="N25" s="7"/>
      <c r="O25" s="7"/>
      <c r="P25" s="7"/>
      <c r="Q25" s="7"/>
      <c r="R25" s="7"/>
      <c r="S25" s="7">
        <f t="shared" si="0"/>
        <v>5786.2</v>
      </c>
      <c r="T25" s="7">
        <f t="shared" si="1"/>
        <v>0</v>
      </c>
    </row>
    <row r="26" spans="1:20">
      <c r="A26" s="1" t="s">
        <v>42</v>
      </c>
      <c r="B26" s="8">
        <v>289.10000000000002</v>
      </c>
      <c r="C26" s="7"/>
      <c r="D26" s="7"/>
      <c r="E26" s="7"/>
      <c r="F26" s="7"/>
      <c r="G26" s="7"/>
      <c r="H26" s="7"/>
      <c r="I26" s="7"/>
      <c r="J26" s="7"/>
      <c r="K26" s="7"/>
      <c r="L26" s="7">
        <f>+B26-M26</f>
        <v>289.10000000000002</v>
      </c>
      <c r="M26" s="8"/>
      <c r="N26" s="7"/>
      <c r="O26" s="7"/>
      <c r="P26" s="7"/>
      <c r="Q26" s="7"/>
      <c r="R26" s="7"/>
      <c r="S26" s="7">
        <f t="shared" si="0"/>
        <v>289.10000000000002</v>
      </c>
      <c r="T26" s="7">
        <f t="shared" si="1"/>
        <v>0</v>
      </c>
    </row>
    <row r="27" spans="1:20">
      <c r="A27" s="1" t="s">
        <v>43</v>
      </c>
      <c r="B27" s="8">
        <v>0</v>
      </c>
      <c r="C27" s="7"/>
      <c r="D27" s="7"/>
      <c r="E27" s="7"/>
      <c r="F27" s="7"/>
      <c r="G27" s="7"/>
      <c r="H27" s="7"/>
      <c r="I27" s="7">
        <f>B27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  <c r="T27" s="7">
        <f t="shared" si="1"/>
        <v>0</v>
      </c>
    </row>
    <row r="28" spans="1:20">
      <c r="A28" s="1" t="s">
        <v>44</v>
      </c>
      <c r="B28" s="8">
        <v>256.5</v>
      </c>
      <c r="C28" s="7"/>
      <c r="D28" s="7"/>
      <c r="E28" s="7"/>
      <c r="F28" s="7"/>
      <c r="G28" s="7"/>
      <c r="H28" s="7"/>
      <c r="I28" s="7"/>
      <c r="J28" s="7">
        <f>B28-K28</f>
        <v>256.5</v>
      </c>
      <c r="K28" s="10"/>
      <c r="L28" s="7"/>
      <c r="M28" s="7"/>
      <c r="N28" s="7"/>
      <c r="O28" s="7"/>
      <c r="P28" s="7"/>
      <c r="Q28" s="7"/>
      <c r="R28" s="7"/>
      <c r="S28" s="7">
        <f t="shared" si="0"/>
        <v>256.5</v>
      </c>
      <c r="T28" s="7">
        <f t="shared" si="1"/>
        <v>0</v>
      </c>
    </row>
    <row r="29" spans="1:20">
      <c r="A29" s="1" t="s">
        <v>45</v>
      </c>
      <c r="B29" s="8">
        <v>1385.46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7">
        <f>+B29-P29</f>
        <v>1385.46</v>
      </c>
      <c r="R29" s="7"/>
      <c r="S29" s="7">
        <f t="shared" si="0"/>
        <v>1385.46</v>
      </c>
      <c r="T29" s="7">
        <f t="shared" si="1"/>
        <v>0</v>
      </c>
    </row>
    <row r="30" spans="1:20">
      <c r="A30" s="1" t="s">
        <v>46</v>
      </c>
      <c r="B30" s="8">
        <v>3300</v>
      </c>
      <c r="C30" s="7"/>
      <c r="D30" s="7"/>
      <c r="E30" s="7">
        <f>B30</f>
        <v>3300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 t="shared" si="0"/>
        <v>3300</v>
      </c>
      <c r="T30" s="7">
        <f t="shared" si="1"/>
        <v>0</v>
      </c>
    </row>
    <row r="31" spans="1:20">
      <c r="A31" s="1" t="s">
        <v>47</v>
      </c>
      <c r="B31" s="11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>+B31</f>
        <v>0</v>
      </c>
      <c r="S31" s="12">
        <f t="shared" si="0"/>
        <v>0</v>
      </c>
      <c r="T31" s="12">
        <f t="shared" si="1"/>
        <v>0</v>
      </c>
    </row>
    <row r="32" spans="1:20" ht="13.5" thickBot="1">
      <c r="A32" s="1" t="s">
        <v>48</v>
      </c>
      <c r="B32" s="13">
        <f t="shared" ref="B32:T32" si="2">SUM(B5:B31)</f>
        <v>53514.399999999994</v>
      </c>
      <c r="C32" s="13">
        <f t="shared" si="2"/>
        <v>0</v>
      </c>
      <c r="D32" s="13">
        <f t="shared" si="2"/>
        <v>0</v>
      </c>
      <c r="E32" s="13">
        <f t="shared" si="2"/>
        <v>11863.21</v>
      </c>
      <c r="F32" s="13">
        <f t="shared" si="2"/>
        <v>16965</v>
      </c>
      <c r="G32" s="13">
        <f t="shared" si="2"/>
        <v>0</v>
      </c>
      <c r="H32" s="13">
        <f t="shared" si="2"/>
        <v>1000</v>
      </c>
      <c r="I32" s="13">
        <f t="shared" si="2"/>
        <v>0</v>
      </c>
      <c r="J32" s="13">
        <f t="shared" si="2"/>
        <v>13674.72</v>
      </c>
      <c r="K32" s="13">
        <f t="shared" si="2"/>
        <v>0</v>
      </c>
      <c r="L32" s="13">
        <f t="shared" si="2"/>
        <v>289.10000000000002</v>
      </c>
      <c r="M32" s="13">
        <f t="shared" si="2"/>
        <v>0</v>
      </c>
      <c r="N32" s="13">
        <f t="shared" si="2"/>
        <v>0</v>
      </c>
      <c r="O32" s="13">
        <f t="shared" si="2"/>
        <v>8140.87</v>
      </c>
      <c r="P32" s="13">
        <f t="shared" si="2"/>
        <v>196.04</v>
      </c>
      <c r="Q32" s="13">
        <f t="shared" si="2"/>
        <v>1385.46</v>
      </c>
      <c r="R32" s="13">
        <f t="shared" si="2"/>
        <v>0</v>
      </c>
      <c r="S32" s="13">
        <f t="shared" si="2"/>
        <v>53514.399999999994</v>
      </c>
      <c r="T32" s="13">
        <f t="shared" si="2"/>
        <v>0</v>
      </c>
    </row>
    <row r="33" spans="1:20" ht="13.5" thickTop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1" t="s">
        <v>49</v>
      </c>
      <c r="B34" s="7">
        <v>53514.47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6" spans="1:20">
      <c r="A36" s="14" t="s">
        <v>50</v>
      </c>
      <c r="B36" s="15">
        <f>+B32-B34</f>
        <v>-7.0000000006984919E-2</v>
      </c>
      <c r="D36" s="4">
        <v>22620</v>
      </c>
      <c r="E36" s="16"/>
    </row>
    <row r="37" spans="1:20">
      <c r="A37" s="14"/>
      <c r="B37" s="17"/>
      <c r="D37" s="4">
        <f>D36*0.25</f>
        <v>5655</v>
      </c>
    </row>
    <row r="38" spans="1:20">
      <c r="A38" s="14" t="s">
        <v>51</v>
      </c>
      <c r="B38" s="18">
        <f>+B32-B13-COS!AO5</f>
        <v>289.1000000000131</v>
      </c>
      <c r="D38" s="4">
        <f>D36-D37</f>
        <v>16965</v>
      </c>
    </row>
    <row r="39" spans="1:20">
      <c r="B39" s="16"/>
    </row>
    <row r="40" spans="1:20">
      <c r="B40" s="16"/>
      <c r="E40" s="19"/>
    </row>
    <row r="41" spans="1:20">
      <c r="E41" s="19"/>
    </row>
  </sheetData>
  <pageMargins left="0.25" right="0.25" top="0.25" bottom="0.25" header="0.3" footer="0.3"/>
  <pageSetup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  <pageSetUpPr fitToPage="1"/>
  </sheetPr>
  <dimension ref="A1:BE67"/>
  <sheetViews>
    <sheetView zoomScaleNormal="10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H34" sqref="H34"/>
    </sheetView>
  </sheetViews>
  <sheetFormatPr defaultColWidth="18.5703125" defaultRowHeight="11.25"/>
  <cols>
    <col min="1" max="1" width="21.140625" style="21" bestFit="1" customWidth="1"/>
    <col min="2" max="2" width="8.42578125" style="21" customWidth="1"/>
    <col min="3" max="3" width="8.42578125" style="21" bestFit="1" customWidth="1"/>
    <col min="4" max="5" width="9.28515625" style="21" bestFit="1" customWidth="1"/>
    <col min="6" max="6" width="9.5703125" style="21" bestFit="1" customWidth="1"/>
    <col min="7" max="7" width="7.5703125" style="21" bestFit="1" customWidth="1"/>
    <col min="8" max="8" width="7.7109375" style="22" bestFit="1" customWidth="1"/>
    <col min="9" max="9" width="7.7109375" style="21" bestFit="1" customWidth="1"/>
    <col min="10" max="10" width="10.5703125" style="21" bestFit="1" customWidth="1"/>
    <col min="11" max="11" width="9.85546875" style="21" bestFit="1" customWidth="1"/>
    <col min="12" max="12" width="9" style="21" bestFit="1" customWidth="1"/>
    <col min="13" max="13" width="8.140625" style="23" bestFit="1" customWidth="1"/>
    <col min="14" max="14" width="10.7109375" style="21" bestFit="1" customWidth="1"/>
    <col min="15" max="15" width="6.85546875" style="21" bestFit="1" customWidth="1"/>
    <col min="16" max="16" width="4.42578125" style="21" bestFit="1" customWidth="1"/>
    <col min="17" max="17" width="7.140625" style="21" bestFit="1" customWidth="1"/>
    <col min="18" max="18" width="7.7109375" style="21" bestFit="1" customWidth="1"/>
    <col min="19" max="19" width="9.85546875" style="21" bestFit="1" customWidth="1"/>
    <col min="20" max="20" width="7.42578125" style="21" bestFit="1" customWidth="1"/>
    <col min="21" max="21" width="8" style="21" bestFit="1" customWidth="1"/>
    <col min="22" max="22" width="9.28515625" style="21" bestFit="1" customWidth="1"/>
    <col min="23" max="23" width="4.42578125" style="21" bestFit="1" customWidth="1"/>
    <col min="24" max="24" width="8.140625" style="21" bestFit="1" customWidth="1"/>
    <col min="25" max="26" width="7.85546875" style="21" bestFit="1" customWidth="1"/>
    <col min="27" max="27" width="10.140625" style="21" bestFit="1" customWidth="1"/>
    <col min="28" max="28" width="8.28515625" style="21" bestFit="1" customWidth="1"/>
    <col min="29" max="29" width="7.7109375" style="21" bestFit="1" customWidth="1"/>
    <col min="30" max="30" width="7.42578125" style="21" bestFit="1" customWidth="1"/>
    <col min="31" max="31" width="10" style="21" bestFit="1" customWidth="1"/>
    <col min="32" max="32" width="8.28515625" style="21" bestFit="1" customWidth="1"/>
    <col min="33" max="33" width="7.7109375" style="21" bestFit="1" customWidth="1"/>
    <col min="34" max="34" width="6.85546875" style="21" bestFit="1" customWidth="1"/>
    <col min="35" max="35" width="9" style="21" bestFit="1" customWidth="1"/>
    <col min="36" max="36" width="7.7109375" style="21" bestFit="1" customWidth="1"/>
    <col min="37" max="37" width="9" style="21" bestFit="1" customWidth="1"/>
    <col min="38" max="38" width="6.85546875" style="21" bestFit="1" customWidth="1"/>
    <col min="39" max="39" width="9.7109375" style="21" bestFit="1" customWidth="1"/>
    <col min="40" max="40" width="7.28515625" style="21" bestFit="1" customWidth="1"/>
    <col min="41" max="41" width="9" style="24" bestFit="1" customWidth="1"/>
    <col min="42" max="42" width="2.85546875" style="21" customWidth="1"/>
    <col min="43" max="43" width="6.28515625" style="21" bestFit="1" customWidth="1"/>
    <col min="44" max="44" width="6.42578125" style="21" bestFit="1" customWidth="1"/>
    <col min="45" max="45" width="10.140625" style="21" bestFit="1" customWidth="1"/>
    <col min="46" max="46" width="11.28515625" style="21" bestFit="1" customWidth="1"/>
    <col min="47" max="47" width="8.85546875" style="21" bestFit="1" customWidth="1"/>
    <col min="48" max="48" width="7.7109375" style="22" bestFit="1" customWidth="1"/>
    <col min="49" max="49" width="10.85546875" style="21" bestFit="1" customWidth="1"/>
    <col min="50" max="50" width="8" style="22" bestFit="1" customWidth="1"/>
    <col min="51" max="51" width="9.28515625" style="21" bestFit="1" customWidth="1"/>
    <col min="52" max="52" width="8.85546875" style="21" bestFit="1" customWidth="1"/>
    <col min="53" max="53" width="7.7109375" style="21" bestFit="1" customWidth="1"/>
    <col min="54" max="54" width="9" style="21" bestFit="1" customWidth="1"/>
    <col min="55" max="55" width="5.28515625" style="21" bestFit="1" customWidth="1"/>
    <col min="56" max="56" width="4.42578125" style="21" bestFit="1" customWidth="1"/>
    <col min="57" max="57" width="3.5703125" style="21" bestFit="1" customWidth="1"/>
    <col min="58" max="16384" width="18.5703125" style="21"/>
  </cols>
  <sheetData>
    <row r="1" spans="1:54" ht="15.75">
      <c r="A1" s="20"/>
      <c r="L1" s="315" t="s">
        <v>183</v>
      </c>
      <c r="M1" s="23">
        <v>107.31</v>
      </c>
    </row>
    <row r="2" spans="1:54">
      <c r="A2" s="21" t="s">
        <v>52</v>
      </c>
      <c r="B2" s="25"/>
      <c r="H2" s="26"/>
      <c r="I2" s="27"/>
      <c r="J2" s="21" t="s">
        <v>53</v>
      </c>
      <c r="K2" s="28">
        <v>1</v>
      </c>
      <c r="L2" s="29"/>
      <c r="N2" s="21" t="s">
        <v>53</v>
      </c>
      <c r="O2" s="28">
        <v>0.83</v>
      </c>
      <c r="P2" s="30"/>
      <c r="S2" s="31">
        <v>1</v>
      </c>
      <c r="U2" s="32">
        <f>IF((V4+T4)=V5, 0, V4+T4-V5)</f>
        <v>0</v>
      </c>
      <c r="V2" s="33"/>
      <c r="W2" s="30"/>
      <c r="X2" s="32">
        <f t="shared" ref="X2:AO2" si="0">X5-X4</f>
        <v>0</v>
      </c>
      <c r="Y2" s="32">
        <f t="shared" si="0"/>
        <v>0</v>
      </c>
      <c r="Z2" s="32">
        <f t="shared" si="0"/>
        <v>0</v>
      </c>
      <c r="AA2" s="32">
        <f t="shared" si="0"/>
        <v>0</v>
      </c>
      <c r="AB2" s="32">
        <f t="shared" si="0"/>
        <v>0</v>
      </c>
      <c r="AC2" s="32">
        <f t="shared" si="0"/>
        <v>0</v>
      </c>
      <c r="AD2" s="32">
        <f t="shared" si="0"/>
        <v>0</v>
      </c>
      <c r="AE2" s="32">
        <f t="shared" si="0"/>
        <v>0</v>
      </c>
      <c r="AF2" s="32">
        <f t="shared" si="0"/>
        <v>0</v>
      </c>
      <c r="AG2" s="32">
        <f t="shared" si="0"/>
        <v>-289.10000000000002</v>
      </c>
      <c r="AH2" s="32">
        <f t="shared" si="0"/>
        <v>0</v>
      </c>
      <c r="AI2" s="32">
        <f>AI5-AI4</f>
        <v>-289.10000000000582</v>
      </c>
      <c r="AJ2" s="32">
        <f t="shared" si="0"/>
        <v>0</v>
      </c>
      <c r="AK2" s="32">
        <f t="shared" si="0"/>
        <v>0</v>
      </c>
      <c r="AL2" s="32">
        <f t="shared" si="0"/>
        <v>0</v>
      </c>
      <c r="AM2" s="32">
        <f t="shared" si="0"/>
        <v>0</v>
      </c>
      <c r="AN2" s="32">
        <f t="shared" si="0"/>
        <v>0</v>
      </c>
      <c r="AO2" s="34">
        <f t="shared" si="0"/>
        <v>-289.10000000002037</v>
      </c>
      <c r="AP2" s="30"/>
      <c r="AR2" s="30"/>
      <c r="AT2" s="35">
        <f>AT5-AT4</f>
        <v>0</v>
      </c>
      <c r="AU2" s="35"/>
      <c r="AW2" s="35">
        <f>AW5-AW4</f>
        <v>-9750.7053763440708</v>
      </c>
      <c r="AY2" s="35">
        <f>AY5-AY4</f>
        <v>-57231.505376344066</v>
      </c>
    </row>
    <row r="3" spans="1:54">
      <c r="A3" s="21" t="s">
        <v>54</v>
      </c>
      <c r="B3" s="25"/>
      <c r="C3" s="36"/>
      <c r="H3" s="26"/>
      <c r="I3" s="27"/>
      <c r="J3" s="21" t="s">
        <v>55</v>
      </c>
      <c r="K3" s="28">
        <v>1</v>
      </c>
      <c r="L3" s="37"/>
      <c r="N3" s="21" t="s">
        <v>55</v>
      </c>
      <c r="O3" s="28">
        <v>0.65</v>
      </c>
      <c r="P3" s="38"/>
      <c r="Q3" s="39"/>
      <c r="R3" s="39"/>
      <c r="S3" s="31">
        <v>1</v>
      </c>
      <c r="T3" s="40" t="s">
        <v>56</v>
      </c>
      <c r="U3" s="29"/>
      <c r="V3" s="41" t="s">
        <v>57</v>
      </c>
      <c r="W3" s="38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2"/>
      <c r="AP3" s="38"/>
      <c r="AR3" s="38"/>
      <c r="AS3" s="43" t="s">
        <v>18</v>
      </c>
    </row>
    <row r="4" spans="1:54">
      <c r="B4" s="25"/>
      <c r="C4" s="36"/>
      <c r="H4" s="26"/>
      <c r="I4" s="27"/>
      <c r="J4" s="21" t="s">
        <v>58</v>
      </c>
      <c r="K4" s="28">
        <v>1</v>
      </c>
      <c r="L4" s="37"/>
      <c r="N4" s="21" t="s">
        <v>58</v>
      </c>
      <c r="O4" s="28">
        <v>0</v>
      </c>
      <c r="P4" s="38"/>
      <c r="S4" s="31"/>
      <c r="T4" s="44">
        <v>0</v>
      </c>
      <c r="U4" s="39"/>
      <c r="V4" s="44">
        <v>6565</v>
      </c>
      <c r="W4" s="38"/>
      <c r="X4" s="27">
        <f>+Matrix!C32</f>
        <v>0</v>
      </c>
      <c r="Y4" s="45">
        <f>Matrix!D24</f>
        <v>0</v>
      </c>
      <c r="Z4" s="27">
        <f>+Matrix!E32</f>
        <v>11863.21</v>
      </c>
      <c r="AA4" s="27">
        <f>+Matrix!F32</f>
        <v>16965</v>
      </c>
      <c r="AB4" s="27">
        <f>+Matrix!G32</f>
        <v>0</v>
      </c>
      <c r="AC4" s="27">
        <f>+Matrix!H32</f>
        <v>1000</v>
      </c>
      <c r="AD4" s="27">
        <f>+Matrix!I32</f>
        <v>0</v>
      </c>
      <c r="AE4" s="27">
        <f>+Matrix!J32</f>
        <v>13674.72</v>
      </c>
      <c r="AF4" s="27">
        <f>+Matrix!K32</f>
        <v>0</v>
      </c>
      <c r="AG4" s="27">
        <f>+Matrix!L32</f>
        <v>289.10000000000002</v>
      </c>
      <c r="AH4" s="27">
        <f>+Matrix!M32</f>
        <v>0</v>
      </c>
      <c r="AI4" s="27">
        <f>SUM(Y4:AH4)</f>
        <v>43792.03</v>
      </c>
      <c r="AJ4" s="27">
        <f>Matrix!N32</f>
        <v>0</v>
      </c>
      <c r="AK4" s="27">
        <f>Matrix!O32</f>
        <v>8140.87</v>
      </c>
      <c r="AL4" s="27">
        <f>Matrix!P32</f>
        <v>196.04</v>
      </c>
      <c r="AM4" s="27">
        <f>Matrix!Q32</f>
        <v>1385.46</v>
      </c>
      <c r="AN4" s="45">
        <f>Matrix!R32</f>
        <v>0</v>
      </c>
      <c r="AO4" s="46">
        <f>SUM(AI4:AN4)</f>
        <v>53514.400000000001</v>
      </c>
      <c r="AP4" s="38"/>
      <c r="AR4" s="38"/>
      <c r="AS4" s="47">
        <v>0.93</v>
      </c>
      <c r="AT4" s="35">
        <f>+AS5</f>
        <v>57231.505376344066</v>
      </c>
      <c r="AV4" s="48"/>
      <c r="AW4" s="35">
        <f>AS5</f>
        <v>57231.505376344066</v>
      </c>
      <c r="AY4" s="35">
        <f>+AS5</f>
        <v>57231.505376344066</v>
      </c>
    </row>
    <row r="5" spans="1:54" s="49" customFormat="1">
      <c r="A5" s="49" t="s">
        <v>59</v>
      </c>
      <c r="B5" s="50">
        <f>SUM(B6:B9)</f>
        <v>147</v>
      </c>
      <c r="C5" s="50">
        <f>SUM(C6:C9)</f>
        <v>147</v>
      </c>
      <c r="D5" s="50"/>
      <c r="E5" s="50"/>
      <c r="F5" s="50">
        <f>SUM(F6:F9)</f>
        <v>147</v>
      </c>
      <c r="G5" s="50">
        <f>SUM(G6:G9)</f>
        <v>0</v>
      </c>
      <c r="H5" s="50"/>
      <c r="I5" s="51">
        <f>SUM(I6:I9)</f>
        <v>3352.3857582755973</v>
      </c>
      <c r="J5" s="50">
        <f>SUM(J6:J9)</f>
        <v>40228.629099307153</v>
      </c>
      <c r="K5" s="50">
        <f>SUM(K6:K9)</f>
        <v>40228.629099307153</v>
      </c>
      <c r="L5" s="50"/>
      <c r="M5" s="52"/>
      <c r="N5" s="50">
        <f>SUM(N6:N9)</f>
        <v>139.43999999999997</v>
      </c>
      <c r="O5" s="50">
        <f>SUM(O6:O9)</f>
        <v>106.7784</v>
      </c>
      <c r="P5" s="53"/>
      <c r="Q5" s="50">
        <f t="shared" ref="Q5:V5" si="1">SUM(Q6:Q9)</f>
        <v>394.31999999999994</v>
      </c>
      <c r="R5" s="50">
        <f t="shared" si="1"/>
        <v>30.02947422222222</v>
      </c>
      <c r="S5" s="50">
        <f>SUM(S6:S9)</f>
        <v>30.02947422222222</v>
      </c>
      <c r="T5" s="50">
        <f t="shared" si="1"/>
        <v>0</v>
      </c>
      <c r="U5" s="50">
        <f>SUM(U6:U9)</f>
        <v>6534.9705257777778</v>
      </c>
      <c r="V5" s="50">
        <f t="shared" si="1"/>
        <v>6565</v>
      </c>
      <c r="W5" s="53"/>
      <c r="X5" s="50">
        <f t="shared" ref="X5:AO5" si="2">SUM(X6:X9)</f>
        <v>0</v>
      </c>
      <c r="Y5" s="50">
        <f t="shared" si="2"/>
        <v>0</v>
      </c>
      <c r="Z5" s="50">
        <f>SUM(Z6:Z9)</f>
        <v>11863.21</v>
      </c>
      <c r="AA5" s="50">
        <f t="shared" si="2"/>
        <v>16964.999999999996</v>
      </c>
      <c r="AB5" s="50">
        <f t="shared" si="2"/>
        <v>0</v>
      </c>
      <c r="AC5" s="50">
        <f t="shared" si="2"/>
        <v>999.99999999999977</v>
      </c>
      <c r="AD5" s="50">
        <f t="shared" si="2"/>
        <v>0</v>
      </c>
      <c r="AE5" s="50">
        <f t="shared" si="2"/>
        <v>13674.720000000001</v>
      </c>
      <c r="AF5" s="50">
        <f t="shared" si="2"/>
        <v>0</v>
      </c>
      <c r="AG5" s="50">
        <f>SUM(AG6:AG9)</f>
        <v>0</v>
      </c>
      <c r="AH5" s="50">
        <f t="shared" si="2"/>
        <v>0</v>
      </c>
      <c r="AI5" s="50">
        <f t="shared" si="2"/>
        <v>43502.929999999993</v>
      </c>
      <c r="AJ5" s="50">
        <f t="shared" si="2"/>
        <v>0</v>
      </c>
      <c r="AK5" s="50">
        <f t="shared" si="2"/>
        <v>8140.869999999999</v>
      </c>
      <c r="AL5" s="50">
        <f t="shared" si="2"/>
        <v>196.04000000000002</v>
      </c>
      <c r="AM5" s="50">
        <f t="shared" si="2"/>
        <v>1385.4599999999998</v>
      </c>
      <c r="AN5" s="50">
        <f t="shared" si="2"/>
        <v>0</v>
      </c>
      <c r="AO5" s="54">
        <f t="shared" si="2"/>
        <v>53225.299999999981</v>
      </c>
      <c r="AP5" s="53"/>
      <c r="AQ5" s="55"/>
      <c r="AR5" s="53"/>
      <c r="AS5" s="50">
        <f>SUM(AS6:AS9)</f>
        <v>57231.505376344066</v>
      </c>
      <c r="AT5" s="50">
        <f>SUM(AT6:AT9)</f>
        <v>57231.505376344081</v>
      </c>
      <c r="AV5" s="50"/>
      <c r="AW5" s="50">
        <f>SUM(AW6:AW9)</f>
        <v>47480.799999999996</v>
      </c>
      <c r="AX5" s="56"/>
      <c r="AY5" s="50">
        <f>SUM(AY6:AY9)</f>
        <v>0</v>
      </c>
    </row>
    <row r="6" spans="1:54">
      <c r="A6" s="57" t="s">
        <v>53</v>
      </c>
      <c r="B6" s="58">
        <f>SUM(B12:B31)</f>
        <v>115</v>
      </c>
      <c r="C6" s="58">
        <f>SUM(C12:C31)</f>
        <v>115</v>
      </c>
      <c r="D6" s="58"/>
      <c r="E6" s="58"/>
      <c r="F6" s="58">
        <f>SUM(F12:F31)</f>
        <v>115</v>
      </c>
      <c r="G6" s="58">
        <f>SUM(G12:G31)</f>
        <v>0</v>
      </c>
      <c r="H6" s="58"/>
      <c r="I6" s="58">
        <f>SUM(I12:I31)</f>
        <v>3170.9000000000005</v>
      </c>
      <c r="J6" s="58">
        <f>SUM(J12:J31)</f>
        <v>38050.799999999996</v>
      </c>
      <c r="K6" s="58">
        <f>SUM(K12:K31)</f>
        <v>38050.799999999996</v>
      </c>
      <c r="L6" s="58"/>
      <c r="M6" s="59"/>
      <c r="N6" s="58">
        <f>SUM(N12:N31)</f>
        <v>89.679999999999978</v>
      </c>
      <c r="O6" s="58">
        <f>SUM(O12:O31)</f>
        <v>74.434399999999997</v>
      </c>
      <c r="P6" s="60"/>
      <c r="Q6" s="58">
        <f t="shared" ref="Q6:V6" si="3">SUM(Q12:Q31)</f>
        <v>310.11999999999995</v>
      </c>
      <c r="R6" s="58">
        <f t="shared" si="3"/>
        <v>22.251639555555553</v>
      </c>
      <c r="S6" s="58">
        <f t="shared" si="3"/>
        <v>22.251639555555553</v>
      </c>
      <c r="T6" s="58">
        <f t="shared" si="3"/>
        <v>0</v>
      </c>
      <c r="U6" s="58">
        <f t="shared" si="3"/>
        <v>4555.4776069313029</v>
      </c>
      <c r="V6" s="58">
        <f t="shared" si="3"/>
        <v>4577.7292464868578</v>
      </c>
      <c r="W6" s="60"/>
      <c r="X6" s="58">
        <f t="shared" ref="X6:AO6" si="4">SUM(X12:X31)</f>
        <v>0</v>
      </c>
      <c r="Y6" s="58">
        <f t="shared" si="4"/>
        <v>0</v>
      </c>
      <c r="Z6" s="58">
        <f t="shared" si="4"/>
        <v>9280.7425170068018</v>
      </c>
      <c r="AA6" s="58">
        <f t="shared" si="4"/>
        <v>11829.577557753166</v>
      </c>
      <c r="AB6" s="58">
        <f t="shared" si="4"/>
        <v>0</v>
      </c>
      <c r="AC6" s="58">
        <f t="shared" si="4"/>
        <v>697.2931068525296</v>
      </c>
      <c r="AD6" s="58">
        <f t="shared" si="4"/>
        <v>0</v>
      </c>
      <c r="AE6" s="58">
        <f t="shared" si="4"/>
        <v>9535.2879941384272</v>
      </c>
      <c r="AF6" s="58">
        <f t="shared" si="4"/>
        <v>0</v>
      </c>
      <c r="AG6" s="58">
        <f t="shared" si="4"/>
        <v>0</v>
      </c>
      <c r="AH6" s="58">
        <f t="shared" si="4"/>
        <v>0</v>
      </c>
      <c r="AI6" s="58">
        <f t="shared" si="4"/>
        <v>31342.901175750925</v>
      </c>
      <c r="AJ6" s="58">
        <f t="shared" si="4"/>
        <v>0</v>
      </c>
      <c r="AK6" s="58">
        <f t="shared" si="4"/>
        <v>5674.9377582732077</v>
      </c>
      <c r="AL6" s="58">
        <f t="shared" si="4"/>
        <v>185.42711991466973</v>
      </c>
      <c r="AM6" s="58">
        <f t="shared" si="4"/>
        <v>1310.4563229798932</v>
      </c>
      <c r="AN6" s="61">
        <f t="shared" si="4"/>
        <v>0</v>
      </c>
      <c r="AO6" s="58">
        <f t="shared" si="4"/>
        <v>38513.722376918682</v>
      </c>
      <c r="AP6" s="60"/>
      <c r="AQ6" s="58"/>
      <c r="AR6" s="60"/>
      <c r="AS6" s="58">
        <f>+AO6/AS$4</f>
        <v>41412.604706364174</v>
      </c>
      <c r="AT6" s="58">
        <f>SUM(AT12:AT31)</f>
        <v>41412.604706364189</v>
      </c>
      <c r="AU6" s="62">
        <f>+AS6/J6</f>
        <v>1.0883504343236983</v>
      </c>
      <c r="AV6" s="58"/>
      <c r="AW6" s="58">
        <f>SUM(AW12:AW31)</f>
        <v>38050.799999999996</v>
      </c>
      <c r="AX6" s="62">
        <f>+AW6/J6</f>
        <v>1</v>
      </c>
      <c r="AY6" s="58">
        <f>SUM(AY12:AY31)</f>
        <v>0</v>
      </c>
      <c r="AZ6" s="62">
        <f>+AY6/J6</f>
        <v>0</v>
      </c>
    </row>
    <row r="7" spans="1:54" s="69" customFormat="1">
      <c r="A7" s="63" t="s">
        <v>55</v>
      </c>
      <c r="B7" s="64">
        <f>SUM(B35:B52)</f>
        <v>32</v>
      </c>
      <c r="C7" s="64">
        <f>SUM(C35:C52)</f>
        <v>32</v>
      </c>
      <c r="D7" s="64"/>
      <c r="E7" s="64"/>
      <c r="F7" s="64">
        <f>SUM(F35:F52)</f>
        <v>32</v>
      </c>
      <c r="G7" s="64">
        <f>SUM(G35:G52)</f>
        <v>0</v>
      </c>
      <c r="H7" s="58"/>
      <c r="I7" s="64">
        <f>SUM(I35:I52)</f>
        <v>181.48575827559662</v>
      </c>
      <c r="J7" s="64">
        <f>SUM(J35:J52)</f>
        <v>2177.8290993071596</v>
      </c>
      <c r="K7" s="64">
        <f>SUM(K35:K52)</f>
        <v>2177.8290993071596</v>
      </c>
      <c r="L7" s="64"/>
      <c r="M7" s="65"/>
      <c r="N7" s="64">
        <f>SUM(N35:N52)</f>
        <v>49.76</v>
      </c>
      <c r="O7" s="64">
        <f>SUM(O35:O52)</f>
        <v>32.344000000000001</v>
      </c>
      <c r="P7" s="66"/>
      <c r="Q7" s="64">
        <f t="shared" ref="Q7:V7" si="5">SUM(Q35:Q52)</f>
        <v>84.2</v>
      </c>
      <c r="R7" s="64">
        <f t="shared" si="5"/>
        <v>7.7778346666666671</v>
      </c>
      <c r="S7" s="64">
        <f t="shared" si="5"/>
        <v>7.7778346666666671</v>
      </c>
      <c r="T7" s="64">
        <f t="shared" si="5"/>
        <v>0</v>
      </c>
      <c r="U7" s="64">
        <f t="shared" si="5"/>
        <v>1979.4929188464748</v>
      </c>
      <c r="V7" s="64">
        <f t="shared" si="5"/>
        <v>1987.2707535131417</v>
      </c>
      <c r="W7" s="66"/>
      <c r="X7" s="64">
        <f t="shared" ref="X7:AO7" si="6">SUM(X35:X52)</f>
        <v>0</v>
      </c>
      <c r="Y7" s="64">
        <f t="shared" si="6"/>
        <v>0</v>
      </c>
      <c r="Z7" s="64">
        <f>SUM(Z35:Z52)</f>
        <v>2582.4674829931969</v>
      </c>
      <c r="AA7" s="64">
        <f t="shared" si="6"/>
        <v>5135.4224422468315</v>
      </c>
      <c r="AB7" s="64">
        <f t="shared" si="6"/>
        <v>0</v>
      </c>
      <c r="AC7" s="64">
        <f t="shared" si="6"/>
        <v>302.70689314747017</v>
      </c>
      <c r="AD7" s="64">
        <f t="shared" si="6"/>
        <v>0</v>
      </c>
      <c r="AE7" s="64">
        <f t="shared" si="6"/>
        <v>4139.4320058615731</v>
      </c>
      <c r="AF7" s="64">
        <f t="shared" si="6"/>
        <v>0</v>
      </c>
      <c r="AG7" s="64">
        <f>SUM(AG35:AG52)</f>
        <v>0</v>
      </c>
      <c r="AH7" s="64">
        <f t="shared" si="6"/>
        <v>0</v>
      </c>
      <c r="AI7" s="64">
        <f t="shared" si="6"/>
        <v>12160.02882424907</v>
      </c>
      <c r="AJ7" s="64">
        <f t="shared" si="6"/>
        <v>0</v>
      </c>
      <c r="AK7" s="64">
        <f t="shared" si="6"/>
        <v>2465.9322417267913</v>
      </c>
      <c r="AL7" s="64">
        <f t="shared" si="6"/>
        <v>10.612880085330293</v>
      </c>
      <c r="AM7" s="64">
        <f t="shared" si="6"/>
        <v>75.00367702010665</v>
      </c>
      <c r="AN7" s="67">
        <f t="shared" si="6"/>
        <v>0</v>
      </c>
      <c r="AO7" s="64">
        <f t="shared" si="6"/>
        <v>14711.577623081299</v>
      </c>
      <c r="AP7" s="66"/>
      <c r="AQ7" s="64"/>
      <c r="AR7" s="66"/>
      <c r="AS7" s="58">
        <f>+AO7/AS$4</f>
        <v>15818.90066997989</v>
      </c>
      <c r="AT7" s="64">
        <f>SUM(AT35:AT52)</f>
        <v>15818.900669979892</v>
      </c>
      <c r="AU7" s="62">
        <f>+AS7/J7</f>
        <v>7.2636097456005215</v>
      </c>
      <c r="AV7" s="64"/>
      <c r="AW7" s="64">
        <f>SUM(AW35:AW52)</f>
        <v>9430</v>
      </c>
      <c r="AX7" s="62">
        <f>+AW7/J7</f>
        <v>4.3299999999999992</v>
      </c>
      <c r="AY7" s="64">
        <f>SUM(AY35:AY52)</f>
        <v>0</v>
      </c>
      <c r="AZ7" s="62">
        <f>+AY7/J7</f>
        <v>0</v>
      </c>
      <c r="BA7" s="68"/>
    </row>
    <row r="8" spans="1:54">
      <c r="A8" s="57" t="s">
        <v>58</v>
      </c>
      <c r="B8" s="58">
        <f>SUM(B56:B58)+SUM(B64:B65)</f>
        <v>0</v>
      </c>
      <c r="C8" s="58">
        <f>SUM(C56:C58)+SUM(C64:C65)</f>
        <v>0</v>
      </c>
      <c r="D8" s="58"/>
      <c r="E8" s="58"/>
      <c r="F8" s="58">
        <f>SUM(F56:F58)+SUM(F64:F65)</f>
        <v>0</v>
      </c>
      <c r="G8" s="58">
        <f>SUM(G56:G58)+SUM(G64:G65)</f>
        <v>0</v>
      </c>
      <c r="H8" s="58"/>
      <c r="I8" s="58">
        <f>SUM(I56:I58)+SUM(I64:I65)</f>
        <v>0</v>
      </c>
      <c r="J8" s="58">
        <f>SUM(J56:J58)+SUM(J64:J65)</f>
        <v>0</v>
      </c>
      <c r="K8" s="58">
        <f>SUM(K56:K58)+SUM(K64:K65)</f>
        <v>0</v>
      </c>
      <c r="L8" s="58"/>
      <c r="M8" s="59"/>
      <c r="N8" s="58">
        <f>SUM(N56:N58)+SUM(N64:N65)</f>
        <v>0</v>
      </c>
      <c r="O8" s="58">
        <f>SUM(O56:O58)+SUM(O64:O65)</f>
        <v>0</v>
      </c>
      <c r="P8" s="60"/>
      <c r="Q8" s="58">
        <f t="shared" ref="Q8:V8" si="7">SUM(Q56:Q58)+SUM(Q64:Q65)</f>
        <v>0</v>
      </c>
      <c r="R8" s="58">
        <f t="shared" si="7"/>
        <v>0</v>
      </c>
      <c r="S8" s="58">
        <f t="shared" si="7"/>
        <v>0</v>
      </c>
      <c r="T8" s="58">
        <f t="shared" si="7"/>
        <v>0</v>
      </c>
      <c r="U8" s="58">
        <f t="shared" si="7"/>
        <v>0</v>
      </c>
      <c r="V8" s="58">
        <f t="shared" si="7"/>
        <v>0</v>
      </c>
      <c r="W8" s="60"/>
      <c r="X8" s="58">
        <f t="shared" ref="X8:AO8" si="8">SUM(X56:X58)+SUM(X64:X65)</f>
        <v>0</v>
      </c>
      <c r="Y8" s="58">
        <f t="shared" si="8"/>
        <v>0</v>
      </c>
      <c r="Z8" s="58">
        <f t="shared" si="8"/>
        <v>0</v>
      </c>
      <c r="AA8" s="58">
        <f t="shared" si="8"/>
        <v>0</v>
      </c>
      <c r="AB8" s="58">
        <f t="shared" si="8"/>
        <v>0</v>
      </c>
      <c r="AC8" s="58">
        <f t="shared" si="8"/>
        <v>0</v>
      </c>
      <c r="AD8" s="58">
        <f t="shared" si="8"/>
        <v>0</v>
      </c>
      <c r="AE8" s="58">
        <f t="shared" si="8"/>
        <v>0</v>
      </c>
      <c r="AF8" s="58">
        <f t="shared" si="8"/>
        <v>0</v>
      </c>
      <c r="AG8" s="58">
        <f t="shared" si="8"/>
        <v>0</v>
      </c>
      <c r="AH8" s="58">
        <f t="shared" si="8"/>
        <v>0</v>
      </c>
      <c r="AI8" s="58">
        <f t="shared" si="8"/>
        <v>0</v>
      </c>
      <c r="AJ8" s="58">
        <f t="shared" si="8"/>
        <v>0</v>
      </c>
      <c r="AK8" s="58">
        <f t="shared" si="8"/>
        <v>0</v>
      </c>
      <c r="AL8" s="58">
        <f t="shared" si="8"/>
        <v>0</v>
      </c>
      <c r="AM8" s="58">
        <f t="shared" si="8"/>
        <v>0</v>
      </c>
      <c r="AN8" s="67">
        <f t="shared" si="8"/>
        <v>0</v>
      </c>
      <c r="AO8" s="58">
        <f t="shared" si="8"/>
        <v>0</v>
      </c>
      <c r="AP8" s="60"/>
      <c r="AQ8" s="58"/>
      <c r="AR8" s="60"/>
      <c r="AS8" s="58">
        <f>+AO8/AS$4</f>
        <v>0</v>
      </c>
      <c r="AT8" s="58">
        <f>SUM(AT56:AT58)+SUM(AT64:AT65)</f>
        <v>0</v>
      </c>
      <c r="AU8" s="62" t="e">
        <f>+AS8/(J8)</f>
        <v>#DIV/0!</v>
      </c>
      <c r="AV8" s="58"/>
      <c r="AW8" s="58">
        <f>SUM(AW56:AW58)+SUM(AW64:AW65)</f>
        <v>0</v>
      </c>
      <c r="AX8" s="62" t="e">
        <f>+AW8/J8</f>
        <v>#DIV/0!</v>
      </c>
      <c r="AY8" s="58">
        <f>SUM(AY56:AY58)+SUM(AY64:AY65)</f>
        <v>0</v>
      </c>
      <c r="AZ8" s="62" t="e">
        <f>+AY8/J8</f>
        <v>#DIV/0!</v>
      </c>
    </row>
    <row r="9" spans="1:54" s="76" customFormat="1" ht="12" thickBot="1">
      <c r="A9" s="70" t="s">
        <v>60</v>
      </c>
      <c r="B9" s="71">
        <f>SUM(B60:B62)</f>
        <v>0</v>
      </c>
      <c r="C9" s="71">
        <f>SUM(C60:C62)</f>
        <v>0</v>
      </c>
      <c r="D9" s="71"/>
      <c r="E9" s="71"/>
      <c r="F9" s="71">
        <f>SUM(F60:F62)</f>
        <v>0</v>
      </c>
      <c r="G9" s="71">
        <f>SUM(G60:G62)</f>
        <v>0</v>
      </c>
      <c r="H9" s="72"/>
      <c r="I9" s="71">
        <f>SUM(I60:I62)</f>
        <v>0</v>
      </c>
      <c r="J9" s="71">
        <f>SUM(J60:J62)</f>
        <v>0</v>
      </c>
      <c r="K9" s="71">
        <f>SUM(K60:K62)</f>
        <v>0</v>
      </c>
      <c r="L9" s="72"/>
      <c r="M9" s="73"/>
      <c r="N9" s="71">
        <f>SUM(N60:N62)</f>
        <v>0</v>
      </c>
      <c r="O9" s="71">
        <f>SUM(O60:O62)</f>
        <v>0</v>
      </c>
      <c r="P9" s="74"/>
      <c r="Q9" s="71">
        <f t="shared" ref="Q9:V9" si="9">SUM(Q60:Q62)</f>
        <v>0</v>
      </c>
      <c r="R9" s="71">
        <f t="shared" si="9"/>
        <v>0</v>
      </c>
      <c r="S9" s="71">
        <f t="shared" si="9"/>
        <v>0</v>
      </c>
      <c r="T9" s="71">
        <f t="shared" si="9"/>
        <v>0</v>
      </c>
      <c r="U9" s="71">
        <f t="shared" si="9"/>
        <v>0</v>
      </c>
      <c r="V9" s="71">
        <f t="shared" si="9"/>
        <v>0</v>
      </c>
      <c r="W9" s="74"/>
      <c r="X9" s="71">
        <f t="shared" ref="X9:AO9" si="10">SUM(X60:X62)</f>
        <v>0</v>
      </c>
      <c r="Y9" s="71">
        <f t="shared" si="10"/>
        <v>0</v>
      </c>
      <c r="Z9" s="71">
        <f t="shared" si="10"/>
        <v>0</v>
      </c>
      <c r="AA9" s="71">
        <f t="shared" si="10"/>
        <v>0</v>
      </c>
      <c r="AB9" s="71">
        <f t="shared" si="10"/>
        <v>0</v>
      </c>
      <c r="AC9" s="71">
        <f t="shared" si="10"/>
        <v>0</v>
      </c>
      <c r="AD9" s="71">
        <f t="shared" si="10"/>
        <v>0</v>
      </c>
      <c r="AE9" s="71">
        <f t="shared" si="10"/>
        <v>0</v>
      </c>
      <c r="AF9" s="71">
        <f t="shared" si="10"/>
        <v>0</v>
      </c>
      <c r="AG9" s="71">
        <f t="shared" si="10"/>
        <v>0</v>
      </c>
      <c r="AH9" s="71">
        <f t="shared" si="10"/>
        <v>0</v>
      </c>
      <c r="AI9" s="71">
        <f t="shared" si="10"/>
        <v>0</v>
      </c>
      <c r="AJ9" s="71">
        <f t="shared" si="10"/>
        <v>0</v>
      </c>
      <c r="AK9" s="71">
        <f t="shared" si="10"/>
        <v>0</v>
      </c>
      <c r="AL9" s="71">
        <f t="shared" si="10"/>
        <v>0</v>
      </c>
      <c r="AM9" s="71">
        <f t="shared" si="10"/>
        <v>0</v>
      </c>
      <c r="AN9" s="71">
        <f t="shared" si="10"/>
        <v>0</v>
      </c>
      <c r="AO9" s="71">
        <f t="shared" si="10"/>
        <v>0</v>
      </c>
      <c r="AP9" s="74"/>
      <c r="AQ9" s="71"/>
      <c r="AR9" s="74"/>
      <c r="AS9" s="71">
        <f>+AO9/AS$4</f>
        <v>0</v>
      </c>
      <c r="AT9" s="71">
        <f>SUM(AT60:AT62)</f>
        <v>0</v>
      </c>
      <c r="AU9" s="75" t="e">
        <f>+AS9/(J9)</f>
        <v>#DIV/0!</v>
      </c>
      <c r="AV9" s="72"/>
      <c r="AW9" s="71">
        <f>SUM(AW60:AW62)</f>
        <v>0</v>
      </c>
      <c r="AX9" s="75" t="e">
        <f>+AW9/J9</f>
        <v>#DIV/0!</v>
      </c>
      <c r="AY9" s="71">
        <f>SUM(AY60:AY62)</f>
        <v>0</v>
      </c>
      <c r="AZ9" s="75" t="e">
        <f>+AY9/J9</f>
        <v>#DIV/0!</v>
      </c>
    </row>
    <row r="10" spans="1:54" s="77" customFormat="1" ht="45">
      <c r="B10" s="78" t="s">
        <v>61</v>
      </c>
      <c r="C10" s="78" t="s">
        <v>62</v>
      </c>
      <c r="D10" s="78" t="s">
        <v>63</v>
      </c>
      <c r="E10" s="78" t="s">
        <v>64</v>
      </c>
      <c r="F10" s="79" t="s">
        <v>65</v>
      </c>
      <c r="G10" s="79" t="s">
        <v>66</v>
      </c>
      <c r="H10" s="80" t="s">
        <v>67</v>
      </c>
      <c r="I10" s="78" t="s">
        <v>68</v>
      </c>
      <c r="J10" s="78" t="s">
        <v>69</v>
      </c>
      <c r="K10" s="78" t="s">
        <v>70</v>
      </c>
      <c r="L10" s="78" t="s">
        <v>71</v>
      </c>
      <c r="M10" s="81" t="s">
        <v>72</v>
      </c>
      <c r="N10" s="78" t="s">
        <v>73</v>
      </c>
      <c r="O10" s="78" t="s">
        <v>74</v>
      </c>
      <c r="P10" s="82"/>
      <c r="Q10" s="78" t="s">
        <v>75</v>
      </c>
      <c r="R10" s="78" t="s">
        <v>76</v>
      </c>
      <c r="S10" s="78" t="s">
        <v>77</v>
      </c>
      <c r="T10" s="78" t="s">
        <v>78</v>
      </c>
      <c r="U10" s="78" t="s">
        <v>79</v>
      </c>
      <c r="V10" s="78" t="s">
        <v>80</v>
      </c>
      <c r="W10" s="82"/>
      <c r="X10" s="78" t="s">
        <v>2</v>
      </c>
      <c r="Y10" s="78" t="s">
        <v>3</v>
      </c>
      <c r="Z10" s="78" t="s">
        <v>4</v>
      </c>
      <c r="AA10" s="78" t="s">
        <v>5</v>
      </c>
      <c r="AB10" s="78" t="s">
        <v>6</v>
      </c>
      <c r="AC10" s="78" t="s">
        <v>7</v>
      </c>
      <c r="AD10" s="78" t="s">
        <v>8</v>
      </c>
      <c r="AE10" s="78" t="s">
        <v>9</v>
      </c>
      <c r="AF10" s="78" t="s">
        <v>10</v>
      </c>
      <c r="AG10" s="78" t="s">
        <v>11</v>
      </c>
      <c r="AH10" s="78" t="s">
        <v>12</v>
      </c>
      <c r="AI10" s="78" t="s">
        <v>81</v>
      </c>
      <c r="AJ10" s="78" t="s">
        <v>13</v>
      </c>
      <c r="AK10" s="78" t="s">
        <v>14</v>
      </c>
      <c r="AL10" s="78" t="s">
        <v>15</v>
      </c>
      <c r="AM10" s="78" t="s">
        <v>16</v>
      </c>
      <c r="AN10" s="78" t="s">
        <v>17</v>
      </c>
      <c r="AO10" s="83" t="s">
        <v>1</v>
      </c>
      <c r="AP10" s="82"/>
      <c r="AQ10" s="78" t="s">
        <v>82</v>
      </c>
      <c r="AR10" s="82"/>
      <c r="AS10" s="78" t="s">
        <v>83</v>
      </c>
      <c r="AT10" s="78" t="s">
        <v>84</v>
      </c>
      <c r="AU10" s="78" t="s">
        <v>85</v>
      </c>
      <c r="AV10" s="80" t="s">
        <v>86</v>
      </c>
      <c r="AW10" s="78" t="s">
        <v>87</v>
      </c>
      <c r="AX10" s="80" t="s">
        <v>88</v>
      </c>
      <c r="AY10" s="78" t="s">
        <v>89</v>
      </c>
      <c r="AZ10" s="78" t="s">
        <v>90</v>
      </c>
      <c r="BA10" s="84"/>
      <c r="BB10" s="84"/>
    </row>
    <row r="11" spans="1:54" ht="12" thickBot="1">
      <c r="A11" s="85" t="s">
        <v>91</v>
      </c>
      <c r="K11" s="39"/>
      <c r="P11" s="30"/>
      <c r="W11" s="30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6"/>
      <c r="AP11" s="30"/>
      <c r="AR11" s="30"/>
      <c r="AU11" s="86"/>
      <c r="AX11" s="87"/>
    </row>
    <row r="12" spans="1:54" ht="12" thickTop="1">
      <c r="A12" s="316" t="s">
        <v>92</v>
      </c>
      <c r="B12" s="337">
        <v>0</v>
      </c>
      <c r="C12" s="90">
        <f>B12*$K$2</f>
        <v>0</v>
      </c>
      <c r="D12" s="90"/>
      <c r="E12" s="90"/>
      <c r="F12" s="90">
        <f>C12</f>
        <v>0</v>
      </c>
      <c r="G12" s="90" t="s">
        <v>18</v>
      </c>
      <c r="H12" s="91"/>
      <c r="I12" s="90">
        <f>B12*H12</f>
        <v>0</v>
      </c>
      <c r="J12" s="264">
        <f>I12*12</f>
        <v>0</v>
      </c>
      <c r="K12" s="90">
        <f>J12*$K$2</f>
        <v>0</v>
      </c>
      <c r="L12" s="92"/>
      <c r="M12" s="93">
        <f>L12*$O$2</f>
        <v>0</v>
      </c>
      <c r="N12" s="94">
        <f>ROUND(((C12*E12*L12)/2000),2)</f>
        <v>0</v>
      </c>
      <c r="O12" s="95">
        <f>$O$2*N12</f>
        <v>0</v>
      </c>
      <c r="P12" s="96"/>
      <c r="Q12" s="97"/>
      <c r="R12" s="95">
        <f>C12*E12*Q12/3600</f>
        <v>0</v>
      </c>
      <c r="S12" s="95">
        <f>R12*$S$2</f>
        <v>0</v>
      </c>
      <c r="T12" s="98"/>
      <c r="U12" s="95">
        <f>($V$4-$S$5)*O12/($O$5-$O$8)</f>
        <v>0</v>
      </c>
      <c r="V12" s="99">
        <f>U12+S12</f>
        <v>0</v>
      </c>
      <c r="W12" s="96"/>
      <c r="X12" s="90"/>
      <c r="Y12" s="90">
        <f t="shared" ref="Y12:Y30" si="11">($Y$4*(F12/4)/(($F$6/4)+$F$7+$F$8+$F$9))</f>
        <v>0</v>
      </c>
      <c r="Z12" s="90">
        <f t="shared" ref="Z12" si="12">($Z$4*F12/($F$5))</f>
        <v>0</v>
      </c>
      <c r="AA12" s="266">
        <f t="shared" ref="AA12:AA31" si="13">$AA$4*V12/($V$5-$V$8-SUM($V$60:$V$62))</f>
        <v>0</v>
      </c>
      <c r="AB12" s="90"/>
      <c r="AC12" s="90">
        <f>$AC$4*V12/$V$5</f>
        <v>0</v>
      </c>
      <c r="AD12" s="90">
        <f>$AD$4*V12/$V$5</f>
        <v>0</v>
      </c>
      <c r="AE12" s="90">
        <f>$AE$4*V12/($V$6+$V$7)</f>
        <v>0</v>
      </c>
      <c r="AF12" s="90"/>
      <c r="AG12" s="90"/>
      <c r="AH12" s="90"/>
      <c r="AI12" s="90">
        <f>SUM(Y12:AH12)</f>
        <v>0</v>
      </c>
      <c r="AJ12" s="90">
        <f t="shared" ref="AJ12:AJ25" si="14">($AJ$4*F12/($F$5))</f>
        <v>0</v>
      </c>
      <c r="AK12" s="90">
        <f>$AK$4*O12/($O$5-$O$8)</f>
        <v>0</v>
      </c>
      <c r="AL12" s="90">
        <f t="shared" ref="AL12:AL30" si="15">$AL$4*(K12+X12)/($K$5+$X$5)</f>
        <v>0</v>
      </c>
      <c r="AM12" s="90">
        <f t="shared" ref="AM12:AM30" si="16">$AM$4*(K12+X12)/($K$5+$X$5)</f>
        <v>0</v>
      </c>
      <c r="AN12" s="90">
        <f t="shared" ref="AN12:AN25" si="17">$AN$4*(K12+X12)/($K$5+$X$5)</f>
        <v>0</v>
      </c>
      <c r="AO12" s="100">
        <f>SUM(AI12:AN12)</f>
        <v>0</v>
      </c>
      <c r="AP12" s="96"/>
      <c r="AQ12" s="95">
        <f>IF(ISERROR(AO12/C12/12), 0,(AO12/C12/12))</f>
        <v>0</v>
      </c>
      <c r="AR12" s="96"/>
      <c r="AS12" s="101">
        <f>AQ12/$AS$4</f>
        <v>0</v>
      </c>
      <c r="AT12" s="102">
        <f>+AS12*C12*12</f>
        <v>0</v>
      </c>
      <c r="AU12" s="103" t="e">
        <f>(+AS12-AV12)/AV12</f>
        <v>#DIV/0!</v>
      </c>
      <c r="AV12" s="104">
        <f t="shared" ref="AV12:AV26" si="18">H12</f>
        <v>0</v>
      </c>
      <c r="AW12" s="105">
        <f t="shared" ref="AW12:AW26" si="19">+AV12*C12*12</f>
        <v>0</v>
      </c>
      <c r="AX12" s="106"/>
      <c r="AY12" s="107">
        <f>+AX12*C12*12</f>
        <v>0</v>
      </c>
      <c r="AZ12" s="108" t="e">
        <f>(+AX12-AV12)/AV12</f>
        <v>#DIV/0!</v>
      </c>
    </row>
    <row r="13" spans="1:54" ht="12" thickTop="1">
      <c r="A13" s="88" t="s">
        <v>93</v>
      </c>
      <c r="B13" s="89">
        <v>6</v>
      </c>
      <c r="C13" s="90">
        <f>B13*$K$2</f>
        <v>6</v>
      </c>
      <c r="D13" s="264">
        <v>4.33</v>
      </c>
      <c r="E13" s="90">
        <f>D13*12</f>
        <v>51.96</v>
      </c>
      <c r="F13" s="90">
        <f>C13</f>
        <v>6</v>
      </c>
      <c r="G13" s="90"/>
      <c r="H13" s="333">
        <v>25</v>
      </c>
      <c r="I13" s="90">
        <f>B13*H13</f>
        <v>150</v>
      </c>
      <c r="J13" s="90">
        <f>I13*12</f>
        <v>1800</v>
      </c>
      <c r="K13" s="90">
        <f>J13*$K$2</f>
        <v>1800</v>
      </c>
      <c r="L13" s="92">
        <v>34</v>
      </c>
      <c r="M13" s="93">
        <f>L13*$O$2</f>
        <v>28.22</v>
      </c>
      <c r="N13" s="94">
        <f>ROUND(((C13*E13*L13)/2000),2)</f>
        <v>5.3</v>
      </c>
      <c r="O13" s="95">
        <f>$O$2*N13</f>
        <v>4.399</v>
      </c>
      <c r="P13" s="96"/>
      <c r="Q13" s="97">
        <v>16.84</v>
      </c>
      <c r="R13" s="95">
        <f>C13*E13*Q13/3600</f>
        <v>1.4583439999999999</v>
      </c>
      <c r="S13" s="95">
        <f>R13*$S$2</f>
        <v>1.4583439999999999</v>
      </c>
      <c r="T13" s="98"/>
      <c r="U13" s="95">
        <f>($V$4-$S$5)*O13/($O$5-$O$8)</f>
        <v>269.22425643104265</v>
      </c>
      <c r="V13" s="99">
        <f t="shared" ref="V13:V31" si="20">U13+S13</f>
        <v>270.68260043104266</v>
      </c>
      <c r="W13" s="96"/>
      <c r="X13" s="90"/>
      <c r="Y13" s="90">
        <f t="shared" si="11"/>
        <v>0</v>
      </c>
      <c r="Z13" s="90">
        <f>($Z$4*F13/($F$5))</f>
        <v>484.21265306122444</v>
      </c>
      <c r="AA13" s="109">
        <f t="shared" si="13"/>
        <v>699.48671992576374</v>
      </c>
      <c r="AB13" s="90"/>
      <c r="AC13" s="90">
        <f>$AC$4*V13/$V$5</f>
        <v>41.23116533603087</v>
      </c>
      <c r="AD13" s="90">
        <f>$AD$4*V13/$V$5</f>
        <v>0</v>
      </c>
      <c r="AE13" s="90">
        <f>$AE$4*V13/($V$6+$V$7)</f>
        <v>563.824641243928</v>
      </c>
      <c r="AF13" s="90"/>
      <c r="AG13" s="90"/>
      <c r="AH13" s="90"/>
      <c r="AI13" s="90">
        <f>SUM(Y13:AH13)</f>
        <v>1788.7551795669472</v>
      </c>
      <c r="AJ13" s="90">
        <f t="shared" si="14"/>
        <v>0</v>
      </c>
      <c r="AK13" s="90">
        <f>$AK$4*O13/($O$5-$O$8)</f>
        <v>335.3832528863515</v>
      </c>
      <c r="AL13" s="90">
        <f t="shared" si="15"/>
        <v>8.7716635615126499</v>
      </c>
      <c r="AM13" s="90">
        <f t="shared" si="16"/>
        <v>61.991374198802873</v>
      </c>
      <c r="AN13" s="90">
        <f t="shared" si="17"/>
        <v>0</v>
      </c>
      <c r="AO13" s="100">
        <f>SUM(AI13:AN13)</f>
        <v>2194.9014702136142</v>
      </c>
      <c r="AP13" s="96"/>
      <c r="AQ13" s="95">
        <f t="shared" ref="AQ13:AQ30" si="21">IF(ISERROR(AO13/C13/12), 0,(AO13/C13/12))</f>
        <v>30.48474264185575</v>
      </c>
      <c r="AR13" s="96"/>
      <c r="AS13" s="101">
        <f t="shared" ref="AS13:AS30" si="22">AQ13/$AS$4</f>
        <v>32.77929316328575</v>
      </c>
      <c r="AT13" s="102">
        <f t="shared" ref="AT13:AT30" si="23">+AS13*C13*12</f>
        <v>2360.1091077565738</v>
      </c>
      <c r="AU13" s="103">
        <f>(+AS13-AV13)/AV13</f>
        <v>0.31117172653142999</v>
      </c>
      <c r="AV13" s="104">
        <f t="shared" si="18"/>
        <v>25</v>
      </c>
      <c r="AW13" s="105">
        <f t="shared" si="19"/>
        <v>1800</v>
      </c>
      <c r="AX13" s="106"/>
      <c r="AY13" s="107">
        <f>+AX13*C13*12</f>
        <v>0</v>
      </c>
      <c r="AZ13" s="108">
        <f>(+AX13-AV13)/AV13</f>
        <v>-1</v>
      </c>
    </row>
    <row r="14" spans="1:54">
      <c r="A14" s="88" t="s">
        <v>94</v>
      </c>
      <c r="B14" s="89">
        <v>18</v>
      </c>
      <c r="C14" s="90">
        <f t="shared" ref="C14:C30" si="24">B14*$K$2</f>
        <v>18</v>
      </c>
      <c r="D14" s="264">
        <v>4.33</v>
      </c>
      <c r="E14" s="90">
        <f>D14*12</f>
        <v>51.96</v>
      </c>
      <c r="F14" s="90">
        <f t="shared" ref="F14:F30" si="25">C14</f>
        <v>18</v>
      </c>
      <c r="G14" s="90"/>
      <c r="H14" s="91">
        <v>47.63</v>
      </c>
      <c r="I14" s="90">
        <f t="shared" ref="I14:I30" si="26">B14*H14</f>
        <v>857.34</v>
      </c>
      <c r="J14" s="90">
        <f t="shared" ref="J14:J30" si="27">I14*12</f>
        <v>10288.08</v>
      </c>
      <c r="K14" s="90">
        <f t="shared" ref="K14:K30" si="28">J14*$K$2</f>
        <v>10288.08</v>
      </c>
      <c r="L14" s="92">
        <f>References!C19</f>
        <v>51</v>
      </c>
      <c r="M14" s="93">
        <f t="shared" ref="M14:M30" si="29">L14*$O$2</f>
        <v>42.33</v>
      </c>
      <c r="N14" s="94">
        <f t="shared" ref="N14:N30" si="30">ROUND(((C14*E14*L14)/2000),2)</f>
        <v>23.85</v>
      </c>
      <c r="O14" s="95">
        <f>$O$2*N14</f>
        <v>19.795500000000001</v>
      </c>
      <c r="P14" s="96"/>
      <c r="Q14" s="97">
        <v>23.62</v>
      </c>
      <c r="R14" s="95">
        <f t="shared" ref="R14:R30" si="31">C14*E14*Q14/3600</f>
        <v>6.136476</v>
      </c>
      <c r="S14" s="95">
        <f t="shared" ref="S14:S31" si="32">R14*$S$2</f>
        <v>6.136476</v>
      </c>
      <c r="T14" s="98"/>
      <c r="U14" s="95">
        <f t="shared" ref="U14:U31" si="33">($V$4-$S$5)*O14/($O$5-$O$8)</f>
        <v>1211.5091539396919</v>
      </c>
      <c r="V14" s="99">
        <f t="shared" si="20"/>
        <v>1217.6456299396918</v>
      </c>
      <c r="W14" s="96"/>
      <c r="X14" s="90"/>
      <c r="Y14" s="90">
        <f t="shared" si="11"/>
        <v>0</v>
      </c>
      <c r="Z14" s="90">
        <f t="shared" ref="Z14:Z30" si="34">($Z$4*F14/($F$5))</f>
        <v>1452.6379591836733</v>
      </c>
      <c r="AA14" s="109">
        <f t="shared" si="13"/>
        <v>3146.5892021213817</v>
      </c>
      <c r="AB14" s="90"/>
      <c r="AC14" s="90">
        <f t="shared" ref="AC14:AC30" si="35">$AC$4*V14/$V$5</f>
        <v>185.47534347900867</v>
      </c>
      <c r="AD14" s="90">
        <f t="shared" ref="AD14:AD30" si="36">$AD$4*V14/$V$5</f>
        <v>0</v>
      </c>
      <c r="AE14" s="90">
        <f t="shared" ref="AE14:AE52" si="37">$AE$4*V14/($V$6+$V$7)</f>
        <v>2536.3233889792691</v>
      </c>
      <c r="AF14" s="90"/>
      <c r="AG14" s="90"/>
      <c r="AH14" s="90"/>
      <c r="AI14" s="90">
        <f t="shared" ref="AI14:AI30" si="38">SUM(Y14:AH14)</f>
        <v>7321.0258937633334</v>
      </c>
      <c r="AJ14" s="90">
        <f t="shared" si="14"/>
        <v>0</v>
      </c>
      <c r="AK14" s="90">
        <f t="shared" ref="AK14:AK30" si="39">$AK$4*O14/($O$5-$O$8)</f>
        <v>1509.2246379885819</v>
      </c>
      <c r="AL14" s="90">
        <f t="shared" si="15"/>
        <v>50.1353202521817</v>
      </c>
      <c r="AM14" s="90">
        <f t="shared" si="16"/>
        <v>354.31789837067771</v>
      </c>
      <c r="AN14" s="90">
        <f t="shared" si="17"/>
        <v>0</v>
      </c>
      <c r="AO14" s="100">
        <f t="shared" ref="AO14:AO30" si="40">SUM(AI14:AN14)</f>
        <v>9234.7037503747761</v>
      </c>
      <c r="AP14" s="96"/>
      <c r="AQ14" s="95">
        <f t="shared" si="21"/>
        <v>42.753258103586923</v>
      </c>
      <c r="AR14" s="96"/>
      <c r="AS14" s="101">
        <f t="shared" si="22"/>
        <v>45.971245272674111</v>
      </c>
      <c r="AT14" s="102">
        <f t="shared" si="23"/>
        <v>9929.7889788976063</v>
      </c>
      <c r="AU14" s="103">
        <f t="shared" ref="AU14:AU30" si="41">(+AS14-AV14)/AV14</f>
        <v>-3.482583933079765E-2</v>
      </c>
      <c r="AV14" s="104">
        <f t="shared" si="18"/>
        <v>47.63</v>
      </c>
      <c r="AW14" s="105">
        <f t="shared" si="19"/>
        <v>10288.08</v>
      </c>
      <c r="AX14" s="106"/>
      <c r="AY14" s="107">
        <f>+AX14*C14*12</f>
        <v>0</v>
      </c>
      <c r="AZ14" s="108">
        <f>(+AX14-AV14)/AV14</f>
        <v>-1</v>
      </c>
    </row>
    <row r="15" spans="1:54">
      <c r="A15" s="88" t="s">
        <v>95</v>
      </c>
      <c r="B15" s="89">
        <v>11</v>
      </c>
      <c r="C15" s="90">
        <f t="shared" si="24"/>
        <v>11</v>
      </c>
      <c r="D15" s="264">
        <f>References!$C$12</f>
        <v>2.1666666666666665</v>
      </c>
      <c r="E15" s="90">
        <f t="shared" ref="E15:E31" si="42">D15*12</f>
        <v>26</v>
      </c>
      <c r="F15" s="90">
        <f t="shared" si="25"/>
        <v>11</v>
      </c>
      <c r="G15" s="90"/>
      <c r="H15" s="333">
        <v>13</v>
      </c>
      <c r="I15" s="90">
        <f t="shared" si="26"/>
        <v>143</v>
      </c>
      <c r="J15" s="90">
        <f t="shared" si="27"/>
        <v>1716</v>
      </c>
      <c r="K15" s="90">
        <f t="shared" si="28"/>
        <v>1716</v>
      </c>
      <c r="L15" s="92">
        <v>34</v>
      </c>
      <c r="M15" s="93">
        <f t="shared" si="29"/>
        <v>28.22</v>
      </c>
      <c r="N15" s="94">
        <f t="shared" si="30"/>
        <v>4.8600000000000003</v>
      </c>
      <c r="O15" s="95">
        <f t="shared" ref="O15:O30" si="43">$O$2*N15</f>
        <v>4.0338000000000003</v>
      </c>
      <c r="P15" s="96"/>
      <c r="Q15" s="97">
        <v>16.84</v>
      </c>
      <c r="R15" s="95">
        <f t="shared" si="31"/>
        <v>1.3378444444444444</v>
      </c>
      <c r="S15" s="95">
        <f t="shared" si="32"/>
        <v>1.3378444444444444</v>
      </c>
      <c r="T15" s="98"/>
      <c r="U15" s="95">
        <f t="shared" si="33"/>
        <v>246.87356344431458</v>
      </c>
      <c r="V15" s="99">
        <f t="shared" si="20"/>
        <v>248.21140788875903</v>
      </c>
      <c r="W15" s="96"/>
      <c r="X15" s="90"/>
      <c r="Y15" s="90">
        <f t="shared" si="11"/>
        <v>0</v>
      </c>
      <c r="Z15" s="90">
        <f t="shared" si="34"/>
        <v>887.72319727891158</v>
      </c>
      <c r="AA15" s="109">
        <f t="shared" si="13"/>
        <v>641.41759860362481</v>
      </c>
      <c r="AB15" s="90"/>
      <c r="AC15" s="90">
        <f t="shared" si="35"/>
        <v>37.808287568737093</v>
      </c>
      <c r="AD15" s="90">
        <f t="shared" si="36"/>
        <v>0</v>
      </c>
      <c r="AE15" s="90">
        <f t="shared" si="37"/>
        <v>517.01774618196043</v>
      </c>
      <c r="AF15" s="90"/>
      <c r="AG15" s="90"/>
      <c r="AH15" s="90"/>
      <c r="AI15" s="90">
        <f t="shared" si="38"/>
        <v>2083.9668296332338</v>
      </c>
      <c r="AJ15" s="90">
        <f t="shared" si="14"/>
        <v>0</v>
      </c>
      <c r="AK15" s="90">
        <f t="shared" si="39"/>
        <v>307.54011491088085</v>
      </c>
      <c r="AL15" s="90">
        <f t="shared" si="15"/>
        <v>8.3623192619753937</v>
      </c>
      <c r="AM15" s="90">
        <f t="shared" si="16"/>
        <v>59.098443402858742</v>
      </c>
      <c r="AN15" s="90">
        <f t="shared" si="17"/>
        <v>0</v>
      </c>
      <c r="AO15" s="100">
        <f t="shared" si="40"/>
        <v>2458.9677072089485</v>
      </c>
      <c r="AP15" s="96"/>
      <c r="AQ15" s="95">
        <f t="shared" si="21"/>
        <v>18.62854323643143</v>
      </c>
      <c r="AR15" s="96"/>
      <c r="AS15" s="101">
        <f t="shared" si="22"/>
        <v>20.030691652076804</v>
      </c>
      <c r="AT15" s="102">
        <f t="shared" si="23"/>
        <v>2644.0512980741382</v>
      </c>
      <c r="AU15" s="103">
        <f t="shared" si="41"/>
        <v>0.54082243477513881</v>
      </c>
      <c r="AV15" s="104">
        <f t="shared" si="18"/>
        <v>13</v>
      </c>
      <c r="AW15" s="105">
        <f t="shared" si="19"/>
        <v>1716</v>
      </c>
      <c r="AX15" s="106"/>
      <c r="AY15" s="107">
        <f>+AX15*C15*12</f>
        <v>0</v>
      </c>
      <c r="AZ15" s="108">
        <f>(+AX15-AV15)/AV15</f>
        <v>-1</v>
      </c>
    </row>
    <row r="16" spans="1:54">
      <c r="A16" s="88" t="s">
        <v>96</v>
      </c>
      <c r="B16" s="89">
        <v>50</v>
      </c>
      <c r="C16" s="90">
        <f t="shared" si="24"/>
        <v>50</v>
      </c>
      <c r="D16" s="264">
        <f>References!$C$12</f>
        <v>2.1666666666666665</v>
      </c>
      <c r="E16" s="90">
        <f t="shared" si="42"/>
        <v>26</v>
      </c>
      <c r="F16" s="90">
        <f t="shared" si="25"/>
        <v>50</v>
      </c>
      <c r="G16" s="90"/>
      <c r="H16" s="91">
        <v>24.95</v>
      </c>
      <c r="I16" s="90">
        <f t="shared" si="26"/>
        <v>1247.5</v>
      </c>
      <c r="J16" s="90">
        <f t="shared" si="27"/>
        <v>14970</v>
      </c>
      <c r="K16" s="90">
        <f t="shared" si="28"/>
        <v>14970</v>
      </c>
      <c r="L16" s="92">
        <f>L14</f>
        <v>51</v>
      </c>
      <c r="M16" s="93">
        <f t="shared" si="29"/>
        <v>42.33</v>
      </c>
      <c r="N16" s="94">
        <f t="shared" si="30"/>
        <v>33.15</v>
      </c>
      <c r="O16" s="95">
        <f t="shared" si="43"/>
        <v>27.514499999999998</v>
      </c>
      <c r="P16" s="96"/>
      <c r="Q16" s="97">
        <v>23.62</v>
      </c>
      <c r="R16" s="95">
        <f t="shared" si="31"/>
        <v>8.5294444444444437</v>
      </c>
      <c r="S16" s="95">
        <f t="shared" si="32"/>
        <v>8.5294444444444437</v>
      </c>
      <c r="T16" s="98"/>
      <c r="U16" s="95">
        <f t="shared" si="33"/>
        <v>1683.9215284318987</v>
      </c>
      <c r="V16" s="99">
        <f t="shared" si="20"/>
        <v>1692.450972876343</v>
      </c>
      <c r="W16" s="96"/>
      <c r="X16" s="90"/>
      <c r="Y16" s="90">
        <f t="shared" si="11"/>
        <v>0</v>
      </c>
      <c r="Z16" s="90">
        <f>($Z$4*F16/($F$5))</f>
        <v>4035.1054421768708</v>
      </c>
      <c r="AA16" s="109">
        <f t="shared" si="13"/>
        <v>4373.5614249576784</v>
      </c>
      <c r="AB16" s="90"/>
      <c r="AC16" s="90">
        <f t="shared" si="35"/>
        <v>257.79908193089761</v>
      </c>
      <c r="AD16" s="90">
        <f t="shared" si="36"/>
        <v>0</v>
      </c>
      <c r="AE16" s="90">
        <f t="shared" si="37"/>
        <v>3525.3302616620845</v>
      </c>
      <c r="AF16" s="90"/>
      <c r="AG16" s="90"/>
      <c r="AH16" s="90"/>
      <c r="AI16" s="90">
        <f t="shared" si="38"/>
        <v>12191.796210727531</v>
      </c>
      <c r="AJ16" s="90">
        <f t="shared" si="14"/>
        <v>0</v>
      </c>
      <c r="AK16" s="90">
        <f t="shared" si="39"/>
        <v>2097.7273270155756</v>
      </c>
      <c r="AL16" s="90">
        <f t="shared" si="15"/>
        <v>72.951001953246873</v>
      </c>
      <c r="AM16" s="90">
        <f t="shared" si="16"/>
        <v>515.56159542004389</v>
      </c>
      <c r="AN16" s="90">
        <f t="shared" si="17"/>
        <v>0</v>
      </c>
      <c r="AO16" s="100">
        <f t="shared" si="40"/>
        <v>14878.036135116396</v>
      </c>
      <c r="AP16" s="96"/>
      <c r="AQ16" s="95">
        <f t="shared" si="21"/>
        <v>24.796726891860658</v>
      </c>
      <c r="AR16" s="96"/>
      <c r="AS16" s="101">
        <f t="shared" si="22"/>
        <v>26.663147195549094</v>
      </c>
      <c r="AT16" s="102">
        <f t="shared" si="23"/>
        <v>15997.888317329456</v>
      </c>
      <c r="AU16" s="103">
        <f t="shared" si="41"/>
        <v>6.8663214250464705E-2</v>
      </c>
      <c r="AV16" s="104">
        <f t="shared" si="18"/>
        <v>24.95</v>
      </c>
      <c r="AW16" s="105">
        <f t="shared" si="19"/>
        <v>14970</v>
      </c>
      <c r="AX16" s="106"/>
      <c r="AY16" s="107">
        <f>+AX16*C16*12</f>
        <v>0</v>
      </c>
      <c r="AZ16" s="108">
        <f>(+AX16-AV16)/AV16</f>
        <v>-1</v>
      </c>
    </row>
    <row r="17" spans="1:52">
      <c r="A17" s="88" t="s">
        <v>101</v>
      </c>
      <c r="B17" s="89">
        <v>5</v>
      </c>
      <c r="C17" s="90">
        <f t="shared" si="24"/>
        <v>5</v>
      </c>
      <c r="D17" s="264">
        <v>1</v>
      </c>
      <c r="E17" s="90">
        <f t="shared" si="42"/>
        <v>12</v>
      </c>
      <c r="F17" s="90">
        <f t="shared" si="25"/>
        <v>5</v>
      </c>
      <c r="G17" s="90"/>
      <c r="H17" s="91">
        <v>17.38</v>
      </c>
      <c r="I17" s="90">
        <f t="shared" si="26"/>
        <v>86.899999999999991</v>
      </c>
      <c r="J17" s="90">
        <f t="shared" si="27"/>
        <v>1042.8</v>
      </c>
      <c r="K17" s="90">
        <f t="shared" si="28"/>
        <v>1042.8</v>
      </c>
      <c r="L17" s="92">
        <f>L16</f>
        <v>51</v>
      </c>
      <c r="M17" s="93">
        <f t="shared" si="29"/>
        <v>42.33</v>
      </c>
      <c r="N17" s="94">
        <f>ROUND(((C17*E17*L17)/2000),2)</f>
        <v>1.53</v>
      </c>
      <c r="O17" s="95">
        <f t="shared" si="43"/>
        <v>1.2699</v>
      </c>
      <c r="P17" s="96"/>
      <c r="Q17" s="97">
        <v>23.62</v>
      </c>
      <c r="R17" s="95">
        <f t="shared" si="31"/>
        <v>0.39366666666666666</v>
      </c>
      <c r="S17" s="95">
        <f t="shared" si="32"/>
        <v>0.39366666666666666</v>
      </c>
      <c r="T17" s="98"/>
      <c r="U17" s="95">
        <f t="shared" si="33"/>
        <v>77.719455158395334</v>
      </c>
      <c r="V17" s="99">
        <f t="shared" si="20"/>
        <v>78.113121825061995</v>
      </c>
      <c r="W17" s="96"/>
      <c r="X17" s="90"/>
      <c r="Y17" s="90">
        <f t="shared" si="11"/>
        <v>0</v>
      </c>
      <c r="Z17" s="90">
        <f t="shared" si="34"/>
        <v>403.51054421768703</v>
      </c>
      <c r="AA17" s="109">
        <f t="shared" si="13"/>
        <v>201.85668115189287</v>
      </c>
      <c r="AB17" s="90"/>
      <c r="AC17" s="90">
        <f t="shared" si="35"/>
        <v>11.898419166041432</v>
      </c>
      <c r="AD17" s="90">
        <f t="shared" si="36"/>
        <v>0</v>
      </c>
      <c r="AE17" s="90">
        <f t="shared" si="37"/>
        <v>162.70755053825005</v>
      </c>
      <c r="AF17" s="90"/>
      <c r="AG17" s="90"/>
      <c r="AH17" s="90"/>
      <c r="AI17" s="90">
        <f t="shared" si="38"/>
        <v>779.97319507387147</v>
      </c>
      <c r="AJ17" s="90">
        <f t="shared" si="14"/>
        <v>0</v>
      </c>
      <c r="AK17" s="90">
        <f t="shared" si="39"/>
        <v>96.818184323795819</v>
      </c>
      <c r="AL17" s="90">
        <f t="shared" si="15"/>
        <v>5.0817170899696613</v>
      </c>
      <c r="AM17" s="90">
        <f t="shared" si="16"/>
        <v>35.913669452506468</v>
      </c>
      <c r="AN17" s="90">
        <f t="shared" si="17"/>
        <v>0</v>
      </c>
      <c r="AO17" s="100">
        <f t="shared" si="40"/>
        <v>917.78676594014337</v>
      </c>
      <c r="AP17" s="96"/>
      <c r="AQ17" s="95">
        <f t="shared" si="21"/>
        <v>15.29644609900239</v>
      </c>
      <c r="AR17" s="96"/>
      <c r="AS17" s="101">
        <f t="shared" si="22"/>
        <v>16.447791504303645</v>
      </c>
      <c r="AT17" s="102">
        <f t="shared" si="23"/>
        <v>986.8674902582186</v>
      </c>
      <c r="AU17" s="103">
        <f t="shared" si="41"/>
        <v>-5.3636852456637192E-2</v>
      </c>
      <c r="AV17" s="104">
        <f t="shared" si="18"/>
        <v>17.38</v>
      </c>
      <c r="AW17" s="105">
        <f t="shared" si="19"/>
        <v>1042.8</v>
      </c>
      <c r="AX17" s="106"/>
      <c r="AY17" s="107"/>
      <c r="AZ17" s="108"/>
    </row>
    <row r="18" spans="1:52">
      <c r="A18" s="88" t="s">
        <v>102</v>
      </c>
      <c r="B18" s="89">
        <v>2</v>
      </c>
      <c r="C18" s="90">
        <f>B18*$K$2</f>
        <v>2</v>
      </c>
      <c r="D18" s="264">
        <v>4.33</v>
      </c>
      <c r="E18" s="90">
        <f t="shared" si="42"/>
        <v>51.96</v>
      </c>
      <c r="F18" s="90">
        <f t="shared" si="25"/>
        <v>2</v>
      </c>
      <c r="G18" s="90"/>
      <c r="H18" s="91">
        <v>35</v>
      </c>
      <c r="I18" s="90">
        <f t="shared" si="26"/>
        <v>70</v>
      </c>
      <c r="J18" s="90">
        <f t="shared" si="27"/>
        <v>840</v>
      </c>
      <c r="K18" s="90">
        <f t="shared" si="28"/>
        <v>840</v>
      </c>
      <c r="L18" s="92">
        <f>References!C24</f>
        <v>40</v>
      </c>
      <c r="M18" s="93">
        <f t="shared" si="29"/>
        <v>33.199999999999996</v>
      </c>
      <c r="N18" s="94">
        <f t="shared" si="30"/>
        <v>2.08</v>
      </c>
      <c r="O18" s="95">
        <f t="shared" si="43"/>
        <v>1.7263999999999999</v>
      </c>
      <c r="P18" s="96"/>
      <c r="Q18" s="97">
        <v>16.84</v>
      </c>
      <c r="R18" s="95">
        <f t="shared" si="31"/>
        <v>0.48611466666666664</v>
      </c>
      <c r="S18" s="95">
        <f t="shared" si="32"/>
        <v>0.48611466666666664</v>
      </c>
      <c r="T18" s="98"/>
      <c r="U18" s="95">
        <f t="shared" si="33"/>
        <v>105.6578213918054</v>
      </c>
      <c r="V18" s="99">
        <f t="shared" si="20"/>
        <v>106.14393605847206</v>
      </c>
      <c r="W18" s="96"/>
      <c r="X18" s="90"/>
      <c r="Y18" s="90">
        <f t="shared" si="11"/>
        <v>0</v>
      </c>
      <c r="Z18" s="90">
        <f t="shared" si="34"/>
        <v>161.40421768707481</v>
      </c>
      <c r="AA18" s="109">
        <f t="shared" si="13"/>
        <v>274.29274565605158</v>
      </c>
      <c r="AB18" s="90"/>
      <c r="AC18" s="90">
        <f t="shared" si="35"/>
        <v>16.168154768998029</v>
      </c>
      <c r="AD18" s="90">
        <f t="shared" si="36"/>
        <v>0</v>
      </c>
      <c r="AE18" s="90">
        <f t="shared" si="37"/>
        <v>221.09498938271273</v>
      </c>
      <c r="AF18" s="90"/>
      <c r="AG18" s="90"/>
      <c r="AH18" s="90"/>
      <c r="AI18" s="90">
        <f t="shared" si="38"/>
        <v>672.96010749483719</v>
      </c>
      <c r="AJ18" s="90">
        <f t="shared" si="14"/>
        <v>0</v>
      </c>
      <c r="AK18" s="90">
        <f t="shared" si="39"/>
        <v>131.62210679313418</v>
      </c>
      <c r="AL18" s="90">
        <f t="shared" si="15"/>
        <v>4.0934429953725697</v>
      </c>
      <c r="AM18" s="90">
        <f t="shared" si="16"/>
        <v>28.929307959441346</v>
      </c>
      <c r="AN18" s="90">
        <f t="shared" si="17"/>
        <v>0</v>
      </c>
      <c r="AO18" s="100">
        <f t="shared" si="40"/>
        <v>837.60496524278528</v>
      </c>
      <c r="AP18" s="96"/>
      <c r="AQ18" s="95">
        <f t="shared" si="21"/>
        <v>34.900206885116056</v>
      </c>
      <c r="AR18" s="96"/>
      <c r="AS18" s="101">
        <f t="shared" si="22"/>
        <v>37.527104177544146</v>
      </c>
      <c r="AT18" s="102">
        <f t="shared" si="23"/>
        <v>900.65050026105951</v>
      </c>
      <c r="AU18" s="103">
        <f t="shared" si="41"/>
        <v>7.2202976501261312E-2</v>
      </c>
      <c r="AV18" s="104">
        <f t="shared" si="18"/>
        <v>35</v>
      </c>
      <c r="AW18" s="105">
        <f t="shared" si="19"/>
        <v>840</v>
      </c>
      <c r="AX18" s="106"/>
      <c r="AY18" s="107"/>
      <c r="AZ18" s="108"/>
    </row>
    <row r="19" spans="1:52">
      <c r="A19" s="88" t="s">
        <v>103</v>
      </c>
      <c r="B19" s="89">
        <v>1</v>
      </c>
      <c r="C19" s="90">
        <f t="shared" si="24"/>
        <v>1</v>
      </c>
      <c r="D19" s="264">
        <f>References!$C$12</f>
        <v>2.1666666666666665</v>
      </c>
      <c r="E19" s="90">
        <f t="shared" si="42"/>
        <v>26</v>
      </c>
      <c r="F19" s="90">
        <f t="shared" si="25"/>
        <v>1</v>
      </c>
      <c r="G19" s="90"/>
      <c r="H19" s="91">
        <v>18</v>
      </c>
      <c r="I19" s="90">
        <f t="shared" si="26"/>
        <v>18</v>
      </c>
      <c r="J19" s="90">
        <f t="shared" si="27"/>
        <v>216</v>
      </c>
      <c r="K19" s="90">
        <f t="shared" si="28"/>
        <v>216</v>
      </c>
      <c r="L19" s="92">
        <f>L18</f>
        <v>40</v>
      </c>
      <c r="M19" s="93">
        <f>L19*$O$2</f>
        <v>33.199999999999996</v>
      </c>
      <c r="N19" s="94">
        <f t="shared" si="30"/>
        <v>0.52</v>
      </c>
      <c r="O19" s="95">
        <f t="shared" si="43"/>
        <v>0.43159999999999998</v>
      </c>
      <c r="P19" s="96"/>
      <c r="Q19" s="97">
        <v>16.84</v>
      </c>
      <c r="R19" s="95">
        <f t="shared" si="31"/>
        <v>0.12162222222222221</v>
      </c>
      <c r="S19" s="95">
        <f t="shared" si="32"/>
        <v>0.12162222222222221</v>
      </c>
      <c r="T19" s="98"/>
      <c r="U19" s="95">
        <f t="shared" si="33"/>
        <v>26.41445534795135</v>
      </c>
      <c r="V19" s="99">
        <f t="shared" si="20"/>
        <v>26.536077570173571</v>
      </c>
      <c r="W19" s="96"/>
      <c r="X19" s="90"/>
      <c r="Y19" s="90">
        <f t="shared" si="11"/>
        <v>0</v>
      </c>
      <c r="Z19" s="90">
        <f t="shared" si="34"/>
        <v>80.702108843537403</v>
      </c>
      <c r="AA19" s="109">
        <f t="shared" si="13"/>
        <v>68.573428176389129</v>
      </c>
      <c r="AB19" s="90"/>
      <c r="AC19" s="90">
        <f t="shared" si="35"/>
        <v>4.0420529429053422</v>
      </c>
      <c r="AD19" s="90">
        <f t="shared" si="36"/>
        <v>0</v>
      </c>
      <c r="AE19" s="90">
        <f t="shared" si="37"/>
        <v>55.273942219406543</v>
      </c>
      <c r="AF19" s="90"/>
      <c r="AG19" s="90"/>
      <c r="AH19" s="90"/>
      <c r="AI19" s="90">
        <f t="shared" si="38"/>
        <v>208.59153218223841</v>
      </c>
      <c r="AJ19" s="90">
        <f t="shared" si="14"/>
        <v>0</v>
      </c>
      <c r="AK19" s="90">
        <f t="shared" si="39"/>
        <v>32.905526698283545</v>
      </c>
      <c r="AL19" s="90">
        <f t="shared" si="15"/>
        <v>1.0525996273815179</v>
      </c>
      <c r="AM19" s="90">
        <f t="shared" si="16"/>
        <v>7.4389649038563448</v>
      </c>
      <c r="AN19" s="90">
        <f t="shared" si="17"/>
        <v>0</v>
      </c>
      <c r="AO19" s="100">
        <f t="shared" si="40"/>
        <v>249.98862341175982</v>
      </c>
      <c r="AP19" s="96"/>
      <c r="AQ19" s="95">
        <f t="shared" si="21"/>
        <v>20.832385284313318</v>
      </c>
      <c r="AR19" s="96"/>
      <c r="AS19" s="101">
        <f t="shared" si="22"/>
        <v>22.400414284207869</v>
      </c>
      <c r="AT19" s="102">
        <f t="shared" si="23"/>
        <v>268.80497141049443</v>
      </c>
      <c r="AU19" s="103">
        <f t="shared" si="41"/>
        <v>0.24446746023377053</v>
      </c>
      <c r="AV19" s="104">
        <f t="shared" si="18"/>
        <v>18</v>
      </c>
      <c r="AW19" s="105">
        <f t="shared" si="19"/>
        <v>216</v>
      </c>
      <c r="AX19" s="106"/>
      <c r="AY19" s="107"/>
      <c r="AZ19" s="108"/>
    </row>
    <row r="20" spans="1:52">
      <c r="A20" s="316" t="s">
        <v>104</v>
      </c>
      <c r="B20" s="337">
        <v>0</v>
      </c>
      <c r="C20" s="90">
        <f t="shared" si="24"/>
        <v>0</v>
      </c>
      <c r="D20" s="264">
        <v>1</v>
      </c>
      <c r="E20" s="90">
        <f t="shared" si="42"/>
        <v>12</v>
      </c>
      <c r="F20" s="90">
        <f t="shared" si="25"/>
        <v>0</v>
      </c>
      <c r="G20" s="90"/>
      <c r="H20" s="91">
        <v>0</v>
      </c>
      <c r="I20" s="90">
        <f t="shared" si="26"/>
        <v>0</v>
      </c>
      <c r="J20" s="90">
        <f t="shared" si="27"/>
        <v>0</v>
      </c>
      <c r="K20" s="90">
        <f t="shared" si="28"/>
        <v>0</v>
      </c>
      <c r="L20" s="92">
        <f>L18</f>
        <v>40</v>
      </c>
      <c r="M20" s="93">
        <f t="shared" si="29"/>
        <v>33.199999999999996</v>
      </c>
      <c r="N20" s="94">
        <f t="shared" si="30"/>
        <v>0</v>
      </c>
      <c r="O20" s="95">
        <f t="shared" si="43"/>
        <v>0</v>
      </c>
      <c r="P20" s="96"/>
      <c r="Q20" s="97">
        <v>16.84</v>
      </c>
      <c r="R20" s="95">
        <f t="shared" si="31"/>
        <v>0</v>
      </c>
      <c r="S20" s="95">
        <f t="shared" si="32"/>
        <v>0</v>
      </c>
      <c r="T20" s="98"/>
      <c r="U20" s="95">
        <f t="shared" si="33"/>
        <v>0</v>
      </c>
      <c r="V20" s="99">
        <f t="shared" si="20"/>
        <v>0</v>
      </c>
      <c r="W20" s="96"/>
      <c r="X20" s="90"/>
      <c r="Y20" s="90">
        <f t="shared" si="11"/>
        <v>0</v>
      </c>
      <c r="Z20" s="90">
        <f t="shared" si="34"/>
        <v>0</v>
      </c>
      <c r="AA20" s="109">
        <f t="shared" si="13"/>
        <v>0</v>
      </c>
      <c r="AB20" s="90"/>
      <c r="AC20" s="90">
        <f t="shared" si="35"/>
        <v>0</v>
      </c>
      <c r="AD20" s="90">
        <f t="shared" si="36"/>
        <v>0</v>
      </c>
      <c r="AE20" s="90">
        <f t="shared" si="37"/>
        <v>0</v>
      </c>
      <c r="AF20" s="90"/>
      <c r="AG20" s="90"/>
      <c r="AH20" s="90"/>
      <c r="AI20" s="90">
        <f t="shared" si="38"/>
        <v>0</v>
      </c>
      <c r="AJ20" s="90">
        <f t="shared" si="14"/>
        <v>0</v>
      </c>
      <c r="AK20" s="90">
        <f t="shared" si="39"/>
        <v>0</v>
      </c>
      <c r="AL20" s="90">
        <f t="shared" si="15"/>
        <v>0</v>
      </c>
      <c r="AM20" s="90">
        <f t="shared" si="16"/>
        <v>0</v>
      </c>
      <c r="AN20" s="90">
        <f t="shared" si="17"/>
        <v>0</v>
      </c>
      <c r="AO20" s="100">
        <f t="shared" si="40"/>
        <v>0</v>
      </c>
      <c r="AP20" s="96"/>
      <c r="AQ20" s="95">
        <f t="shared" si="21"/>
        <v>0</v>
      </c>
      <c r="AR20" s="96"/>
      <c r="AS20" s="101">
        <f t="shared" si="22"/>
        <v>0</v>
      </c>
      <c r="AT20" s="102">
        <f t="shared" si="23"/>
        <v>0</v>
      </c>
      <c r="AU20" s="103" t="e">
        <f t="shared" si="41"/>
        <v>#DIV/0!</v>
      </c>
      <c r="AV20" s="104">
        <f t="shared" si="18"/>
        <v>0</v>
      </c>
      <c r="AW20" s="105">
        <f t="shared" si="19"/>
        <v>0</v>
      </c>
      <c r="AX20" s="106"/>
      <c r="AY20" s="107"/>
      <c r="AZ20" s="108"/>
    </row>
    <row r="21" spans="1:52">
      <c r="A21" s="88" t="s">
        <v>105</v>
      </c>
      <c r="B21" s="89">
        <v>6</v>
      </c>
      <c r="C21" s="90">
        <f t="shared" si="24"/>
        <v>6</v>
      </c>
      <c r="D21" s="264">
        <v>4.33</v>
      </c>
      <c r="E21" s="90">
        <f t="shared" si="42"/>
        <v>51.96</v>
      </c>
      <c r="F21" s="90">
        <f t="shared" si="25"/>
        <v>6</v>
      </c>
      <c r="G21" s="90"/>
      <c r="H21" s="91">
        <v>49.79</v>
      </c>
      <c r="I21" s="90">
        <f t="shared" si="26"/>
        <v>298.74</v>
      </c>
      <c r="J21" s="90">
        <f t="shared" si="27"/>
        <v>3584.88</v>
      </c>
      <c r="K21" s="90">
        <f t="shared" si="28"/>
        <v>3584.88</v>
      </c>
      <c r="L21" s="92">
        <f>References!C25</f>
        <v>60</v>
      </c>
      <c r="M21" s="93">
        <f t="shared" si="29"/>
        <v>49.8</v>
      </c>
      <c r="N21" s="94">
        <f t="shared" si="30"/>
        <v>9.35</v>
      </c>
      <c r="O21" s="95">
        <f>$O$2*N21</f>
        <v>7.7604999999999995</v>
      </c>
      <c r="P21" s="96"/>
      <c r="Q21" s="97">
        <v>23.62</v>
      </c>
      <c r="R21" s="95">
        <f t="shared" si="31"/>
        <v>2.0454919999999999</v>
      </c>
      <c r="S21" s="95">
        <f t="shared" si="32"/>
        <v>2.0454919999999999</v>
      </c>
      <c r="T21" s="98"/>
      <c r="U21" s="95">
        <f t="shared" si="33"/>
        <v>474.9522259679714</v>
      </c>
      <c r="V21" s="99">
        <f t="shared" si="20"/>
        <v>476.99771796797143</v>
      </c>
      <c r="W21" s="96"/>
      <c r="X21" s="90"/>
      <c r="Y21" s="90">
        <f t="shared" si="11"/>
        <v>0</v>
      </c>
      <c r="Z21" s="90">
        <f t="shared" si="34"/>
        <v>484.21265306122444</v>
      </c>
      <c r="AA21" s="109">
        <f t="shared" si="13"/>
        <v>1232.6376672241638</v>
      </c>
      <c r="AB21" s="90"/>
      <c r="AC21" s="90">
        <f t="shared" si="35"/>
        <v>72.657687428480031</v>
      </c>
      <c r="AD21" s="90">
        <f t="shared" si="36"/>
        <v>0</v>
      </c>
      <c r="AE21" s="90">
        <f t="shared" si="37"/>
        <v>993.57353143198452</v>
      </c>
      <c r="AF21" s="90"/>
      <c r="AG21" s="90"/>
      <c r="AH21" s="90"/>
      <c r="AI21" s="90">
        <f t="shared" si="38"/>
        <v>2783.0815391458527</v>
      </c>
      <c r="AJ21" s="90">
        <f t="shared" si="14"/>
        <v>0</v>
      </c>
      <c r="AK21" s="90">
        <f t="shared" si="39"/>
        <v>591.66668197875219</v>
      </c>
      <c r="AL21" s="90">
        <f t="shared" si="15"/>
        <v>17.469645149108594</v>
      </c>
      <c r="AM21" s="90">
        <f t="shared" si="16"/>
        <v>123.4620208543358</v>
      </c>
      <c r="AN21" s="90">
        <f t="shared" si="17"/>
        <v>0</v>
      </c>
      <c r="AO21" s="100">
        <f t="shared" si="40"/>
        <v>3515.6798871280494</v>
      </c>
      <c r="AP21" s="96"/>
      <c r="AQ21" s="95">
        <f t="shared" si="21"/>
        <v>48.828887321222908</v>
      </c>
      <c r="AR21" s="96"/>
      <c r="AS21" s="101">
        <f t="shared" si="22"/>
        <v>52.504179915293449</v>
      </c>
      <c r="AT21" s="102">
        <f t="shared" si="23"/>
        <v>3780.3009539011287</v>
      </c>
      <c r="AU21" s="103">
        <f t="shared" si="41"/>
        <v>5.4512551020153635E-2</v>
      </c>
      <c r="AV21" s="104">
        <f t="shared" si="18"/>
        <v>49.79</v>
      </c>
      <c r="AW21" s="105">
        <f t="shared" si="19"/>
        <v>3584.88</v>
      </c>
      <c r="AX21" s="106"/>
      <c r="AY21" s="107"/>
      <c r="AZ21" s="108"/>
    </row>
    <row r="22" spans="1:52">
      <c r="A22" s="88" t="s">
        <v>106</v>
      </c>
      <c r="B22" s="89">
        <v>8</v>
      </c>
      <c r="C22" s="90">
        <f t="shared" si="24"/>
        <v>8</v>
      </c>
      <c r="D22" s="264">
        <f>References!$C$12</f>
        <v>2.1666666666666665</v>
      </c>
      <c r="E22" s="90">
        <f t="shared" si="42"/>
        <v>26</v>
      </c>
      <c r="F22" s="90">
        <f t="shared" si="25"/>
        <v>8</v>
      </c>
      <c r="G22" s="90"/>
      <c r="H22" s="91">
        <v>27.12</v>
      </c>
      <c r="I22" s="90">
        <f t="shared" si="26"/>
        <v>216.96</v>
      </c>
      <c r="J22" s="90">
        <f t="shared" si="27"/>
        <v>2603.52</v>
      </c>
      <c r="K22" s="90">
        <f t="shared" si="28"/>
        <v>2603.52</v>
      </c>
      <c r="L22" s="92">
        <f>L21</f>
        <v>60</v>
      </c>
      <c r="M22" s="93">
        <f t="shared" si="29"/>
        <v>49.8</v>
      </c>
      <c r="N22" s="94">
        <f t="shared" si="30"/>
        <v>6.24</v>
      </c>
      <c r="O22" s="95">
        <f t="shared" si="43"/>
        <v>5.1791999999999998</v>
      </c>
      <c r="P22" s="96"/>
      <c r="Q22" s="97">
        <v>23.62</v>
      </c>
      <c r="R22" s="95">
        <f t="shared" si="31"/>
        <v>1.3647111111111112</v>
      </c>
      <c r="S22" s="95">
        <f t="shared" si="32"/>
        <v>1.3647111111111112</v>
      </c>
      <c r="T22" s="98"/>
      <c r="U22" s="95">
        <f t="shared" si="33"/>
        <v>316.97346417541621</v>
      </c>
      <c r="V22" s="99">
        <f t="shared" si="20"/>
        <v>318.3381752865273</v>
      </c>
      <c r="W22" s="96"/>
      <c r="X22" s="90"/>
      <c r="Y22" s="90">
        <f t="shared" si="11"/>
        <v>0</v>
      </c>
      <c r="Z22" s="90">
        <f t="shared" si="34"/>
        <v>645.61687074829922</v>
      </c>
      <c r="AA22" s="109">
        <f t="shared" si="13"/>
        <v>822.63627475033297</v>
      </c>
      <c r="AB22" s="90"/>
      <c r="AC22" s="90">
        <f t="shared" si="35"/>
        <v>48.490201871519773</v>
      </c>
      <c r="AD22" s="90">
        <f t="shared" si="36"/>
        <v>0</v>
      </c>
      <c r="AE22" s="90">
        <f t="shared" si="37"/>
        <v>663.08993333650881</v>
      </c>
      <c r="AF22" s="90"/>
      <c r="AG22" s="90"/>
      <c r="AH22" s="90"/>
      <c r="AI22" s="90">
        <f t="shared" si="38"/>
        <v>2179.8332807066608</v>
      </c>
      <c r="AJ22" s="90">
        <f t="shared" si="14"/>
        <v>0</v>
      </c>
      <c r="AK22" s="90">
        <f t="shared" si="39"/>
        <v>394.86632037940257</v>
      </c>
      <c r="AL22" s="90">
        <f t="shared" si="15"/>
        <v>12.687334175371896</v>
      </c>
      <c r="AM22" s="90">
        <f t="shared" si="16"/>
        <v>89.664323641148485</v>
      </c>
      <c r="AN22" s="90">
        <f t="shared" si="17"/>
        <v>0</v>
      </c>
      <c r="AO22" s="100">
        <f t="shared" si="40"/>
        <v>2677.0512589025839</v>
      </c>
      <c r="AP22" s="96"/>
      <c r="AQ22" s="95">
        <f t="shared" si="21"/>
        <v>27.885950613568582</v>
      </c>
      <c r="AR22" s="96"/>
      <c r="AS22" s="101">
        <f t="shared" si="22"/>
        <v>29.984893132869441</v>
      </c>
      <c r="AT22" s="102">
        <f t="shared" si="23"/>
        <v>2878.5497407554662</v>
      </c>
      <c r="AU22" s="103">
        <f t="shared" si="41"/>
        <v>0.10563765239194101</v>
      </c>
      <c r="AV22" s="104">
        <f t="shared" si="18"/>
        <v>27.12</v>
      </c>
      <c r="AW22" s="105">
        <f t="shared" si="19"/>
        <v>2603.52</v>
      </c>
      <c r="AX22" s="106"/>
      <c r="AY22" s="107"/>
      <c r="AZ22" s="108"/>
    </row>
    <row r="23" spans="1:52">
      <c r="A23" s="88" t="s">
        <v>107</v>
      </c>
      <c r="B23" s="89">
        <v>1</v>
      </c>
      <c r="C23" s="90">
        <f t="shared" si="24"/>
        <v>1</v>
      </c>
      <c r="D23" s="264">
        <v>1</v>
      </c>
      <c r="E23" s="90">
        <f t="shared" si="42"/>
        <v>12</v>
      </c>
      <c r="F23" s="90">
        <f t="shared" si="25"/>
        <v>1</v>
      </c>
      <c r="G23" s="90"/>
      <c r="H23" s="91">
        <v>18.38</v>
      </c>
      <c r="I23" s="90">
        <f t="shared" si="26"/>
        <v>18.38</v>
      </c>
      <c r="J23" s="90">
        <f t="shared" si="27"/>
        <v>220.56</v>
      </c>
      <c r="K23" s="90">
        <f t="shared" si="28"/>
        <v>220.56</v>
      </c>
      <c r="L23" s="92">
        <f>L21</f>
        <v>60</v>
      </c>
      <c r="M23" s="93">
        <f t="shared" si="29"/>
        <v>49.8</v>
      </c>
      <c r="N23" s="94">
        <f t="shared" si="30"/>
        <v>0.36</v>
      </c>
      <c r="O23" s="95">
        <f t="shared" si="43"/>
        <v>0.29879999999999995</v>
      </c>
      <c r="P23" s="96"/>
      <c r="Q23" s="97">
        <v>23.62</v>
      </c>
      <c r="R23" s="95">
        <f t="shared" si="31"/>
        <v>7.8733333333333336E-2</v>
      </c>
      <c r="S23" s="95">
        <f t="shared" si="32"/>
        <v>7.8733333333333336E-2</v>
      </c>
      <c r="T23" s="98"/>
      <c r="U23" s="95">
        <f t="shared" si="33"/>
        <v>18.28693062550478</v>
      </c>
      <c r="V23" s="99">
        <f t="shared" si="20"/>
        <v>18.365663958838113</v>
      </c>
      <c r="W23" s="96"/>
      <c r="X23" s="90"/>
      <c r="Y23" s="90">
        <f t="shared" si="11"/>
        <v>0</v>
      </c>
      <c r="Z23" s="90">
        <f t="shared" si="34"/>
        <v>80.702108843537403</v>
      </c>
      <c r="AA23" s="109">
        <f t="shared" si="13"/>
        <v>47.459785081749978</v>
      </c>
      <c r="AB23" s="90"/>
      <c r="AC23" s="90">
        <f t="shared" si="35"/>
        <v>2.7975116464338328</v>
      </c>
      <c r="AD23" s="90">
        <f t="shared" si="36"/>
        <v>0</v>
      </c>
      <c r="AE23" s="90">
        <f t="shared" si="37"/>
        <v>38.255188461721659</v>
      </c>
      <c r="AF23" s="90"/>
      <c r="AG23" s="90"/>
      <c r="AH23" s="90"/>
      <c r="AI23" s="90">
        <f t="shared" si="38"/>
        <v>169.21459403344289</v>
      </c>
      <c r="AJ23" s="90">
        <f t="shared" si="14"/>
        <v>0</v>
      </c>
      <c r="AK23" s="90">
        <f t="shared" si="39"/>
        <v>22.780749252657834</v>
      </c>
      <c r="AL23" s="90">
        <f t="shared" si="15"/>
        <v>1.0748211750706833</v>
      </c>
      <c r="AM23" s="90">
        <f t="shared" si="16"/>
        <v>7.5960097184933124</v>
      </c>
      <c r="AN23" s="90">
        <f t="shared" si="17"/>
        <v>0</v>
      </c>
      <c r="AO23" s="100">
        <f t="shared" si="40"/>
        <v>200.66617417966475</v>
      </c>
      <c r="AP23" s="96"/>
      <c r="AQ23" s="95">
        <f t="shared" si="21"/>
        <v>16.722181181638728</v>
      </c>
      <c r="AR23" s="96"/>
      <c r="AS23" s="101">
        <f t="shared" si="22"/>
        <v>17.980839980256697</v>
      </c>
      <c r="AT23" s="102">
        <f t="shared" si="23"/>
        <v>215.77007976308036</v>
      </c>
      <c r="AU23" s="103">
        <f t="shared" si="41"/>
        <v>-2.171708486089784E-2</v>
      </c>
      <c r="AV23" s="104">
        <f t="shared" si="18"/>
        <v>18.38</v>
      </c>
      <c r="AW23" s="105">
        <f t="shared" si="19"/>
        <v>220.56</v>
      </c>
      <c r="AX23" s="106"/>
      <c r="AY23" s="107"/>
      <c r="AZ23" s="108"/>
    </row>
    <row r="24" spans="1:52">
      <c r="A24" s="88" t="s">
        <v>108</v>
      </c>
      <c r="B24" s="89">
        <v>1</v>
      </c>
      <c r="C24" s="90">
        <f t="shared" si="24"/>
        <v>1</v>
      </c>
      <c r="D24" s="264">
        <v>4.33</v>
      </c>
      <c r="E24" s="90">
        <f t="shared" si="42"/>
        <v>51.96</v>
      </c>
      <c r="F24" s="90">
        <f t="shared" si="25"/>
        <v>1</v>
      </c>
      <c r="G24" s="90"/>
      <c r="H24" s="91">
        <v>47.63</v>
      </c>
      <c r="I24" s="90">
        <f t="shared" si="26"/>
        <v>47.63</v>
      </c>
      <c r="J24" s="90">
        <f t="shared" si="27"/>
        <v>571.56000000000006</v>
      </c>
      <c r="K24" s="90">
        <f t="shared" si="28"/>
        <v>571.56000000000006</v>
      </c>
      <c r="L24" s="92">
        <f>References!C26</f>
        <v>47</v>
      </c>
      <c r="M24" s="93">
        <f t="shared" si="29"/>
        <v>39.01</v>
      </c>
      <c r="N24" s="94">
        <f t="shared" si="30"/>
        <v>1.22</v>
      </c>
      <c r="O24" s="95">
        <f t="shared" si="43"/>
        <v>1.0125999999999999</v>
      </c>
      <c r="P24" s="96"/>
      <c r="Q24" s="97">
        <v>16.84</v>
      </c>
      <c r="R24" s="95">
        <f t="shared" si="31"/>
        <v>0.24305733333333332</v>
      </c>
      <c r="S24" s="95">
        <f t="shared" si="32"/>
        <v>0.24305733333333332</v>
      </c>
      <c r="T24" s="98"/>
      <c r="U24" s="95">
        <f t="shared" si="33"/>
        <v>61.972376008655097</v>
      </c>
      <c r="V24" s="99">
        <f t="shared" si="20"/>
        <v>62.21543334198843</v>
      </c>
      <c r="W24" s="96"/>
      <c r="X24" s="90"/>
      <c r="Y24" s="90">
        <f t="shared" si="11"/>
        <v>0</v>
      </c>
      <c r="Z24" s="90">
        <f t="shared" si="34"/>
        <v>80.702108843537403</v>
      </c>
      <c r="AA24" s="109">
        <f t="shared" si="13"/>
        <v>160.7745356659305</v>
      </c>
      <c r="AB24" s="90"/>
      <c r="AC24" s="90">
        <f t="shared" si="35"/>
        <v>9.4768367619175056</v>
      </c>
      <c r="AD24" s="90">
        <f t="shared" si="36"/>
        <v>0</v>
      </c>
      <c r="AE24" s="90">
        <f t="shared" si="37"/>
        <v>129.59308920492856</v>
      </c>
      <c r="AF24" s="90"/>
      <c r="AG24" s="90"/>
      <c r="AH24" s="90"/>
      <c r="AI24" s="90">
        <f t="shared" si="38"/>
        <v>380.54657047631395</v>
      </c>
      <c r="AJ24" s="90">
        <f t="shared" si="14"/>
        <v>0</v>
      </c>
      <c r="AK24" s="90">
        <f t="shared" si="39"/>
        <v>77.20142802289601</v>
      </c>
      <c r="AL24" s="90">
        <f t="shared" si="15"/>
        <v>2.7852955695656503</v>
      </c>
      <c r="AM24" s="90">
        <f t="shared" si="16"/>
        <v>19.684327687259877</v>
      </c>
      <c r="AN24" s="90">
        <f t="shared" si="17"/>
        <v>0</v>
      </c>
      <c r="AO24" s="100">
        <f t="shared" si="40"/>
        <v>480.21762175603556</v>
      </c>
      <c r="AP24" s="96"/>
      <c r="AQ24" s="95">
        <f t="shared" si="21"/>
        <v>40.018135146336299</v>
      </c>
      <c r="AR24" s="96"/>
      <c r="AS24" s="101">
        <f t="shared" si="22"/>
        <v>43.030252845522902</v>
      </c>
      <c r="AT24" s="102">
        <f t="shared" si="23"/>
        <v>516.3630341462748</v>
      </c>
      <c r="AU24" s="103">
        <f t="shared" si="41"/>
        <v>-9.6572478573947088E-2</v>
      </c>
      <c r="AV24" s="104">
        <f t="shared" si="18"/>
        <v>47.63</v>
      </c>
      <c r="AW24" s="105">
        <f t="shared" si="19"/>
        <v>571.56000000000006</v>
      </c>
      <c r="AX24" s="106"/>
      <c r="AY24" s="107"/>
      <c r="AZ24" s="108"/>
    </row>
    <row r="25" spans="1:52">
      <c r="A25" s="88" t="s">
        <v>109</v>
      </c>
      <c r="B25" s="337">
        <v>0</v>
      </c>
      <c r="C25" s="90">
        <f t="shared" si="24"/>
        <v>0</v>
      </c>
      <c r="D25" s="264">
        <f>References!$C$12</f>
        <v>2.1666666666666665</v>
      </c>
      <c r="E25" s="90">
        <f t="shared" si="42"/>
        <v>26</v>
      </c>
      <c r="F25" s="90">
        <f t="shared" si="25"/>
        <v>0</v>
      </c>
      <c r="G25" s="90"/>
      <c r="H25" s="91">
        <v>24.95</v>
      </c>
      <c r="I25" s="90">
        <f t="shared" si="26"/>
        <v>0</v>
      </c>
      <c r="J25" s="90">
        <f t="shared" si="27"/>
        <v>0</v>
      </c>
      <c r="K25" s="90">
        <f t="shared" si="28"/>
        <v>0</v>
      </c>
      <c r="L25" s="92">
        <f>L24</f>
        <v>47</v>
      </c>
      <c r="M25" s="93">
        <f t="shared" si="29"/>
        <v>39.01</v>
      </c>
      <c r="N25" s="94">
        <f t="shared" si="30"/>
        <v>0</v>
      </c>
      <c r="O25" s="95">
        <f t="shared" si="43"/>
        <v>0</v>
      </c>
      <c r="P25" s="96"/>
      <c r="Q25" s="97">
        <v>16.84</v>
      </c>
      <c r="R25" s="95">
        <f t="shared" si="31"/>
        <v>0</v>
      </c>
      <c r="S25" s="95">
        <f t="shared" si="32"/>
        <v>0</v>
      </c>
      <c r="T25" s="98"/>
      <c r="U25" s="95">
        <f t="shared" si="33"/>
        <v>0</v>
      </c>
      <c r="V25" s="99">
        <f t="shared" si="20"/>
        <v>0</v>
      </c>
      <c r="W25" s="96"/>
      <c r="X25" s="90"/>
      <c r="Y25" s="90">
        <f t="shared" si="11"/>
        <v>0</v>
      </c>
      <c r="Z25" s="90">
        <f t="shared" si="34"/>
        <v>0</v>
      </c>
      <c r="AA25" s="109">
        <f t="shared" si="13"/>
        <v>0</v>
      </c>
      <c r="AB25" s="90"/>
      <c r="AC25" s="90">
        <f t="shared" si="35"/>
        <v>0</v>
      </c>
      <c r="AD25" s="90">
        <f t="shared" si="36"/>
        <v>0</v>
      </c>
      <c r="AE25" s="90">
        <f t="shared" si="37"/>
        <v>0</v>
      </c>
      <c r="AF25" s="90"/>
      <c r="AG25" s="90"/>
      <c r="AH25" s="90"/>
      <c r="AI25" s="90">
        <f t="shared" si="38"/>
        <v>0</v>
      </c>
      <c r="AJ25" s="90">
        <f t="shared" si="14"/>
        <v>0</v>
      </c>
      <c r="AK25" s="90">
        <f t="shared" si="39"/>
        <v>0</v>
      </c>
      <c r="AL25" s="90">
        <f t="shared" si="15"/>
        <v>0</v>
      </c>
      <c r="AM25" s="90">
        <f t="shared" si="16"/>
        <v>0</v>
      </c>
      <c r="AN25" s="90">
        <f t="shared" si="17"/>
        <v>0</v>
      </c>
      <c r="AO25" s="100">
        <f t="shared" si="40"/>
        <v>0</v>
      </c>
      <c r="AP25" s="96"/>
      <c r="AQ25" s="95">
        <f t="shared" si="21"/>
        <v>0</v>
      </c>
      <c r="AR25" s="96"/>
      <c r="AS25" s="101">
        <f t="shared" si="22"/>
        <v>0</v>
      </c>
      <c r="AT25" s="102">
        <f t="shared" si="23"/>
        <v>0</v>
      </c>
      <c r="AU25" s="103">
        <f t="shared" si="41"/>
        <v>-1</v>
      </c>
      <c r="AV25" s="104">
        <f t="shared" si="18"/>
        <v>24.95</v>
      </c>
      <c r="AW25" s="105">
        <f t="shared" si="19"/>
        <v>0</v>
      </c>
      <c r="AX25" s="106"/>
      <c r="AY25" s="107"/>
      <c r="AZ25" s="108"/>
    </row>
    <row r="26" spans="1:52">
      <c r="A26" s="316" t="s">
        <v>110</v>
      </c>
      <c r="B26" s="337">
        <v>0</v>
      </c>
      <c r="C26" s="90">
        <f t="shared" si="24"/>
        <v>0</v>
      </c>
      <c r="D26" s="264">
        <v>1</v>
      </c>
      <c r="E26" s="90">
        <f t="shared" si="42"/>
        <v>12</v>
      </c>
      <c r="F26" s="90">
        <f t="shared" si="25"/>
        <v>0</v>
      </c>
      <c r="G26" s="90"/>
      <c r="H26" s="91">
        <v>0</v>
      </c>
      <c r="I26" s="90">
        <f t="shared" si="26"/>
        <v>0</v>
      </c>
      <c r="J26" s="90">
        <f t="shared" si="27"/>
        <v>0</v>
      </c>
      <c r="K26" s="90">
        <f t="shared" si="28"/>
        <v>0</v>
      </c>
      <c r="L26" s="92">
        <f>L25</f>
        <v>47</v>
      </c>
      <c r="M26" s="93">
        <f t="shared" si="29"/>
        <v>39.01</v>
      </c>
      <c r="N26" s="94">
        <f t="shared" si="30"/>
        <v>0</v>
      </c>
      <c r="O26" s="95">
        <f t="shared" si="43"/>
        <v>0</v>
      </c>
      <c r="P26" s="96"/>
      <c r="Q26" s="97">
        <v>16.84</v>
      </c>
      <c r="R26" s="95">
        <f t="shared" si="31"/>
        <v>0</v>
      </c>
      <c r="S26" s="95">
        <f t="shared" si="32"/>
        <v>0</v>
      </c>
      <c r="T26" s="98"/>
      <c r="U26" s="95">
        <f t="shared" si="33"/>
        <v>0</v>
      </c>
      <c r="V26" s="99">
        <f t="shared" si="20"/>
        <v>0</v>
      </c>
      <c r="W26" s="96"/>
      <c r="X26" s="90"/>
      <c r="Y26" s="90">
        <f t="shared" si="11"/>
        <v>0</v>
      </c>
      <c r="Z26" s="90">
        <f t="shared" si="34"/>
        <v>0</v>
      </c>
      <c r="AA26" s="109">
        <f t="shared" si="13"/>
        <v>0</v>
      </c>
      <c r="AB26" s="90"/>
      <c r="AC26" s="90">
        <f t="shared" si="35"/>
        <v>0</v>
      </c>
      <c r="AD26" s="90">
        <f t="shared" si="36"/>
        <v>0</v>
      </c>
      <c r="AE26" s="90">
        <f t="shared" si="37"/>
        <v>0</v>
      </c>
      <c r="AF26" s="90"/>
      <c r="AG26" s="90"/>
      <c r="AH26" s="90"/>
      <c r="AI26" s="90">
        <f t="shared" si="38"/>
        <v>0</v>
      </c>
      <c r="AJ26" s="90"/>
      <c r="AK26" s="90">
        <f t="shared" si="39"/>
        <v>0</v>
      </c>
      <c r="AL26" s="90">
        <f t="shared" si="15"/>
        <v>0</v>
      </c>
      <c r="AM26" s="90">
        <f t="shared" si="16"/>
        <v>0</v>
      </c>
      <c r="AN26" s="90"/>
      <c r="AO26" s="100">
        <f t="shared" si="40"/>
        <v>0</v>
      </c>
      <c r="AP26" s="96"/>
      <c r="AQ26" s="95">
        <f t="shared" si="21"/>
        <v>0</v>
      </c>
      <c r="AR26" s="96"/>
      <c r="AS26" s="101">
        <f t="shared" si="22"/>
        <v>0</v>
      </c>
      <c r="AT26" s="102">
        <f t="shared" si="23"/>
        <v>0</v>
      </c>
      <c r="AU26" s="103" t="e">
        <f t="shared" si="41"/>
        <v>#DIV/0!</v>
      </c>
      <c r="AV26" s="104">
        <f t="shared" si="18"/>
        <v>0</v>
      </c>
      <c r="AW26" s="105">
        <f t="shared" si="19"/>
        <v>0</v>
      </c>
      <c r="AX26" s="106"/>
      <c r="AY26" s="107"/>
      <c r="AZ26" s="108"/>
    </row>
    <row r="27" spans="1:52">
      <c r="A27" s="88" t="s">
        <v>97</v>
      </c>
      <c r="B27" s="89">
        <v>1</v>
      </c>
      <c r="C27" s="90">
        <f t="shared" si="24"/>
        <v>1</v>
      </c>
      <c r="D27" s="264">
        <v>1</v>
      </c>
      <c r="E27" s="90">
        <f t="shared" si="42"/>
        <v>12</v>
      </c>
      <c r="F27" s="90">
        <f t="shared" si="25"/>
        <v>1</v>
      </c>
      <c r="G27" s="90"/>
      <c r="H27" s="333">
        <v>10</v>
      </c>
      <c r="I27" s="90">
        <f t="shared" si="26"/>
        <v>10</v>
      </c>
      <c r="J27" s="90">
        <f t="shared" si="27"/>
        <v>120</v>
      </c>
      <c r="K27" s="90">
        <f t="shared" si="28"/>
        <v>120</v>
      </c>
      <c r="L27" s="92">
        <f>L13</f>
        <v>34</v>
      </c>
      <c r="M27" s="93">
        <f t="shared" si="29"/>
        <v>28.22</v>
      </c>
      <c r="N27" s="94">
        <f t="shared" si="30"/>
        <v>0.2</v>
      </c>
      <c r="O27" s="95">
        <f t="shared" si="43"/>
        <v>0.16600000000000001</v>
      </c>
      <c r="P27" s="96"/>
      <c r="Q27" s="97">
        <v>16.84</v>
      </c>
      <c r="R27" s="95">
        <f t="shared" si="31"/>
        <v>5.6133333333333327E-2</v>
      </c>
      <c r="S27" s="95">
        <f t="shared" si="32"/>
        <v>5.6133333333333327E-2</v>
      </c>
      <c r="T27" s="98"/>
      <c r="U27" s="95">
        <f t="shared" si="33"/>
        <v>10.159405903058213</v>
      </c>
      <c r="V27" s="99">
        <f t="shared" si="20"/>
        <v>10.215539236391546</v>
      </c>
      <c r="W27" s="96"/>
      <c r="X27" s="90"/>
      <c r="Y27" s="90">
        <f t="shared" si="11"/>
        <v>0</v>
      </c>
      <c r="Z27" s="90">
        <f t="shared" si="34"/>
        <v>80.702108843537403</v>
      </c>
      <c r="AA27" s="109">
        <f t="shared" si="13"/>
        <v>26.398571690081127</v>
      </c>
      <c r="AB27" s="90"/>
      <c r="AC27" s="90">
        <f t="shared" si="35"/>
        <v>1.5560608128547671</v>
      </c>
      <c r="AD27" s="90">
        <f t="shared" si="36"/>
        <v>0</v>
      </c>
      <c r="AE27" s="90">
        <f t="shared" si="37"/>
        <v>21.27869591876134</v>
      </c>
      <c r="AF27" s="90"/>
      <c r="AG27" s="90"/>
      <c r="AH27" s="90"/>
      <c r="AI27" s="90">
        <f t="shared" si="38"/>
        <v>129.93543726523464</v>
      </c>
      <c r="AJ27" s="90">
        <f t="shared" ref="AJ27:AJ31" si="44">($AJ$4*F27/($F$5))</f>
        <v>0</v>
      </c>
      <c r="AK27" s="90">
        <f t="shared" si="39"/>
        <v>12.655971807032135</v>
      </c>
      <c r="AL27" s="90">
        <f t="shared" si="15"/>
        <v>0.58477757076751002</v>
      </c>
      <c r="AM27" s="90">
        <f t="shared" si="16"/>
        <v>4.1327582799201918</v>
      </c>
      <c r="AN27" s="90">
        <f t="shared" ref="AN27:AN31" si="45">$AN$4*(K27+X27)/($K$5+$X$5)</f>
        <v>0</v>
      </c>
      <c r="AO27" s="100">
        <f t="shared" si="40"/>
        <v>147.30894492295445</v>
      </c>
      <c r="AP27" s="96"/>
      <c r="AQ27" s="95">
        <f t="shared" si="21"/>
        <v>12.275745410246204</v>
      </c>
      <c r="AR27" s="96"/>
      <c r="AS27" s="101">
        <f t="shared" si="22"/>
        <v>13.199726247576562</v>
      </c>
      <c r="AT27" s="102">
        <f t="shared" si="23"/>
        <v>158.39671497091874</v>
      </c>
      <c r="AU27" s="103">
        <f t="shared" si="41"/>
        <v>0.3199726247576562</v>
      </c>
      <c r="AV27" s="104">
        <f t="shared" ref="AV27:AV31" si="46">H27</f>
        <v>10</v>
      </c>
      <c r="AW27" s="105">
        <f t="shared" ref="AW27:AW31" si="47">+AV27*C27*12</f>
        <v>120</v>
      </c>
      <c r="AX27" s="106"/>
      <c r="AY27" s="107">
        <f t="shared" ref="AY27:AY31" si="48">+AX27*C27*12</f>
        <v>0</v>
      </c>
      <c r="AZ27" s="108">
        <f t="shared" ref="AZ27:AZ31" si="49">(+AX27-AV27)/AV27</f>
        <v>-1</v>
      </c>
    </row>
    <row r="28" spans="1:52">
      <c r="A28" s="88" t="s">
        <v>98</v>
      </c>
      <c r="B28" s="337">
        <v>0</v>
      </c>
      <c r="C28" s="90">
        <f t="shared" si="24"/>
        <v>0</v>
      </c>
      <c r="D28" s="264">
        <f>References!$C$12</f>
        <v>2.1666666666666665</v>
      </c>
      <c r="E28" s="90">
        <f t="shared" si="42"/>
        <v>26</v>
      </c>
      <c r="F28" s="90">
        <f t="shared" si="25"/>
        <v>0</v>
      </c>
      <c r="G28" s="90"/>
      <c r="H28" s="91">
        <v>10.55</v>
      </c>
      <c r="I28" s="90">
        <f t="shared" si="26"/>
        <v>0</v>
      </c>
      <c r="J28" s="90">
        <f t="shared" si="27"/>
        <v>0</v>
      </c>
      <c r="K28" s="90">
        <f t="shared" si="28"/>
        <v>0</v>
      </c>
      <c r="L28" s="92">
        <v>20</v>
      </c>
      <c r="M28" s="93">
        <f t="shared" si="29"/>
        <v>16.599999999999998</v>
      </c>
      <c r="N28" s="94">
        <f t="shared" si="30"/>
        <v>0</v>
      </c>
      <c r="O28" s="95">
        <f t="shared" si="43"/>
        <v>0</v>
      </c>
      <c r="P28" s="96"/>
      <c r="Q28" s="97">
        <v>16.84</v>
      </c>
      <c r="R28" s="95">
        <f t="shared" si="31"/>
        <v>0</v>
      </c>
      <c r="S28" s="95">
        <f t="shared" si="32"/>
        <v>0</v>
      </c>
      <c r="T28" s="98"/>
      <c r="U28" s="95">
        <f t="shared" si="33"/>
        <v>0</v>
      </c>
      <c r="V28" s="99">
        <f t="shared" si="20"/>
        <v>0</v>
      </c>
      <c r="W28" s="96"/>
      <c r="X28" s="90"/>
      <c r="Y28" s="90">
        <f t="shared" si="11"/>
        <v>0</v>
      </c>
      <c r="Z28" s="90">
        <f t="shared" si="34"/>
        <v>0</v>
      </c>
      <c r="AA28" s="109">
        <f t="shared" si="13"/>
        <v>0</v>
      </c>
      <c r="AB28" s="90"/>
      <c r="AC28" s="90">
        <f t="shared" si="35"/>
        <v>0</v>
      </c>
      <c r="AD28" s="90">
        <f t="shared" si="36"/>
        <v>0</v>
      </c>
      <c r="AE28" s="90">
        <f t="shared" si="37"/>
        <v>0</v>
      </c>
      <c r="AF28" s="90"/>
      <c r="AG28" s="90"/>
      <c r="AH28" s="90"/>
      <c r="AI28" s="90">
        <f t="shared" si="38"/>
        <v>0</v>
      </c>
      <c r="AJ28" s="90">
        <f t="shared" si="44"/>
        <v>0</v>
      </c>
      <c r="AK28" s="90">
        <f t="shared" si="39"/>
        <v>0</v>
      </c>
      <c r="AL28" s="90">
        <f t="shared" si="15"/>
        <v>0</v>
      </c>
      <c r="AM28" s="90">
        <f t="shared" si="16"/>
        <v>0</v>
      </c>
      <c r="AN28" s="90">
        <f t="shared" si="45"/>
        <v>0</v>
      </c>
      <c r="AO28" s="100">
        <f t="shared" si="40"/>
        <v>0</v>
      </c>
      <c r="AP28" s="96"/>
      <c r="AQ28" s="95">
        <f t="shared" si="21"/>
        <v>0</v>
      </c>
      <c r="AR28" s="96"/>
      <c r="AS28" s="101">
        <f t="shared" si="22"/>
        <v>0</v>
      </c>
      <c r="AT28" s="102">
        <f t="shared" si="23"/>
        <v>0</v>
      </c>
      <c r="AU28" s="103">
        <f t="shared" si="41"/>
        <v>-1</v>
      </c>
      <c r="AV28" s="104">
        <f t="shared" si="46"/>
        <v>10.55</v>
      </c>
      <c r="AW28" s="105">
        <f t="shared" si="47"/>
        <v>0</v>
      </c>
      <c r="AX28" s="106"/>
      <c r="AY28" s="107">
        <f t="shared" si="48"/>
        <v>0</v>
      </c>
      <c r="AZ28" s="108">
        <f t="shared" si="49"/>
        <v>-1</v>
      </c>
    </row>
    <row r="29" spans="1:52">
      <c r="A29" s="88" t="s">
        <v>111</v>
      </c>
      <c r="B29" s="337">
        <v>0</v>
      </c>
      <c r="C29" s="90">
        <f t="shared" si="24"/>
        <v>0</v>
      </c>
      <c r="D29" s="264">
        <v>1</v>
      </c>
      <c r="E29" s="90">
        <f t="shared" si="42"/>
        <v>12</v>
      </c>
      <c r="F29" s="90">
        <f t="shared" si="25"/>
        <v>0</v>
      </c>
      <c r="G29" s="90"/>
      <c r="H29" s="91">
        <v>0</v>
      </c>
      <c r="I29" s="90">
        <f t="shared" si="26"/>
        <v>0</v>
      </c>
      <c r="J29" s="90">
        <f t="shared" si="27"/>
        <v>0</v>
      </c>
      <c r="K29" s="90">
        <f t="shared" si="28"/>
        <v>0</v>
      </c>
      <c r="L29" s="92">
        <f>L18</f>
        <v>40</v>
      </c>
      <c r="M29" s="93">
        <f t="shared" si="29"/>
        <v>33.199999999999996</v>
      </c>
      <c r="N29" s="94">
        <f t="shared" si="30"/>
        <v>0</v>
      </c>
      <c r="O29" s="95">
        <f t="shared" si="43"/>
        <v>0</v>
      </c>
      <c r="P29" s="96"/>
      <c r="Q29" s="97">
        <v>0</v>
      </c>
      <c r="R29" s="95">
        <f t="shared" si="31"/>
        <v>0</v>
      </c>
      <c r="S29" s="95">
        <f t="shared" si="32"/>
        <v>0</v>
      </c>
      <c r="T29" s="98"/>
      <c r="U29" s="95">
        <f t="shared" si="33"/>
        <v>0</v>
      </c>
      <c r="V29" s="99">
        <f t="shared" si="20"/>
        <v>0</v>
      </c>
      <c r="W29" s="96"/>
      <c r="X29" s="90"/>
      <c r="Y29" s="90">
        <f t="shared" si="11"/>
        <v>0</v>
      </c>
      <c r="Z29" s="90">
        <f t="shared" si="34"/>
        <v>0</v>
      </c>
      <c r="AA29" s="109">
        <f t="shared" si="13"/>
        <v>0</v>
      </c>
      <c r="AB29" s="90"/>
      <c r="AC29" s="90">
        <f t="shared" si="35"/>
        <v>0</v>
      </c>
      <c r="AD29" s="90">
        <f t="shared" si="36"/>
        <v>0</v>
      </c>
      <c r="AE29" s="90">
        <f t="shared" si="37"/>
        <v>0</v>
      </c>
      <c r="AF29" s="90"/>
      <c r="AG29" s="90"/>
      <c r="AH29" s="90"/>
      <c r="AI29" s="90">
        <f t="shared" si="38"/>
        <v>0</v>
      </c>
      <c r="AJ29" s="90"/>
      <c r="AK29" s="90">
        <f t="shared" si="39"/>
        <v>0</v>
      </c>
      <c r="AL29" s="90">
        <f t="shared" si="15"/>
        <v>0</v>
      </c>
      <c r="AM29" s="90">
        <f t="shared" si="16"/>
        <v>0</v>
      </c>
      <c r="AN29" s="90"/>
      <c r="AO29" s="100">
        <f t="shared" si="40"/>
        <v>0</v>
      </c>
      <c r="AP29" s="96"/>
      <c r="AQ29" s="95">
        <f t="shared" si="21"/>
        <v>0</v>
      </c>
      <c r="AR29" s="96"/>
      <c r="AS29" s="101">
        <f t="shared" si="22"/>
        <v>0</v>
      </c>
      <c r="AT29" s="102">
        <f t="shared" si="23"/>
        <v>0</v>
      </c>
      <c r="AU29" s="103" t="e">
        <f t="shared" si="41"/>
        <v>#DIV/0!</v>
      </c>
      <c r="AV29" s="104">
        <f t="shared" si="46"/>
        <v>0</v>
      </c>
      <c r="AW29" s="105">
        <f t="shared" si="47"/>
        <v>0</v>
      </c>
      <c r="AX29" s="106"/>
      <c r="AY29" s="107"/>
      <c r="AZ29" s="108"/>
    </row>
    <row r="30" spans="1:52">
      <c r="A30" s="316" t="s">
        <v>112</v>
      </c>
      <c r="B30" s="337">
        <v>0</v>
      </c>
      <c r="C30" s="90">
        <f t="shared" si="24"/>
        <v>0</v>
      </c>
      <c r="D30" s="264">
        <v>1</v>
      </c>
      <c r="E30" s="90">
        <f t="shared" si="42"/>
        <v>12</v>
      </c>
      <c r="F30" s="90">
        <f t="shared" si="25"/>
        <v>0</v>
      </c>
      <c r="G30" s="90"/>
      <c r="H30" s="91"/>
      <c r="I30" s="90">
        <f t="shared" si="26"/>
        <v>0</v>
      </c>
      <c r="J30" s="90">
        <f t="shared" si="27"/>
        <v>0</v>
      </c>
      <c r="K30" s="90">
        <f t="shared" si="28"/>
        <v>0</v>
      </c>
      <c r="L30" s="92">
        <f>L25</f>
        <v>47</v>
      </c>
      <c r="M30" s="93">
        <f t="shared" si="29"/>
        <v>39.01</v>
      </c>
      <c r="N30" s="94">
        <f t="shared" si="30"/>
        <v>0</v>
      </c>
      <c r="O30" s="95">
        <f t="shared" si="43"/>
        <v>0</v>
      </c>
      <c r="P30" s="96"/>
      <c r="Q30" s="97">
        <v>0</v>
      </c>
      <c r="R30" s="95">
        <f t="shared" si="31"/>
        <v>0</v>
      </c>
      <c r="S30" s="95">
        <f t="shared" si="32"/>
        <v>0</v>
      </c>
      <c r="T30" s="98"/>
      <c r="U30" s="95">
        <f t="shared" si="33"/>
        <v>0</v>
      </c>
      <c r="V30" s="99">
        <f t="shared" si="20"/>
        <v>0</v>
      </c>
      <c r="W30" s="96"/>
      <c r="X30" s="90"/>
      <c r="Y30" s="90">
        <f t="shared" si="11"/>
        <v>0</v>
      </c>
      <c r="Z30" s="90">
        <f t="shared" si="34"/>
        <v>0</v>
      </c>
      <c r="AA30" s="109">
        <f t="shared" si="13"/>
        <v>0</v>
      </c>
      <c r="AB30" s="90"/>
      <c r="AC30" s="90">
        <f t="shared" si="35"/>
        <v>0</v>
      </c>
      <c r="AD30" s="90">
        <f t="shared" si="36"/>
        <v>0</v>
      </c>
      <c r="AE30" s="90">
        <f t="shared" si="37"/>
        <v>0</v>
      </c>
      <c r="AF30" s="90"/>
      <c r="AG30" s="90"/>
      <c r="AH30" s="90"/>
      <c r="AI30" s="90">
        <f t="shared" si="38"/>
        <v>0</v>
      </c>
      <c r="AJ30" s="90"/>
      <c r="AK30" s="90">
        <f t="shared" si="39"/>
        <v>0</v>
      </c>
      <c r="AL30" s="90">
        <f t="shared" si="15"/>
        <v>0</v>
      </c>
      <c r="AM30" s="90">
        <f t="shared" si="16"/>
        <v>0</v>
      </c>
      <c r="AN30" s="90"/>
      <c r="AO30" s="100">
        <f t="shared" si="40"/>
        <v>0</v>
      </c>
      <c r="AP30" s="96"/>
      <c r="AQ30" s="95">
        <f t="shared" si="21"/>
        <v>0</v>
      </c>
      <c r="AR30" s="96"/>
      <c r="AS30" s="101">
        <f t="shared" si="22"/>
        <v>0</v>
      </c>
      <c r="AT30" s="102">
        <f t="shared" si="23"/>
        <v>0</v>
      </c>
      <c r="AU30" s="103" t="e">
        <f t="shared" si="41"/>
        <v>#DIV/0!</v>
      </c>
      <c r="AV30" s="104"/>
      <c r="AW30" s="105"/>
      <c r="AX30" s="106"/>
      <c r="AY30" s="107"/>
      <c r="AZ30" s="108"/>
    </row>
    <row r="31" spans="1:52">
      <c r="A31" s="110" t="s">
        <v>99</v>
      </c>
      <c r="B31" s="111">
        <f>60/12</f>
        <v>5</v>
      </c>
      <c r="C31" s="112">
        <f>B31*$K$2</f>
        <v>5</v>
      </c>
      <c r="D31" s="267">
        <v>1</v>
      </c>
      <c r="E31" s="112">
        <f t="shared" si="42"/>
        <v>12</v>
      </c>
      <c r="F31" s="112">
        <f t="shared" ref="F31" si="50">C31</f>
        <v>5</v>
      </c>
      <c r="G31" s="112"/>
      <c r="H31" s="334">
        <v>1.29</v>
      </c>
      <c r="I31" s="112">
        <f t="shared" ref="I31" si="51">B31*H31</f>
        <v>6.45</v>
      </c>
      <c r="J31" s="112">
        <f t="shared" ref="J31" si="52">I31*12</f>
        <v>77.400000000000006</v>
      </c>
      <c r="K31" s="112">
        <f t="shared" ref="K31" si="53">J31*$K$2</f>
        <v>77.400000000000006</v>
      </c>
      <c r="L31" s="113">
        <f>L13</f>
        <v>34</v>
      </c>
      <c r="M31" s="114">
        <f t="shared" ref="M31" si="54">L31*$O$2</f>
        <v>28.22</v>
      </c>
      <c r="N31" s="115">
        <f t="shared" ref="N31" si="55">ROUND(((C31*E31*L31)/2000),2)</f>
        <v>1.02</v>
      </c>
      <c r="O31" s="116">
        <f t="shared" ref="O31" si="56">$O$2*N31</f>
        <v>0.84660000000000002</v>
      </c>
      <c r="P31" s="117"/>
      <c r="Q31" s="118">
        <v>0</v>
      </c>
      <c r="R31" s="116">
        <f>C31*E31*Q31/3600</f>
        <v>0</v>
      </c>
      <c r="S31" s="116">
        <f t="shared" si="32"/>
        <v>0</v>
      </c>
      <c r="T31" s="119"/>
      <c r="U31" s="116">
        <f t="shared" si="33"/>
        <v>51.812970105596882</v>
      </c>
      <c r="V31" s="120">
        <f t="shared" si="20"/>
        <v>51.812970105596882</v>
      </c>
      <c r="W31" s="117"/>
      <c r="X31" s="112"/>
      <c r="Y31" s="112">
        <f t="shared" ref="Y31" si="57">($Y$4*(F31/4)/(($F$6/4)+$F$7+$F$8+$F$9))</f>
        <v>0</v>
      </c>
      <c r="Z31" s="112">
        <f t="shared" ref="Z31" si="58">($Z$4*F31/($F$5))</f>
        <v>403.51054421768703</v>
      </c>
      <c r="AA31" s="112">
        <f t="shared" si="13"/>
        <v>133.89292274812661</v>
      </c>
      <c r="AB31" s="112"/>
      <c r="AC31" s="112">
        <f t="shared" ref="AC31" si="59">$AC$4*V31/$V$5</f>
        <v>7.8923031387047802</v>
      </c>
      <c r="AD31" s="112">
        <f t="shared" ref="AD31" si="60">$AD$4*V31/$V$5</f>
        <v>0</v>
      </c>
      <c r="AE31" s="112">
        <f t="shared" si="37"/>
        <v>107.92503557690902</v>
      </c>
      <c r="AF31" s="112"/>
      <c r="AG31" s="112"/>
      <c r="AH31" s="112"/>
      <c r="AI31" s="112">
        <f t="shared" ref="AI31" si="61">SUM(Y31:AH31)</f>
        <v>653.22080568142746</v>
      </c>
      <c r="AJ31" s="112">
        <f t="shared" si="44"/>
        <v>0</v>
      </c>
      <c r="AK31" s="112">
        <f t="shared" ref="AK31" si="62">$AK$4*O31/($O$5-$O$8)</f>
        <v>64.545456215863879</v>
      </c>
      <c r="AL31" s="112">
        <f t="shared" ref="AL31" si="63">$AL$4*(K31+X31)/($K$5+$X$5)</f>
        <v>0.37718153314504399</v>
      </c>
      <c r="AM31" s="112">
        <f t="shared" ref="AM31" si="64">$AM$4*(K31+X31)/($K$5+$X$5)</f>
        <v>2.6656290905485238</v>
      </c>
      <c r="AN31" s="112">
        <f t="shared" si="45"/>
        <v>0</v>
      </c>
      <c r="AO31" s="121">
        <f t="shared" ref="AO31" si="65">SUM(AI31:AN31)</f>
        <v>720.80907252098496</v>
      </c>
      <c r="AP31" s="117"/>
      <c r="AQ31" s="116">
        <f>IF(ISERROR(AO31/C31/12), 0,(AO31/C31/12))</f>
        <v>12.013484542016416</v>
      </c>
      <c r="AR31" s="117"/>
      <c r="AS31" s="122">
        <f t="shared" ref="AS31" si="66">AQ31/$AS$4</f>
        <v>12.917725313996145</v>
      </c>
      <c r="AT31" s="123">
        <f t="shared" ref="AT31" si="67">+AS31*C31*12</f>
        <v>775.06351883976879</v>
      </c>
      <c r="AU31" s="124">
        <f t="shared" ref="AU31" si="68">(+AS31-AV31)/AV31</f>
        <v>9.0137405534853823</v>
      </c>
      <c r="AV31" s="125">
        <f t="shared" si="46"/>
        <v>1.29</v>
      </c>
      <c r="AW31" s="126">
        <f t="shared" si="47"/>
        <v>77.400000000000006</v>
      </c>
      <c r="AX31" s="127"/>
      <c r="AY31" s="128">
        <f t="shared" si="48"/>
        <v>0</v>
      </c>
      <c r="AZ31" s="129">
        <f t="shared" si="49"/>
        <v>-1</v>
      </c>
    </row>
    <row r="32" spans="1:52" s="24" customFormat="1" ht="12" thickBot="1">
      <c r="A32" s="24" t="s">
        <v>100</v>
      </c>
      <c r="B32" s="130">
        <f>SUM(B12:B31)</f>
        <v>115</v>
      </c>
      <c r="C32" s="130">
        <f>SUM(C12:C31)</f>
        <v>115</v>
      </c>
      <c r="D32" s="130"/>
      <c r="E32" s="130"/>
      <c r="F32" s="130">
        <f>SUM(F12:F31)</f>
        <v>115</v>
      </c>
      <c r="G32" s="130"/>
      <c r="H32" s="131"/>
      <c r="I32" s="130">
        <f>SUM(I12:I31)</f>
        <v>3170.9000000000005</v>
      </c>
      <c r="J32" s="130">
        <f>SUM(J12:J31)</f>
        <v>38050.799999999996</v>
      </c>
      <c r="K32" s="130">
        <f>SUM(K12:K31)</f>
        <v>38050.799999999996</v>
      </c>
      <c r="L32" s="132"/>
      <c r="M32" s="133"/>
      <c r="N32" s="134">
        <f>SUM(N12:N31)</f>
        <v>89.679999999999978</v>
      </c>
      <c r="O32" s="134">
        <f>SUM(O12:O31)</f>
        <v>74.434399999999997</v>
      </c>
      <c r="P32" s="135"/>
      <c r="Q32" s="134">
        <f>SUM(Q12:Q31)</f>
        <v>310.11999999999995</v>
      </c>
      <c r="R32" s="134">
        <f>SUM(R12:R31)</f>
        <v>22.251639555555553</v>
      </c>
      <c r="S32" s="134">
        <f>SUM(S12:S31)</f>
        <v>22.251639555555553</v>
      </c>
      <c r="T32" s="132"/>
      <c r="U32" s="134">
        <f>SUM(U12:U31)</f>
        <v>4555.4776069313029</v>
      </c>
      <c r="V32" s="134">
        <f>SUM(V12:V31)</f>
        <v>4577.7292464868578</v>
      </c>
      <c r="W32" s="135"/>
      <c r="X32" s="130">
        <f t="shared" ref="X32:AO32" si="69">SUM(X12:X31)</f>
        <v>0</v>
      </c>
      <c r="Y32" s="130">
        <f t="shared" si="69"/>
        <v>0</v>
      </c>
      <c r="Z32" s="130">
        <f t="shared" si="69"/>
        <v>9280.7425170068018</v>
      </c>
      <c r="AA32" s="130">
        <f t="shared" si="69"/>
        <v>11829.577557753166</v>
      </c>
      <c r="AB32" s="130">
        <f t="shared" si="69"/>
        <v>0</v>
      </c>
      <c r="AC32" s="130">
        <f t="shared" si="69"/>
        <v>697.2931068525296</v>
      </c>
      <c r="AD32" s="130">
        <f t="shared" si="69"/>
        <v>0</v>
      </c>
      <c r="AE32" s="130">
        <f t="shared" si="69"/>
        <v>9535.2879941384272</v>
      </c>
      <c r="AF32" s="130">
        <f t="shared" si="69"/>
        <v>0</v>
      </c>
      <c r="AG32" s="130">
        <f t="shared" si="69"/>
        <v>0</v>
      </c>
      <c r="AH32" s="130">
        <f t="shared" si="69"/>
        <v>0</v>
      </c>
      <c r="AI32" s="130">
        <f t="shared" si="69"/>
        <v>31342.901175750925</v>
      </c>
      <c r="AJ32" s="130">
        <f t="shared" si="69"/>
        <v>0</v>
      </c>
      <c r="AK32" s="130">
        <f t="shared" si="69"/>
        <v>5674.9377582732077</v>
      </c>
      <c r="AL32" s="130">
        <f t="shared" si="69"/>
        <v>185.42711991466973</v>
      </c>
      <c r="AM32" s="130">
        <f t="shared" si="69"/>
        <v>1310.4563229798932</v>
      </c>
      <c r="AN32" s="130">
        <f t="shared" si="69"/>
        <v>0</v>
      </c>
      <c r="AO32" s="136">
        <f t="shared" si="69"/>
        <v>38513.722376918682</v>
      </c>
      <c r="AP32" s="135"/>
      <c r="AQ32" s="134"/>
      <c r="AR32" s="135"/>
      <c r="AS32" s="137"/>
      <c r="AT32" s="138">
        <f>SUM(AT12:AT31)</f>
        <v>41412.604706364189</v>
      </c>
      <c r="AU32" s="132"/>
      <c r="AV32" s="131"/>
      <c r="AW32" s="138">
        <f>SUM(AW12:AW31)</f>
        <v>38050.799999999996</v>
      </c>
      <c r="AX32" s="131"/>
      <c r="AY32" s="138">
        <f>SUM(AY12:AY31)</f>
        <v>0</v>
      </c>
      <c r="AZ32" s="132"/>
    </row>
    <row r="33" spans="1:57">
      <c r="B33" s="139"/>
      <c r="C33" s="140"/>
      <c r="D33" s="140"/>
      <c r="E33" s="140"/>
      <c r="F33" s="140"/>
      <c r="G33" s="140"/>
      <c r="H33" s="141"/>
      <c r="I33" s="140"/>
      <c r="J33" s="140"/>
      <c r="K33" s="140"/>
      <c r="L33" s="142"/>
      <c r="M33" s="143"/>
      <c r="N33" s="144"/>
      <c r="O33" s="145"/>
      <c r="P33" s="96"/>
      <c r="Q33" s="145"/>
      <c r="R33" s="145"/>
      <c r="S33" s="145"/>
      <c r="T33" s="142"/>
      <c r="U33" s="145"/>
      <c r="V33" s="146"/>
      <c r="W33" s="96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36"/>
      <c r="AP33" s="96"/>
      <c r="AQ33" s="145"/>
      <c r="AR33" s="96"/>
      <c r="AS33" s="145"/>
      <c r="AT33" s="147"/>
      <c r="AU33" s="142"/>
      <c r="AV33" s="148"/>
      <c r="AW33" s="147"/>
      <c r="AX33" s="149"/>
      <c r="AY33" s="147"/>
      <c r="AZ33" s="142"/>
    </row>
    <row r="34" spans="1:57" ht="12" thickBot="1">
      <c r="A34" s="85" t="s">
        <v>55</v>
      </c>
      <c r="B34" s="140"/>
      <c r="C34" s="140"/>
      <c r="D34" s="140"/>
      <c r="E34" s="140"/>
      <c r="F34" s="140"/>
      <c r="G34" s="140"/>
      <c r="H34" s="148"/>
      <c r="I34" s="140"/>
      <c r="J34" s="140"/>
      <c r="K34" s="140"/>
      <c r="L34" s="142"/>
      <c r="M34" s="143"/>
      <c r="N34" s="142"/>
      <c r="O34" s="142"/>
      <c r="P34" s="96"/>
      <c r="Q34" s="142"/>
      <c r="R34" s="142"/>
      <c r="S34" s="142"/>
      <c r="T34" s="142"/>
      <c r="U34" s="142"/>
      <c r="V34" s="142"/>
      <c r="W34" s="96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36"/>
      <c r="AP34" s="96"/>
      <c r="AQ34" s="142"/>
      <c r="AR34" s="96"/>
      <c r="AS34" s="150"/>
      <c r="AT34" s="142"/>
      <c r="AU34" s="150"/>
      <c r="AV34" s="148"/>
      <c r="AW34" s="142"/>
      <c r="AX34" s="151"/>
      <c r="AY34" s="142"/>
      <c r="AZ34" s="142"/>
      <c r="BB34" s="35"/>
    </row>
    <row r="35" spans="1:57" ht="12" thickTop="1">
      <c r="A35" s="152" t="s">
        <v>178</v>
      </c>
      <c r="B35" s="337">
        <v>0</v>
      </c>
      <c r="C35" s="154">
        <f>B35*$K$3</f>
        <v>0</v>
      </c>
      <c r="D35" s="331">
        <f>$D$13</f>
        <v>4.33</v>
      </c>
      <c r="E35" s="154">
        <f>D35*12</f>
        <v>51.96</v>
      </c>
      <c r="F35" s="154">
        <f t="shared" ref="F35:F46" si="70">C35</f>
        <v>0</v>
      </c>
      <c r="G35" s="154"/>
      <c r="H35" s="155"/>
      <c r="I35" s="156">
        <f>B35*H35</f>
        <v>0</v>
      </c>
      <c r="J35" s="156">
        <f>I35*12</f>
        <v>0</v>
      </c>
      <c r="K35" s="156">
        <f t="shared" ref="K35:K52" si="71">J35*$K$3</f>
        <v>0</v>
      </c>
      <c r="L35" s="157">
        <v>34</v>
      </c>
      <c r="M35" s="158">
        <f>L35*$O$3</f>
        <v>22.1</v>
      </c>
      <c r="N35" s="159">
        <f t="shared" ref="N35:N52" si="72">ROUND(((C35*E35*L35)/2000),2)</f>
        <v>0</v>
      </c>
      <c r="O35" s="160">
        <f t="shared" ref="O35:O52" si="73">$O$3*N35</f>
        <v>0</v>
      </c>
      <c r="P35" s="96"/>
      <c r="Q35" s="161">
        <f>Q13</f>
        <v>16.84</v>
      </c>
      <c r="R35" s="162">
        <f t="shared" ref="R35:R52" si="74">C35*E35*Q35/3600</f>
        <v>0</v>
      </c>
      <c r="S35" s="162">
        <f t="shared" ref="S35:S52" si="75">R35*$S$3</f>
        <v>0</v>
      </c>
      <c r="T35" s="163"/>
      <c r="U35" s="162">
        <f t="shared" ref="U35:U52" si="76">($V$4-$S$5)*O35/($O$5-$O$8)</f>
        <v>0</v>
      </c>
      <c r="V35" s="164">
        <f t="shared" ref="V35:V52" si="77">U35+S35</f>
        <v>0</v>
      </c>
      <c r="W35" s="96"/>
      <c r="X35" s="154"/>
      <c r="Y35" s="156">
        <f t="shared" ref="Y35:Y52" si="78">($Y$4*(F35)/(($F$6/4)+$F$7+$F$8+$F$9))</f>
        <v>0</v>
      </c>
      <c r="Z35" s="156">
        <f>($Z$4*F35/($F$5))</f>
        <v>0</v>
      </c>
      <c r="AA35" s="156">
        <f t="shared" ref="AA35:AA52" si="79">$AA$4*V35/($V$5-$V$8-SUM($V$60:$V$62))</f>
        <v>0</v>
      </c>
      <c r="AB35" s="154"/>
      <c r="AC35" s="154">
        <f t="shared" ref="AC35:AC52" si="80">$AC$4*V35/$V$5</f>
        <v>0</v>
      </c>
      <c r="AD35" s="154">
        <f t="shared" ref="AD35:AD52" si="81">$AD$4*V35/$V$5</f>
        <v>0</v>
      </c>
      <c r="AE35" s="154">
        <f t="shared" si="37"/>
        <v>0</v>
      </c>
      <c r="AF35" s="154"/>
      <c r="AG35" s="154"/>
      <c r="AH35" s="154"/>
      <c r="AI35" s="154">
        <f t="shared" ref="AI35:AI46" si="82">SUM(Y35:AH35)</f>
        <v>0</v>
      </c>
      <c r="AJ35" s="154">
        <f t="shared" ref="AJ35:AJ52" si="83">($AJ$4*F35/($F$5))</f>
        <v>0</v>
      </c>
      <c r="AK35" s="154">
        <f t="shared" ref="AK35:AK52" si="84">$AK$4*O35/($O$5-$O$8)</f>
        <v>0</v>
      </c>
      <c r="AL35" s="154">
        <f t="shared" ref="AL35:AL52" si="85">$AL$4*(K35+X35)/($K$5+$X$5)</f>
        <v>0</v>
      </c>
      <c r="AM35" s="154">
        <f t="shared" ref="AM35:AM52" si="86">$AM$4*(K35+X35)/($K$5+$X$5)</f>
        <v>0</v>
      </c>
      <c r="AN35" s="154">
        <f t="shared" ref="AN35:AN52" si="87">$AN$4*(K35+X35)/($K$5+$X$5)</f>
        <v>0</v>
      </c>
      <c r="AO35" s="165">
        <f t="shared" ref="AO35:AO52" si="88">SUM(AI35:AN35)</f>
        <v>0</v>
      </c>
      <c r="AP35" s="96"/>
      <c r="AQ35" s="162">
        <f>IF(ISERROR(AO35/C35/E35), 0,(AO35/C35/E35))</f>
        <v>0</v>
      </c>
      <c r="AR35" s="96"/>
      <c r="AS35" s="166">
        <f t="shared" ref="AS35:AS45" si="89">AQ35/$AS$4</f>
        <v>0</v>
      </c>
      <c r="AT35" s="167">
        <f>+AS35*C35*E35</f>
        <v>0</v>
      </c>
      <c r="AU35" s="168" t="e">
        <f t="shared" ref="AU35:AU52" si="90">(+AS35-AV35)/AV35</f>
        <v>#DIV/0!</v>
      </c>
      <c r="AV35" s="169">
        <f t="shared" ref="AV35:AV52" si="91">H35</f>
        <v>0</v>
      </c>
      <c r="AW35" s="170">
        <f>+AV35*C35*12</f>
        <v>0</v>
      </c>
      <c r="AX35" s="171"/>
      <c r="AY35" s="172">
        <f>+AX35*C35*12</f>
        <v>0</v>
      </c>
      <c r="AZ35" s="173" t="e">
        <f t="shared" ref="AZ35:AZ52" si="92">(+AX35-AV35)/AV35</f>
        <v>#DIV/0!</v>
      </c>
      <c r="BA35" s="174"/>
      <c r="BB35" s="39"/>
      <c r="BC35" s="175"/>
      <c r="BD35" s="175"/>
      <c r="BE35" s="176"/>
    </row>
    <row r="36" spans="1:57">
      <c r="A36" s="152" t="s">
        <v>179</v>
      </c>
      <c r="B36" s="337">
        <v>0</v>
      </c>
      <c r="C36" s="154">
        <f t="shared" ref="C36:C39" si="93">B36*$K$3</f>
        <v>0</v>
      </c>
      <c r="D36" s="331">
        <f t="shared" ref="D36:D39" si="94">$D$13</f>
        <v>4.33</v>
      </c>
      <c r="E36" s="154">
        <f t="shared" ref="E36:E39" si="95">D36*12</f>
        <v>51.96</v>
      </c>
      <c r="F36" s="154">
        <f t="shared" si="70"/>
        <v>0</v>
      </c>
      <c r="G36" s="154"/>
      <c r="H36" s="155"/>
      <c r="I36" s="156">
        <f t="shared" ref="I36:I51" si="96">B36*H36</f>
        <v>0</v>
      </c>
      <c r="J36" s="156">
        <f t="shared" ref="J36:J51" si="97">I36*12</f>
        <v>0</v>
      </c>
      <c r="K36" s="156">
        <f t="shared" si="71"/>
        <v>0</v>
      </c>
      <c r="L36" s="157">
        <v>40</v>
      </c>
      <c r="M36" s="158">
        <f t="shared" ref="M36:M52" si="98">L36*$O$3</f>
        <v>26</v>
      </c>
      <c r="N36" s="159">
        <f t="shared" si="72"/>
        <v>0</v>
      </c>
      <c r="O36" s="160">
        <f t="shared" si="73"/>
        <v>0</v>
      </c>
      <c r="P36" s="96"/>
      <c r="Q36" s="161">
        <f>Q18</f>
        <v>16.84</v>
      </c>
      <c r="R36" s="162">
        <f t="shared" si="74"/>
        <v>0</v>
      </c>
      <c r="S36" s="162">
        <f t="shared" si="75"/>
        <v>0</v>
      </c>
      <c r="T36" s="163"/>
      <c r="U36" s="162">
        <f t="shared" si="76"/>
        <v>0</v>
      </c>
      <c r="V36" s="164">
        <f t="shared" si="77"/>
        <v>0</v>
      </c>
      <c r="W36" s="96"/>
      <c r="X36" s="154"/>
      <c r="Y36" s="156">
        <f t="shared" si="78"/>
        <v>0</v>
      </c>
      <c r="Z36" s="156">
        <f t="shared" ref="Z36:Z52" si="99">($Z$4*F36/($F$5))</f>
        <v>0</v>
      </c>
      <c r="AA36" s="156">
        <f t="shared" si="79"/>
        <v>0</v>
      </c>
      <c r="AB36" s="154"/>
      <c r="AC36" s="154">
        <f t="shared" si="80"/>
        <v>0</v>
      </c>
      <c r="AD36" s="154">
        <f t="shared" si="81"/>
        <v>0</v>
      </c>
      <c r="AE36" s="154">
        <f t="shared" si="37"/>
        <v>0</v>
      </c>
      <c r="AF36" s="154"/>
      <c r="AG36" s="154"/>
      <c r="AH36" s="154"/>
      <c r="AI36" s="154">
        <f t="shared" si="82"/>
        <v>0</v>
      </c>
      <c r="AJ36" s="154">
        <f t="shared" si="83"/>
        <v>0</v>
      </c>
      <c r="AK36" s="154">
        <f t="shared" si="84"/>
        <v>0</v>
      </c>
      <c r="AL36" s="154">
        <f t="shared" si="85"/>
        <v>0</v>
      </c>
      <c r="AM36" s="154">
        <f t="shared" si="86"/>
        <v>0</v>
      </c>
      <c r="AN36" s="154">
        <f t="shared" si="87"/>
        <v>0</v>
      </c>
      <c r="AO36" s="165">
        <f t="shared" si="88"/>
        <v>0</v>
      </c>
      <c r="AP36" s="96"/>
      <c r="AQ36" s="162">
        <f>IF(ISERROR(AO36/C36/E36), 0,(AO36/C36/E36))</f>
        <v>0</v>
      </c>
      <c r="AR36" s="96"/>
      <c r="AS36" s="166">
        <f t="shared" si="89"/>
        <v>0</v>
      </c>
      <c r="AT36" s="167">
        <f>+AS36*C36*E36</f>
        <v>0</v>
      </c>
      <c r="AU36" s="168" t="e">
        <f t="shared" si="90"/>
        <v>#DIV/0!</v>
      </c>
      <c r="AV36" s="169">
        <f t="shared" si="91"/>
        <v>0</v>
      </c>
      <c r="AW36" s="170">
        <f t="shared" ref="AW36:AW52" si="100">+AV36*C36*12</f>
        <v>0</v>
      </c>
      <c r="AX36" s="171"/>
      <c r="AY36" s="172">
        <f t="shared" ref="AY36:AY52" si="101">+AX36*C36*12</f>
        <v>0</v>
      </c>
      <c r="AZ36" s="173" t="e">
        <f t="shared" si="92"/>
        <v>#DIV/0!</v>
      </c>
      <c r="BA36" s="174"/>
      <c r="BB36" s="39"/>
      <c r="BC36" s="175"/>
      <c r="BD36" s="175"/>
      <c r="BE36" s="176"/>
    </row>
    <row r="37" spans="1:57">
      <c r="A37" s="152" t="s">
        <v>180</v>
      </c>
      <c r="B37" s="153">
        <v>5</v>
      </c>
      <c r="C37" s="154">
        <f t="shared" si="93"/>
        <v>5</v>
      </c>
      <c r="D37" s="331">
        <f t="shared" si="94"/>
        <v>4.33</v>
      </c>
      <c r="E37" s="154">
        <f t="shared" si="95"/>
        <v>51.96</v>
      </c>
      <c r="F37" s="154">
        <f t="shared" si="70"/>
        <v>5</v>
      </c>
      <c r="G37" s="154"/>
      <c r="H37" s="317">
        <v>4.4649730561970742</v>
      </c>
      <c r="I37" s="156">
        <f>B37*H37</f>
        <v>22.324865280985371</v>
      </c>
      <c r="J37" s="156">
        <f t="shared" si="97"/>
        <v>267.89838337182448</v>
      </c>
      <c r="K37" s="156">
        <f t="shared" si="71"/>
        <v>267.89838337182448</v>
      </c>
      <c r="L37" s="157">
        <f>References!C26</f>
        <v>47</v>
      </c>
      <c r="M37" s="158">
        <f>L37*$O$3</f>
        <v>30.55</v>
      </c>
      <c r="N37" s="159">
        <f>ROUND(((C37*E37*L37)/2000),2)</f>
        <v>6.11</v>
      </c>
      <c r="O37" s="160">
        <f t="shared" si="73"/>
        <v>3.9715000000000003</v>
      </c>
      <c r="P37" s="96"/>
      <c r="Q37" s="161">
        <f>Q24</f>
        <v>16.84</v>
      </c>
      <c r="R37" s="162">
        <f t="shared" si="74"/>
        <v>1.2152866666666666</v>
      </c>
      <c r="S37" s="162">
        <f t="shared" si="75"/>
        <v>1.2152866666666666</v>
      </c>
      <c r="T37" s="163"/>
      <c r="U37" s="162">
        <f>($V$4-$S$5)*O37/($O$5-$O$8)</f>
        <v>243.06072616864876</v>
      </c>
      <c r="V37" s="164">
        <f t="shared" si="77"/>
        <v>244.27601283531541</v>
      </c>
      <c r="W37" s="96"/>
      <c r="X37" s="154"/>
      <c r="Y37" s="156">
        <f t="shared" si="78"/>
        <v>0</v>
      </c>
      <c r="Z37" s="156">
        <f>($Z$4*F37/($F$5))</f>
        <v>403.51054421768703</v>
      </c>
      <c r="AA37" s="156">
        <f t="shared" si="79"/>
        <v>631.24791435660723</v>
      </c>
      <c r="AB37" s="154"/>
      <c r="AC37" s="154">
        <f t="shared" si="80"/>
        <v>37.208836684739587</v>
      </c>
      <c r="AD37" s="154">
        <f t="shared" si="81"/>
        <v>0</v>
      </c>
      <c r="AE37" s="154">
        <f t="shared" si="37"/>
        <v>508.82042318954211</v>
      </c>
      <c r="AF37" s="154"/>
      <c r="AG37" s="154"/>
      <c r="AH37" s="154"/>
      <c r="AI37" s="154">
        <f t="shared" si="82"/>
        <v>1580.787718448576</v>
      </c>
      <c r="AJ37" s="154">
        <f t="shared" si="83"/>
        <v>0</v>
      </c>
      <c r="AK37" s="154">
        <f t="shared" si="84"/>
        <v>302.79031344354286</v>
      </c>
      <c r="AL37" s="154">
        <f t="shared" si="85"/>
        <v>1.3055080486726551</v>
      </c>
      <c r="AM37" s="154">
        <f t="shared" si="86"/>
        <v>9.2263271838095129</v>
      </c>
      <c r="AN37" s="154">
        <f t="shared" si="87"/>
        <v>0</v>
      </c>
      <c r="AO37" s="165">
        <f t="shared" si="88"/>
        <v>1894.1098671246009</v>
      </c>
      <c r="AP37" s="96"/>
      <c r="AQ37" s="162">
        <f>IF(ISERROR(AO37/C37/E37), 0,(AO37/C37/E37))</f>
        <v>7.2906461398175555</v>
      </c>
      <c r="AR37" s="96"/>
      <c r="AS37" s="166">
        <f>AQ37/$AS$4</f>
        <v>7.8394044514167263</v>
      </c>
      <c r="AT37" s="167">
        <f>+AS37*C37*E37</f>
        <v>2036.6772764780656</v>
      </c>
      <c r="AU37" s="168">
        <f t="shared" si="90"/>
        <v>0.75575627282591873</v>
      </c>
      <c r="AV37" s="335">
        <f>H37</f>
        <v>4.4649730561970742</v>
      </c>
      <c r="AW37" s="170">
        <f>+AV37*C37*12*4.33</f>
        <v>1160</v>
      </c>
      <c r="AX37" s="171"/>
      <c r="AY37" s="172">
        <f>+AX37*C37*12</f>
        <v>0</v>
      </c>
      <c r="AZ37" s="173">
        <f t="shared" si="92"/>
        <v>-1</v>
      </c>
      <c r="BA37" s="174"/>
      <c r="BB37" s="86">
        <f>AS37*4.33</f>
        <v>33.944621274634429</v>
      </c>
    </row>
    <row r="38" spans="1:57">
      <c r="A38" s="152" t="s">
        <v>181</v>
      </c>
      <c r="B38" s="153">
        <v>21</v>
      </c>
      <c r="C38" s="154">
        <f t="shared" si="93"/>
        <v>21</v>
      </c>
      <c r="D38" s="331">
        <f t="shared" si="94"/>
        <v>4.33</v>
      </c>
      <c r="E38" s="154">
        <f t="shared" si="95"/>
        <v>51.96</v>
      </c>
      <c r="F38" s="154">
        <f t="shared" si="70"/>
        <v>21</v>
      </c>
      <c r="G38" s="154"/>
      <c r="H38" s="155">
        <v>6.5709886726053011</v>
      </c>
      <c r="I38" s="156">
        <f t="shared" si="96"/>
        <v>137.99076212471132</v>
      </c>
      <c r="J38" s="156">
        <f t="shared" si="97"/>
        <v>1655.889145496536</v>
      </c>
      <c r="K38" s="156">
        <f t="shared" si="71"/>
        <v>1655.889145496536</v>
      </c>
      <c r="L38" s="157">
        <f>References!C28</f>
        <v>68</v>
      </c>
      <c r="M38" s="158">
        <f t="shared" si="98"/>
        <v>44.2</v>
      </c>
      <c r="N38" s="159">
        <f t="shared" si="72"/>
        <v>37.1</v>
      </c>
      <c r="O38" s="160">
        <f t="shared" si="73"/>
        <v>24.115000000000002</v>
      </c>
      <c r="P38" s="96"/>
      <c r="Q38" s="161">
        <f>Q24</f>
        <v>16.84</v>
      </c>
      <c r="R38" s="162">
        <f t="shared" si="74"/>
        <v>5.1042040000000011</v>
      </c>
      <c r="S38" s="162">
        <f t="shared" si="75"/>
        <v>5.1042040000000011</v>
      </c>
      <c r="T38" s="163"/>
      <c r="U38" s="162">
        <f>($V$4-$S$5)*O38/($O$5-$O$8)</f>
        <v>1475.867911760535</v>
      </c>
      <c r="V38" s="164">
        <f t="shared" si="77"/>
        <v>1480.972115760535</v>
      </c>
      <c r="W38" s="96"/>
      <c r="X38" s="154"/>
      <c r="Y38" s="156">
        <f t="shared" si="78"/>
        <v>0</v>
      </c>
      <c r="Z38" s="156">
        <f>($Z$4*F38/($F$5))</f>
        <v>1694.7442857142855</v>
      </c>
      <c r="AA38" s="156">
        <f t="shared" si="79"/>
        <v>3827.0665565693034</v>
      </c>
      <c r="AB38" s="154"/>
      <c r="AC38" s="154">
        <f t="shared" si="80"/>
        <v>225.58600392392003</v>
      </c>
      <c r="AD38" s="154">
        <f t="shared" si="81"/>
        <v>0</v>
      </c>
      <c r="AE38" s="154">
        <f t="shared" si="37"/>
        <v>3084.8254395785075</v>
      </c>
      <c r="AF38" s="154"/>
      <c r="AG38" s="154"/>
      <c r="AH38" s="154"/>
      <c r="AI38" s="154">
        <f t="shared" si="82"/>
        <v>8832.2222857860161</v>
      </c>
      <c r="AJ38" s="154">
        <f t="shared" si="83"/>
        <v>0</v>
      </c>
      <c r="AK38" s="154">
        <f t="shared" si="84"/>
        <v>1838.5467477504815</v>
      </c>
      <c r="AL38" s="154">
        <f t="shared" si="85"/>
        <v>8.0693902663646018</v>
      </c>
      <c r="AM38" s="154">
        <f t="shared" si="86"/>
        <v>57.028246472339838</v>
      </c>
      <c r="AN38" s="154">
        <f t="shared" si="87"/>
        <v>0</v>
      </c>
      <c r="AO38" s="165">
        <f t="shared" si="88"/>
        <v>10735.866670275202</v>
      </c>
      <c r="AP38" s="96"/>
      <c r="AQ38" s="162">
        <f>IF(ISERROR(AO38/C38/E38), 0,(AO38/C38/E38))</f>
        <v>9.8389481563429761</v>
      </c>
      <c r="AR38" s="96"/>
      <c r="AS38" s="166">
        <f t="shared" si="89"/>
        <v>10.57951414660535</v>
      </c>
      <c r="AT38" s="167">
        <f>+AS38*C38*E38</f>
        <v>11543.942656209894</v>
      </c>
      <c r="AU38" s="168">
        <f t="shared" si="90"/>
        <v>0.61003384326497812</v>
      </c>
      <c r="AV38" s="169">
        <f t="shared" si="91"/>
        <v>6.5709886726053011</v>
      </c>
      <c r="AW38" s="170">
        <f t="shared" ref="AW38:AW39" si="102">+AV38*C38*12*4.33</f>
        <v>7170.0000000000009</v>
      </c>
      <c r="AX38" s="171"/>
      <c r="AY38" s="172">
        <f t="shared" si="101"/>
        <v>0</v>
      </c>
      <c r="AZ38" s="173">
        <f t="shared" si="92"/>
        <v>-1</v>
      </c>
      <c r="BA38" s="174"/>
      <c r="BB38" s="86">
        <f t="shared" ref="BB38:BB39" si="103">AS38*4.33</f>
        <v>45.809296254801168</v>
      </c>
    </row>
    <row r="39" spans="1:57">
      <c r="A39" s="152" t="s">
        <v>182</v>
      </c>
      <c r="B39" s="153">
        <v>6</v>
      </c>
      <c r="C39" s="154">
        <f t="shared" si="93"/>
        <v>6</v>
      </c>
      <c r="D39" s="331">
        <f t="shared" si="94"/>
        <v>4.33</v>
      </c>
      <c r="E39" s="154">
        <f t="shared" si="95"/>
        <v>51.96</v>
      </c>
      <c r="F39" s="154">
        <f t="shared" si="70"/>
        <v>6</v>
      </c>
      <c r="G39" s="154"/>
      <c r="H39" s="317">
        <v>3.5283551449833208</v>
      </c>
      <c r="I39" s="156">
        <f t="shared" si="96"/>
        <v>21.170130869899925</v>
      </c>
      <c r="J39" s="156">
        <f t="shared" si="97"/>
        <v>254.04157043879911</v>
      </c>
      <c r="K39" s="156">
        <f t="shared" si="71"/>
        <v>254.04157043879911</v>
      </c>
      <c r="L39" s="157">
        <v>42</v>
      </c>
      <c r="M39" s="158">
        <f>L39*$O$3</f>
        <v>27.3</v>
      </c>
      <c r="N39" s="159">
        <f t="shared" si="72"/>
        <v>6.55</v>
      </c>
      <c r="O39" s="160">
        <f t="shared" si="73"/>
        <v>4.2575000000000003</v>
      </c>
      <c r="P39" s="96"/>
      <c r="Q39" s="161">
        <f>Q25</f>
        <v>16.84</v>
      </c>
      <c r="R39" s="162">
        <f t="shared" si="74"/>
        <v>1.4583439999999999</v>
      </c>
      <c r="S39" s="162">
        <f t="shared" si="75"/>
        <v>1.4583439999999999</v>
      </c>
      <c r="T39" s="163"/>
      <c r="U39" s="162">
        <f t="shared" si="76"/>
        <v>260.56428091729123</v>
      </c>
      <c r="V39" s="164">
        <f t="shared" si="77"/>
        <v>262.02262491729124</v>
      </c>
      <c r="W39" s="96"/>
      <c r="X39" s="154"/>
      <c r="Y39" s="156">
        <f t="shared" si="78"/>
        <v>0</v>
      </c>
      <c r="Z39" s="156">
        <f t="shared" si="99"/>
        <v>484.21265306122444</v>
      </c>
      <c r="AA39" s="156">
        <f t="shared" si="79"/>
        <v>677.10797132092091</v>
      </c>
      <c r="AB39" s="154"/>
      <c r="AC39" s="154">
        <f t="shared" si="80"/>
        <v>39.912052538810549</v>
      </c>
      <c r="AD39" s="154">
        <f t="shared" si="81"/>
        <v>0</v>
      </c>
      <c r="AE39" s="154">
        <f t="shared" si="37"/>
        <v>545.78614309352338</v>
      </c>
      <c r="AF39" s="154"/>
      <c r="AG39" s="154"/>
      <c r="AH39" s="154"/>
      <c r="AI39" s="154">
        <f t="shared" si="82"/>
        <v>1747.0188200144792</v>
      </c>
      <c r="AJ39" s="154">
        <f t="shared" si="83"/>
        <v>0</v>
      </c>
      <c r="AK39" s="154">
        <f t="shared" si="84"/>
        <v>324.5951805327669</v>
      </c>
      <c r="AL39" s="154">
        <f t="shared" si="85"/>
        <v>1.2379817702930351</v>
      </c>
      <c r="AM39" s="154">
        <f t="shared" si="86"/>
        <v>8.7491033639572979</v>
      </c>
      <c r="AN39" s="154">
        <f t="shared" si="87"/>
        <v>0</v>
      </c>
      <c r="AO39" s="165">
        <f t="shared" si="88"/>
        <v>2081.6010856814964</v>
      </c>
      <c r="AP39" s="96"/>
      <c r="AQ39" s="162">
        <f t="shared" ref="AQ39:AQ46" si="104">IF(ISERROR(AO39/C39/E39), 0,(AO39/C39/E39))</f>
        <v>6.6769344549701586</v>
      </c>
      <c r="AR39" s="96"/>
      <c r="AS39" s="166">
        <f t="shared" si="89"/>
        <v>7.1794994139464068</v>
      </c>
      <c r="AT39" s="167">
        <f t="shared" ref="AT39:AT51" si="105">+AS39*C39*E39</f>
        <v>2238.2807372919319</v>
      </c>
      <c r="AU39" s="168">
        <f t="shared" si="90"/>
        <v>1.0348006702653922</v>
      </c>
      <c r="AV39" s="169">
        <f t="shared" si="91"/>
        <v>3.5283551449833208</v>
      </c>
      <c r="AW39" s="170">
        <f t="shared" si="102"/>
        <v>1100.0000000000002</v>
      </c>
      <c r="AX39" s="171"/>
      <c r="AY39" s="172">
        <f t="shared" si="101"/>
        <v>0</v>
      </c>
      <c r="AZ39" s="173">
        <f t="shared" si="92"/>
        <v>-1</v>
      </c>
      <c r="BA39" s="174"/>
      <c r="BB39" s="86">
        <f t="shared" si="103"/>
        <v>31.087232462387941</v>
      </c>
    </row>
    <row r="40" spans="1:57">
      <c r="A40" s="152"/>
      <c r="B40" s="153"/>
      <c r="C40" s="154"/>
      <c r="D40" s="154"/>
      <c r="E40" s="154"/>
      <c r="F40" s="154">
        <f t="shared" si="70"/>
        <v>0</v>
      </c>
      <c r="G40" s="154"/>
      <c r="H40" s="155"/>
      <c r="I40" s="156">
        <f t="shared" si="96"/>
        <v>0</v>
      </c>
      <c r="J40" s="156">
        <f t="shared" si="97"/>
        <v>0</v>
      </c>
      <c r="K40" s="156">
        <f t="shared" si="71"/>
        <v>0</v>
      </c>
      <c r="L40" s="157"/>
      <c r="M40" s="158">
        <f t="shared" si="98"/>
        <v>0</v>
      </c>
      <c r="N40" s="159">
        <f t="shared" si="72"/>
        <v>0</v>
      </c>
      <c r="O40" s="160">
        <f t="shared" si="73"/>
        <v>0</v>
      </c>
      <c r="P40" s="96"/>
      <c r="Q40" s="161"/>
      <c r="R40" s="162">
        <f t="shared" si="74"/>
        <v>0</v>
      </c>
      <c r="S40" s="162">
        <f t="shared" si="75"/>
        <v>0</v>
      </c>
      <c r="T40" s="163"/>
      <c r="U40" s="162">
        <f t="shared" si="76"/>
        <v>0</v>
      </c>
      <c r="V40" s="164">
        <f t="shared" si="77"/>
        <v>0</v>
      </c>
      <c r="W40" s="96"/>
      <c r="X40" s="154"/>
      <c r="Y40" s="156">
        <f t="shared" si="78"/>
        <v>0</v>
      </c>
      <c r="Z40" s="156">
        <f t="shared" si="99"/>
        <v>0</v>
      </c>
      <c r="AA40" s="156">
        <f t="shared" si="79"/>
        <v>0</v>
      </c>
      <c r="AB40" s="154"/>
      <c r="AC40" s="154">
        <f t="shared" si="80"/>
        <v>0</v>
      </c>
      <c r="AD40" s="154">
        <f t="shared" si="81"/>
        <v>0</v>
      </c>
      <c r="AE40" s="154">
        <f t="shared" si="37"/>
        <v>0</v>
      </c>
      <c r="AF40" s="154"/>
      <c r="AG40" s="154"/>
      <c r="AH40" s="154"/>
      <c r="AI40" s="154">
        <f t="shared" si="82"/>
        <v>0</v>
      </c>
      <c r="AJ40" s="154">
        <f t="shared" si="83"/>
        <v>0</v>
      </c>
      <c r="AK40" s="154">
        <f t="shared" si="84"/>
        <v>0</v>
      </c>
      <c r="AL40" s="154">
        <f t="shared" si="85"/>
        <v>0</v>
      </c>
      <c r="AM40" s="154">
        <f t="shared" si="86"/>
        <v>0</v>
      </c>
      <c r="AN40" s="154">
        <f t="shared" si="87"/>
        <v>0</v>
      </c>
      <c r="AO40" s="165">
        <f t="shared" si="88"/>
        <v>0</v>
      </c>
      <c r="AP40" s="96"/>
      <c r="AQ40" s="162">
        <f t="shared" si="104"/>
        <v>0</v>
      </c>
      <c r="AR40" s="96"/>
      <c r="AS40" s="166">
        <f t="shared" si="89"/>
        <v>0</v>
      </c>
      <c r="AT40" s="167">
        <f t="shared" si="105"/>
        <v>0</v>
      </c>
      <c r="AU40" s="168" t="e">
        <f t="shared" si="90"/>
        <v>#DIV/0!</v>
      </c>
      <c r="AV40" s="169">
        <f t="shared" si="91"/>
        <v>0</v>
      </c>
      <c r="AW40" s="170">
        <f t="shared" si="100"/>
        <v>0</v>
      </c>
      <c r="AX40" s="171"/>
      <c r="AY40" s="172">
        <f t="shared" si="101"/>
        <v>0</v>
      </c>
      <c r="AZ40" s="173" t="e">
        <f t="shared" si="92"/>
        <v>#DIV/0!</v>
      </c>
      <c r="BA40" s="174"/>
    </row>
    <row r="41" spans="1:57">
      <c r="A41" s="152"/>
      <c r="B41" s="153"/>
      <c r="C41" s="154"/>
      <c r="D41" s="154"/>
      <c r="E41" s="154"/>
      <c r="F41" s="154">
        <f t="shared" si="70"/>
        <v>0</v>
      </c>
      <c r="G41" s="154"/>
      <c r="H41" s="155"/>
      <c r="I41" s="156">
        <f t="shared" si="96"/>
        <v>0</v>
      </c>
      <c r="J41" s="156">
        <f t="shared" si="97"/>
        <v>0</v>
      </c>
      <c r="K41" s="156">
        <f t="shared" si="71"/>
        <v>0</v>
      </c>
      <c r="L41" s="157"/>
      <c r="M41" s="158">
        <f t="shared" si="98"/>
        <v>0</v>
      </c>
      <c r="N41" s="159">
        <f t="shared" si="72"/>
        <v>0</v>
      </c>
      <c r="O41" s="160">
        <f t="shared" si="73"/>
        <v>0</v>
      </c>
      <c r="P41" s="96"/>
      <c r="Q41" s="161"/>
      <c r="R41" s="162">
        <f t="shared" si="74"/>
        <v>0</v>
      </c>
      <c r="S41" s="162">
        <f t="shared" si="75"/>
        <v>0</v>
      </c>
      <c r="T41" s="163"/>
      <c r="U41" s="162">
        <f t="shared" si="76"/>
        <v>0</v>
      </c>
      <c r="V41" s="164">
        <f t="shared" si="77"/>
        <v>0</v>
      </c>
      <c r="W41" s="96"/>
      <c r="X41" s="154"/>
      <c r="Y41" s="156">
        <f t="shared" si="78"/>
        <v>0</v>
      </c>
      <c r="Z41" s="156">
        <f t="shared" si="99"/>
        <v>0</v>
      </c>
      <c r="AA41" s="156">
        <f t="shared" si="79"/>
        <v>0</v>
      </c>
      <c r="AB41" s="154"/>
      <c r="AC41" s="154">
        <f t="shared" si="80"/>
        <v>0</v>
      </c>
      <c r="AD41" s="154">
        <f t="shared" si="81"/>
        <v>0</v>
      </c>
      <c r="AE41" s="154">
        <f t="shared" si="37"/>
        <v>0</v>
      </c>
      <c r="AF41" s="154"/>
      <c r="AG41" s="154"/>
      <c r="AH41" s="154"/>
      <c r="AI41" s="154">
        <f t="shared" si="82"/>
        <v>0</v>
      </c>
      <c r="AJ41" s="154">
        <f t="shared" si="83"/>
        <v>0</v>
      </c>
      <c r="AK41" s="154">
        <f t="shared" si="84"/>
        <v>0</v>
      </c>
      <c r="AL41" s="154">
        <f t="shared" si="85"/>
        <v>0</v>
      </c>
      <c r="AM41" s="154">
        <f t="shared" si="86"/>
        <v>0</v>
      </c>
      <c r="AN41" s="154">
        <f t="shared" si="87"/>
        <v>0</v>
      </c>
      <c r="AO41" s="165">
        <f t="shared" si="88"/>
        <v>0</v>
      </c>
      <c r="AP41" s="96"/>
      <c r="AQ41" s="162">
        <f t="shared" si="104"/>
        <v>0</v>
      </c>
      <c r="AR41" s="96"/>
      <c r="AS41" s="166">
        <f t="shared" si="89"/>
        <v>0</v>
      </c>
      <c r="AT41" s="167">
        <f t="shared" si="105"/>
        <v>0</v>
      </c>
      <c r="AU41" s="168" t="e">
        <f t="shared" si="90"/>
        <v>#DIV/0!</v>
      </c>
      <c r="AV41" s="169">
        <f t="shared" si="91"/>
        <v>0</v>
      </c>
      <c r="AW41" s="170">
        <f t="shared" si="100"/>
        <v>0</v>
      </c>
      <c r="AX41" s="171"/>
      <c r="AY41" s="172">
        <f t="shared" si="101"/>
        <v>0</v>
      </c>
      <c r="AZ41" s="173" t="e">
        <f t="shared" si="92"/>
        <v>#DIV/0!</v>
      </c>
      <c r="BA41" s="174"/>
    </row>
    <row r="42" spans="1:57">
      <c r="A42" s="152"/>
      <c r="B42" s="153"/>
      <c r="C42" s="154"/>
      <c r="D42" s="154"/>
      <c r="E42" s="154"/>
      <c r="F42" s="154">
        <f t="shared" si="70"/>
        <v>0</v>
      </c>
      <c r="G42" s="154"/>
      <c r="H42" s="155"/>
      <c r="I42" s="156">
        <f t="shared" si="96"/>
        <v>0</v>
      </c>
      <c r="J42" s="156">
        <f t="shared" si="97"/>
        <v>0</v>
      </c>
      <c r="K42" s="156">
        <f t="shared" si="71"/>
        <v>0</v>
      </c>
      <c r="L42" s="157"/>
      <c r="M42" s="158">
        <f t="shared" si="98"/>
        <v>0</v>
      </c>
      <c r="N42" s="159">
        <f t="shared" si="72"/>
        <v>0</v>
      </c>
      <c r="O42" s="160">
        <f t="shared" si="73"/>
        <v>0</v>
      </c>
      <c r="P42" s="96"/>
      <c r="Q42" s="161"/>
      <c r="R42" s="162">
        <f t="shared" si="74"/>
        <v>0</v>
      </c>
      <c r="S42" s="162">
        <f t="shared" si="75"/>
        <v>0</v>
      </c>
      <c r="T42" s="163"/>
      <c r="U42" s="162">
        <f t="shared" si="76"/>
        <v>0</v>
      </c>
      <c r="V42" s="164">
        <f t="shared" si="77"/>
        <v>0</v>
      </c>
      <c r="W42" s="96"/>
      <c r="X42" s="154"/>
      <c r="Y42" s="156">
        <f t="shared" si="78"/>
        <v>0</v>
      </c>
      <c r="Z42" s="156">
        <f t="shared" si="99"/>
        <v>0</v>
      </c>
      <c r="AA42" s="156">
        <f t="shared" si="79"/>
        <v>0</v>
      </c>
      <c r="AB42" s="154"/>
      <c r="AC42" s="154">
        <f t="shared" si="80"/>
        <v>0</v>
      </c>
      <c r="AD42" s="154">
        <f t="shared" si="81"/>
        <v>0</v>
      </c>
      <c r="AE42" s="154">
        <f t="shared" si="37"/>
        <v>0</v>
      </c>
      <c r="AF42" s="154"/>
      <c r="AG42" s="154"/>
      <c r="AH42" s="154"/>
      <c r="AI42" s="154">
        <f t="shared" si="82"/>
        <v>0</v>
      </c>
      <c r="AJ42" s="154">
        <f t="shared" si="83"/>
        <v>0</v>
      </c>
      <c r="AK42" s="154">
        <f t="shared" si="84"/>
        <v>0</v>
      </c>
      <c r="AL42" s="154">
        <f t="shared" si="85"/>
        <v>0</v>
      </c>
      <c r="AM42" s="154">
        <f t="shared" si="86"/>
        <v>0</v>
      </c>
      <c r="AN42" s="154">
        <f t="shared" si="87"/>
        <v>0</v>
      </c>
      <c r="AO42" s="165">
        <f t="shared" si="88"/>
        <v>0</v>
      </c>
      <c r="AP42" s="96"/>
      <c r="AQ42" s="162">
        <f t="shared" si="104"/>
        <v>0</v>
      </c>
      <c r="AR42" s="96"/>
      <c r="AS42" s="166">
        <f t="shared" si="89"/>
        <v>0</v>
      </c>
      <c r="AT42" s="167">
        <f t="shared" si="105"/>
        <v>0</v>
      </c>
      <c r="AU42" s="168" t="e">
        <f t="shared" si="90"/>
        <v>#DIV/0!</v>
      </c>
      <c r="AV42" s="169">
        <f t="shared" si="91"/>
        <v>0</v>
      </c>
      <c r="AW42" s="170">
        <f t="shared" si="100"/>
        <v>0</v>
      </c>
      <c r="AX42" s="171"/>
      <c r="AY42" s="172">
        <f t="shared" si="101"/>
        <v>0</v>
      </c>
      <c r="AZ42" s="173" t="e">
        <f t="shared" si="92"/>
        <v>#DIV/0!</v>
      </c>
      <c r="BA42" s="174"/>
    </row>
    <row r="43" spans="1:57">
      <c r="A43" s="152"/>
      <c r="B43" s="153"/>
      <c r="C43" s="154"/>
      <c r="D43" s="154"/>
      <c r="E43" s="154"/>
      <c r="F43" s="154">
        <f t="shared" si="70"/>
        <v>0</v>
      </c>
      <c r="G43" s="154"/>
      <c r="H43" s="155"/>
      <c r="I43" s="156">
        <f t="shared" si="96"/>
        <v>0</v>
      </c>
      <c r="J43" s="156">
        <f t="shared" si="97"/>
        <v>0</v>
      </c>
      <c r="K43" s="156">
        <f t="shared" si="71"/>
        <v>0</v>
      </c>
      <c r="L43" s="157"/>
      <c r="M43" s="158">
        <f t="shared" si="98"/>
        <v>0</v>
      </c>
      <c r="N43" s="159">
        <f t="shared" si="72"/>
        <v>0</v>
      </c>
      <c r="O43" s="160">
        <f t="shared" si="73"/>
        <v>0</v>
      </c>
      <c r="P43" s="96"/>
      <c r="Q43" s="161"/>
      <c r="R43" s="162">
        <f t="shared" si="74"/>
        <v>0</v>
      </c>
      <c r="S43" s="162">
        <f t="shared" si="75"/>
        <v>0</v>
      </c>
      <c r="T43" s="163"/>
      <c r="U43" s="162">
        <f t="shared" si="76"/>
        <v>0</v>
      </c>
      <c r="V43" s="164">
        <f t="shared" si="77"/>
        <v>0</v>
      </c>
      <c r="W43" s="96"/>
      <c r="X43" s="154"/>
      <c r="Y43" s="156">
        <f t="shared" si="78"/>
        <v>0</v>
      </c>
      <c r="Z43" s="156">
        <f t="shared" si="99"/>
        <v>0</v>
      </c>
      <c r="AA43" s="156">
        <f t="shared" si="79"/>
        <v>0</v>
      </c>
      <c r="AB43" s="154"/>
      <c r="AC43" s="154">
        <f t="shared" si="80"/>
        <v>0</v>
      </c>
      <c r="AD43" s="154">
        <f t="shared" si="81"/>
        <v>0</v>
      </c>
      <c r="AE43" s="154">
        <f t="shared" si="37"/>
        <v>0</v>
      </c>
      <c r="AF43" s="154"/>
      <c r="AG43" s="154"/>
      <c r="AH43" s="154"/>
      <c r="AI43" s="154">
        <f t="shared" si="82"/>
        <v>0</v>
      </c>
      <c r="AJ43" s="154">
        <f t="shared" si="83"/>
        <v>0</v>
      </c>
      <c r="AK43" s="154">
        <f t="shared" si="84"/>
        <v>0</v>
      </c>
      <c r="AL43" s="154">
        <f t="shared" si="85"/>
        <v>0</v>
      </c>
      <c r="AM43" s="154">
        <f t="shared" si="86"/>
        <v>0</v>
      </c>
      <c r="AN43" s="154">
        <f t="shared" si="87"/>
        <v>0</v>
      </c>
      <c r="AO43" s="165">
        <f t="shared" si="88"/>
        <v>0</v>
      </c>
      <c r="AP43" s="96"/>
      <c r="AQ43" s="162">
        <f t="shared" si="104"/>
        <v>0</v>
      </c>
      <c r="AR43" s="96"/>
      <c r="AS43" s="166">
        <f t="shared" si="89"/>
        <v>0</v>
      </c>
      <c r="AT43" s="167">
        <f t="shared" si="105"/>
        <v>0</v>
      </c>
      <c r="AU43" s="168" t="e">
        <f t="shared" si="90"/>
        <v>#DIV/0!</v>
      </c>
      <c r="AV43" s="169">
        <f t="shared" si="91"/>
        <v>0</v>
      </c>
      <c r="AW43" s="170">
        <f t="shared" si="100"/>
        <v>0</v>
      </c>
      <c r="AX43" s="171"/>
      <c r="AY43" s="172">
        <f t="shared" si="101"/>
        <v>0</v>
      </c>
      <c r="AZ43" s="173" t="e">
        <f t="shared" si="92"/>
        <v>#DIV/0!</v>
      </c>
      <c r="BA43" s="174"/>
    </row>
    <row r="44" spans="1:57">
      <c r="A44" s="152"/>
      <c r="B44" s="153"/>
      <c r="C44" s="154"/>
      <c r="D44" s="154"/>
      <c r="E44" s="154"/>
      <c r="F44" s="154">
        <f t="shared" si="70"/>
        <v>0</v>
      </c>
      <c r="G44" s="154"/>
      <c r="H44" s="155"/>
      <c r="I44" s="156">
        <f t="shared" si="96"/>
        <v>0</v>
      </c>
      <c r="J44" s="156">
        <f t="shared" si="97"/>
        <v>0</v>
      </c>
      <c r="K44" s="156">
        <f t="shared" si="71"/>
        <v>0</v>
      </c>
      <c r="L44" s="157"/>
      <c r="M44" s="158">
        <f t="shared" si="98"/>
        <v>0</v>
      </c>
      <c r="N44" s="159">
        <f t="shared" si="72"/>
        <v>0</v>
      </c>
      <c r="O44" s="160">
        <f t="shared" si="73"/>
        <v>0</v>
      </c>
      <c r="P44" s="96"/>
      <c r="Q44" s="161"/>
      <c r="R44" s="162">
        <f t="shared" si="74"/>
        <v>0</v>
      </c>
      <c r="S44" s="162">
        <f t="shared" si="75"/>
        <v>0</v>
      </c>
      <c r="T44" s="163"/>
      <c r="U44" s="162">
        <f t="shared" si="76"/>
        <v>0</v>
      </c>
      <c r="V44" s="164">
        <f t="shared" si="77"/>
        <v>0</v>
      </c>
      <c r="W44" s="96"/>
      <c r="X44" s="154"/>
      <c r="Y44" s="156">
        <f t="shared" si="78"/>
        <v>0</v>
      </c>
      <c r="Z44" s="156">
        <f t="shared" si="99"/>
        <v>0</v>
      </c>
      <c r="AA44" s="156">
        <f t="shared" si="79"/>
        <v>0</v>
      </c>
      <c r="AB44" s="154"/>
      <c r="AC44" s="154">
        <f t="shared" si="80"/>
        <v>0</v>
      </c>
      <c r="AD44" s="154">
        <f t="shared" si="81"/>
        <v>0</v>
      </c>
      <c r="AE44" s="154">
        <f t="shared" si="37"/>
        <v>0</v>
      </c>
      <c r="AF44" s="154"/>
      <c r="AG44" s="154"/>
      <c r="AH44" s="154"/>
      <c r="AI44" s="154">
        <f t="shared" si="82"/>
        <v>0</v>
      </c>
      <c r="AJ44" s="154">
        <f t="shared" si="83"/>
        <v>0</v>
      </c>
      <c r="AK44" s="154">
        <f t="shared" si="84"/>
        <v>0</v>
      </c>
      <c r="AL44" s="154">
        <f t="shared" si="85"/>
        <v>0</v>
      </c>
      <c r="AM44" s="154">
        <f t="shared" si="86"/>
        <v>0</v>
      </c>
      <c r="AN44" s="154">
        <f t="shared" si="87"/>
        <v>0</v>
      </c>
      <c r="AO44" s="165">
        <f t="shared" si="88"/>
        <v>0</v>
      </c>
      <c r="AP44" s="96"/>
      <c r="AQ44" s="162">
        <f t="shared" si="104"/>
        <v>0</v>
      </c>
      <c r="AR44" s="96"/>
      <c r="AS44" s="166">
        <f t="shared" si="89"/>
        <v>0</v>
      </c>
      <c r="AT44" s="167">
        <f t="shared" si="105"/>
        <v>0</v>
      </c>
      <c r="AU44" s="168" t="e">
        <f t="shared" si="90"/>
        <v>#DIV/0!</v>
      </c>
      <c r="AV44" s="169">
        <f t="shared" si="91"/>
        <v>0</v>
      </c>
      <c r="AW44" s="170">
        <f t="shared" si="100"/>
        <v>0</v>
      </c>
      <c r="AX44" s="171"/>
      <c r="AY44" s="172">
        <f t="shared" si="101"/>
        <v>0</v>
      </c>
      <c r="AZ44" s="173" t="e">
        <f t="shared" si="92"/>
        <v>#DIV/0!</v>
      </c>
      <c r="BA44" s="174"/>
    </row>
    <row r="45" spans="1:57">
      <c r="A45" s="152"/>
      <c r="B45" s="153"/>
      <c r="C45" s="154"/>
      <c r="D45" s="154"/>
      <c r="E45" s="154"/>
      <c r="F45" s="154">
        <f t="shared" si="70"/>
        <v>0</v>
      </c>
      <c r="G45" s="154"/>
      <c r="H45" s="155"/>
      <c r="I45" s="156">
        <f t="shared" si="96"/>
        <v>0</v>
      </c>
      <c r="J45" s="156">
        <f t="shared" si="97"/>
        <v>0</v>
      </c>
      <c r="K45" s="156">
        <f t="shared" si="71"/>
        <v>0</v>
      </c>
      <c r="L45" s="157"/>
      <c r="M45" s="158">
        <f t="shared" si="98"/>
        <v>0</v>
      </c>
      <c r="N45" s="159">
        <f t="shared" si="72"/>
        <v>0</v>
      </c>
      <c r="O45" s="160">
        <f t="shared" si="73"/>
        <v>0</v>
      </c>
      <c r="P45" s="96"/>
      <c r="Q45" s="161"/>
      <c r="R45" s="162">
        <f t="shared" si="74"/>
        <v>0</v>
      </c>
      <c r="S45" s="162">
        <f t="shared" si="75"/>
        <v>0</v>
      </c>
      <c r="T45" s="163"/>
      <c r="U45" s="162">
        <f t="shared" si="76"/>
        <v>0</v>
      </c>
      <c r="V45" s="164">
        <f t="shared" si="77"/>
        <v>0</v>
      </c>
      <c r="W45" s="96"/>
      <c r="X45" s="154"/>
      <c r="Y45" s="156">
        <f t="shared" si="78"/>
        <v>0</v>
      </c>
      <c r="Z45" s="156">
        <f t="shared" si="99"/>
        <v>0</v>
      </c>
      <c r="AA45" s="156">
        <f t="shared" si="79"/>
        <v>0</v>
      </c>
      <c r="AB45" s="154"/>
      <c r="AC45" s="154">
        <f t="shared" si="80"/>
        <v>0</v>
      </c>
      <c r="AD45" s="154">
        <f t="shared" si="81"/>
        <v>0</v>
      </c>
      <c r="AE45" s="154">
        <f t="shared" si="37"/>
        <v>0</v>
      </c>
      <c r="AF45" s="154"/>
      <c r="AG45" s="154"/>
      <c r="AH45" s="154"/>
      <c r="AI45" s="154">
        <f t="shared" si="82"/>
        <v>0</v>
      </c>
      <c r="AJ45" s="154">
        <f t="shared" si="83"/>
        <v>0</v>
      </c>
      <c r="AK45" s="154">
        <f t="shared" si="84"/>
        <v>0</v>
      </c>
      <c r="AL45" s="154">
        <f t="shared" si="85"/>
        <v>0</v>
      </c>
      <c r="AM45" s="154">
        <f t="shared" si="86"/>
        <v>0</v>
      </c>
      <c r="AN45" s="154">
        <f t="shared" si="87"/>
        <v>0</v>
      </c>
      <c r="AO45" s="165">
        <f t="shared" si="88"/>
        <v>0</v>
      </c>
      <c r="AP45" s="96"/>
      <c r="AQ45" s="162">
        <f t="shared" si="104"/>
        <v>0</v>
      </c>
      <c r="AR45" s="96"/>
      <c r="AS45" s="166">
        <f t="shared" si="89"/>
        <v>0</v>
      </c>
      <c r="AT45" s="167">
        <f t="shared" si="105"/>
        <v>0</v>
      </c>
      <c r="AU45" s="168" t="e">
        <f t="shared" si="90"/>
        <v>#DIV/0!</v>
      </c>
      <c r="AV45" s="169">
        <f t="shared" si="91"/>
        <v>0</v>
      </c>
      <c r="AW45" s="170">
        <f t="shared" si="100"/>
        <v>0</v>
      </c>
      <c r="AX45" s="171"/>
      <c r="AY45" s="172">
        <f t="shared" si="101"/>
        <v>0</v>
      </c>
      <c r="AZ45" s="173" t="e">
        <f t="shared" si="92"/>
        <v>#DIV/0!</v>
      </c>
      <c r="BA45" s="174"/>
    </row>
    <row r="46" spans="1:57">
      <c r="A46" s="152"/>
      <c r="B46" s="153"/>
      <c r="C46" s="154"/>
      <c r="D46" s="154"/>
      <c r="E46" s="154"/>
      <c r="F46" s="154">
        <f t="shared" si="70"/>
        <v>0</v>
      </c>
      <c r="G46" s="154"/>
      <c r="H46" s="155"/>
      <c r="I46" s="156">
        <f t="shared" si="96"/>
        <v>0</v>
      </c>
      <c r="J46" s="156">
        <f t="shared" si="97"/>
        <v>0</v>
      </c>
      <c r="K46" s="156">
        <f t="shared" si="71"/>
        <v>0</v>
      </c>
      <c r="L46" s="157"/>
      <c r="M46" s="158">
        <f t="shared" si="98"/>
        <v>0</v>
      </c>
      <c r="N46" s="159">
        <f t="shared" si="72"/>
        <v>0</v>
      </c>
      <c r="O46" s="160">
        <f t="shared" si="73"/>
        <v>0</v>
      </c>
      <c r="P46" s="96"/>
      <c r="Q46" s="161"/>
      <c r="R46" s="162">
        <f t="shared" si="74"/>
        <v>0</v>
      </c>
      <c r="S46" s="162">
        <f t="shared" si="75"/>
        <v>0</v>
      </c>
      <c r="T46" s="163"/>
      <c r="U46" s="162">
        <f t="shared" si="76"/>
        <v>0</v>
      </c>
      <c r="V46" s="164">
        <f t="shared" si="77"/>
        <v>0</v>
      </c>
      <c r="W46" s="96"/>
      <c r="X46" s="154"/>
      <c r="Y46" s="156">
        <f t="shared" si="78"/>
        <v>0</v>
      </c>
      <c r="Z46" s="156">
        <f t="shared" si="99"/>
        <v>0</v>
      </c>
      <c r="AA46" s="156">
        <f t="shared" si="79"/>
        <v>0</v>
      </c>
      <c r="AB46" s="154"/>
      <c r="AC46" s="154">
        <f t="shared" si="80"/>
        <v>0</v>
      </c>
      <c r="AD46" s="154">
        <f t="shared" si="81"/>
        <v>0</v>
      </c>
      <c r="AE46" s="154">
        <f t="shared" si="37"/>
        <v>0</v>
      </c>
      <c r="AF46" s="154"/>
      <c r="AG46" s="154"/>
      <c r="AH46" s="154"/>
      <c r="AI46" s="154">
        <f t="shared" si="82"/>
        <v>0</v>
      </c>
      <c r="AJ46" s="154">
        <f t="shared" si="83"/>
        <v>0</v>
      </c>
      <c r="AK46" s="154">
        <f t="shared" si="84"/>
        <v>0</v>
      </c>
      <c r="AL46" s="154">
        <f t="shared" si="85"/>
        <v>0</v>
      </c>
      <c r="AM46" s="154">
        <f t="shared" si="86"/>
        <v>0</v>
      </c>
      <c r="AN46" s="154">
        <f t="shared" si="87"/>
        <v>0</v>
      </c>
      <c r="AO46" s="165">
        <f t="shared" si="88"/>
        <v>0</v>
      </c>
      <c r="AP46" s="96"/>
      <c r="AQ46" s="162">
        <f t="shared" si="104"/>
        <v>0</v>
      </c>
      <c r="AR46" s="96"/>
      <c r="AS46" s="166">
        <f>AQ46/$AS$4</f>
        <v>0</v>
      </c>
      <c r="AT46" s="167">
        <f t="shared" si="105"/>
        <v>0</v>
      </c>
      <c r="AU46" s="168" t="e">
        <f t="shared" si="90"/>
        <v>#DIV/0!</v>
      </c>
      <c r="AV46" s="169">
        <f t="shared" si="91"/>
        <v>0</v>
      </c>
      <c r="AW46" s="170">
        <f t="shared" si="100"/>
        <v>0</v>
      </c>
      <c r="AX46" s="171"/>
      <c r="AY46" s="172">
        <f t="shared" si="101"/>
        <v>0</v>
      </c>
      <c r="AZ46" s="173" t="e">
        <f t="shared" si="92"/>
        <v>#DIV/0!</v>
      </c>
      <c r="BA46" s="174"/>
    </row>
    <row r="47" spans="1:57">
      <c r="A47" s="152"/>
      <c r="B47" s="153"/>
      <c r="C47" s="154"/>
      <c r="D47" s="154"/>
      <c r="E47" s="154"/>
      <c r="F47" s="154">
        <f t="shared" ref="F47:F52" si="106">C47/4</f>
        <v>0</v>
      </c>
      <c r="G47" s="154">
        <f>F47*1.1</f>
        <v>0</v>
      </c>
      <c r="H47" s="155"/>
      <c r="I47" s="156">
        <f t="shared" si="96"/>
        <v>0</v>
      </c>
      <c r="J47" s="156">
        <f t="shared" si="97"/>
        <v>0</v>
      </c>
      <c r="K47" s="156">
        <f t="shared" si="71"/>
        <v>0</v>
      </c>
      <c r="L47" s="157"/>
      <c r="M47" s="158">
        <f t="shared" si="98"/>
        <v>0</v>
      </c>
      <c r="N47" s="159">
        <f t="shared" si="72"/>
        <v>0</v>
      </c>
      <c r="O47" s="160">
        <f t="shared" si="73"/>
        <v>0</v>
      </c>
      <c r="P47" s="96"/>
      <c r="Q47" s="161"/>
      <c r="R47" s="162">
        <f t="shared" si="74"/>
        <v>0</v>
      </c>
      <c r="S47" s="162">
        <f t="shared" si="75"/>
        <v>0</v>
      </c>
      <c r="T47" s="163"/>
      <c r="U47" s="162">
        <f t="shared" si="76"/>
        <v>0</v>
      </c>
      <c r="V47" s="164">
        <f t="shared" si="77"/>
        <v>0</v>
      </c>
      <c r="W47" s="96"/>
      <c r="X47" s="154"/>
      <c r="Y47" s="156">
        <f t="shared" si="78"/>
        <v>0</v>
      </c>
      <c r="Z47" s="156">
        <f t="shared" si="99"/>
        <v>0</v>
      </c>
      <c r="AA47" s="156">
        <f t="shared" si="79"/>
        <v>0</v>
      </c>
      <c r="AB47" s="154"/>
      <c r="AC47" s="154">
        <f t="shared" si="80"/>
        <v>0</v>
      </c>
      <c r="AD47" s="154">
        <f t="shared" si="81"/>
        <v>0</v>
      </c>
      <c r="AE47" s="154">
        <f t="shared" si="37"/>
        <v>0</v>
      </c>
      <c r="AF47" s="154"/>
      <c r="AG47" s="154"/>
      <c r="AH47" s="154"/>
      <c r="AI47" s="154"/>
      <c r="AJ47" s="154">
        <f t="shared" si="83"/>
        <v>0</v>
      </c>
      <c r="AK47" s="154">
        <f t="shared" si="84"/>
        <v>0</v>
      </c>
      <c r="AL47" s="154">
        <f t="shared" si="85"/>
        <v>0</v>
      </c>
      <c r="AM47" s="154">
        <f t="shared" si="86"/>
        <v>0</v>
      </c>
      <c r="AN47" s="154">
        <f t="shared" si="87"/>
        <v>0</v>
      </c>
      <c r="AO47" s="165">
        <f t="shared" si="88"/>
        <v>0</v>
      </c>
      <c r="AP47" s="96"/>
      <c r="AQ47" s="162">
        <f t="shared" ref="AQ47:AQ51" si="107">IF(ISERROR(AO47/C47/12), 0,(AO47/C47/12))</f>
        <v>0</v>
      </c>
      <c r="AR47" s="96"/>
      <c r="AS47" s="166">
        <f t="shared" ref="AS47:AS52" si="108">AQ47/$AS$4</f>
        <v>0</v>
      </c>
      <c r="AT47" s="167">
        <f t="shared" si="105"/>
        <v>0</v>
      </c>
      <c r="AU47" s="168" t="e">
        <f t="shared" si="90"/>
        <v>#DIV/0!</v>
      </c>
      <c r="AV47" s="169">
        <f t="shared" si="91"/>
        <v>0</v>
      </c>
      <c r="AW47" s="170">
        <f t="shared" si="100"/>
        <v>0</v>
      </c>
      <c r="AX47" s="171"/>
      <c r="AY47" s="172">
        <f t="shared" si="101"/>
        <v>0</v>
      </c>
      <c r="AZ47" s="173" t="e">
        <f t="shared" si="92"/>
        <v>#DIV/0!</v>
      </c>
    </row>
    <row r="48" spans="1:57">
      <c r="A48" s="152"/>
      <c r="B48" s="153"/>
      <c r="C48" s="154"/>
      <c r="D48" s="154"/>
      <c r="E48" s="154"/>
      <c r="F48" s="154">
        <f t="shared" si="106"/>
        <v>0</v>
      </c>
      <c r="G48" s="154">
        <f>F48*1.3</f>
        <v>0</v>
      </c>
      <c r="H48" s="155"/>
      <c r="I48" s="156">
        <f t="shared" si="96"/>
        <v>0</v>
      </c>
      <c r="J48" s="156">
        <f t="shared" si="97"/>
        <v>0</v>
      </c>
      <c r="K48" s="156">
        <f t="shared" si="71"/>
        <v>0</v>
      </c>
      <c r="L48" s="157"/>
      <c r="M48" s="158">
        <f t="shared" si="98"/>
        <v>0</v>
      </c>
      <c r="N48" s="159">
        <f t="shared" si="72"/>
        <v>0</v>
      </c>
      <c r="O48" s="160">
        <f t="shared" si="73"/>
        <v>0</v>
      </c>
      <c r="P48" s="96"/>
      <c r="Q48" s="161"/>
      <c r="R48" s="162">
        <f t="shared" si="74"/>
        <v>0</v>
      </c>
      <c r="S48" s="162">
        <f t="shared" si="75"/>
        <v>0</v>
      </c>
      <c r="T48" s="163"/>
      <c r="U48" s="162">
        <f t="shared" si="76"/>
        <v>0</v>
      </c>
      <c r="V48" s="164">
        <f t="shared" si="77"/>
        <v>0</v>
      </c>
      <c r="W48" s="96"/>
      <c r="X48" s="154"/>
      <c r="Y48" s="156">
        <f t="shared" si="78"/>
        <v>0</v>
      </c>
      <c r="Z48" s="156">
        <f t="shared" si="99"/>
        <v>0</v>
      </c>
      <c r="AA48" s="156">
        <f t="shared" si="79"/>
        <v>0</v>
      </c>
      <c r="AB48" s="154"/>
      <c r="AC48" s="154">
        <f t="shared" si="80"/>
        <v>0</v>
      </c>
      <c r="AD48" s="154">
        <f t="shared" si="81"/>
        <v>0</v>
      </c>
      <c r="AE48" s="154">
        <f t="shared" si="37"/>
        <v>0</v>
      </c>
      <c r="AF48" s="154"/>
      <c r="AG48" s="154"/>
      <c r="AH48" s="154"/>
      <c r="AI48" s="154"/>
      <c r="AJ48" s="154">
        <f t="shared" si="83"/>
        <v>0</v>
      </c>
      <c r="AK48" s="154">
        <f t="shared" si="84"/>
        <v>0</v>
      </c>
      <c r="AL48" s="154">
        <f t="shared" si="85"/>
        <v>0</v>
      </c>
      <c r="AM48" s="154">
        <f t="shared" si="86"/>
        <v>0</v>
      </c>
      <c r="AN48" s="154">
        <f t="shared" si="87"/>
        <v>0</v>
      </c>
      <c r="AO48" s="165">
        <f t="shared" si="88"/>
        <v>0</v>
      </c>
      <c r="AP48" s="96"/>
      <c r="AQ48" s="162">
        <f t="shared" si="107"/>
        <v>0</v>
      </c>
      <c r="AR48" s="96"/>
      <c r="AS48" s="166">
        <f t="shared" si="108"/>
        <v>0</v>
      </c>
      <c r="AT48" s="167">
        <f t="shared" si="105"/>
        <v>0</v>
      </c>
      <c r="AU48" s="168" t="e">
        <f t="shared" si="90"/>
        <v>#DIV/0!</v>
      </c>
      <c r="AV48" s="169">
        <f t="shared" si="91"/>
        <v>0</v>
      </c>
      <c r="AW48" s="170">
        <f t="shared" si="100"/>
        <v>0</v>
      </c>
      <c r="AX48" s="171"/>
      <c r="AY48" s="172">
        <f t="shared" si="101"/>
        <v>0</v>
      </c>
      <c r="AZ48" s="173" t="e">
        <f t="shared" si="92"/>
        <v>#DIV/0!</v>
      </c>
    </row>
    <row r="49" spans="1:55">
      <c r="A49" s="152"/>
      <c r="B49" s="153"/>
      <c r="C49" s="154"/>
      <c r="D49" s="154"/>
      <c r="E49" s="154"/>
      <c r="F49" s="154">
        <f t="shared" si="106"/>
        <v>0</v>
      </c>
      <c r="G49" s="154">
        <f t="shared" ref="G49:G52" si="109">F49*1.5</f>
        <v>0</v>
      </c>
      <c r="H49" s="155"/>
      <c r="I49" s="156">
        <f t="shared" si="96"/>
        <v>0</v>
      </c>
      <c r="J49" s="156">
        <f t="shared" si="97"/>
        <v>0</v>
      </c>
      <c r="K49" s="156">
        <f t="shared" si="71"/>
        <v>0</v>
      </c>
      <c r="L49" s="157"/>
      <c r="M49" s="158">
        <f t="shared" si="98"/>
        <v>0</v>
      </c>
      <c r="N49" s="159">
        <f t="shared" si="72"/>
        <v>0</v>
      </c>
      <c r="O49" s="160">
        <f t="shared" si="73"/>
        <v>0</v>
      </c>
      <c r="P49" s="96"/>
      <c r="Q49" s="161"/>
      <c r="R49" s="162">
        <f t="shared" si="74"/>
        <v>0</v>
      </c>
      <c r="S49" s="162">
        <f t="shared" si="75"/>
        <v>0</v>
      </c>
      <c r="T49" s="163"/>
      <c r="U49" s="162">
        <f t="shared" si="76"/>
        <v>0</v>
      </c>
      <c r="V49" s="164">
        <f t="shared" si="77"/>
        <v>0</v>
      </c>
      <c r="W49" s="96"/>
      <c r="X49" s="154"/>
      <c r="Y49" s="156">
        <f t="shared" si="78"/>
        <v>0</v>
      </c>
      <c r="Z49" s="156">
        <f t="shared" si="99"/>
        <v>0</v>
      </c>
      <c r="AA49" s="156">
        <f t="shared" si="79"/>
        <v>0</v>
      </c>
      <c r="AB49" s="154"/>
      <c r="AC49" s="154">
        <f t="shared" si="80"/>
        <v>0</v>
      </c>
      <c r="AD49" s="154">
        <f t="shared" si="81"/>
        <v>0</v>
      </c>
      <c r="AE49" s="154">
        <f t="shared" si="37"/>
        <v>0</v>
      </c>
      <c r="AF49" s="154"/>
      <c r="AG49" s="154"/>
      <c r="AH49" s="154"/>
      <c r="AI49" s="154"/>
      <c r="AJ49" s="154">
        <f t="shared" si="83"/>
        <v>0</v>
      </c>
      <c r="AK49" s="154">
        <f t="shared" si="84"/>
        <v>0</v>
      </c>
      <c r="AL49" s="154">
        <f t="shared" si="85"/>
        <v>0</v>
      </c>
      <c r="AM49" s="154">
        <f t="shared" si="86"/>
        <v>0</v>
      </c>
      <c r="AN49" s="154">
        <f t="shared" si="87"/>
        <v>0</v>
      </c>
      <c r="AO49" s="165">
        <f t="shared" si="88"/>
        <v>0</v>
      </c>
      <c r="AP49" s="96"/>
      <c r="AQ49" s="162">
        <f t="shared" si="107"/>
        <v>0</v>
      </c>
      <c r="AR49" s="96"/>
      <c r="AS49" s="166">
        <f t="shared" si="108"/>
        <v>0</v>
      </c>
      <c r="AT49" s="167">
        <f t="shared" si="105"/>
        <v>0</v>
      </c>
      <c r="AU49" s="168" t="e">
        <f t="shared" si="90"/>
        <v>#DIV/0!</v>
      </c>
      <c r="AV49" s="169">
        <f t="shared" si="91"/>
        <v>0</v>
      </c>
      <c r="AW49" s="170">
        <f t="shared" si="100"/>
        <v>0</v>
      </c>
      <c r="AX49" s="171"/>
      <c r="AY49" s="172">
        <f t="shared" si="101"/>
        <v>0</v>
      </c>
      <c r="AZ49" s="173" t="e">
        <f t="shared" si="92"/>
        <v>#DIV/0!</v>
      </c>
    </row>
    <row r="50" spans="1:55">
      <c r="A50" s="152"/>
      <c r="B50" s="153"/>
      <c r="C50" s="154"/>
      <c r="D50" s="154"/>
      <c r="E50" s="154"/>
      <c r="F50" s="154">
        <f t="shared" si="106"/>
        <v>0</v>
      </c>
      <c r="G50" s="154">
        <f t="shared" si="109"/>
        <v>0</v>
      </c>
      <c r="H50" s="155"/>
      <c r="I50" s="156">
        <f t="shared" si="96"/>
        <v>0</v>
      </c>
      <c r="J50" s="156">
        <f t="shared" si="97"/>
        <v>0</v>
      </c>
      <c r="K50" s="156">
        <f t="shared" si="71"/>
        <v>0</v>
      </c>
      <c r="L50" s="157"/>
      <c r="M50" s="158">
        <f t="shared" si="98"/>
        <v>0</v>
      </c>
      <c r="N50" s="159">
        <f t="shared" si="72"/>
        <v>0</v>
      </c>
      <c r="O50" s="160">
        <f t="shared" si="73"/>
        <v>0</v>
      </c>
      <c r="P50" s="96"/>
      <c r="Q50" s="161"/>
      <c r="R50" s="162">
        <f t="shared" si="74"/>
        <v>0</v>
      </c>
      <c r="S50" s="162">
        <f t="shared" si="75"/>
        <v>0</v>
      </c>
      <c r="T50" s="163"/>
      <c r="U50" s="162">
        <f t="shared" si="76"/>
        <v>0</v>
      </c>
      <c r="V50" s="164">
        <f t="shared" si="77"/>
        <v>0</v>
      </c>
      <c r="W50" s="96"/>
      <c r="X50" s="154"/>
      <c r="Y50" s="156">
        <f t="shared" si="78"/>
        <v>0</v>
      </c>
      <c r="Z50" s="156">
        <f t="shared" si="99"/>
        <v>0</v>
      </c>
      <c r="AA50" s="156">
        <f t="shared" si="79"/>
        <v>0</v>
      </c>
      <c r="AB50" s="154"/>
      <c r="AC50" s="154">
        <f t="shared" si="80"/>
        <v>0</v>
      </c>
      <c r="AD50" s="154">
        <f t="shared" si="81"/>
        <v>0</v>
      </c>
      <c r="AE50" s="154">
        <f t="shared" si="37"/>
        <v>0</v>
      </c>
      <c r="AF50" s="154"/>
      <c r="AG50" s="154"/>
      <c r="AH50" s="154"/>
      <c r="AI50" s="154"/>
      <c r="AJ50" s="154">
        <f t="shared" si="83"/>
        <v>0</v>
      </c>
      <c r="AK50" s="154">
        <f t="shared" si="84"/>
        <v>0</v>
      </c>
      <c r="AL50" s="154">
        <f t="shared" si="85"/>
        <v>0</v>
      </c>
      <c r="AM50" s="154">
        <f t="shared" si="86"/>
        <v>0</v>
      </c>
      <c r="AN50" s="154">
        <f t="shared" si="87"/>
        <v>0</v>
      </c>
      <c r="AO50" s="165">
        <f t="shared" si="88"/>
        <v>0</v>
      </c>
      <c r="AP50" s="96"/>
      <c r="AQ50" s="162">
        <f t="shared" si="107"/>
        <v>0</v>
      </c>
      <c r="AR50" s="96"/>
      <c r="AS50" s="166">
        <f t="shared" si="108"/>
        <v>0</v>
      </c>
      <c r="AT50" s="167">
        <f t="shared" si="105"/>
        <v>0</v>
      </c>
      <c r="AU50" s="168" t="e">
        <f t="shared" si="90"/>
        <v>#DIV/0!</v>
      </c>
      <c r="AV50" s="169">
        <f t="shared" si="91"/>
        <v>0</v>
      </c>
      <c r="AW50" s="170">
        <f t="shared" si="100"/>
        <v>0</v>
      </c>
      <c r="AX50" s="171"/>
      <c r="AY50" s="172">
        <f t="shared" si="101"/>
        <v>0</v>
      </c>
      <c r="AZ50" s="173" t="e">
        <f t="shared" si="92"/>
        <v>#DIV/0!</v>
      </c>
    </row>
    <row r="51" spans="1:55">
      <c r="A51" s="152"/>
      <c r="B51" s="153"/>
      <c r="C51" s="154"/>
      <c r="D51" s="154"/>
      <c r="E51" s="154"/>
      <c r="F51" s="154">
        <f t="shared" si="106"/>
        <v>0</v>
      </c>
      <c r="G51" s="154">
        <f t="shared" si="109"/>
        <v>0</v>
      </c>
      <c r="H51" s="155"/>
      <c r="I51" s="156">
        <f t="shared" si="96"/>
        <v>0</v>
      </c>
      <c r="J51" s="156">
        <f t="shared" si="97"/>
        <v>0</v>
      </c>
      <c r="K51" s="156">
        <f t="shared" si="71"/>
        <v>0</v>
      </c>
      <c r="L51" s="157"/>
      <c r="M51" s="158">
        <f t="shared" si="98"/>
        <v>0</v>
      </c>
      <c r="N51" s="159">
        <f t="shared" si="72"/>
        <v>0</v>
      </c>
      <c r="O51" s="160">
        <f t="shared" si="73"/>
        <v>0</v>
      </c>
      <c r="P51" s="96"/>
      <c r="Q51" s="161"/>
      <c r="R51" s="162">
        <f t="shared" si="74"/>
        <v>0</v>
      </c>
      <c r="S51" s="162">
        <f t="shared" si="75"/>
        <v>0</v>
      </c>
      <c r="T51" s="163"/>
      <c r="U51" s="162">
        <f t="shared" si="76"/>
        <v>0</v>
      </c>
      <c r="V51" s="164">
        <f t="shared" si="77"/>
        <v>0</v>
      </c>
      <c r="W51" s="96"/>
      <c r="X51" s="154"/>
      <c r="Y51" s="156">
        <f t="shared" si="78"/>
        <v>0</v>
      </c>
      <c r="Z51" s="156">
        <f t="shared" si="99"/>
        <v>0</v>
      </c>
      <c r="AA51" s="156">
        <f t="shared" si="79"/>
        <v>0</v>
      </c>
      <c r="AB51" s="154"/>
      <c r="AC51" s="154">
        <f t="shared" si="80"/>
        <v>0</v>
      </c>
      <c r="AD51" s="154">
        <f t="shared" si="81"/>
        <v>0</v>
      </c>
      <c r="AE51" s="154">
        <f t="shared" si="37"/>
        <v>0</v>
      </c>
      <c r="AF51" s="154"/>
      <c r="AG51" s="154"/>
      <c r="AH51" s="154"/>
      <c r="AI51" s="154"/>
      <c r="AJ51" s="154">
        <f t="shared" si="83"/>
        <v>0</v>
      </c>
      <c r="AK51" s="154">
        <f t="shared" si="84"/>
        <v>0</v>
      </c>
      <c r="AL51" s="154">
        <f t="shared" si="85"/>
        <v>0</v>
      </c>
      <c r="AM51" s="154">
        <f t="shared" si="86"/>
        <v>0</v>
      </c>
      <c r="AN51" s="154">
        <f t="shared" si="87"/>
        <v>0</v>
      </c>
      <c r="AO51" s="165">
        <f t="shared" si="88"/>
        <v>0</v>
      </c>
      <c r="AP51" s="96"/>
      <c r="AQ51" s="162">
        <f t="shared" si="107"/>
        <v>0</v>
      </c>
      <c r="AR51" s="96"/>
      <c r="AS51" s="166">
        <f t="shared" si="108"/>
        <v>0</v>
      </c>
      <c r="AT51" s="167">
        <f t="shared" si="105"/>
        <v>0</v>
      </c>
      <c r="AU51" s="168" t="e">
        <f t="shared" si="90"/>
        <v>#DIV/0!</v>
      </c>
      <c r="AV51" s="169">
        <f t="shared" si="91"/>
        <v>0</v>
      </c>
      <c r="AW51" s="170">
        <f t="shared" si="100"/>
        <v>0</v>
      </c>
      <c r="AX51" s="171"/>
      <c r="AY51" s="172">
        <f t="shared" si="101"/>
        <v>0</v>
      </c>
      <c r="AZ51" s="173" t="e">
        <f t="shared" si="92"/>
        <v>#DIV/0!</v>
      </c>
    </row>
    <row r="52" spans="1:55">
      <c r="A52" s="177"/>
      <c r="B52" s="178"/>
      <c r="C52" s="179"/>
      <c r="D52" s="179"/>
      <c r="E52" s="179"/>
      <c r="F52" s="179">
        <f t="shared" si="106"/>
        <v>0</v>
      </c>
      <c r="G52" s="179">
        <f t="shared" si="109"/>
        <v>0</v>
      </c>
      <c r="H52" s="180"/>
      <c r="I52" s="179">
        <f>B52*H52*D52</f>
        <v>0</v>
      </c>
      <c r="J52" s="179">
        <f>I52*12</f>
        <v>0</v>
      </c>
      <c r="K52" s="179">
        <f t="shared" si="71"/>
        <v>0</v>
      </c>
      <c r="L52" s="181">
        <v>0</v>
      </c>
      <c r="M52" s="182">
        <f t="shared" si="98"/>
        <v>0</v>
      </c>
      <c r="N52" s="183">
        <f t="shared" si="72"/>
        <v>0</v>
      </c>
      <c r="O52" s="184">
        <f t="shared" si="73"/>
        <v>0</v>
      </c>
      <c r="P52" s="117"/>
      <c r="Q52" s="185"/>
      <c r="R52" s="184">
        <f t="shared" si="74"/>
        <v>0</v>
      </c>
      <c r="S52" s="184">
        <f t="shared" si="75"/>
        <v>0</v>
      </c>
      <c r="T52" s="186"/>
      <c r="U52" s="184">
        <f t="shared" si="76"/>
        <v>0</v>
      </c>
      <c r="V52" s="187">
        <f t="shared" si="77"/>
        <v>0</v>
      </c>
      <c r="W52" s="117"/>
      <c r="X52" s="179"/>
      <c r="Y52" s="179">
        <f t="shared" si="78"/>
        <v>0</v>
      </c>
      <c r="Z52" s="179">
        <f t="shared" si="99"/>
        <v>0</v>
      </c>
      <c r="AA52" s="179">
        <f t="shared" si="79"/>
        <v>0</v>
      </c>
      <c r="AB52" s="179"/>
      <c r="AC52" s="179">
        <f t="shared" si="80"/>
        <v>0</v>
      </c>
      <c r="AD52" s="179">
        <f t="shared" si="81"/>
        <v>0</v>
      </c>
      <c r="AE52" s="179">
        <f t="shared" si="37"/>
        <v>0</v>
      </c>
      <c r="AF52" s="179"/>
      <c r="AG52" s="179"/>
      <c r="AH52" s="179"/>
      <c r="AI52" s="179"/>
      <c r="AJ52" s="179">
        <f t="shared" si="83"/>
        <v>0</v>
      </c>
      <c r="AK52" s="179">
        <f t="shared" si="84"/>
        <v>0</v>
      </c>
      <c r="AL52" s="179">
        <f t="shared" si="85"/>
        <v>0</v>
      </c>
      <c r="AM52" s="179">
        <f t="shared" si="86"/>
        <v>0</v>
      </c>
      <c r="AN52" s="179">
        <f t="shared" si="87"/>
        <v>0</v>
      </c>
      <c r="AO52" s="188">
        <f t="shared" si="88"/>
        <v>0</v>
      </c>
      <c r="AP52" s="117"/>
      <c r="AQ52" s="184">
        <f>IF(ISERROR(AO52/C52/D52/E52), 0,(AO52/C52/D52/E52))</f>
        <v>0</v>
      </c>
      <c r="AR52" s="117"/>
      <c r="AS52" s="189">
        <f t="shared" si="108"/>
        <v>0</v>
      </c>
      <c r="AT52" s="190">
        <f>+AS52*C52*D52*E52</f>
        <v>0</v>
      </c>
      <c r="AU52" s="191" t="e">
        <f t="shared" si="90"/>
        <v>#DIV/0!</v>
      </c>
      <c r="AV52" s="192">
        <f t="shared" si="91"/>
        <v>0</v>
      </c>
      <c r="AW52" s="193">
        <f t="shared" si="100"/>
        <v>0</v>
      </c>
      <c r="AX52" s="194"/>
      <c r="AY52" s="195">
        <f t="shared" si="101"/>
        <v>0</v>
      </c>
      <c r="AZ52" s="196" t="e">
        <f t="shared" si="92"/>
        <v>#DIV/0!</v>
      </c>
    </row>
    <row r="53" spans="1:55" s="24" customFormat="1" ht="12" thickBot="1">
      <c r="A53" s="197" t="s">
        <v>100</v>
      </c>
      <c r="B53" s="130">
        <f>SUM(B35:B52)</f>
        <v>32</v>
      </c>
      <c r="C53" s="130">
        <f>SUM(C35:C52)</f>
        <v>32</v>
      </c>
      <c r="D53" s="130"/>
      <c r="E53" s="130"/>
      <c r="F53" s="130">
        <f>SUM(F35:F52)</f>
        <v>32</v>
      </c>
      <c r="G53" s="130">
        <f>SUM(G35:G52)</f>
        <v>0</v>
      </c>
      <c r="H53" s="198"/>
      <c r="I53" s="130">
        <f>SUM(I35:I52)</f>
        <v>181.48575827559662</v>
      </c>
      <c r="J53" s="130">
        <f>SUM(J35:J52)</f>
        <v>2177.8290993071596</v>
      </c>
      <c r="K53" s="130">
        <f>SUM(K35:K52)</f>
        <v>2177.8290993071596</v>
      </c>
      <c r="L53" s="199"/>
      <c r="M53" s="133"/>
      <c r="N53" s="130">
        <f>SUM(N35:N52)</f>
        <v>49.76</v>
      </c>
      <c r="O53" s="130">
        <f>SUM(O35:O52)</f>
        <v>32.344000000000001</v>
      </c>
      <c r="P53" s="200"/>
      <c r="Q53" s="130">
        <f t="shared" ref="Q53:V53" si="110">SUM(Q35:Q52)</f>
        <v>84.2</v>
      </c>
      <c r="R53" s="130">
        <f t="shared" si="110"/>
        <v>7.7778346666666671</v>
      </c>
      <c r="S53" s="130">
        <f t="shared" si="110"/>
        <v>7.7778346666666671</v>
      </c>
      <c r="T53" s="130">
        <f t="shared" si="110"/>
        <v>0</v>
      </c>
      <c r="U53" s="130">
        <f t="shared" si="110"/>
        <v>1979.4929188464748</v>
      </c>
      <c r="V53" s="130">
        <f t="shared" si="110"/>
        <v>1987.2707535131417</v>
      </c>
      <c r="W53" s="200"/>
      <c r="X53" s="130">
        <f t="shared" ref="X53:AO53" si="111">SUM(X35:X52)</f>
        <v>0</v>
      </c>
      <c r="Y53" s="130">
        <f t="shared" si="111"/>
        <v>0</v>
      </c>
      <c r="Z53" s="130">
        <f t="shared" si="111"/>
        <v>2582.4674829931969</v>
      </c>
      <c r="AA53" s="130">
        <f t="shared" si="111"/>
        <v>5135.4224422468315</v>
      </c>
      <c r="AB53" s="130">
        <f t="shared" si="111"/>
        <v>0</v>
      </c>
      <c r="AC53" s="130">
        <f t="shared" si="111"/>
        <v>302.70689314747017</v>
      </c>
      <c r="AD53" s="130">
        <f t="shared" si="111"/>
        <v>0</v>
      </c>
      <c r="AE53" s="130">
        <f t="shared" si="111"/>
        <v>4139.4320058615731</v>
      </c>
      <c r="AF53" s="130">
        <f t="shared" si="111"/>
        <v>0</v>
      </c>
      <c r="AG53" s="130">
        <f t="shared" si="111"/>
        <v>0</v>
      </c>
      <c r="AH53" s="130">
        <f t="shared" si="111"/>
        <v>0</v>
      </c>
      <c r="AI53" s="130">
        <f t="shared" si="111"/>
        <v>12160.02882424907</v>
      </c>
      <c r="AJ53" s="130">
        <f t="shared" si="111"/>
        <v>0</v>
      </c>
      <c r="AK53" s="130">
        <f t="shared" si="111"/>
        <v>2465.9322417267913</v>
      </c>
      <c r="AL53" s="130">
        <f t="shared" si="111"/>
        <v>10.612880085330293</v>
      </c>
      <c r="AM53" s="130">
        <f t="shared" si="111"/>
        <v>75.00367702010665</v>
      </c>
      <c r="AN53" s="201">
        <f t="shared" si="111"/>
        <v>0</v>
      </c>
      <c r="AO53" s="130">
        <f t="shared" si="111"/>
        <v>14711.577623081299</v>
      </c>
      <c r="AP53" s="200"/>
      <c r="AQ53" s="199"/>
      <c r="AR53" s="200"/>
      <c r="AS53" s="199"/>
      <c r="AT53" s="138">
        <f>SUM(AT35:AT52)</f>
        <v>15818.900669979892</v>
      </c>
      <c r="AU53" s="132"/>
      <c r="AV53" s="131"/>
      <c r="AW53" s="138">
        <f>SUM(AW35:AW52)</f>
        <v>9430</v>
      </c>
      <c r="AX53" s="131"/>
      <c r="AY53" s="138">
        <f>SUM(AY35:AY52)</f>
        <v>0</v>
      </c>
      <c r="AZ53" s="202"/>
    </row>
    <row r="54" spans="1:55">
      <c r="A54" s="203"/>
      <c r="B54" s="140"/>
      <c r="C54" s="140"/>
      <c r="D54" s="140"/>
      <c r="E54" s="140"/>
      <c r="F54" s="140"/>
      <c r="G54" s="140"/>
      <c r="H54" s="148"/>
      <c r="I54" s="140"/>
      <c r="J54" s="140"/>
      <c r="K54" s="140"/>
      <c r="L54" s="142"/>
      <c r="M54" s="143"/>
      <c r="N54" s="204"/>
      <c r="O54" s="145"/>
      <c r="P54" s="96"/>
      <c r="Q54" s="142"/>
      <c r="R54" s="142"/>
      <c r="S54" s="142"/>
      <c r="T54" s="142"/>
      <c r="U54" s="142"/>
      <c r="V54" s="142"/>
      <c r="W54" s="96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36"/>
      <c r="AP54" s="96"/>
      <c r="AQ54" s="142"/>
      <c r="AR54" s="96"/>
      <c r="AS54" s="142"/>
      <c r="AT54" s="205"/>
      <c r="AU54" s="142"/>
      <c r="AV54" s="148"/>
      <c r="AW54" s="205"/>
      <c r="AX54" s="149"/>
      <c r="AY54" s="205"/>
      <c r="AZ54" s="142"/>
    </row>
    <row r="55" spans="1:55" ht="12" thickBot="1">
      <c r="A55" s="85" t="s">
        <v>58</v>
      </c>
      <c r="B55" s="140"/>
      <c r="C55" s="140"/>
      <c r="D55" s="140"/>
      <c r="E55" s="140"/>
      <c r="F55" s="140"/>
      <c r="G55" s="140"/>
      <c r="H55" s="148"/>
      <c r="I55" s="140"/>
      <c r="J55" s="140"/>
      <c r="K55" s="140"/>
      <c r="L55" s="142"/>
      <c r="M55" s="143"/>
      <c r="N55" s="204"/>
      <c r="O55" s="145"/>
      <c r="P55" s="96"/>
      <c r="Q55" s="142"/>
      <c r="R55" s="142"/>
      <c r="S55" s="142"/>
      <c r="T55" s="142"/>
      <c r="U55" s="142"/>
      <c r="V55" s="142"/>
      <c r="W55" s="96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36"/>
      <c r="AP55" s="96"/>
      <c r="AQ55" s="142"/>
      <c r="AR55" s="96"/>
      <c r="AS55" s="142"/>
      <c r="AT55" s="205"/>
      <c r="AU55" s="142"/>
      <c r="AV55" s="148"/>
      <c r="AW55" s="205"/>
      <c r="AX55" s="149"/>
      <c r="AY55" s="205"/>
      <c r="AZ55" s="142"/>
      <c r="BB55" s="29"/>
    </row>
    <row r="56" spans="1:55" ht="12" thickTop="1">
      <c r="A56" s="206"/>
      <c r="B56" s="207"/>
      <c r="C56" s="208"/>
      <c r="D56" s="208"/>
      <c r="E56" s="208"/>
      <c r="F56" s="208"/>
      <c r="G56" s="208"/>
      <c r="H56" s="209"/>
      <c r="I56" s="210"/>
      <c r="J56" s="210"/>
      <c r="K56" s="210"/>
      <c r="L56" s="211"/>
      <c r="M56" s="212"/>
      <c r="N56" s="213"/>
      <c r="O56" s="214"/>
      <c r="P56" s="96"/>
      <c r="Q56" s="215"/>
      <c r="R56" s="216"/>
      <c r="S56" s="216"/>
      <c r="T56" s="217"/>
      <c r="U56" s="217"/>
      <c r="V56" s="217"/>
      <c r="W56" s="96"/>
      <c r="X56" s="208"/>
      <c r="Y56" s="210"/>
      <c r="Z56" s="208"/>
      <c r="AA56" s="208"/>
      <c r="AB56" s="208"/>
      <c r="AC56" s="208"/>
      <c r="AD56" s="208"/>
      <c r="AE56" s="208"/>
      <c r="AF56" s="210"/>
      <c r="AG56" s="208"/>
      <c r="AH56" s="208"/>
      <c r="AI56" s="208"/>
      <c r="AJ56" s="208"/>
      <c r="AK56" s="208"/>
      <c r="AL56" s="208"/>
      <c r="AM56" s="208"/>
      <c r="AN56" s="208"/>
      <c r="AO56" s="218"/>
      <c r="AP56" s="96"/>
      <c r="AQ56" s="216"/>
      <c r="AR56" s="96"/>
      <c r="AS56" s="219"/>
      <c r="AT56" s="220"/>
      <c r="AU56" s="221"/>
      <c r="AV56" s="222"/>
      <c r="AW56" s="223"/>
      <c r="AX56" s="224"/>
      <c r="AY56" s="225"/>
      <c r="AZ56" s="226"/>
      <c r="BA56" s="174"/>
      <c r="BC56" s="175"/>
    </row>
    <row r="57" spans="1:55">
      <c r="A57" s="206"/>
      <c r="B57" s="207"/>
      <c r="C57" s="208"/>
      <c r="D57" s="208"/>
      <c r="E57" s="208"/>
      <c r="F57" s="208"/>
      <c r="G57" s="208"/>
      <c r="H57" s="209"/>
      <c r="I57" s="210"/>
      <c r="J57" s="210"/>
      <c r="K57" s="210"/>
      <c r="L57" s="211"/>
      <c r="M57" s="212"/>
      <c r="N57" s="213"/>
      <c r="O57" s="214"/>
      <c r="P57" s="96"/>
      <c r="Q57" s="215"/>
      <c r="R57" s="216"/>
      <c r="S57" s="216"/>
      <c r="T57" s="217"/>
      <c r="U57" s="217"/>
      <c r="V57" s="217"/>
      <c r="W57" s="96"/>
      <c r="X57" s="208"/>
      <c r="Y57" s="210"/>
      <c r="Z57" s="208"/>
      <c r="AA57" s="208"/>
      <c r="AB57" s="208"/>
      <c r="AC57" s="208"/>
      <c r="AD57" s="208"/>
      <c r="AE57" s="208"/>
      <c r="AF57" s="210"/>
      <c r="AG57" s="208"/>
      <c r="AH57" s="208"/>
      <c r="AI57" s="208"/>
      <c r="AJ57" s="208"/>
      <c r="AK57" s="208"/>
      <c r="AL57" s="208"/>
      <c r="AM57" s="208"/>
      <c r="AN57" s="208"/>
      <c r="AO57" s="218"/>
      <c r="AP57" s="96"/>
      <c r="AQ57" s="216"/>
      <c r="AR57" s="96"/>
      <c r="AS57" s="219"/>
      <c r="AT57" s="220"/>
      <c r="AU57" s="221"/>
      <c r="AV57" s="222"/>
      <c r="AW57" s="223"/>
      <c r="AX57" s="224"/>
      <c r="AY57" s="225"/>
      <c r="AZ57" s="226"/>
      <c r="BA57" s="174"/>
      <c r="BC57" s="175"/>
    </row>
    <row r="58" spans="1:55">
      <c r="A58" s="206"/>
      <c r="B58" s="207"/>
      <c r="C58" s="208"/>
      <c r="D58" s="208"/>
      <c r="E58" s="208"/>
      <c r="F58" s="208"/>
      <c r="G58" s="208"/>
      <c r="H58" s="209"/>
      <c r="I58" s="210"/>
      <c r="J58" s="210"/>
      <c r="K58" s="210"/>
      <c r="L58" s="211"/>
      <c r="M58" s="212"/>
      <c r="N58" s="213"/>
      <c r="O58" s="214"/>
      <c r="P58" s="96"/>
      <c r="Q58" s="215"/>
      <c r="R58" s="216"/>
      <c r="S58" s="216"/>
      <c r="T58" s="217"/>
      <c r="U58" s="227"/>
      <c r="V58" s="217"/>
      <c r="W58" s="96"/>
      <c r="X58" s="208"/>
      <c r="Y58" s="210"/>
      <c r="Z58" s="208"/>
      <c r="AA58" s="208"/>
      <c r="AB58" s="208"/>
      <c r="AC58" s="208"/>
      <c r="AD58" s="208"/>
      <c r="AE58" s="208"/>
      <c r="AF58" s="210"/>
      <c r="AG58" s="208"/>
      <c r="AH58" s="208"/>
      <c r="AI58" s="208"/>
      <c r="AJ58" s="208"/>
      <c r="AK58" s="208"/>
      <c r="AL58" s="208"/>
      <c r="AM58" s="208"/>
      <c r="AN58" s="208"/>
      <c r="AO58" s="218"/>
      <c r="AP58" s="96"/>
      <c r="AQ58" s="216"/>
      <c r="AR58" s="96"/>
      <c r="AS58" s="219"/>
      <c r="AT58" s="220"/>
      <c r="AU58" s="221"/>
      <c r="AV58" s="222"/>
      <c r="AW58" s="223"/>
      <c r="AX58" s="224"/>
      <c r="AY58" s="225"/>
      <c r="AZ58" s="226"/>
      <c r="BA58" s="174"/>
    </row>
    <row r="59" spans="1:55">
      <c r="A59" s="206"/>
      <c r="B59" s="207"/>
      <c r="C59" s="208"/>
      <c r="D59" s="208"/>
      <c r="E59" s="208"/>
      <c r="F59" s="208"/>
      <c r="G59" s="208"/>
      <c r="H59" s="209"/>
      <c r="I59" s="210"/>
      <c r="J59" s="210"/>
      <c r="K59" s="210"/>
      <c r="L59" s="211"/>
      <c r="M59" s="212"/>
      <c r="N59" s="213"/>
      <c r="O59" s="214"/>
      <c r="P59" s="96"/>
      <c r="Q59" s="215"/>
      <c r="R59" s="216"/>
      <c r="S59" s="216"/>
      <c r="T59" s="217"/>
      <c r="U59" s="227"/>
      <c r="V59" s="217"/>
      <c r="W59" s="96"/>
      <c r="X59" s="208"/>
      <c r="Y59" s="210"/>
      <c r="Z59" s="208"/>
      <c r="AA59" s="208"/>
      <c r="AB59" s="208"/>
      <c r="AC59" s="208"/>
      <c r="AD59" s="208"/>
      <c r="AE59" s="208"/>
      <c r="AF59" s="210"/>
      <c r="AG59" s="208"/>
      <c r="AH59" s="208"/>
      <c r="AI59" s="208"/>
      <c r="AJ59" s="208"/>
      <c r="AK59" s="208"/>
      <c r="AL59" s="208"/>
      <c r="AM59" s="208"/>
      <c r="AN59" s="208"/>
      <c r="AO59" s="218"/>
      <c r="AP59" s="96"/>
      <c r="AQ59" s="216"/>
      <c r="AR59" s="96"/>
      <c r="AS59" s="219"/>
      <c r="AT59" s="220"/>
      <c r="AU59" s="221"/>
      <c r="AV59" s="222"/>
      <c r="AW59" s="223"/>
      <c r="AX59" s="224"/>
      <c r="AY59" s="225"/>
      <c r="AZ59" s="226"/>
      <c r="BA59" s="174"/>
    </row>
    <row r="60" spans="1:55">
      <c r="A60" s="206"/>
      <c r="B60" s="207"/>
      <c r="C60" s="208"/>
      <c r="D60" s="208"/>
      <c r="E60" s="208"/>
      <c r="F60" s="208"/>
      <c r="G60" s="208"/>
      <c r="H60" s="209"/>
      <c r="I60" s="210"/>
      <c r="J60" s="210"/>
      <c r="K60" s="210"/>
      <c r="L60" s="228"/>
      <c r="M60" s="212"/>
      <c r="N60" s="213"/>
      <c r="O60" s="214"/>
      <c r="P60" s="96"/>
      <c r="Q60" s="215"/>
      <c r="R60" s="216"/>
      <c r="S60" s="216"/>
      <c r="T60" s="217"/>
      <c r="U60" s="227"/>
      <c r="V60" s="217"/>
      <c r="W60" s="96"/>
      <c r="X60" s="208"/>
      <c r="Y60" s="210"/>
      <c r="Z60" s="208"/>
      <c r="AA60" s="208"/>
      <c r="AB60" s="208"/>
      <c r="AC60" s="208"/>
      <c r="AD60" s="208"/>
      <c r="AE60" s="208"/>
      <c r="AF60" s="210"/>
      <c r="AG60" s="208"/>
      <c r="AH60" s="208"/>
      <c r="AI60" s="208"/>
      <c r="AJ60" s="208"/>
      <c r="AK60" s="208"/>
      <c r="AL60" s="208"/>
      <c r="AM60" s="208"/>
      <c r="AN60" s="208"/>
      <c r="AO60" s="218"/>
      <c r="AP60" s="96"/>
      <c r="AQ60" s="216"/>
      <c r="AR60" s="96"/>
      <c r="AS60" s="219"/>
      <c r="AT60" s="220"/>
      <c r="AU60" s="221"/>
      <c r="AV60" s="222"/>
      <c r="AW60" s="223"/>
      <c r="AX60" s="224"/>
      <c r="AY60" s="225"/>
      <c r="AZ60" s="226"/>
    </row>
    <row r="61" spans="1:55">
      <c r="A61" s="206"/>
      <c r="B61" s="207"/>
      <c r="C61" s="208"/>
      <c r="D61" s="208"/>
      <c r="E61" s="208"/>
      <c r="F61" s="208"/>
      <c r="G61" s="208"/>
      <c r="H61" s="209"/>
      <c r="I61" s="210"/>
      <c r="J61" s="210"/>
      <c r="K61" s="210"/>
      <c r="L61" s="228"/>
      <c r="M61" s="212"/>
      <c r="N61" s="213"/>
      <c r="O61" s="214"/>
      <c r="P61" s="96"/>
      <c r="Q61" s="215"/>
      <c r="R61" s="216"/>
      <c r="S61" s="216"/>
      <c r="T61" s="217"/>
      <c r="U61" s="227"/>
      <c r="V61" s="217"/>
      <c r="W61" s="96"/>
      <c r="X61" s="208"/>
      <c r="Y61" s="210"/>
      <c r="Z61" s="208"/>
      <c r="AA61" s="208"/>
      <c r="AB61" s="208"/>
      <c r="AC61" s="208"/>
      <c r="AD61" s="208"/>
      <c r="AE61" s="208"/>
      <c r="AF61" s="210"/>
      <c r="AG61" s="208"/>
      <c r="AH61" s="208"/>
      <c r="AI61" s="208"/>
      <c r="AJ61" s="208"/>
      <c r="AK61" s="208"/>
      <c r="AL61" s="208"/>
      <c r="AM61" s="208"/>
      <c r="AN61" s="208"/>
      <c r="AO61" s="218"/>
      <c r="AP61" s="96"/>
      <c r="AQ61" s="216"/>
      <c r="AR61" s="96"/>
      <c r="AS61" s="219"/>
      <c r="AT61" s="220"/>
      <c r="AU61" s="221"/>
      <c r="AV61" s="222"/>
      <c r="AW61" s="223"/>
      <c r="AX61" s="224"/>
      <c r="AY61" s="225"/>
      <c r="AZ61" s="265"/>
    </row>
    <row r="62" spans="1:55">
      <c r="A62" s="229"/>
      <c r="B62" s="207"/>
      <c r="C62" s="208"/>
      <c r="D62" s="208"/>
      <c r="E62" s="208"/>
      <c r="F62" s="208"/>
      <c r="G62" s="208"/>
      <c r="H62" s="209"/>
      <c r="I62" s="210"/>
      <c r="J62" s="210"/>
      <c r="K62" s="210"/>
      <c r="L62" s="228"/>
      <c r="M62" s="212"/>
      <c r="N62" s="213"/>
      <c r="O62" s="214"/>
      <c r="P62" s="96"/>
      <c r="Q62" s="215"/>
      <c r="R62" s="216"/>
      <c r="S62" s="216"/>
      <c r="T62" s="217"/>
      <c r="U62" s="227"/>
      <c r="V62" s="217"/>
      <c r="W62" s="96"/>
      <c r="X62" s="208"/>
      <c r="Y62" s="210"/>
      <c r="Z62" s="208"/>
      <c r="AA62" s="208"/>
      <c r="AB62" s="208"/>
      <c r="AC62" s="208"/>
      <c r="AD62" s="208"/>
      <c r="AE62" s="208"/>
      <c r="AF62" s="210"/>
      <c r="AG62" s="208"/>
      <c r="AH62" s="208"/>
      <c r="AI62" s="208"/>
      <c r="AJ62" s="208"/>
      <c r="AK62" s="208"/>
      <c r="AL62" s="208"/>
      <c r="AM62" s="208"/>
      <c r="AN62" s="208"/>
      <c r="AO62" s="218"/>
      <c r="AP62" s="96"/>
      <c r="AQ62" s="216"/>
      <c r="AR62" s="96"/>
      <c r="AS62" s="219"/>
      <c r="AT62" s="220"/>
      <c r="AU62" s="221"/>
      <c r="AV62" s="222"/>
      <c r="AW62" s="223"/>
      <c r="AX62" s="230"/>
      <c r="AY62" s="225"/>
      <c r="AZ62" s="226"/>
    </row>
    <row r="63" spans="1:55">
      <c r="A63" s="206"/>
      <c r="B63" s="207"/>
      <c r="C63" s="208"/>
      <c r="D63" s="208"/>
      <c r="E63" s="208"/>
      <c r="F63" s="208"/>
      <c r="G63" s="208"/>
      <c r="H63" s="209"/>
      <c r="I63" s="210"/>
      <c r="J63" s="210"/>
      <c r="K63" s="210"/>
      <c r="L63" s="211"/>
      <c r="M63" s="212"/>
      <c r="N63" s="213"/>
      <c r="O63" s="214"/>
      <c r="P63" s="96"/>
      <c r="Q63" s="215"/>
      <c r="R63" s="216"/>
      <c r="S63" s="216"/>
      <c r="T63" s="217"/>
      <c r="U63" s="227"/>
      <c r="V63" s="217"/>
      <c r="W63" s="96"/>
      <c r="X63" s="208"/>
      <c r="Y63" s="210"/>
      <c r="Z63" s="208"/>
      <c r="AA63" s="208"/>
      <c r="AB63" s="208"/>
      <c r="AC63" s="208"/>
      <c r="AD63" s="208"/>
      <c r="AE63" s="208"/>
      <c r="AF63" s="210"/>
      <c r="AG63" s="208"/>
      <c r="AH63" s="208"/>
      <c r="AI63" s="208"/>
      <c r="AJ63" s="208"/>
      <c r="AK63" s="208"/>
      <c r="AL63" s="208"/>
      <c r="AM63" s="208"/>
      <c r="AN63" s="208"/>
      <c r="AO63" s="231"/>
      <c r="AP63" s="96"/>
      <c r="AQ63" s="216"/>
      <c r="AR63" s="96"/>
      <c r="AS63" s="216"/>
      <c r="AT63" s="220"/>
      <c r="AU63" s="221"/>
      <c r="AV63" s="222"/>
      <c r="AW63" s="223"/>
      <c r="AX63" s="224"/>
      <c r="AY63" s="225"/>
      <c r="AZ63" s="232"/>
    </row>
    <row r="64" spans="1:55">
      <c r="A64" s="233"/>
      <c r="B64" s="234"/>
      <c r="C64" s="210"/>
      <c r="D64" s="210"/>
      <c r="E64" s="210"/>
      <c r="F64" s="210"/>
      <c r="G64" s="210"/>
      <c r="H64" s="235"/>
      <c r="I64" s="210"/>
      <c r="J64" s="210"/>
      <c r="K64" s="210"/>
      <c r="L64" s="228"/>
      <c r="M64" s="212"/>
      <c r="N64" s="213"/>
      <c r="O64" s="214"/>
      <c r="P64" s="236"/>
      <c r="Q64" s="237"/>
      <c r="R64" s="214"/>
      <c r="S64" s="214"/>
      <c r="T64" s="227"/>
      <c r="U64" s="227"/>
      <c r="V64" s="227"/>
      <c r="W64" s="236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8"/>
      <c r="AP64" s="236"/>
      <c r="AQ64" s="214"/>
      <c r="AR64" s="236"/>
      <c r="AS64" s="238"/>
      <c r="AT64" s="220"/>
      <c r="AU64" s="239"/>
      <c r="AV64" s="240"/>
      <c r="AW64" s="223"/>
      <c r="AX64" s="241"/>
      <c r="AY64" s="225"/>
      <c r="AZ64" s="242"/>
    </row>
    <row r="65" spans="1:54">
      <c r="A65" s="243"/>
      <c r="B65" s="244"/>
      <c r="C65" s="245"/>
      <c r="D65" s="245"/>
      <c r="E65" s="245"/>
      <c r="F65" s="245"/>
      <c r="G65" s="245"/>
      <c r="H65" s="246"/>
      <c r="I65" s="245"/>
      <c r="J65" s="245"/>
      <c r="K65" s="245"/>
      <c r="L65" s="247"/>
      <c r="M65" s="248"/>
      <c r="N65" s="249"/>
      <c r="O65" s="250"/>
      <c r="P65" s="117"/>
      <c r="Q65" s="251"/>
      <c r="R65" s="250"/>
      <c r="S65" s="250"/>
      <c r="T65" s="252"/>
      <c r="U65" s="252"/>
      <c r="V65" s="252"/>
      <c r="W65" s="117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53"/>
      <c r="AP65" s="117"/>
      <c r="AQ65" s="250"/>
      <c r="AR65" s="117"/>
      <c r="AS65" s="254"/>
      <c r="AT65" s="255"/>
      <c r="AU65" s="256"/>
      <c r="AV65" s="257"/>
      <c r="AW65" s="258"/>
      <c r="AX65" s="259"/>
      <c r="AY65" s="260"/>
      <c r="AZ65" s="261"/>
      <c r="BB65" s="86"/>
    </row>
    <row r="66" spans="1:54" s="24" customFormat="1" ht="12" thickBot="1">
      <c r="A66" s="24" t="s">
        <v>100</v>
      </c>
      <c r="B66" s="130">
        <f>SUM(B56:B65)</f>
        <v>0</v>
      </c>
      <c r="C66" s="130">
        <f>SUM(C56:C65)</f>
        <v>0</v>
      </c>
      <c r="D66" s="130"/>
      <c r="E66" s="130"/>
      <c r="F66" s="130">
        <f>SUM(F56:F65)</f>
        <v>0</v>
      </c>
      <c r="G66" s="130">
        <f>SUM(G56:G65)</f>
        <v>0</v>
      </c>
      <c r="H66" s="131"/>
      <c r="I66" s="130">
        <f>SUM(I56:I65)</f>
        <v>0</v>
      </c>
      <c r="J66" s="130">
        <f>SUM(J56:J65)</f>
        <v>0</v>
      </c>
      <c r="K66" s="130">
        <f>SUM(K56:K65)</f>
        <v>0</v>
      </c>
      <c r="L66" s="262"/>
      <c r="M66" s="263"/>
      <c r="N66" s="262">
        <f>SUM(N56:N65)</f>
        <v>0</v>
      </c>
      <c r="O66" s="262">
        <f>SUM(O56:O65)</f>
        <v>0</v>
      </c>
      <c r="P66" s="135"/>
      <c r="Q66" s="262">
        <f t="shared" ref="Q66:V66" si="112">SUM(Q56:Q65)</f>
        <v>0</v>
      </c>
      <c r="R66" s="262">
        <f t="shared" si="112"/>
        <v>0</v>
      </c>
      <c r="S66" s="262">
        <f t="shared" si="112"/>
        <v>0</v>
      </c>
      <c r="T66" s="262">
        <f t="shared" si="112"/>
        <v>0</v>
      </c>
      <c r="U66" s="262">
        <f t="shared" si="112"/>
        <v>0</v>
      </c>
      <c r="V66" s="262">
        <f t="shared" si="112"/>
        <v>0</v>
      </c>
      <c r="W66" s="135"/>
      <c r="X66" s="130">
        <f t="shared" ref="X66:AO66" si="113">SUM(X56:X65)</f>
        <v>0</v>
      </c>
      <c r="Y66" s="130">
        <f t="shared" si="113"/>
        <v>0</v>
      </c>
      <c r="Z66" s="130">
        <f t="shared" si="113"/>
        <v>0</v>
      </c>
      <c r="AA66" s="130">
        <f t="shared" si="113"/>
        <v>0</v>
      </c>
      <c r="AB66" s="130">
        <f t="shared" si="113"/>
        <v>0</v>
      </c>
      <c r="AC66" s="130">
        <f t="shared" si="113"/>
        <v>0</v>
      </c>
      <c r="AD66" s="130">
        <f t="shared" si="113"/>
        <v>0</v>
      </c>
      <c r="AE66" s="130">
        <f t="shared" si="113"/>
        <v>0</v>
      </c>
      <c r="AF66" s="130">
        <f t="shared" si="113"/>
        <v>0</v>
      </c>
      <c r="AG66" s="130">
        <f t="shared" si="113"/>
        <v>0</v>
      </c>
      <c r="AH66" s="130">
        <f t="shared" si="113"/>
        <v>0</v>
      </c>
      <c r="AI66" s="130">
        <f t="shared" si="113"/>
        <v>0</v>
      </c>
      <c r="AJ66" s="130">
        <f t="shared" si="113"/>
        <v>0</v>
      </c>
      <c r="AK66" s="130">
        <f t="shared" si="113"/>
        <v>0</v>
      </c>
      <c r="AL66" s="130">
        <f t="shared" si="113"/>
        <v>0</v>
      </c>
      <c r="AM66" s="130">
        <f t="shared" si="113"/>
        <v>0</v>
      </c>
      <c r="AN66" s="130">
        <f t="shared" si="113"/>
        <v>0</v>
      </c>
      <c r="AO66" s="136">
        <f t="shared" si="113"/>
        <v>0</v>
      </c>
      <c r="AP66" s="135"/>
      <c r="AQ66" s="132"/>
      <c r="AR66" s="135"/>
      <c r="AS66" s="132"/>
      <c r="AT66" s="138">
        <f>SUM(AT56:AT65)</f>
        <v>0</v>
      </c>
      <c r="AU66" s="132"/>
      <c r="AV66" s="131"/>
      <c r="AW66" s="138">
        <f>SUM(AW56:AW65)</f>
        <v>0</v>
      </c>
      <c r="AX66" s="131"/>
      <c r="AY66" s="138">
        <f>SUM(AY56:AY65)</f>
        <v>0</v>
      </c>
      <c r="AZ66" s="132"/>
    </row>
    <row r="67" spans="1:54">
      <c r="V67" s="29"/>
    </row>
  </sheetData>
  <pageMargins left="0.25" right="0.25" top="0.25" bottom="0.25" header="0.3" footer="0.3"/>
  <pageSetup scale="61" fitToWidth="2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2C8-1129-4305-A921-BD7B3A36D0B5}">
  <sheetPr>
    <tabColor theme="7" tint="0.39997558519241921"/>
    <pageSetUpPr fitToPage="1"/>
  </sheetPr>
  <dimension ref="A1:L102"/>
  <sheetViews>
    <sheetView showGridLines="0" topLeftCell="A7" zoomScale="85" zoomScaleNormal="85" workbookViewId="0">
      <selection activeCell="C25" sqref="C25"/>
    </sheetView>
  </sheetViews>
  <sheetFormatPr defaultRowHeight="15"/>
  <cols>
    <col min="1" max="1" width="31.28515625" customWidth="1"/>
    <col min="2" max="2" width="7" customWidth="1"/>
    <col min="3" max="3" width="19" bestFit="1" customWidth="1"/>
    <col min="4" max="4" width="16" bestFit="1" customWidth="1"/>
    <col min="5" max="5" width="10.5703125" bestFit="1" customWidth="1"/>
    <col min="6" max="6" width="7" bestFit="1" customWidth="1"/>
    <col min="7" max="7" width="11.42578125" bestFit="1" customWidth="1"/>
    <col min="8" max="8" width="10" bestFit="1" customWidth="1"/>
    <col min="9" max="9" width="8" bestFit="1" customWidth="1"/>
    <col min="10" max="10" width="15.85546875" bestFit="1" customWidth="1"/>
    <col min="11" max="11" width="14.5703125" customWidth="1"/>
  </cols>
  <sheetData>
    <row r="1" spans="1:10">
      <c r="A1" s="268"/>
    </row>
    <row r="2" spans="1:10">
      <c r="A2" s="268"/>
      <c r="J2" s="269" t="s">
        <v>113</v>
      </c>
    </row>
    <row r="3" spans="1:10">
      <c r="A3" s="268"/>
    </row>
    <row r="5" spans="1:10">
      <c r="A5" s="586" t="s">
        <v>114</v>
      </c>
      <c r="B5" s="586"/>
      <c r="C5" s="586"/>
      <c r="D5" s="586"/>
      <c r="E5" s="586"/>
      <c r="F5" s="586"/>
      <c r="G5" s="586"/>
      <c r="H5" s="586"/>
      <c r="I5" s="586"/>
    </row>
    <row r="6" spans="1:10">
      <c r="A6" t="s">
        <v>115</v>
      </c>
      <c r="C6" s="270" t="s">
        <v>116</v>
      </c>
      <c r="D6" s="270" t="s">
        <v>117</v>
      </c>
      <c r="E6" s="270" t="s">
        <v>118</v>
      </c>
      <c r="F6" s="270" t="s">
        <v>119</v>
      </c>
      <c r="G6" s="270" t="s">
        <v>120</v>
      </c>
      <c r="H6" s="270" t="s">
        <v>121</v>
      </c>
      <c r="I6" s="270" t="s">
        <v>122</v>
      </c>
    </row>
    <row r="7" spans="1:10">
      <c r="A7" t="s">
        <v>123</v>
      </c>
      <c r="C7" s="271">
        <f>52*5/12</f>
        <v>21.666666666666668</v>
      </c>
      <c r="D7" s="272">
        <f>$C$7*2</f>
        <v>43.333333333333336</v>
      </c>
      <c r="E7" s="272">
        <f>$C$7*3</f>
        <v>65</v>
      </c>
      <c r="F7" s="272">
        <f>$C$7*4</f>
        <v>86.666666666666671</v>
      </c>
      <c r="G7" s="272">
        <f>$C$7*5</f>
        <v>108.33333333333334</v>
      </c>
      <c r="H7" s="272">
        <f>$C$7*6</f>
        <v>130</v>
      </c>
      <c r="I7" s="272">
        <f>$C$7*7</f>
        <v>151.66666666666669</v>
      </c>
    </row>
    <row r="8" spans="1:10">
      <c r="A8" t="s">
        <v>124</v>
      </c>
      <c r="C8" s="271">
        <f>52*4/12</f>
        <v>17.333333333333332</v>
      </c>
      <c r="D8" s="272">
        <f>$C$8*2</f>
        <v>34.666666666666664</v>
      </c>
      <c r="E8" s="272">
        <f>$C$8*3</f>
        <v>52</v>
      </c>
      <c r="F8" s="272">
        <f>$C$8*4</f>
        <v>69.333333333333329</v>
      </c>
      <c r="G8" s="272">
        <f>$C$8*5</f>
        <v>86.666666666666657</v>
      </c>
      <c r="H8" s="272">
        <f>$C$8*6</f>
        <v>104</v>
      </c>
      <c r="I8" s="272">
        <f>$C$8*7</f>
        <v>121.33333333333333</v>
      </c>
    </row>
    <row r="9" spans="1:10">
      <c r="A9" t="s">
        <v>125</v>
      </c>
      <c r="C9" s="271">
        <f>52*3/12</f>
        <v>13</v>
      </c>
      <c r="D9" s="272">
        <f>$C$9*2</f>
        <v>26</v>
      </c>
      <c r="E9" s="272">
        <f>$C$9*3</f>
        <v>39</v>
      </c>
      <c r="F9" s="272">
        <f>$C$9*4</f>
        <v>52</v>
      </c>
      <c r="G9" s="272">
        <f>$C$9*5</f>
        <v>65</v>
      </c>
      <c r="H9" s="272">
        <f>$C$9*6</f>
        <v>78</v>
      </c>
      <c r="I9" s="272">
        <f>$C$9*7</f>
        <v>91</v>
      </c>
    </row>
    <row r="10" spans="1:10">
      <c r="A10" t="s">
        <v>126</v>
      </c>
      <c r="C10" s="271">
        <f>52*2/12</f>
        <v>8.6666666666666661</v>
      </c>
      <c r="D10" s="273">
        <f>$C$10*2</f>
        <v>17.333333333333332</v>
      </c>
      <c r="E10" s="273">
        <f>$C$10*3</f>
        <v>26</v>
      </c>
      <c r="F10" s="273">
        <f>$C$10*4</f>
        <v>34.666666666666664</v>
      </c>
      <c r="G10" s="273">
        <f>$C$10*5</f>
        <v>43.333333333333329</v>
      </c>
      <c r="H10" s="273">
        <f>$C$10*6</f>
        <v>52</v>
      </c>
      <c r="I10" s="273">
        <f>$C$10*7</f>
        <v>60.666666666666664</v>
      </c>
    </row>
    <row r="11" spans="1:10">
      <c r="A11" t="s">
        <v>127</v>
      </c>
      <c r="C11" s="271">
        <f>52/12</f>
        <v>4.333333333333333</v>
      </c>
      <c r="D11" s="273">
        <f>$C$11*2</f>
        <v>8.6666666666666661</v>
      </c>
      <c r="E11" s="273">
        <f>$C$11*3</f>
        <v>13</v>
      </c>
      <c r="F11" s="273">
        <f>$C$11*4</f>
        <v>17.333333333333332</v>
      </c>
      <c r="G11" s="273">
        <f>$C$11*5</f>
        <v>21.666666666666664</v>
      </c>
      <c r="H11" s="273">
        <f>$C$11*6</f>
        <v>26</v>
      </c>
      <c r="I11" s="273">
        <f>$C$11*7</f>
        <v>30.333333333333332</v>
      </c>
    </row>
    <row r="12" spans="1:10">
      <c r="A12" t="s">
        <v>128</v>
      </c>
      <c r="C12" s="271">
        <f>26/12</f>
        <v>2.1666666666666665</v>
      </c>
      <c r="D12" s="273">
        <f>$C$12*2</f>
        <v>4.333333333333333</v>
      </c>
      <c r="E12" s="273">
        <f>$C$12*3</f>
        <v>6.5</v>
      </c>
      <c r="F12" s="273">
        <f>$C$12*4</f>
        <v>8.6666666666666661</v>
      </c>
      <c r="G12" s="273">
        <f>$C$12*5</f>
        <v>10.833333333333332</v>
      </c>
      <c r="H12" s="273">
        <f>$C$12*6</f>
        <v>13</v>
      </c>
      <c r="I12" s="273">
        <f>$C$12*7</f>
        <v>15.166666666666666</v>
      </c>
    </row>
    <row r="13" spans="1:10">
      <c r="A13" t="s">
        <v>129</v>
      </c>
      <c r="C13" s="271">
        <f>12/12</f>
        <v>1</v>
      </c>
      <c r="D13" s="273">
        <f>$C$13*2</f>
        <v>2</v>
      </c>
      <c r="E13" s="273">
        <f>$C$13*3</f>
        <v>3</v>
      </c>
      <c r="F13" s="273">
        <f>$C$13*4</f>
        <v>4</v>
      </c>
      <c r="G13" s="273">
        <f>$C$13*5</f>
        <v>5</v>
      </c>
      <c r="H13" s="273">
        <f>$C$13*6</f>
        <v>6</v>
      </c>
      <c r="I13" s="273">
        <f>$C$13*7</f>
        <v>7</v>
      </c>
    </row>
    <row r="14" spans="1:10">
      <c r="A14" t="s">
        <v>130</v>
      </c>
      <c r="C14" s="271">
        <v>1</v>
      </c>
      <c r="D14" s="273"/>
      <c r="E14" s="273"/>
      <c r="F14" s="273"/>
      <c r="G14" s="273"/>
      <c r="H14" s="273"/>
      <c r="I14" s="273"/>
    </row>
    <row r="15" spans="1:10">
      <c r="A15" s="586" t="s">
        <v>131</v>
      </c>
      <c r="B15" s="586"/>
      <c r="C15" s="586"/>
      <c r="D15" s="273"/>
      <c r="E15" s="273"/>
      <c r="F15" s="273"/>
      <c r="G15" s="273"/>
      <c r="H15" s="273"/>
      <c r="I15" s="273"/>
    </row>
    <row r="16" spans="1:10">
      <c r="A16" s="268" t="s">
        <v>132</v>
      </c>
      <c r="B16" s="268"/>
      <c r="C16" s="274" t="s">
        <v>133</v>
      </c>
      <c r="D16" s="273"/>
      <c r="E16" s="273"/>
      <c r="F16" s="273"/>
      <c r="G16" s="273"/>
      <c r="H16" s="273"/>
      <c r="I16" s="273"/>
    </row>
    <row r="17" spans="1:9">
      <c r="A17" s="275" t="s">
        <v>134</v>
      </c>
      <c r="B17" s="275"/>
      <c r="C17" s="276">
        <v>20</v>
      </c>
      <c r="D17" s="273"/>
      <c r="E17" s="273"/>
      <c r="F17" s="273"/>
      <c r="G17" s="273"/>
      <c r="H17" s="273"/>
      <c r="I17" s="273"/>
    </row>
    <row r="18" spans="1:9">
      <c r="A18" s="275" t="s">
        <v>135</v>
      </c>
      <c r="B18" s="275"/>
      <c r="C18" s="276">
        <v>34</v>
      </c>
      <c r="D18" s="273"/>
      <c r="E18" s="273"/>
      <c r="F18" s="273"/>
      <c r="G18" s="273"/>
      <c r="H18" s="273"/>
      <c r="I18" s="273"/>
    </row>
    <row r="19" spans="1:9">
      <c r="A19" s="275" t="s">
        <v>136</v>
      </c>
      <c r="B19" s="275"/>
      <c r="C19" s="276">
        <v>51</v>
      </c>
      <c r="D19" s="273"/>
      <c r="E19" s="273">
        <f>C19/C18</f>
        <v>1.5</v>
      </c>
      <c r="F19" s="273"/>
      <c r="G19" s="273"/>
      <c r="H19" s="273"/>
      <c r="I19" s="273"/>
    </row>
    <row r="20" spans="1:9">
      <c r="A20" s="275" t="s">
        <v>137</v>
      </c>
      <c r="B20" s="275"/>
      <c r="C20" s="276">
        <v>77</v>
      </c>
      <c r="D20" s="273"/>
      <c r="E20" s="273"/>
      <c r="F20" s="273"/>
      <c r="G20" t="s">
        <v>138</v>
      </c>
      <c r="H20" s="276">
        <v>2000</v>
      </c>
      <c r="I20" s="273"/>
    </row>
    <row r="21" spans="1:9">
      <c r="A21" s="275" t="s">
        <v>139</v>
      </c>
      <c r="B21" s="275"/>
      <c r="C21" s="276">
        <v>97</v>
      </c>
      <c r="D21" s="273"/>
      <c r="E21" s="273"/>
      <c r="F21" s="273"/>
      <c r="G21" t="s">
        <v>140</v>
      </c>
      <c r="H21" s="277" t="s">
        <v>141</v>
      </c>
      <c r="I21" s="273"/>
    </row>
    <row r="22" spans="1:9">
      <c r="A22" s="275" t="s">
        <v>142</v>
      </c>
      <c r="B22" s="275"/>
      <c r="C22" s="276">
        <v>117</v>
      </c>
      <c r="D22" s="273"/>
      <c r="E22" s="273"/>
      <c r="F22" s="273"/>
      <c r="I22" s="273"/>
    </row>
    <row r="23" spans="1:9">
      <c r="A23" s="275" t="s">
        <v>143</v>
      </c>
      <c r="B23" s="275"/>
      <c r="C23" s="276">
        <v>137</v>
      </c>
      <c r="D23" s="273"/>
      <c r="E23" s="273"/>
      <c r="F23" s="273"/>
      <c r="G23" s="278" t="s">
        <v>144</v>
      </c>
      <c r="H23" s="279">
        <v>12</v>
      </c>
      <c r="I23" s="273"/>
    </row>
    <row r="24" spans="1:9">
      <c r="A24" s="275" t="s">
        <v>145</v>
      </c>
      <c r="B24" s="275"/>
      <c r="C24" s="276">
        <v>40</v>
      </c>
      <c r="D24" s="273" t="s">
        <v>146</v>
      </c>
      <c r="E24" s="273"/>
      <c r="F24" s="273"/>
      <c r="G24" s="280"/>
      <c r="H24" s="281"/>
      <c r="I24" s="273"/>
    </row>
    <row r="25" spans="1:9">
      <c r="A25" s="275" t="s">
        <v>171</v>
      </c>
      <c r="B25" s="275"/>
      <c r="C25" s="276">
        <f>C24*E19</f>
        <v>60</v>
      </c>
      <c r="D25" s="273"/>
      <c r="E25" s="273"/>
      <c r="F25" s="273"/>
      <c r="G25" s="280"/>
      <c r="H25" s="281"/>
      <c r="I25" s="273"/>
    </row>
    <row r="26" spans="1:9">
      <c r="A26" s="275" t="s">
        <v>147</v>
      </c>
      <c r="B26" s="275"/>
      <c r="C26" s="276">
        <v>47</v>
      </c>
      <c r="D26" s="273"/>
      <c r="E26" s="273"/>
      <c r="F26" s="273"/>
      <c r="G26" s="280"/>
      <c r="H26" s="281"/>
      <c r="I26" s="273"/>
    </row>
    <row r="27" spans="1:9">
      <c r="A27" s="275" t="s">
        <v>172</v>
      </c>
      <c r="C27">
        <f>C26*E19</f>
        <v>70.5</v>
      </c>
      <c r="D27" s="273"/>
      <c r="E27" s="273"/>
      <c r="F27" s="273"/>
      <c r="G27" s="273"/>
      <c r="H27" s="273"/>
      <c r="I27" s="273"/>
    </row>
    <row r="28" spans="1:9">
      <c r="A28" s="275" t="s">
        <v>148</v>
      </c>
      <c r="B28" s="275"/>
      <c r="C28" s="276">
        <v>68</v>
      </c>
      <c r="D28" s="273"/>
      <c r="E28" s="273"/>
      <c r="F28" s="273"/>
      <c r="G28" s="273"/>
      <c r="H28" s="273"/>
      <c r="I28" s="273"/>
    </row>
    <row r="29" spans="1:9">
      <c r="A29" s="275" t="s">
        <v>149</v>
      </c>
      <c r="B29" s="275"/>
      <c r="C29" s="276">
        <v>34</v>
      </c>
      <c r="D29" s="273"/>
      <c r="E29" s="273"/>
      <c r="F29" s="273"/>
      <c r="G29" s="273"/>
      <c r="H29" s="273"/>
      <c r="I29" s="273"/>
    </row>
    <row r="30" spans="1:9">
      <c r="A30" s="275" t="s">
        <v>150</v>
      </c>
      <c r="B30" s="275"/>
      <c r="C30" s="276">
        <v>34</v>
      </c>
      <c r="D30" s="273"/>
      <c r="E30" s="273"/>
      <c r="F30" s="273"/>
      <c r="G30" s="273"/>
      <c r="H30" s="273"/>
      <c r="I30" s="273"/>
    </row>
    <row r="31" spans="1:9">
      <c r="A31" s="268" t="s">
        <v>151</v>
      </c>
      <c r="B31" s="268"/>
      <c r="C31" s="276"/>
      <c r="D31" s="273"/>
      <c r="E31" s="273"/>
      <c r="F31" s="273"/>
      <c r="G31" s="273"/>
      <c r="H31" s="273"/>
      <c r="I31" s="273"/>
    </row>
    <row r="32" spans="1:9">
      <c r="A32" s="275" t="s">
        <v>152</v>
      </c>
      <c r="B32" s="275"/>
      <c r="C32" s="276">
        <v>29</v>
      </c>
      <c r="D32" s="273"/>
      <c r="E32" s="273"/>
      <c r="F32" s="273"/>
      <c r="G32" s="273"/>
      <c r="H32" s="273"/>
      <c r="I32" s="273"/>
    </row>
    <row r="33" spans="1:9">
      <c r="A33" s="275" t="s">
        <v>153</v>
      </c>
      <c r="B33" s="275"/>
      <c r="C33" s="276">
        <v>125</v>
      </c>
      <c r="D33" s="273"/>
      <c r="E33" s="273"/>
      <c r="F33" s="273"/>
      <c r="G33" s="273"/>
      <c r="H33" s="273"/>
      <c r="I33" s="273"/>
    </row>
    <row r="34" spans="1:9">
      <c r="A34" s="275" t="s">
        <v>154</v>
      </c>
      <c r="B34" s="275"/>
      <c r="C34" s="276">
        <v>175</v>
      </c>
      <c r="D34" s="273"/>
      <c r="E34" s="273"/>
      <c r="F34" s="273"/>
      <c r="G34" s="273"/>
      <c r="H34" s="273"/>
      <c r="I34" s="273"/>
    </row>
    <row r="35" spans="1:9">
      <c r="A35" s="275" t="s">
        <v>155</v>
      </c>
      <c r="B35" s="275"/>
      <c r="C35" s="282">
        <v>250</v>
      </c>
      <c r="D35" s="273"/>
      <c r="E35" s="273"/>
      <c r="F35" s="273"/>
      <c r="G35" s="273"/>
      <c r="H35" s="273"/>
      <c r="I35" s="273"/>
    </row>
    <row r="36" spans="1:9">
      <c r="A36" s="275" t="s">
        <v>156</v>
      </c>
      <c r="B36" s="275"/>
      <c r="C36" s="282">
        <v>324</v>
      </c>
      <c r="D36" s="273"/>
      <c r="E36" s="273"/>
      <c r="F36" s="273"/>
      <c r="G36" s="273"/>
      <c r="H36" s="273"/>
      <c r="I36" s="273"/>
    </row>
    <row r="37" spans="1:9">
      <c r="A37" s="275" t="s">
        <v>157</v>
      </c>
      <c r="B37" s="275"/>
      <c r="C37" s="282">
        <v>473</v>
      </c>
      <c r="D37" s="273"/>
      <c r="E37" s="273"/>
      <c r="F37" s="273"/>
      <c r="G37" s="273"/>
      <c r="H37" s="273"/>
      <c r="I37" s="273"/>
    </row>
    <row r="38" spans="1:9">
      <c r="A38" s="275" t="s">
        <v>158</v>
      </c>
      <c r="B38" s="275"/>
      <c r="C38" s="282">
        <v>613</v>
      </c>
      <c r="D38" s="273"/>
      <c r="E38" s="273"/>
      <c r="F38" s="273"/>
      <c r="G38" s="273"/>
      <c r="H38" s="273"/>
      <c r="I38" s="273"/>
    </row>
    <row r="39" spans="1:9">
      <c r="A39" s="275" t="s">
        <v>159</v>
      </c>
      <c r="B39" s="275"/>
      <c r="C39" s="282">
        <v>840</v>
      </c>
      <c r="D39" s="273"/>
      <c r="E39" s="273"/>
      <c r="F39" s="273"/>
      <c r="G39" s="273"/>
      <c r="H39" s="273"/>
      <c r="I39" s="273"/>
    </row>
    <row r="40" spans="1:9">
      <c r="A40" s="275" t="s">
        <v>160</v>
      </c>
      <c r="B40" s="275"/>
      <c r="C40" s="282">
        <v>980</v>
      </c>
      <c r="D40" s="283"/>
      <c r="E40" s="273"/>
      <c r="F40" s="273"/>
      <c r="G40" s="273"/>
      <c r="H40" s="273"/>
      <c r="I40" s="273"/>
    </row>
    <row r="41" spans="1:9">
      <c r="A41" s="284" t="s">
        <v>161</v>
      </c>
      <c r="B41" s="284">
        <v>2.25</v>
      </c>
      <c r="C41" s="276"/>
      <c r="D41" s="283"/>
      <c r="E41" s="273"/>
      <c r="F41" s="273"/>
      <c r="G41" s="273"/>
      <c r="H41" s="273"/>
      <c r="I41" s="273"/>
    </row>
    <row r="42" spans="1:9">
      <c r="A42" s="275" t="s">
        <v>162</v>
      </c>
      <c r="B42" s="275"/>
      <c r="C42" s="276">
        <f>C36*$B$41</f>
        <v>729</v>
      </c>
      <c r="D42" s="273" t="s">
        <v>146</v>
      </c>
      <c r="E42" s="273"/>
      <c r="F42" s="273"/>
      <c r="G42" s="273"/>
      <c r="H42" s="273"/>
      <c r="I42" s="273"/>
    </row>
    <row r="43" spans="1:9">
      <c r="A43" s="275" t="s">
        <v>163</v>
      </c>
      <c r="B43" s="275"/>
      <c r="C43" s="276">
        <f>C38*$B$41</f>
        <v>1379.25</v>
      </c>
      <c r="D43" s="273" t="s">
        <v>146</v>
      </c>
      <c r="E43" s="273"/>
      <c r="F43" s="273"/>
      <c r="G43" s="273"/>
      <c r="H43" s="273"/>
      <c r="I43" s="273"/>
    </row>
    <row r="44" spans="1:9">
      <c r="A44" s="275" t="s">
        <v>164</v>
      </c>
      <c r="B44" s="275"/>
      <c r="C44" s="276">
        <f>C39*$B$41</f>
        <v>1890</v>
      </c>
      <c r="D44" s="273" t="s">
        <v>146</v>
      </c>
      <c r="E44" s="273"/>
      <c r="F44" s="273"/>
      <c r="G44" s="273"/>
      <c r="H44" s="273"/>
      <c r="I44" s="273"/>
    </row>
    <row r="45" spans="1:9">
      <c r="A45" s="284" t="s">
        <v>165</v>
      </c>
      <c r="B45" s="284">
        <v>3</v>
      </c>
      <c r="C45" s="276"/>
      <c r="D45" s="273"/>
      <c r="E45" s="273"/>
      <c r="F45" s="273"/>
      <c r="G45" s="273"/>
      <c r="H45" s="273"/>
      <c r="I45" s="273"/>
    </row>
    <row r="46" spans="1:9">
      <c r="A46" s="275" t="s">
        <v>162</v>
      </c>
      <c r="B46" s="275"/>
      <c r="C46" s="285">
        <f>C36*$B$45</f>
        <v>972</v>
      </c>
      <c r="D46" s="273" t="s">
        <v>146</v>
      </c>
      <c r="E46" s="273"/>
      <c r="F46" s="273"/>
      <c r="G46" s="273"/>
      <c r="H46" s="273"/>
      <c r="I46" s="273"/>
    </row>
    <row r="47" spans="1:9">
      <c r="A47" s="275" t="s">
        <v>166</v>
      </c>
      <c r="B47" s="275"/>
      <c r="C47" s="285">
        <f t="shared" ref="C47:C49" si="0">C37*$B$45</f>
        <v>1419</v>
      </c>
      <c r="D47" s="273" t="s">
        <v>146</v>
      </c>
      <c r="E47" s="273"/>
      <c r="F47" s="273"/>
      <c r="G47" s="273"/>
      <c r="H47" s="273"/>
      <c r="I47" s="273"/>
    </row>
    <row r="48" spans="1:9">
      <c r="A48" s="275" t="s">
        <v>163</v>
      </c>
      <c r="B48" s="275"/>
      <c r="C48" s="285">
        <f t="shared" si="0"/>
        <v>1839</v>
      </c>
      <c r="D48" s="273" t="s">
        <v>146</v>
      </c>
      <c r="E48" s="273"/>
      <c r="F48" s="273"/>
      <c r="G48" s="273"/>
      <c r="H48" s="273"/>
      <c r="I48" s="273"/>
    </row>
    <row r="49" spans="1:12">
      <c r="A49" s="275" t="s">
        <v>164</v>
      </c>
      <c r="B49" s="275"/>
      <c r="C49" s="285">
        <f t="shared" si="0"/>
        <v>2520</v>
      </c>
      <c r="D49" s="273" t="s">
        <v>146</v>
      </c>
      <c r="E49" s="273"/>
      <c r="F49" s="273"/>
      <c r="G49" s="273"/>
      <c r="H49" s="273"/>
      <c r="I49" s="273"/>
    </row>
    <row r="50" spans="1:12">
      <c r="A50" s="284" t="s">
        <v>167</v>
      </c>
      <c r="B50" s="284">
        <v>4</v>
      </c>
      <c r="C50" s="276"/>
      <c r="D50" s="273"/>
      <c r="E50" s="273"/>
      <c r="F50" s="273"/>
      <c r="G50" s="273"/>
      <c r="H50" s="273"/>
      <c r="I50" s="273"/>
    </row>
    <row r="51" spans="1:12">
      <c r="A51" s="275" t="s">
        <v>166</v>
      </c>
      <c r="B51" s="275"/>
      <c r="C51" s="285">
        <f t="shared" ref="C51:C53" si="1">C37*$B$50</f>
        <v>1892</v>
      </c>
      <c r="D51" s="273" t="s">
        <v>146</v>
      </c>
      <c r="E51" s="273"/>
      <c r="F51" s="273"/>
      <c r="G51" s="273"/>
      <c r="H51" s="273"/>
      <c r="I51" s="273"/>
    </row>
    <row r="52" spans="1:12">
      <c r="A52" s="275" t="s">
        <v>163</v>
      </c>
      <c r="B52" s="275"/>
      <c r="C52" s="285">
        <f t="shared" si="1"/>
        <v>2452</v>
      </c>
      <c r="D52" s="273" t="s">
        <v>146</v>
      </c>
      <c r="E52" s="273"/>
      <c r="F52" s="273"/>
      <c r="G52" s="273"/>
      <c r="H52" s="273"/>
      <c r="I52" s="273"/>
    </row>
    <row r="53" spans="1:12">
      <c r="A53" s="275" t="s">
        <v>164</v>
      </c>
      <c r="B53" s="275"/>
      <c r="C53" s="285">
        <f t="shared" si="1"/>
        <v>3360</v>
      </c>
      <c r="D53" s="273" t="s">
        <v>146</v>
      </c>
      <c r="E53" s="273"/>
      <c r="F53" s="273"/>
      <c r="G53" s="273"/>
      <c r="H53" s="273"/>
      <c r="I53" s="273"/>
    </row>
    <row r="54" spans="1:12">
      <c r="A54" s="284" t="s">
        <v>168</v>
      </c>
      <c r="B54" s="284">
        <v>5</v>
      </c>
      <c r="C54" s="276"/>
      <c r="D54" s="273"/>
      <c r="E54" s="273"/>
      <c r="F54" s="273"/>
      <c r="G54" s="273"/>
      <c r="H54" s="273"/>
      <c r="I54" s="273"/>
    </row>
    <row r="55" spans="1:12">
      <c r="A55" s="275" t="s">
        <v>163</v>
      </c>
      <c r="B55" s="275"/>
      <c r="C55" s="285">
        <f>C38*$B$54</f>
        <v>3065</v>
      </c>
      <c r="D55" s="273" t="s">
        <v>146</v>
      </c>
      <c r="E55" s="273"/>
      <c r="F55" s="273"/>
      <c r="G55" s="273"/>
      <c r="H55" s="273"/>
      <c r="I55" s="273"/>
    </row>
    <row r="56" spans="1:12">
      <c r="A56" s="275" t="s">
        <v>164</v>
      </c>
      <c r="B56" s="275"/>
      <c r="C56" s="285">
        <f>C39*$B$54</f>
        <v>4200</v>
      </c>
      <c r="D56" s="273" t="s">
        <v>146</v>
      </c>
      <c r="E56" s="273"/>
      <c r="F56" s="273"/>
      <c r="G56" s="273"/>
      <c r="H56" s="273"/>
      <c r="I56" s="273"/>
    </row>
    <row r="57" spans="1:12">
      <c r="C57" s="587" t="s">
        <v>169</v>
      </c>
      <c r="D57" s="587"/>
    </row>
    <row r="58" spans="1:12">
      <c r="C58" t="s">
        <v>170</v>
      </c>
    </row>
    <row r="60" spans="1:12">
      <c r="A60" s="288"/>
      <c r="B60" s="288"/>
      <c r="C60" s="289"/>
      <c r="D60" s="289"/>
      <c r="E60" s="290"/>
      <c r="F60" s="290"/>
      <c r="G60" s="588"/>
      <c r="H60" s="588"/>
      <c r="I60" s="290"/>
      <c r="J60" s="290"/>
      <c r="K60" s="290"/>
      <c r="L60" s="290"/>
    </row>
    <row r="61" spans="1:12">
      <c r="A61" s="291"/>
      <c r="B61" s="291"/>
      <c r="C61" s="286"/>
      <c r="D61" s="292"/>
      <c r="E61" s="290"/>
      <c r="F61" s="290"/>
      <c r="G61" s="290"/>
      <c r="H61" s="287"/>
      <c r="I61" s="290"/>
      <c r="J61" s="290"/>
      <c r="K61" s="290"/>
      <c r="L61" s="290"/>
    </row>
    <row r="62" spans="1:12">
      <c r="A62" s="291"/>
      <c r="B62" s="291"/>
      <c r="C62" s="286"/>
      <c r="D62" s="292"/>
      <c r="E62" s="290"/>
      <c r="F62" s="290"/>
      <c r="G62" s="290"/>
      <c r="H62" s="287"/>
      <c r="I62" s="290"/>
      <c r="J62" s="290"/>
      <c r="K62" s="290"/>
      <c r="L62" s="290"/>
    </row>
    <row r="63" spans="1:12">
      <c r="A63" s="293"/>
      <c r="B63" s="293"/>
      <c r="C63" s="286"/>
      <c r="D63" s="294"/>
      <c r="E63" s="295"/>
      <c r="F63" s="290"/>
      <c r="G63" s="290"/>
      <c r="H63" s="287"/>
      <c r="I63" s="290"/>
      <c r="J63" s="290"/>
      <c r="K63" s="290"/>
      <c r="L63" s="290"/>
    </row>
    <row r="64" spans="1:12">
      <c r="A64" s="290"/>
      <c r="B64" s="290"/>
      <c r="C64" s="290"/>
      <c r="D64" s="296"/>
      <c r="E64" s="290"/>
      <c r="F64" s="290"/>
      <c r="G64" s="290"/>
      <c r="H64" s="297"/>
      <c r="I64" s="290"/>
      <c r="J64" s="298"/>
      <c r="K64" s="290"/>
      <c r="L64" s="290"/>
    </row>
    <row r="65" spans="1:12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</row>
    <row r="66" spans="1:12">
      <c r="A66" s="290"/>
      <c r="B66" s="290"/>
      <c r="C66" s="299"/>
      <c r="D66" s="296"/>
      <c r="E66" s="290"/>
      <c r="F66" s="290"/>
      <c r="G66" s="290"/>
      <c r="H66" s="300"/>
      <c r="I66" s="290"/>
      <c r="J66" s="290"/>
      <c r="K66" s="290"/>
      <c r="L66" s="290"/>
    </row>
    <row r="67" spans="1:12">
      <c r="A67" s="290"/>
      <c r="B67" s="290"/>
      <c r="C67" s="299"/>
      <c r="D67" s="296"/>
      <c r="E67" s="290"/>
      <c r="F67" s="290"/>
      <c r="G67" s="290"/>
      <c r="H67" s="290"/>
      <c r="I67" s="290"/>
      <c r="J67" s="290"/>
      <c r="K67" s="290"/>
      <c r="L67" s="290"/>
    </row>
    <row r="68" spans="1:12">
      <c r="A68" s="290"/>
      <c r="B68" s="290"/>
      <c r="C68" s="301"/>
      <c r="D68" s="299"/>
      <c r="E68" s="286"/>
      <c r="F68" s="290"/>
      <c r="G68" s="290"/>
      <c r="H68" s="290"/>
      <c r="I68" s="290"/>
      <c r="J68" s="290"/>
      <c r="K68" s="290"/>
      <c r="L68" s="290"/>
    </row>
    <row r="69" spans="1:12">
      <c r="A69" s="288"/>
      <c r="B69" s="288"/>
      <c r="C69" s="302"/>
      <c r="D69" s="290"/>
      <c r="E69" s="286"/>
      <c r="F69" s="290"/>
      <c r="G69" s="290"/>
      <c r="H69" s="290"/>
      <c r="I69" s="290"/>
      <c r="J69" s="290"/>
      <c r="K69" s="290"/>
      <c r="L69" s="290"/>
    </row>
    <row r="70" spans="1:12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</row>
    <row r="71" spans="1:12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</row>
    <row r="72" spans="1:12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</row>
    <row r="73" spans="1:12">
      <c r="A73" s="288"/>
      <c r="B73" s="288"/>
      <c r="C73" s="289"/>
      <c r="D73" s="290"/>
      <c r="E73" s="299"/>
      <c r="F73" s="290"/>
      <c r="G73" s="290"/>
      <c r="H73" s="290"/>
      <c r="I73" s="290"/>
      <c r="J73" s="290"/>
      <c r="K73" s="290"/>
      <c r="L73" s="290"/>
    </row>
    <row r="74" spans="1:12">
      <c r="A74" s="290"/>
      <c r="B74" s="290"/>
      <c r="C74" s="303"/>
      <c r="D74" s="290"/>
      <c r="E74" s="290"/>
      <c r="F74" s="290"/>
      <c r="G74" s="290"/>
      <c r="H74" s="290"/>
      <c r="I74" s="290"/>
      <c r="J74" s="290"/>
      <c r="K74" s="290"/>
      <c r="L74" s="290"/>
    </row>
    <row r="75" spans="1:12">
      <c r="A75" s="290"/>
      <c r="B75" s="290"/>
      <c r="C75" s="303"/>
      <c r="D75" s="304"/>
      <c r="E75" s="290"/>
      <c r="F75" s="290"/>
      <c r="G75" s="290"/>
      <c r="H75" s="290"/>
      <c r="I75" s="290"/>
      <c r="J75" s="290"/>
      <c r="K75" s="290"/>
      <c r="L75" s="290"/>
    </row>
    <row r="76" spans="1:12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</row>
    <row r="77" spans="1:12">
      <c r="A77" s="290"/>
      <c r="B77" s="288"/>
      <c r="C77" s="305"/>
      <c r="D77" s="290"/>
      <c r="E77" s="290"/>
      <c r="F77" s="290"/>
      <c r="G77" s="290"/>
      <c r="H77" s="290"/>
      <c r="I77" s="290"/>
      <c r="J77" s="290"/>
      <c r="K77" s="290"/>
      <c r="L77" s="290"/>
    </row>
    <row r="78" spans="1:12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</row>
    <row r="79" spans="1:12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</row>
    <row r="80" spans="1:12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</row>
    <row r="81" spans="1:12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</row>
    <row r="82" spans="1:1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</row>
    <row r="83" spans="1:12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</row>
    <row r="84" spans="1:12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</row>
    <row r="85" spans="1:12">
      <c r="A85" s="290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</row>
    <row r="86" spans="1:12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</row>
    <row r="87" spans="1:12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</row>
    <row r="88" spans="1:12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</row>
    <row r="89" spans="1:12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</row>
    <row r="90" spans="1:12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</row>
    <row r="91" spans="1:1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</row>
    <row r="92" spans="1:12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</row>
    <row r="93" spans="1:12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</row>
    <row r="94" spans="1:12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</row>
    <row r="95" spans="1:12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</row>
    <row r="96" spans="1:12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</row>
    <row r="97" spans="1:12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</row>
    <row r="98" spans="1:12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</row>
    <row r="99" spans="1:12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</row>
    <row r="100" spans="1:12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</row>
    <row r="101" spans="1:1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</row>
    <row r="102" spans="1:12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</row>
  </sheetData>
  <mergeCells count="4">
    <mergeCell ref="A5:I5"/>
    <mergeCell ref="A15:C15"/>
    <mergeCell ref="C57:D57"/>
    <mergeCell ref="G60:H60"/>
  </mergeCells>
  <conditionalFormatting sqref="C75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53" orientation="portrait" r:id="rId1"/>
  <headerFooter>
    <oddFooter>&amp;L&amp;F - &amp;A&amp;R&amp;P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8242B2ECA0D5489F6A0EC71C5BCC24" ma:contentTypeVersion="20" ma:contentTypeDescription="" ma:contentTypeScope="" ma:versionID="bf56b3982683604e519384575c9985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2022-01-12T08:00:00+00:00</OpenedDate>
    <SignificantOrder xmlns="dc463f71-b30c-4ab2-9473-d307f9d35888">false</SignificantOrder>
    <Date1 xmlns="dc463f71-b30c-4ab2-9473-d307f9d35888">2022-01-12T08:00:00+00:00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Lamb, Lee A</CaseCompanyNames>
    <Nickname xmlns="http://schemas.microsoft.com/sharepoint/v3" xsi:nil="true"/>
    <DocketNumber xmlns="dc463f71-b30c-4ab2-9473-d307f9d35888">220030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979835-3949-4183-ACF4-40D5C3318057}"/>
</file>

<file path=customXml/itemProps2.xml><?xml version="1.0" encoding="utf-8"?>
<ds:datastoreItem xmlns:ds="http://schemas.openxmlformats.org/officeDocument/2006/customXml" ds:itemID="{9D032528-C8D3-4F52-808E-B9F246DD9FAD}"/>
</file>

<file path=customXml/itemProps3.xml><?xml version="1.0" encoding="utf-8"?>
<ds:datastoreItem xmlns:ds="http://schemas.openxmlformats.org/officeDocument/2006/customXml" ds:itemID="{89923F3F-48E5-4987-A5DA-1D0A3B83B483}"/>
</file>

<file path=customXml/itemProps4.xml><?xml version="1.0" encoding="utf-8"?>
<ds:datastoreItem xmlns:ds="http://schemas.openxmlformats.org/officeDocument/2006/customXml" ds:itemID="{42C6E009-E48E-4F07-A914-2881DD7C97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LG Nonpublic 2018 V5.2a</vt:lpstr>
      <vt:lpstr>Sheet1</vt:lpstr>
      <vt:lpstr>Pro Forma Income Statement</vt:lpstr>
      <vt:lpstr>Fixed Assets</vt:lpstr>
      <vt:lpstr>Balance Sheet</vt:lpstr>
      <vt:lpstr>Price Out v3</vt:lpstr>
      <vt:lpstr>Matrix</vt:lpstr>
      <vt:lpstr>COS</vt:lpstr>
      <vt:lpstr>References</vt:lpstr>
      <vt:lpstr>Sheet2</vt:lpstr>
      <vt:lpstr>'LG Nonpublic 2018 V5.2a'!Debt_Rate</vt:lpstr>
      <vt:lpstr>'LG Nonpublic 2018 V5.2a'!debtP</vt:lpstr>
      <vt:lpstr>'LG Nonpublic 2018 V5.2a'!Equity_percent</vt:lpstr>
      <vt:lpstr>'LG Nonpublic 2018 V5.2a'!equityP</vt:lpstr>
      <vt:lpstr>'LG Nonpublic 2018 V5.2a'!expenses</vt:lpstr>
      <vt:lpstr>'LG Nonpublic 2018 V5.2a'!Investment</vt:lpstr>
      <vt:lpstr>'LG Nonpublic 2018 V5.2a'!Pfd_weighted</vt:lpstr>
      <vt:lpstr>COS!Print_Area</vt:lpstr>
      <vt:lpstr>'LG Nonpublic 2018 V5.2a'!Print_Area</vt:lpstr>
      <vt:lpstr>'Pro Forma Income Statement'!Print_Titles</vt:lpstr>
      <vt:lpstr>'LG Nonpublic 2018 V5.2a'!regDebt_weighted</vt:lpstr>
      <vt:lpstr>'LG Nonpublic 2018 V5.2a'!Revenue</vt:lpstr>
      <vt:lpstr>'LG Nonpublic 2018 V5.2a'!slope</vt:lpstr>
      <vt:lpstr>'LG Nonpublic 2018 V5.2a'!taxrate</vt:lpstr>
      <vt:lpstr>'LG Nonpublic 2018 V5.2a'!y_inter1</vt:lpstr>
      <vt:lpstr>'LG Nonpublic 2018 V5.2a'!y_inter2</vt:lpstr>
      <vt:lpstr>'LG Nonpublic 2018 V5.2a'!y_inter3</vt:lpstr>
      <vt:lpstr>'LG Nonpublic 2018 V5.2a'!y_inter4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Mickelson, Christopher (UTC)</dc:creator>
  <cp:keywords/>
  <dc:description/>
  <cp:lastModifiedBy>LeeAnne Lamb</cp:lastModifiedBy>
  <cp:revision/>
  <dcterms:created xsi:type="dcterms:W3CDTF">2012-07-09T21:32:42Z</dcterms:created>
  <dcterms:modified xsi:type="dcterms:W3CDTF">2022-01-12T18:04:24Z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0x0101006E56B4D1795A2E4DB2F0B01679ED314A00A88242B2ECA0D5489F6A0EC71C5BCC24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