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basindisposal.sharepoint.com/sites/AccountingTeam/Shared Documents/Rate Making/WUTC/EDS - Tariff 110/Rate Increase Filings/2022/"/>
    </mc:Choice>
  </mc:AlternateContent>
  <xr:revisionPtr revIDLastSave="388" documentId="8_{5E8D585C-D2D9-49A8-B449-29F0809EA6C5}" xr6:coauthVersionLast="47" xr6:coauthVersionMax="47" xr10:uidLastSave="{B1B1E628-9B7F-46F6-86E0-A4B5C6B9DE04}"/>
  <bookViews>
    <workbookView xWindow="-120" yWindow="-120" windowWidth="29040" windowHeight="15840" tabRatio="820" activeTab="2" xr2:uid="{00000000-000D-0000-FFFF-FFFF00000000}"/>
  </bookViews>
  <sheets>
    <sheet name="EDS_Disp &amp; B&amp;O Increase Calc" sheetId="1" r:id="rId1"/>
    <sheet name="References_EDS" sheetId="2" r:id="rId2"/>
    <sheet name="EDS_RevenueIncrease" sheetId="3" r:id="rId3"/>
    <sheet name="Tonnage Summar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xlnm._FilterDatabase" localSheetId="0" hidden="1">'EDS_Disp &amp; B&amp;O Increase Calc'!$A$6:$U$114</definedName>
    <definedName name="_LYA12">[1]Hidden!$O$11</definedName>
    <definedName name="_xlcn.WorksheetConnection_Book1Table_Query_from_CORE1" hidden="1">[3]!Table_Query_from_CORE[#Data]</definedName>
    <definedName name="a">#REF!</definedName>
    <definedName name="acct">'[4]1. BDI General Ledger Table'!$C$2:$C$4682</definedName>
    <definedName name="ACCT.ConsolSum">[1]Hidden!$Q$11</definedName>
    <definedName name="acct_period_month">'[4]1. BDI General Ledger Table'!$L$2:$L$4682</definedName>
    <definedName name="Acct_Type">'[4]1. BDI General Ledger Table'!$B$2:$B$4682</definedName>
    <definedName name="ACT_CUR">[2]Hidden!#REF!</definedName>
    <definedName name="ACT_YTD">[2]Hidden!#REF!</definedName>
    <definedName name="AmountCount">#REF!</definedName>
    <definedName name="AmountTotal">#REF!</definedName>
    <definedName name="Annex_tons">[5]Census!$D$48</definedName>
    <definedName name="Annual_Collected_Cont._Yards">'[5]Bin Collection'!$C$9</definedName>
    <definedName name="Asset_Replacement_Factor">[5]Census!$B$13</definedName>
    <definedName name="BDI_Cart_Rent">'[4]14. Cart Rent'!$D$26</definedName>
    <definedName name="BDI_Cust_per" localSheetId="1">#REF!</definedName>
    <definedName name="BDI_Cust_per">#REF!</definedName>
    <definedName name="BDI_Driver_per" localSheetId="1">#REF!</definedName>
    <definedName name="BDI_Driver_per">#REF!</definedName>
    <definedName name="BDI_Emp_per" localSheetId="1">#REF!</definedName>
    <definedName name="BDI_Emp_per">#REF!</definedName>
    <definedName name="BDI_Rev_per" localSheetId="1">#REF!</definedName>
    <definedName name="BDI_Rev_per">#REF!</definedName>
    <definedName name="Bin_Customer_Allocation">'[5]CA Yenta Revenue and Expenses'!$G$11</definedName>
    <definedName name="Bin_Customers">[5]Census!$F$17</definedName>
    <definedName name="Bin_Labor_Hour_Allocation">'[5]CA Yenta Revenue and Expenses'!$G$7</definedName>
    <definedName name="Bin_Rate_Increse">'[5]Bin Collection'!$D$49</definedName>
    <definedName name="Bin_Revenue_Allocation">'[5]CA Yenta Revenue and Expenses'!$G$13</definedName>
    <definedName name="Bin_Route_Hour_Allocation">'[5]CA Yenta Revenue and Expenses'!$G$9</definedName>
    <definedName name="BO_Tax_Rate">[5]Data!$B$18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Room_Cust_per" localSheetId="1">#REF!</definedName>
    <definedName name="BRoom_Cust_per">#REF!</definedName>
    <definedName name="BRoom_Driver_per" localSheetId="1">#REF!</definedName>
    <definedName name="BRoom_Driver_per">#REF!</definedName>
    <definedName name="BRoom_Emp_per" localSheetId="1">#REF!</definedName>
    <definedName name="BRoom_Emp_per">#REF!</definedName>
    <definedName name="BRoom_Rev_per" localSheetId="1">#REF!</definedName>
    <definedName name="BRoom_Rev_per">#REF!</definedName>
    <definedName name="BUD_CUR">[2]Hidden!#REF!</definedName>
    <definedName name="BUD_YTD">[2]Hidden!#REF!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'[7]1. GLSummary'!$R:$R</definedName>
    <definedName name="CheckTotals">#REF!</definedName>
    <definedName name="colgroup">[1]Orientation!$G$6</definedName>
    <definedName name="colsegment">[1]Orientation!$F$6</definedName>
    <definedName name="Combined_Tax_Rate">[5]Data!$B$19</definedName>
    <definedName name="Connell">'[4]5. BDI Customer Counts'!$I$3</definedName>
    <definedName name="Connell_Hrs">'[4]13. BDI Allocation Factors'!$G$2</definedName>
    <definedName name="Connell_TipFee">'[4]15. Tonnage Summary'!$F$8</definedName>
    <definedName name="Contract">'[4]5. BDI Customer Counts'!$N$3</definedName>
    <definedName name="Contract_and_Recycling_Hrs">'[4]13. BDI Allocation Factors'!$L$2</definedName>
    <definedName name="CPI_Escalation_Factor">[5]Census!$B$12</definedName>
    <definedName name="CRCTable">#REF!</definedName>
    <definedName name="CRCTableOLD">#REF!</definedName>
    <definedName name="CriteriaType">[8]ControlPanel!$Z$2:$Z$5</definedName>
    <definedName name="CustCountAdj">'[7]1a. CustomerCount'!$M:$M</definedName>
    <definedName name="CustCountUnique">'[7]1a. CustomerCount'!$L:$L</definedName>
    <definedName name="Customer_Allocation" localSheetId="1">#REF!</definedName>
    <definedName name="Customer_Allocation">#REF!</definedName>
    <definedName name="Cutomers">#REF!</definedName>
    <definedName name="_xlnm.Database">#REF!</definedName>
    <definedName name="Database1">#REF!</definedName>
    <definedName name="Dayton">'[4]5. BDI Customer Counts'!$L$3</definedName>
    <definedName name="Dayton_Hrs">'[4]13. BDI Allocation Factors'!$J$2</definedName>
    <definedName name="Dayton_TipFee">'[4]15. Tonnage Summary'!$I$8</definedName>
    <definedName name="Dental_Ins._Rate">[5]Census!$F$12</definedName>
    <definedName name="DEPT">[2]Hidden!#REF!</definedName>
    <definedName name="Disposal_Cost_for_32_gal">[5]Data!$D$12</definedName>
    <definedName name="Disposal_Cost_for_96_gal">[5]Data!$D$13</definedName>
    <definedName name="District">'[9]Vashon BS'!#REF!</definedName>
    <definedName name="DistrictNum">#REF!</definedName>
    <definedName name="Driver_Route_to_Labor_Ratio">[5]Census!$B$8</definedName>
    <definedName name="drlFilter">[1]Settings!$D$27</definedName>
    <definedName name="Eds_Cust_per" localSheetId="1">#REF!</definedName>
    <definedName name="Eds_Cust_per">#REF!</definedName>
    <definedName name="Eds_Driver_per" localSheetId="1">#REF!</definedName>
    <definedName name="Eds_Driver_per">#REF!</definedName>
    <definedName name="Eds_Emp_per" localSheetId="1">#REF!</definedName>
    <definedName name="Eds_Emp_per">#REF!</definedName>
    <definedName name="Eds_Rev_per" localSheetId="1">#REF!</definedName>
    <definedName name="Eds_Rev_per">#REF!</definedName>
    <definedName name="Employee_Allocation" localSheetId="1">#REF!</definedName>
    <definedName name="Employee_Allocation">#REF!</definedName>
    <definedName name="End">#REF!</definedName>
    <definedName name="end_bal">'[4]1. BDI General Ledger Table'!$O$2:$O$4682</definedName>
    <definedName name="ExcludeIC">'[9]Vashon BS'!#REF!</definedName>
    <definedName name="FBTable">#REF!</definedName>
    <definedName name="FBTableOld">#REF!</definedName>
    <definedName name="filter">[1]Settings!$B$14:$H$25</definedName>
    <definedName name="Fuel_Escalation_Factor">[5]Census!$B$11</definedName>
    <definedName name="GLMappingStart">#REF!</definedName>
    <definedName name="Hatton">'[4]5. BDI Customer Counts'!$J$3</definedName>
    <definedName name="Hatton_Hrs">'[4]13. BDI Allocation Factors'!$H$2</definedName>
    <definedName name="Hatton_TipFee">'[4]15. Tonnage Summary'!$G$8</definedName>
    <definedName name="Hour_Allocation" localSheetId="1">#REF!</definedName>
    <definedName name="Hour_Allocation">#REF!</definedName>
    <definedName name="IncomeStmnt">#REF!</definedName>
    <definedName name="Industrial_Ins._Rate">[5]Census!$F$9</definedName>
    <definedName name="INPUT" localSheetId="1">#REF!</definedName>
    <definedName name="INPUT">#REF!</definedName>
    <definedName name="Insurance">#REF!</definedName>
    <definedName name="Interfund_Increase_Factor">[5]Census!$B$14</definedName>
    <definedName name="IS_4C" localSheetId="1">'[10]1. BDI General Ledger Table'!$J$2:$J$4682</definedName>
    <definedName name="IS_4C">'[4]1. BDI General Ledger Table'!$J$2:$J$4682</definedName>
    <definedName name="IS_Lines">'[4]3. V Lookup Tables'!$B$3:$D$401</definedName>
    <definedName name="JEDetail">#REF!</definedName>
    <definedName name="JEType">#REF!</definedName>
    <definedName name="Kahlotus">'[4]5. BDI Customer Counts'!$H$3</definedName>
    <definedName name="Kahlotus_Hrs">'[4]13. BDI Allocation Factors'!$F$2</definedName>
    <definedName name="Kahlotus_TipFee">'[4]15. Tonnage Summary'!$E$8</definedName>
    <definedName name="Ken_TipFee">'[4]15. Tonnage Summary'!$C$8</definedName>
    <definedName name="KENNEWICK">'[4]5. BDI Customer Counts'!$F$3</definedName>
    <definedName name="Kennewick_Hrs">'[4]13. BDI Allocation Factors'!$D$2</definedName>
    <definedName name="Labor_Escalation_Factor">[5]Census!$B$10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ife_Insurance_Rate">[5]Census!$F$10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dical_Ins._Rate">[5]Census!$F$11</definedName>
    <definedName name="MemoAttachment">#REF!</definedName>
    <definedName name="Mesa">'[4]5. BDI Customer Counts'!$G$3</definedName>
    <definedName name="Mesa_Hrs">'[4]13. BDI Allocation Factors'!$E$2</definedName>
    <definedName name="Mesa_TipFee">'[4]15. Tonnage Summary'!$D$8</definedName>
    <definedName name="MetaSet">[1]Orientation!$C$22</definedName>
    <definedName name="MF_2015_hrs">'[5]Labor Hours'!$D$57</definedName>
    <definedName name="NewOnlyOrg">#N/A</definedName>
    <definedName name="NOTES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">#REF!</definedName>
    <definedName name="PAGE_1">#REF!</definedName>
    <definedName name="Pasco">'[4]5. BDI Customer Counts'!$E$3</definedName>
    <definedName name="Pasco_Hrs">'[4]13. BDI Allocation Factors'!$C$2</definedName>
    <definedName name="Pasco_TipFee">'[4]15. Tonnage Summary'!$B$8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ERS_Rate">[5]Census!$F$8</definedName>
    <definedName name="PILOT_Tax_Rate">'[5]Bin Collection'!$G$10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 localSheetId="1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F">'[4]1. BDI General Ledger Table'!$K$2:$K$4682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rosser">'[4]5. BDI Customer Counts'!$K$3</definedName>
    <definedName name="Prosser_Hrs">'[4]13. BDI Allocation Factors'!$I$2</definedName>
    <definedName name="Prosser_TipFee">'[4]15. Tonnage Summary'!$H$8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_TipFee">'[4]15. Tonnage Summary'!$K$8</definedName>
    <definedName name="RecMat_Tonnage_Cost">[5]Data!$D$91</definedName>
    <definedName name="RecyDisposal">#N/A</definedName>
    <definedName name="Refuse_and_BO_tax_rate">'[5]Bin Collection'!$G$11</definedName>
    <definedName name="Refuse_Tax_Rate">[5]Data!$B$17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_FundBalance_Cost">[5]Data!$D$82</definedName>
    <definedName name="Residential_2015_hrs">'[5]Labor Hours'!$D$56</definedName>
    <definedName name="RetainedEarnings">#REF!</definedName>
    <definedName name="RevCust">[12]RevenuesCust!#REF!</definedName>
    <definedName name="Revenue_Allocation" localSheetId="1">#REF!</definedName>
    <definedName name="Revenue_Allocation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cial_Security_Rate">[5]Census!$F$7</definedName>
    <definedName name="sortcol">#REF!</definedName>
    <definedName name="sSRCDate">'[13]Feb''12 FAR Data'!#REF!</definedName>
    <definedName name="StatementLine">'[7]1. GLSummary'!$Q:$Q</definedName>
    <definedName name="Supplemental_filter">[1]Settings!$C$31</definedName>
    <definedName name="SW_Customer_Allocation">'[5]CA Yenta Revenue and Expenses'!$E$11</definedName>
    <definedName name="SW_Disposal_Cost">'[5]Current Rates &amp; Revenue'!$D$31</definedName>
    <definedName name="SW_Disposal_Cost_2017">'[5]Current Rates &amp; Revenue'!$E$31</definedName>
    <definedName name="SW_Labor_Hour_Allocation">'[5]CA Yenta Revenue and Expenses'!$E$7</definedName>
    <definedName name="SW_Revenue_Allocation">'[5]CA Yenta Revenue and Expenses'!$E$13</definedName>
    <definedName name="SW_Route_Hour_Allocation">'[5]CA Yenta Revenue and Expenses'!$E$9</definedName>
    <definedName name="SWDisposal">#N/A</definedName>
    <definedName name="System">[14]BS_Close!$V$8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trx_total" localSheetId="1">'[10]1. BDI General Ledger Table'!$N$2:$N$4682</definedName>
    <definedName name="trx_total">'[7]1. GLSummary'!$L:$L</definedName>
    <definedName name="Unemployment_Rate">[5]Census!$F$13</definedName>
    <definedName name="Uniforms_Rate">[5]Census!$F$14</definedName>
    <definedName name="Waitsburg">'[4]5. BDI Customer Counts'!$M$3</definedName>
    <definedName name="Waitsburg_Hrs">'[4]13. BDI Allocation Factors'!$K$2</definedName>
    <definedName name="Waitsburg_TipFee">'[4]15. Tonnage Summary'!$J$8</definedName>
    <definedName name="Walla_Cust_per" localSheetId="1">#REF!</definedName>
    <definedName name="Walla_Cust_per">#REF!</definedName>
    <definedName name="Walla_Driver_per" localSheetId="1">#REF!</definedName>
    <definedName name="Walla_Driver_per">#REF!</definedName>
    <definedName name="Walla_Emp_per" localSheetId="1">#REF!</definedName>
    <definedName name="Walla_Emp_per">#REF!</definedName>
    <definedName name="Walla_Rev_per" localSheetId="1">#REF!</definedName>
    <definedName name="Walla_Rev_per">#REF!</definedName>
    <definedName name="Weight_per_Cont_Yard">'[5]Bin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UTC">'[4]5. BDI Customer Counts'!$O$3</definedName>
    <definedName name="WUTC_Hrs">'[4]13. BDI Allocation Factors'!$M$2</definedName>
    <definedName name="WUTC_TipFee">'[4]15. Tonnage Summary'!$M$8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ak_Cust_per" localSheetId="1">#REF!</definedName>
    <definedName name="Yak_Cust_per">#REF!</definedName>
    <definedName name="Yak_Driver_per" localSheetId="1">#REF!</definedName>
    <definedName name="Yak_Driver_per">#REF!</definedName>
    <definedName name="Yak_Emp_per" localSheetId="1">#REF!</definedName>
    <definedName name="Yak_Emp_per">#REF!</definedName>
    <definedName name="Yak_Rev_per" localSheetId="1">#REF!</definedName>
    <definedName name="Yak_Rev_per">#REF!</definedName>
    <definedName name="YD_2015_hrs">'[5]Labor Hours'!$D$58</definedName>
    <definedName name="YD_Disposal_Cost">'[5]Current Rates &amp; Revenue'!$D$32</definedName>
    <definedName name="YD_Disposal_Cost_2017">'[5]Current Rates &amp; Revenue'!$E$32</definedName>
    <definedName name="YearMonth">'[9]Vashon BS'!#REF!</definedName>
    <definedName name="YR_PD" localSheetId="1">'[10]1. BDI General Ledger Table'!$Q$2:$Q$4682</definedName>
    <definedName name="YR_PD">'[7]1. GLSummary'!$K:$K</definedName>
    <definedName name="YW_Customer_Allocation">'[5]CA Yenta Revenue and Expenses'!$F$11</definedName>
    <definedName name="YW_Labor_Hour_Allocation">'[5]CA Yenta Revenue and Expenses'!$F$7</definedName>
    <definedName name="YW_Revenue_Allocation">'[5]CA Yenta Revenue and Expenses'!$F$13</definedName>
    <definedName name="YW_Route_Hour_Allocation">'[5]CA Yenta Revenue and Expenses'!$F$9</definedName>
    <definedName name="YWMedWasteDisp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2" i="1"/>
  <c r="I53" i="1"/>
  <c r="I54" i="1"/>
  <c r="I55" i="1"/>
  <c r="I56" i="1"/>
  <c r="I50" i="1"/>
  <c r="V18" i="3" l="1"/>
  <c r="T18" i="3"/>
  <c r="R18" i="3"/>
  <c r="P10" i="3"/>
  <c r="V10" i="3" s="1"/>
  <c r="P18" i="3"/>
  <c r="R10" i="3"/>
  <c r="W6" i="1"/>
  <c r="T10" i="3" l="1"/>
  <c r="G40" i="2" l="1"/>
  <c r="S60" i="1"/>
  <c r="S61" i="1"/>
  <c r="S62" i="1"/>
  <c r="K105" i="1" l="1"/>
  <c r="K106" i="1"/>
  <c r="K104" i="1"/>
  <c r="K103" i="1" l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59" i="1"/>
  <c r="K61" i="1" s="1"/>
  <c r="L61" i="1" s="1"/>
  <c r="K58" i="1"/>
  <c r="K60" i="1" s="1"/>
  <c r="L60" i="1" s="1"/>
  <c r="K57" i="1"/>
  <c r="K55" i="1"/>
  <c r="K54" i="1"/>
  <c r="K53" i="1"/>
  <c r="K52" i="1"/>
  <c r="K51" i="1"/>
  <c r="K50" i="1"/>
  <c r="K56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75" i="1" l="1"/>
  <c r="K62" i="1"/>
  <c r="L62" i="1" s="1"/>
  <c r="K73" i="1"/>
  <c r="K74" i="1"/>
  <c r="L51" i="1" l="1"/>
  <c r="K113" i="1"/>
  <c r="K114" i="1" s="1"/>
  <c r="K112" i="1"/>
  <c r="K111" i="1"/>
  <c r="K110" i="1"/>
  <c r="K109" i="1"/>
  <c r="K108" i="1"/>
  <c r="K107" i="1"/>
  <c r="K72" i="1"/>
  <c r="K69" i="1"/>
  <c r="K70" i="1" s="1"/>
  <c r="K11" i="1"/>
  <c r="K63" i="1" s="1"/>
  <c r="K10" i="1"/>
  <c r="K9" i="1"/>
  <c r="K16" i="1" s="1"/>
  <c r="K8" i="1"/>
  <c r="K7" i="1"/>
  <c r="G41" i="2"/>
  <c r="K65" i="1" l="1"/>
  <c r="K64" i="1"/>
  <c r="K15" i="1"/>
  <c r="K71" i="1"/>
  <c r="D3" i="4" l="1"/>
  <c r="H122" i="1"/>
  <c r="H123" i="1" s="1"/>
  <c r="D21" i="3"/>
  <c r="D20" i="3"/>
  <c r="B10" i="3"/>
  <c r="B42" i="2"/>
  <c r="B45" i="2" s="1"/>
  <c r="C41" i="2"/>
  <c r="G43" i="2"/>
  <c r="G45" i="2" s="1"/>
  <c r="C40" i="2"/>
  <c r="N9" i="2"/>
  <c r="R9" i="2" s="1"/>
  <c r="N8" i="2"/>
  <c r="R8" i="2" s="1"/>
  <c r="P7" i="2"/>
  <c r="N7" i="2"/>
  <c r="R7" i="2" s="1"/>
  <c r="N6" i="2"/>
  <c r="T6" i="2" s="1"/>
  <c r="N5" i="2"/>
  <c r="R5" i="2" s="1"/>
  <c r="N4" i="2"/>
  <c r="R4" i="2" s="1"/>
  <c r="N3" i="2"/>
  <c r="R3" i="2" s="1"/>
  <c r="S114" i="1"/>
  <c r="L114" i="1"/>
  <c r="S113" i="1"/>
  <c r="L113" i="1"/>
  <c r="S112" i="1"/>
  <c r="L112" i="1"/>
  <c r="S111" i="1"/>
  <c r="L111" i="1"/>
  <c r="S110" i="1"/>
  <c r="L110" i="1"/>
  <c r="S109" i="1"/>
  <c r="L109" i="1"/>
  <c r="S108" i="1"/>
  <c r="L108" i="1"/>
  <c r="S107" i="1"/>
  <c r="L107" i="1"/>
  <c r="S106" i="1"/>
  <c r="L106" i="1"/>
  <c r="S105" i="1"/>
  <c r="L105" i="1"/>
  <c r="S104" i="1"/>
  <c r="L104" i="1"/>
  <c r="S103" i="1"/>
  <c r="L103" i="1"/>
  <c r="S102" i="1"/>
  <c r="L102" i="1"/>
  <c r="S101" i="1"/>
  <c r="L101" i="1"/>
  <c r="S100" i="1"/>
  <c r="L100" i="1"/>
  <c r="S99" i="1"/>
  <c r="L99" i="1"/>
  <c r="S98" i="1"/>
  <c r="L98" i="1"/>
  <c r="S97" i="1"/>
  <c r="L97" i="1"/>
  <c r="S96" i="1"/>
  <c r="L96" i="1"/>
  <c r="S95" i="1"/>
  <c r="L95" i="1"/>
  <c r="S94" i="1"/>
  <c r="L94" i="1"/>
  <c r="S93" i="1"/>
  <c r="L93" i="1"/>
  <c r="S92" i="1"/>
  <c r="L92" i="1"/>
  <c r="S91" i="1"/>
  <c r="L91" i="1"/>
  <c r="S90" i="1"/>
  <c r="L90" i="1"/>
  <c r="S89" i="1"/>
  <c r="L89" i="1"/>
  <c r="S88" i="1"/>
  <c r="L88" i="1"/>
  <c r="S87" i="1"/>
  <c r="L87" i="1"/>
  <c r="S86" i="1"/>
  <c r="L86" i="1"/>
  <c r="S85" i="1"/>
  <c r="L85" i="1"/>
  <c r="S84" i="1"/>
  <c r="L84" i="1"/>
  <c r="S83" i="1"/>
  <c r="L83" i="1"/>
  <c r="S82" i="1"/>
  <c r="L82" i="1"/>
  <c r="S81" i="1"/>
  <c r="L81" i="1"/>
  <c r="S80" i="1"/>
  <c r="L80" i="1"/>
  <c r="S79" i="1"/>
  <c r="L79" i="1"/>
  <c r="S78" i="1"/>
  <c r="L78" i="1"/>
  <c r="S77" i="1"/>
  <c r="L77" i="1"/>
  <c r="S76" i="1"/>
  <c r="L76" i="1"/>
  <c r="S75" i="1"/>
  <c r="L75" i="1"/>
  <c r="S74" i="1"/>
  <c r="L74" i="1"/>
  <c r="S73" i="1"/>
  <c r="L73" i="1"/>
  <c r="S72" i="1"/>
  <c r="L72" i="1"/>
  <c r="S71" i="1"/>
  <c r="L71" i="1"/>
  <c r="S70" i="1"/>
  <c r="L70" i="1"/>
  <c r="S69" i="1"/>
  <c r="L69" i="1"/>
  <c r="S65" i="1"/>
  <c r="L65" i="1"/>
  <c r="S64" i="1"/>
  <c r="L64" i="1"/>
  <c r="S63" i="1"/>
  <c r="L63" i="1"/>
  <c r="S59" i="1"/>
  <c r="L59" i="1"/>
  <c r="S58" i="1"/>
  <c r="L58" i="1"/>
  <c r="S57" i="1"/>
  <c r="L57" i="1"/>
  <c r="S56" i="1"/>
  <c r="L56" i="1"/>
  <c r="S55" i="1"/>
  <c r="L55" i="1"/>
  <c r="S54" i="1"/>
  <c r="L54" i="1"/>
  <c r="S53" i="1"/>
  <c r="L53" i="1"/>
  <c r="S52" i="1"/>
  <c r="L52" i="1"/>
  <c r="S51" i="1"/>
  <c r="S50" i="1"/>
  <c r="L50" i="1"/>
  <c r="J44" i="1"/>
  <c r="H44" i="1"/>
  <c r="S42" i="1"/>
  <c r="L42" i="1"/>
  <c r="S41" i="1"/>
  <c r="L41" i="1"/>
  <c r="S40" i="1"/>
  <c r="L40" i="1"/>
  <c r="S39" i="1"/>
  <c r="L39" i="1"/>
  <c r="S38" i="1"/>
  <c r="L38" i="1"/>
  <c r="S37" i="1"/>
  <c r="L37" i="1"/>
  <c r="S36" i="1"/>
  <c r="L36" i="1"/>
  <c r="S35" i="1"/>
  <c r="L35" i="1"/>
  <c r="S34" i="1"/>
  <c r="L34" i="1"/>
  <c r="S33" i="1"/>
  <c r="L33" i="1"/>
  <c r="S32" i="1"/>
  <c r="L32" i="1"/>
  <c r="S31" i="1"/>
  <c r="L31" i="1"/>
  <c r="S30" i="1"/>
  <c r="L30" i="1"/>
  <c r="S29" i="1"/>
  <c r="L29" i="1"/>
  <c r="S28" i="1"/>
  <c r="L28" i="1"/>
  <c r="S27" i="1"/>
  <c r="L27" i="1"/>
  <c r="S26" i="1"/>
  <c r="L26" i="1"/>
  <c r="S25" i="1"/>
  <c r="L25" i="1"/>
  <c r="S24" i="1"/>
  <c r="L24" i="1"/>
  <c r="S23" i="1"/>
  <c r="L23" i="1"/>
  <c r="S22" i="1"/>
  <c r="L22" i="1"/>
  <c r="S21" i="1"/>
  <c r="L21" i="1"/>
  <c r="S20" i="1"/>
  <c r="L20" i="1"/>
  <c r="S19" i="1"/>
  <c r="L19" i="1"/>
  <c r="S18" i="1"/>
  <c r="L18" i="1"/>
  <c r="S17" i="1"/>
  <c r="L17" i="1"/>
  <c r="S16" i="1"/>
  <c r="L16" i="1"/>
  <c r="S15" i="1"/>
  <c r="L15" i="1"/>
  <c r="H13" i="1"/>
  <c r="S11" i="1"/>
  <c r="L11" i="1"/>
  <c r="S10" i="1"/>
  <c r="L10" i="1"/>
  <c r="S9" i="1"/>
  <c r="I9" i="1"/>
  <c r="J9" i="1" s="1"/>
  <c r="S8" i="1"/>
  <c r="I8" i="1"/>
  <c r="J8" i="1" s="1"/>
  <c r="L8" i="1" s="1"/>
  <c r="S7" i="1"/>
  <c r="I7" i="1"/>
  <c r="J7" i="1" s="1"/>
  <c r="P3" i="2" l="1"/>
  <c r="T3" i="2"/>
  <c r="O6" i="2"/>
  <c r="O8" i="2"/>
  <c r="P6" i="2"/>
  <c r="Q8" i="2"/>
  <c r="O4" i="2"/>
  <c r="Q6" i="2"/>
  <c r="S8" i="2"/>
  <c r="Q4" i="2"/>
  <c r="S6" i="2"/>
  <c r="S4" i="2"/>
  <c r="T7" i="2"/>
  <c r="B46" i="2"/>
  <c r="C42" i="2"/>
  <c r="D22" i="3"/>
  <c r="C4" i="4"/>
  <c r="B47" i="2"/>
  <c r="S44" i="1"/>
  <c r="F9" i="3" s="1"/>
  <c r="P17" i="3" s="1"/>
  <c r="H45" i="1"/>
  <c r="S13" i="1"/>
  <c r="F8" i="3" s="1"/>
  <c r="P16" i="3" s="1"/>
  <c r="J13" i="1"/>
  <c r="J45" i="1" s="1"/>
  <c r="H124" i="1" s="1"/>
  <c r="L9" i="1"/>
  <c r="L7" i="1"/>
  <c r="L44" i="1"/>
  <c r="D2" i="4"/>
  <c r="D4" i="4" s="1"/>
  <c r="B4" i="4"/>
  <c r="H10" i="3"/>
  <c r="F10" i="3"/>
  <c r="T9" i="2"/>
  <c r="P9" i="2"/>
  <c r="S9" i="2"/>
  <c r="O9" i="2"/>
  <c r="Q9" i="2"/>
  <c r="T5" i="2"/>
  <c r="P5" i="2"/>
  <c r="S5" i="2"/>
  <c r="O5" i="2"/>
  <c r="Q5" i="2"/>
  <c r="O3" i="2"/>
  <c r="S3" i="2"/>
  <c r="P4" i="2"/>
  <c r="T4" i="2"/>
  <c r="R6" i="2"/>
  <c r="O7" i="2"/>
  <c r="S7" i="2"/>
  <c r="P8" i="2"/>
  <c r="T8" i="2"/>
  <c r="Q3" i="2"/>
  <c r="Q7" i="2"/>
  <c r="P19" i="3" l="1"/>
  <c r="B48" i="2"/>
  <c r="S45" i="1"/>
  <c r="F11" i="3" s="1"/>
  <c r="L13" i="1"/>
  <c r="L45" i="1" s="1"/>
  <c r="H125" i="1" s="1"/>
  <c r="J10" i="3"/>
  <c r="L10" i="3"/>
  <c r="M61" i="1" l="1"/>
  <c r="N61" i="1" s="1"/>
  <c r="O61" i="1" s="1"/>
  <c r="P61" i="1" s="1"/>
  <c r="R61" i="1" s="1"/>
  <c r="M60" i="1"/>
  <c r="N60" i="1" s="1"/>
  <c r="O60" i="1" s="1"/>
  <c r="P60" i="1" s="1"/>
  <c r="R60" i="1" s="1"/>
  <c r="M62" i="1"/>
  <c r="N62" i="1" s="1"/>
  <c r="O62" i="1" s="1"/>
  <c r="P62" i="1" s="1"/>
  <c r="R62" i="1" s="1"/>
  <c r="M77" i="1"/>
  <c r="N77" i="1" s="1"/>
  <c r="O77" i="1" s="1"/>
  <c r="P77" i="1" s="1"/>
  <c r="M69" i="1"/>
  <c r="N69" i="1" s="1"/>
  <c r="O69" i="1" s="1"/>
  <c r="P69" i="1" s="1"/>
  <c r="M53" i="1"/>
  <c r="N53" i="1" s="1"/>
  <c r="O53" i="1" s="1"/>
  <c r="M41" i="1"/>
  <c r="N41" i="1" s="1"/>
  <c r="O41" i="1" s="1"/>
  <c r="P41" i="1" s="1"/>
  <c r="M102" i="1"/>
  <c r="N102" i="1" s="1"/>
  <c r="O102" i="1" s="1"/>
  <c r="P102" i="1" s="1"/>
  <c r="M100" i="1"/>
  <c r="N100" i="1" s="1"/>
  <c r="O100" i="1" s="1"/>
  <c r="P100" i="1" s="1"/>
  <c r="M98" i="1"/>
  <c r="N98" i="1" s="1"/>
  <c r="O98" i="1" s="1"/>
  <c r="P98" i="1" s="1"/>
  <c r="M96" i="1"/>
  <c r="N96" i="1" s="1"/>
  <c r="O96" i="1" s="1"/>
  <c r="P96" i="1" s="1"/>
  <c r="M94" i="1"/>
  <c r="N94" i="1" s="1"/>
  <c r="O94" i="1" s="1"/>
  <c r="P94" i="1" s="1"/>
  <c r="M92" i="1"/>
  <c r="N92" i="1" s="1"/>
  <c r="O92" i="1" s="1"/>
  <c r="P92" i="1" s="1"/>
  <c r="M90" i="1"/>
  <c r="N90" i="1" s="1"/>
  <c r="O90" i="1" s="1"/>
  <c r="P90" i="1" s="1"/>
  <c r="M88" i="1"/>
  <c r="N88" i="1" s="1"/>
  <c r="O88" i="1" s="1"/>
  <c r="P88" i="1" s="1"/>
  <c r="M86" i="1"/>
  <c r="N86" i="1" s="1"/>
  <c r="O86" i="1" s="1"/>
  <c r="P86" i="1" s="1"/>
  <c r="R86" i="1" s="1"/>
  <c r="M84" i="1"/>
  <c r="N84" i="1" s="1"/>
  <c r="O84" i="1" s="1"/>
  <c r="P84" i="1" s="1"/>
  <c r="R84" i="1" s="1"/>
  <c r="M82" i="1"/>
  <c r="N82" i="1" s="1"/>
  <c r="O82" i="1" s="1"/>
  <c r="P82" i="1" s="1"/>
  <c r="R82" i="1" s="1"/>
  <c r="M75" i="1"/>
  <c r="N75" i="1" s="1"/>
  <c r="O75" i="1" s="1"/>
  <c r="P75" i="1" s="1"/>
  <c r="M64" i="1"/>
  <c r="N64" i="1" s="1"/>
  <c r="O64" i="1" s="1"/>
  <c r="P64" i="1" s="1"/>
  <c r="M81" i="1"/>
  <c r="N81" i="1" s="1"/>
  <c r="O81" i="1" s="1"/>
  <c r="P81" i="1" s="1"/>
  <c r="R81" i="1" s="1"/>
  <c r="M73" i="1"/>
  <c r="N73" i="1" s="1"/>
  <c r="O73" i="1" s="1"/>
  <c r="P73" i="1" s="1"/>
  <c r="M37" i="1"/>
  <c r="N37" i="1" s="1"/>
  <c r="O37" i="1" s="1"/>
  <c r="P37" i="1" s="1"/>
  <c r="M79" i="1"/>
  <c r="N79" i="1" s="1"/>
  <c r="O79" i="1" s="1"/>
  <c r="P79" i="1" s="1"/>
  <c r="M35" i="1"/>
  <c r="N35" i="1" s="1"/>
  <c r="O35" i="1" s="1"/>
  <c r="P35" i="1" s="1"/>
  <c r="M56" i="1"/>
  <c r="N56" i="1" s="1"/>
  <c r="O56" i="1" s="1"/>
  <c r="M33" i="1"/>
  <c r="N33" i="1" s="1"/>
  <c r="O33" i="1" s="1"/>
  <c r="P33" i="1" s="1"/>
  <c r="M71" i="1"/>
  <c r="N71" i="1" s="1"/>
  <c r="O71" i="1" s="1"/>
  <c r="P71" i="1" s="1"/>
  <c r="M52" i="1"/>
  <c r="N52" i="1" s="1"/>
  <c r="O52" i="1" s="1"/>
  <c r="M39" i="1"/>
  <c r="N39" i="1" s="1"/>
  <c r="O39" i="1" s="1"/>
  <c r="P39" i="1" s="1"/>
  <c r="M31" i="1"/>
  <c r="N31" i="1" s="1"/>
  <c r="O31" i="1" s="1"/>
  <c r="P31" i="1" s="1"/>
  <c r="M9" i="1"/>
  <c r="N9" i="1" s="1"/>
  <c r="O9" i="1" s="1"/>
  <c r="M34" i="1"/>
  <c r="N34" i="1" s="1"/>
  <c r="O34" i="1" s="1"/>
  <c r="P34" i="1" s="1"/>
  <c r="M26" i="1"/>
  <c r="N26" i="1" s="1"/>
  <c r="O26" i="1" s="1"/>
  <c r="P26" i="1" s="1"/>
  <c r="M11" i="1"/>
  <c r="N11" i="1" s="1"/>
  <c r="O11" i="1" s="1"/>
  <c r="P11" i="1" s="1"/>
  <c r="M17" i="1"/>
  <c r="N17" i="1" s="1"/>
  <c r="O17" i="1" s="1"/>
  <c r="P17" i="1" s="1"/>
  <c r="M21" i="1"/>
  <c r="N21" i="1" s="1"/>
  <c r="O21" i="1" s="1"/>
  <c r="P21" i="1" s="1"/>
  <c r="M27" i="1"/>
  <c r="N27" i="1" s="1"/>
  <c r="O27" i="1" s="1"/>
  <c r="P27" i="1" s="1"/>
  <c r="M57" i="1"/>
  <c r="N57" i="1" s="1"/>
  <c r="O57" i="1" s="1"/>
  <c r="P57" i="1" s="1"/>
  <c r="M40" i="1"/>
  <c r="N40" i="1" s="1"/>
  <c r="O40" i="1" s="1"/>
  <c r="P40" i="1" s="1"/>
  <c r="M104" i="1"/>
  <c r="N104" i="1" s="1"/>
  <c r="O104" i="1" s="1"/>
  <c r="P104" i="1" s="1"/>
  <c r="M112" i="1"/>
  <c r="N112" i="1" s="1"/>
  <c r="O112" i="1" s="1"/>
  <c r="P112" i="1" s="1"/>
  <c r="M114" i="1"/>
  <c r="N114" i="1" s="1"/>
  <c r="O114" i="1" s="1"/>
  <c r="P114" i="1" s="1"/>
  <c r="M85" i="1"/>
  <c r="N85" i="1" s="1"/>
  <c r="O85" i="1" s="1"/>
  <c r="P85" i="1" s="1"/>
  <c r="M93" i="1"/>
  <c r="N93" i="1" s="1"/>
  <c r="O93" i="1" s="1"/>
  <c r="P93" i="1" s="1"/>
  <c r="M101" i="1"/>
  <c r="N101" i="1" s="1"/>
  <c r="O101" i="1" s="1"/>
  <c r="P101" i="1" s="1"/>
  <c r="M105" i="1"/>
  <c r="N105" i="1" s="1"/>
  <c r="O105" i="1" s="1"/>
  <c r="P105" i="1" s="1"/>
  <c r="M8" i="1"/>
  <c r="N8" i="1" s="1"/>
  <c r="O8" i="1" s="1"/>
  <c r="M29" i="1"/>
  <c r="N29" i="1" s="1"/>
  <c r="O29" i="1" s="1"/>
  <c r="P29" i="1" s="1"/>
  <c r="M18" i="1"/>
  <c r="N18" i="1" s="1"/>
  <c r="O18" i="1" s="1"/>
  <c r="P18" i="1" s="1"/>
  <c r="M22" i="1"/>
  <c r="N22" i="1" s="1"/>
  <c r="O22" i="1" s="1"/>
  <c r="P22" i="1" s="1"/>
  <c r="M32" i="1"/>
  <c r="N32" i="1" s="1"/>
  <c r="O32" i="1" s="1"/>
  <c r="P32" i="1" s="1"/>
  <c r="M58" i="1"/>
  <c r="N58" i="1" s="1"/>
  <c r="O58" i="1" s="1"/>
  <c r="P58" i="1" s="1"/>
  <c r="M51" i="1"/>
  <c r="N51" i="1" s="1"/>
  <c r="O51" i="1" s="1"/>
  <c r="P51" i="1" s="1"/>
  <c r="M42" i="1"/>
  <c r="N42" i="1" s="1"/>
  <c r="O42" i="1" s="1"/>
  <c r="P42" i="1" s="1"/>
  <c r="M59" i="1"/>
  <c r="N59" i="1" s="1"/>
  <c r="O59" i="1" s="1"/>
  <c r="P59" i="1" s="1"/>
  <c r="M63" i="1"/>
  <c r="N63" i="1" s="1"/>
  <c r="O63" i="1" s="1"/>
  <c r="P63" i="1" s="1"/>
  <c r="M87" i="1"/>
  <c r="N87" i="1" s="1"/>
  <c r="O87" i="1" s="1"/>
  <c r="P87" i="1" s="1"/>
  <c r="M95" i="1"/>
  <c r="N95" i="1" s="1"/>
  <c r="O95" i="1" s="1"/>
  <c r="P95" i="1" s="1"/>
  <c r="M103" i="1"/>
  <c r="N103" i="1" s="1"/>
  <c r="O103" i="1" s="1"/>
  <c r="P103" i="1" s="1"/>
  <c r="M110" i="1"/>
  <c r="N110" i="1" s="1"/>
  <c r="O110" i="1" s="1"/>
  <c r="P110" i="1" s="1"/>
  <c r="M25" i="1"/>
  <c r="N25" i="1" s="1"/>
  <c r="O25" i="1" s="1"/>
  <c r="P25" i="1" s="1"/>
  <c r="M16" i="1"/>
  <c r="N16" i="1" s="1"/>
  <c r="O16" i="1" s="1"/>
  <c r="P16" i="1" s="1"/>
  <c r="M20" i="1"/>
  <c r="N20" i="1" s="1"/>
  <c r="O20" i="1" s="1"/>
  <c r="P20" i="1" s="1"/>
  <c r="M24" i="1"/>
  <c r="N24" i="1" s="1"/>
  <c r="O24" i="1" s="1"/>
  <c r="P24" i="1" s="1"/>
  <c r="M78" i="1"/>
  <c r="N78" i="1" s="1"/>
  <c r="O78" i="1" s="1"/>
  <c r="P78" i="1" s="1"/>
  <c r="R78" i="1" s="1"/>
  <c r="M36" i="1"/>
  <c r="N36" i="1" s="1"/>
  <c r="O36" i="1" s="1"/>
  <c r="P36" i="1" s="1"/>
  <c r="M109" i="1"/>
  <c r="N109" i="1" s="1"/>
  <c r="O109" i="1" s="1"/>
  <c r="P109" i="1" s="1"/>
  <c r="M91" i="1"/>
  <c r="N91" i="1" s="1"/>
  <c r="O91" i="1" s="1"/>
  <c r="P91" i="1" s="1"/>
  <c r="M10" i="1"/>
  <c r="N10" i="1" s="1"/>
  <c r="O10" i="1" s="1"/>
  <c r="P10" i="1" s="1"/>
  <c r="M28" i="1"/>
  <c r="N28" i="1" s="1"/>
  <c r="O28" i="1" s="1"/>
  <c r="P28" i="1" s="1"/>
  <c r="M15" i="1"/>
  <c r="M19" i="1"/>
  <c r="N19" i="1" s="1"/>
  <c r="O19" i="1" s="1"/>
  <c r="P19" i="1" s="1"/>
  <c r="M23" i="1"/>
  <c r="N23" i="1" s="1"/>
  <c r="O23" i="1" s="1"/>
  <c r="P23" i="1" s="1"/>
  <c r="M38" i="1"/>
  <c r="N38" i="1" s="1"/>
  <c r="O38" i="1" s="1"/>
  <c r="P38" i="1" s="1"/>
  <c r="M80" i="1"/>
  <c r="N80" i="1" s="1"/>
  <c r="O80" i="1" s="1"/>
  <c r="P80" i="1" s="1"/>
  <c r="R80" i="1" s="1"/>
  <c r="M54" i="1"/>
  <c r="N54" i="1" s="1"/>
  <c r="O54" i="1" s="1"/>
  <c r="M55" i="1"/>
  <c r="N55" i="1" s="1"/>
  <c r="O55" i="1" s="1"/>
  <c r="M70" i="1"/>
  <c r="N70" i="1" s="1"/>
  <c r="O70" i="1" s="1"/>
  <c r="P70" i="1" s="1"/>
  <c r="M106" i="1"/>
  <c r="N106" i="1" s="1"/>
  <c r="O106" i="1" s="1"/>
  <c r="P106" i="1" s="1"/>
  <c r="M74" i="1"/>
  <c r="N74" i="1" s="1"/>
  <c r="O74" i="1" s="1"/>
  <c r="P74" i="1" s="1"/>
  <c r="M89" i="1"/>
  <c r="N89" i="1" s="1"/>
  <c r="O89" i="1" s="1"/>
  <c r="P89" i="1" s="1"/>
  <c r="M97" i="1"/>
  <c r="N97" i="1" s="1"/>
  <c r="O97" i="1" s="1"/>
  <c r="P97" i="1" s="1"/>
  <c r="M108" i="1"/>
  <c r="N108" i="1" s="1"/>
  <c r="O108" i="1" s="1"/>
  <c r="P108" i="1" s="1"/>
  <c r="M65" i="1"/>
  <c r="N65" i="1" s="1"/>
  <c r="O65" i="1" s="1"/>
  <c r="P65" i="1" s="1"/>
  <c r="M113" i="1"/>
  <c r="N113" i="1" s="1"/>
  <c r="O113" i="1" s="1"/>
  <c r="P113" i="1" s="1"/>
  <c r="M30" i="1"/>
  <c r="N30" i="1" s="1"/>
  <c r="O30" i="1" s="1"/>
  <c r="P30" i="1" s="1"/>
  <c r="M50" i="1"/>
  <c r="N50" i="1" s="1"/>
  <c r="O50" i="1" s="1"/>
  <c r="P50" i="1" s="1"/>
  <c r="R50" i="1" s="1"/>
  <c r="M72" i="1"/>
  <c r="N72" i="1" s="1"/>
  <c r="O72" i="1" s="1"/>
  <c r="P72" i="1" s="1"/>
  <c r="M107" i="1"/>
  <c r="N107" i="1" s="1"/>
  <c r="O107" i="1" s="1"/>
  <c r="P107" i="1" s="1"/>
  <c r="M83" i="1"/>
  <c r="N83" i="1" s="1"/>
  <c r="O83" i="1" s="1"/>
  <c r="P83" i="1" s="1"/>
  <c r="M99" i="1"/>
  <c r="N99" i="1" s="1"/>
  <c r="O99" i="1" s="1"/>
  <c r="P99" i="1" s="1"/>
  <c r="M111" i="1"/>
  <c r="N111" i="1" s="1"/>
  <c r="O111" i="1" s="1"/>
  <c r="P111" i="1" s="1"/>
  <c r="M76" i="1"/>
  <c r="N76" i="1" s="1"/>
  <c r="O76" i="1" s="1"/>
  <c r="P76" i="1" s="1"/>
  <c r="M7" i="1"/>
  <c r="T62" i="1" l="1"/>
  <c r="U62" i="1" s="1"/>
  <c r="W62" i="1"/>
  <c r="X62" i="1" s="1"/>
  <c r="T60" i="1"/>
  <c r="U60" i="1" s="1"/>
  <c r="W60" i="1"/>
  <c r="X60" i="1" s="1"/>
  <c r="T61" i="1"/>
  <c r="U61" i="1" s="1"/>
  <c r="W61" i="1"/>
  <c r="X61" i="1" s="1"/>
  <c r="R76" i="1"/>
  <c r="W76" i="1" s="1"/>
  <c r="X76" i="1" s="1"/>
  <c r="R107" i="1"/>
  <c r="R113" i="1"/>
  <c r="W113" i="1" s="1"/>
  <c r="X113" i="1" s="1"/>
  <c r="X114" i="1" s="1"/>
  <c r="R89" i="1"/>
  <c r="W89" i="1" s="1"/>
  <c r="X89" i="1" s="1"/>
  <c r="R23" i="1"/>
  <c r="W23" i="1" s="1"/>
  <c r="X23" i="1" s="1"/>
  <c r="Y23" i="1" s="1"/>
  <c r="R10" i="1"/>
  <c r="W10" i="1" s="1"/>
  <c r="X10" i="1" s="1"/>
  <c r="Y10" i="1" s="1"/>
  <c r="R25" i="1"/>
  <c r="R87" i="1"/>
  <c r="W87" i="1" s="1"/>
  <c r="X87" i="1" s="1"/>
  <c r="X88" i="1" s="1"/>
  <c r="R51" i="1"/>
  <c r="W51" i="1" s="1"/>
  <c r="X51" i="1" s="1"/>
  <c r="R18" i="1"/>
  <c r="R101" i="1"/>
  <c r="W101" i="1" s="1"/>
  <c r="X101" i="1" s="1"/>
  <c r="R27" i="1"/>
  <c r="W27" i="1" s="1"/>
  <c r="X27" i="1" s="1"/>
  <c r="Y27" i="1" s="1"/>
  <c r="R26" i="1"/>
  <c r="W26" i="1" s="1"/>
  <c r="X26" i="1" s="1"/>
  <c r="R39" i="1"/>
  <c r="W39" i="1" s="1"/>
  <c r="X39" i="1" s="1"/>
  <c r="Y39" i="1" s="1"/>
  <c r="R73" i="1"/>
  <c r="W73" i="1" s="1"/>
  <c r="X73" i="1" s="1"/>
  <c r="R90" i="1"/>
  <c r="W90" i="1" s="1"/>
  <c r="X90" i="1" s="1"/>
  <c r="X91" i="1" s="1"/>
  <c r="R98" i="1"/>
  <c r="W98" i="1" s="1"/>
  <c r="X98" i="1" s="1"/>
  <c r="R111" i="1"/>
  <c r="R65" i="1"/>
  <c r="W65" i="1" s="1"/>
  <c r="X65" i="1" s="1"/>
  <c r="R74" i="1"/>
  <c r="W74" i="1" s="1"/>
  <c r="X74" i="1" s="1"/>
  <c r="R19" i="1"/>
  <c r="W19" i="1" s="1"/>
  <c r="X19" i="1" s="1"/>
  <c r="Y19" i="1" s="1"/>
  <c r="R63" i="1"/>
  <c r="W63" i="1" s="1"/>
  <c r="X63" i="1" s="1"/>
  <c r="R58" i="1"/>
  <c r="W58" i="1" s="1"/>
  <c r="X58" i="1" s="1"/>
  <c r="R29" i="1"/>
  <c r="W29" i="1" s="1"/>
  <c r="X29" i="1" s="1"/>
  <c r="Y29" i="1" s="1"/>
  <c r="R93" i="1"/>
  <c r="W93" i="1" s="1"/>
  <c r="X93" i="1" s="1"/>
  <c r="X94" i="1" s="1"/>
  <c r="R104" i="1"/>
  <c r="W104" i="1" s="1"/>
  <c r="X104" i="1" s="1"/>
  <c r="R21" i="1"/>
  <c r="R34" i="1"/>
  <c r="W34" i="1" s="1"/>
  <c r="X34" i="1" s="1"/>
  <c r="R35" i="1"/>
  <c r="W35" i="1" s="1"/>
  <c r="X35" i="1" s="1"/>
  <c r="Y35" i="1" s="1"/>
  <c r="R92" i="1"/>
  <c r="W92" i="1" s="1"/>
  <c r="X92" i="1" s="1"/>
  <c r="R69" i="1"/>
  <c r="W69" i="1" s="1"/>
  <c r="X69" i="1" s="1"/>
  <c r="R99" i="1"/>
  <c r="W99" i="1" s="1"/>
  <c r="X99" i="1" s="1"/>
  <c r="X100" i="1" s="1"/>
  <c r="R109" i="1"/>
  <c r="R20" i="1"/>
  <c r="R59" i="1"/>
  <c r="R40" i="1"/>
  <c r="W40" i="1" s="1"/>
  <c r="X40" i="1" s="1"/>
  <c r="Y40" i="1" s="1"/>
  <c r="R17" i="1"/>
  <c r="R64" i="1"/>
  <c r="W64" i="1" s="1"/>
  <c r="X64" i="1" s="1"/>
  <c r="R102" i="1"/>
  <c r="W102" i="1" s="1"/>
  <c r="X102" i="1" s="1"/>
  <c r="X103" i="1" s="1"/>
  <c r="R30" i="1"/>
  <c r="W30" i="1" s="1"/>
  <c r="X30" i="1" s="1"/>
  <c r="R70" i="1"/>
  <c r="W70" i="1" s="1"/>
  <c r="X70" i="1" s="1"/>
  <c r="X71" i="1" s="1"/>
  <c r="R38" i="1"/>
  <c r="R16" i="1"/>
  <c r="R95" i="1"/>
  <c r="W95" i="1" s="1"/>
  <c r="X95" i="1" s="1"/>
  <c r="R42" i="1"/>
  <c r="R22" i="1"/>
  <c r="W22" i="1" s="1"/>
  <c r="X22" i="1" s="1"/>
  <c r="R105" i="1"/>
  <c r="W105" i="1" s="1"/>
  <c r="X105" i="1" s="1"/>
  <c r="X106" i="1" s="1"/>
  <c r="R57" i="1"/>
  <c r="W57" i="1" s="1"/>
  <c r="X57" i="1" s="1"/>
  <c r="R11" i="1"/>
  <c r="W11" i="1" s="1"/>
  <c r="X11" i="1" s="1"/>
  <c r="Y11" i="1" s="1"/>
  <c r="R31" i="1"/>
  <c r="R33" i="1"/>
  <c r="R37" i="1"/>
  <c r="W37" i="1" s="1"/>
  <c r="X37" i="1" s="1"/>
  <c r="Y37" i="1" s="1"/>
  <c r="R96" i="1"/>
  <c r="W96" i="1" s="1"/>
  <c r="X96" i="1" s="1"/>
  <c r="X97" i="1" s="1"/>
  <c r="R41" i="1"/>
  <c r="P8" i="1"/>
  <c r="P9" i="1"/>
  <c r="P55" i="1"/>
  <c r="P56" i="1"/>
  <c r="P53" i="1"/>
  <c r="P54" i="1"/>
  <c r="P52" i="1"/>
  <c r="N7" i="1"/>
  <c r="O7" i="1" s="1"/>
  <c r="M13" i="1"/>
  <c r="M44" i="1"/>
  <c r="N15" i="1"/>
  <c r="O15" i="1" s="1"/>
  <c r="P15" i="1" s="1"/>
  <c r="W25" i="1" l="1"/>
  <c r="X25" i="1" s="1"/>
  <c r="Y25" i="1" s="1"/>
  <c r="R79" i="1"/>
  <c r="Y30" i="1"/>
  <c r="X32" i="1"/>
  <c r="Y22" i="1"/>
  <c r="X24" i="1"/>
  <c r="Y26" i="1"/>
  <c r="X28" i="1"/>
  <c r="Y34" i="1"/>
  <c r="X36" i="1"/>
  <c r="T109" i="1"/>
  <c r="U109" i="1" s="1"/>
  <c r="W109" i="1"/>
  <c r="X109" i="1" s="1"/>
  <c r="X110" i="1" s="1"/>
  <c r="T111" i="1"/>
  <c r="U111" i="1" s="1"/>
  <c r="W111" i="1"/>
  <c r="X111" i="1" s="1"/>
  <c r="X112" i="1" s="1"/>
  <c r="T107" i="1"/>
  <c r="U107" i="1" s="1"/>
  <c r="W107" i="1"/>
  <c r="X107" i="1" s="1"/>
  <c r="X108" i="1" s="1"/>
  <c r="T59" i="1"/>
  <c r="U59" i="1" s="1"/>
  <c r="W59" i="1"/>
  <c r="X59" i="1" s="1"/>
  <c r="R85" i="1"/>
  <c r="W85" i="1" s="1"/>
  <c r="W41" i="1"/>
  <c r="X41" i="1" s="1"/>
  <c r="T21" i="1"/>
  <c r="U21" i="1" s="1"/>
  <c r="W21" i="1"/>
  <c r="X21" i="1" s="1"/>
  <c r="Y21" i="1" s="1"/>
  <c r="Z21" i="1" s="1"/>
  <c r="T17" i="1"/>
  <c r="U17" i="1" s="1"/>
  <c r="W17" i="1"/>
  <c r="X17" i="1" s="1"/>
  <c r="Y17" i="1" s="1"/>
  <c r="T18" i="1"/>
  <c r="U18" i="1" s="1"/>
  <c r="W18" i="1"/>
  <c r="X18" i="1" s="1"/>
  <c r="T42" i="1"/>
  <c r="U42" i="1" s="1"/>
  <c r="W42" i="1"/>
  <c r="X42" i="1" s="1"/>
  <c r="Y42" i="1" s="1"/>
  <c r="T33" i="1"/>
  <c r="U33" i="1" s="1"/>
  <c r="W33" i="1"/>
  <c r="X33" i="1" s="1"/>
  <c r="Y33" i="1" s="1"/>
  <c r="T16" i="1"/>
  <c r="U16" i="1" s="1"/>
  <c r="W16" i="1"/>
  <c r="X16" i="1" s="1"/>
  <c r="T31" i="1"/>
  <c r="U31" i="1" s="1"/>
  <c r="W31" i="1"/>
  <c r="X31" i="1" s="1"/>
  <c r="Y31" i="1" s="1"/>
  <c r="R83" i="1"/>
  <c r="W83" i="1" s="1"/>
  <c r="W38" i="1"/>
  <c r="X38" i="1" s="1"/>
  <c r="R77" i="1"/>
  <c r="W77" i="1" s="1"/>
  <c r="W20" i="1"/>
  <c r="X20" i="1" s="1"/>
  <c r="T11" i="1"/>
  <c r="U11" i="1" s="1"/>
  <c r="R32" i="1"/>
  <c r="R100" i="1"/>
  <c r="R91" i="1"/>
  <c r="R88" i="1"/>
  <c r="R24" i="1"/>
  <c r="R97" i="1"/>
  <c r="R106" i="1"/>
  <c r="R103" i="1"/>
  <c r="R28" i="1"/>
  <c r="R36" i="1"/>
  <c r="R72" i="1"/>
  <c r="R114" i="1"/>
  <c r="W114" i="1" s="1"/>
  <c r="R112" i="1"/>
  <c r="R75" i="1"/>
  <c r="R108" i="1"/>
  <c r="R71" i="1"/>
  <c r="R110" i="1"/>
  <c r="W110" i="1" s="1"/>
  <c r="R94" i="1"/>
  <c r="T39" i="1"/>
  <c r="U39" i="1" s="1"/>
  <c r="T27" i="1"/>
  <c r="U27" i="1" s="1"/>
  <c r="T113" i="1"/>
  <c r="U113" i="1" s="1"/>
  <c r="T73" i="1"/>
  <c r="U73" i="1" s="1"/>
  <c r="T93" i="1"/>
  <c r="U93" i="1" s="1"/>
  <c r="T69" i="1"/>
  <c r="U69" i="1" s="1"/>
  <c r="T98" i="1"/>
  <c r="U98" i="1" s="1"/>
  <c r="T26" i="1"/>
  <c r="U26" i="1" s="1"/>
  <c r="T96" i="1"/>
  <c r="U96" i="1" s="1"/>
  <c r="T58" i="1"/>
  <c r="U58" i="1" s="1"/>
  <c r="T64" i="1"/>
  <c r="U64" i="1" s="1"/>
  <c r="T104" i="1"/>
  <c r="U104" i="1" s="1"/>
  <c r="T70" i="1"/>
  <c r="U70" i="1" s="1"/>
  <c r="T63" i="1"/>
  <c r="U63" i="1" s="1"/>
  <c r="T65" i="1"/>
  <c r="U65" i="1" s="1"/>
  <c r="W78" i="1"/>
  <c r="X78" i="1" s="1"/>
  <c r="T29" i="1"/>
  <c r="U29" i="1" s="1"/>
  <c r="W81" i="1"/>
  <c r="X81" i="1" s="1"/>
  <c r="W79" i="1"/>
  <c r="X79" i="1" s="1"/>
  <c r="W80" i="1"/>
  <c r="X80" i="1" s="1"/>
  <c r="T25" i="1"/>
  <c r="U25" i="1" s="1"/>
  <c r="T30" i="1"/>
  <c r="U30" i="1" s="1"/>
  <c r="T35" i="1"/>
  <c r="U35" i="1" s="1"/>
  <c r="T41" i="1"/>
  <c r="U41" i="1" s="1"/>
  <c r="T40" i="1"/>
  <c r="U40" i="1" s="1"/>
  <c r="W86" i="1"/>
  <c r="X86" i="1" s="1"/>
  <c r="W82" i="1"/>
  <c r="X82" i="1" s="1"/>
  <c r="T19" i="1"/>
  <c r="U19" i="1" s="1"/>
  <c r="W84" i="1"/>
  <c r="X84" i="1" s="1"/>
  <c r="T10" i="1"/>
  <c r="U10" i="1" s="1"/>
  <c r="T95" i="1"/>
  <c r="U95" i="1" s="1"/>
  <c r="T22" i="1"/>
  <c r="U22" i="1" s="1"/>
  <c r="R53" i="1"/>
  <c r="W53" i="1" s="1"/>
  <c r="X53" i="1" s="1"/>
  <c r="T87" i="1"/>
  <c r="U87" i="1" s="1"/>
  <c r="T37" i="1"/>
  <c r="U37" i="1" s="1"/>
  <c r="R9" i="1"/>
  <c r="T20" i="1"/>
  <c r="U20" i="1" s="1"/>
  <c r="T76" i="1"/>
  <c r="U76" i="1" s="1"/>
  <c r="T92" i="1"/>
  <c r="U92" i="1" s="1"/>
  <c r="R52" i="1"/>
  <c r="W52" i="1" s="1"/>
  <c r="X52" i="1" s="1"/>
  <c r="R54" i="1"/>
  <c r="W54" i="1" s="1"/>
  <c r="X54" i="1" s="1"/>
  <c r="R56" i="1"/>
  <c r="W56" i="1" s="1"/>
  <c r="X56" i="1" s="1"/>
  <c r="R55" i="1"/>
  <c r="T34" i="1"/>
  <c r="U34" i="1" s="1"/>
  <c r="T74" i="1"/>
  <c r="U74" i="1" s="1"/>
  <c r="T90" i="1"/>
  <c r="U90" i="1" s="1"/>
  <c r="T101" i="1"/>
  <c r="U101" i="1" s="1"/>
  <c r="T89" i="1"/>
  <c r="U89" i="1" s="1"/>
  <c r="T105" i="1"/>
  <c r="U105" i="1" s="1"/>
  <c r="T102" i="1"/>
  <c r="U102" i="1" s="1"/>
  <c r="T99" i="1"/>
  <c r="U99" i="1" s="1"/>
  <c r="T38" i="1"/>
  <c r="U38" i="1" s="1"/>
  <c r="R15" i="1"/>
  <c r="W15" i="1" s="1"/>
  <c r="X15" i="1" s="1"/>
  <c r="Y15" i="1" s="1"/>
  <c r="T23" i="1"/>
  <c r="U23" i="1" s="1"/>
  <c r="T57" i="1"/>
  <c r="U57" i="1" s="1"/>
  <c r="R8" i="1"/>
  <c r="T51" i="1"/>
  <c r="U51" i="1" s="1"/>
  <c r="P7" i="1"/>
  <c r="M45" i="1"/>
  <c r="Z42" i="1" l="1"/>
  <c r="Z31" i="1"/>
  <c r="T85" i="1"/>
  <c r="U85" i="1" s="1"/>
  <c r="Y16" i="1"/>
  <c r="Z16" i="1" s="1"/>
  <c r="X72" i="1"/>
  <c r="Z17" i="1"/>
  <c r="Y20" i="1"/>
  <c r="Z20" i="1" s="1"/>
  <c r="X77" i="1"/>
  <c r="Y38" i="1"/>
  <c r="Z38" i="1" s="1"/>
  <c r="X83" i="1"/>
  <c r="Y41" i="1"/>
  <c r="Z41" i="1" s="1"/>
  <c r="X85" i="1"/>
  <c r="Y18" i="1"/>
  <c r="X75" i="1"/>
  <c r="Z40" i="1"/>
  <c r="Z30" i="1"/>
  <c r="Z18" i="1"/>
  <c r="Z27" i="1"/>
  <c r="Z23" i="1"/>
  <c r="T91" i="1"/>
  <c r="U91" i="1" s="1"/>
  <c r="W91" i="1"/>
  <c r="T108" i="1"/>
  <c r="U108" i="1" s="1"/>
  <c r="W108" i="1"/>
  <c r="T97" i="1"/>
  <c r="U97" i="1" s="1"/>
  <c r="W97" i="1"/>
  <c r="T94" i="1"/>
  <c r="U94" i="1" s="1"/>
  <c r="W94" i="1"/>
  <c r="T100" i="1"/>
  <c r="U100" i="1" s="1"/>
  <c r="W100" i="1"/>
  <c r="T106" i="1"/>
  <c r="U106" i="1" s="1"/>
  <c r="W106" i="1"/>
  <c r="T112" i="1"/>
  <c r="U112" i="1" s="1"/>
  <c r="W112" i="1"/>
  <c r="T88" i="1"/>
  <c r="U88" i="1" s="1"/>
  <c r="W88" i="1"/>
  <c r="T71" i="1"/>
  <c r="U71" i="1" s="1"/>
  <c r="W71" i="1"/>
  <c r="T103" i="1"/>
  <c r="U103" i="1" s="1"/>
  <c r="W103" i="1"/>
  <c r="T55" i="1"/>
  <c r="U55" i="1" s="1"/>
  <c r="W55" i="1"/>
  <c r="X55" i="1" s="1"/>
  <c r="T50" i="1"/>
  <c r="U50" i="1" s="1"/>
  <c r="W50" i="1"/>
  <c r="X50" i="1" s="1"/>
  <c r="Z19" i="1"/>
  <c r="Z22" i="1"/>
  <c r="T24" i="1"/>
  <c r="U24" i="1" s="1"/>
  <c r="W24" i="1"/>
  <c r="Y24" i="1" s="1"/>
  <c r="T36" i="1"/>
  <c r="U36" i="1" s="1"/>
  <c r="W36" i="1"/>
  <c r="Y36" i="1" s="1"/>
  <c r="Z39" i="1"/>
  <c r="T72" i="1"/>
  <c r="U72" i="1" s="1"/>
  <c r="W72" i="1"/>
  <c r="T32" i="1"/>
  <c r="U32" i="1" s="1"/>
  <c r="W32" i="1"/>
  <c r="Y32" i="1" s="1"/>
  <c r="Z25" i="1"/>
  <c r="T75" i="1"/>
  <c r="U75" i="1" s="1"/>
  <c r="W75" i="1"/>
  <c r="Z37" i="1"/>
  <c r="Z26" i="1"/>
  <c r="T28" i="1"/>
  <c r="U28" i="1" s="1"/>
  <c r="W28" i="1"/>
  <c r="Y28" i="1" s="1"/>
  <c r="Z33" i="1"/>
  <c r="Z34" i="1"/>
  <c r="Z35" i="1"/>
  <c r="Z29" i="1"/>
  <c r="T8" i="1"/>
  <c r="U8" i="1" s="1"/>
  <c r="W8" i="1"/>
  <c r="X8" i="1" s="1"/>
  <c r="Y8" i="1" s="1"/>
  <c r="T9" i="1"/>
  <c r="U9" i="1" s="1"/>
  <c r="W9" i="1"/>
  <c r="X9" i="1" s="1"/>
  <c r="Y9" i="1" s="1"/>
  <c r="Z11" i="1"/>
  <c r="Z10" i="1"/>
  <c r="T86" i="1"/>
  <c r="U86" i="1" s="1"/>
  <c r="T110" i="1"/>
  <c r="U110" i="1" s="1"/>
  <c r="T114" i="1"/>
  <c r="U114" i="1" s="1"/>
  <c r="T53" i="1"/>
  <c r="U53" i="1" s="1"/>
  <c r="T56" i="1"/>
  <c r="U56" i="1" s="1"/>
  <c r="T80" i="1"/>
  <c r="U80" i="1" s="1"/>
  <c r="T52" i="1"/>
  <c r="U52" i="1" s="1"/>
  <c r="T54" i="1"/>
  <c r="U54" i="1" s="1"/>
  <c r="T82" i="1"/>
  <c r="U82" i="1" s="1"/>
  <c r="T83" i="1"/>
  <c r="U83" i="1" s="1"/>
  <c r="T77" i="1"/>
  <c r="U77" i="1" s="1"/>
  <c r="T79" i="1"/>
  <c r="U79" i="1" s="1"/>
  <c r="T84" i="1"/>
  <c r="U84" i="1" s="1"/>
  <c r="T81" i="1"/>
  <c r="U81" i="1" s="1"/>
  <c r="T78" i="1"/>
  <c r="U78" i="1" s="1"/>
  <c r="T15" i="1"/>
  <c r="R7" i="1"/>
  <c r="W7" i="1" s="1"/>
  <c r="X7" i="1" s="1"/>
  <c r="Y7" i="1" s="1"/>
  <c r="Z9" i="1" l="1"/>
  <c r="Z32" i="1"/>
  <c r="Z24" i="1"/>
  <c r="T44" i="1"/>
  <c r="H9" i="3" s="1"/>
  <c r="P9" i="3" s="1"/>
  <c r="Z28" i="1"/>
  <c r="Z36" i="1"/>
  <c r="Y44" i="1"/>
  <c r="Z15" i="1"/>
  <c r="Y13" i="1"/>
  <c r="Z8" i="1"/>
  <c r="T7" i="1"/>
  <c r="U7" i="1" s="1"/>
  <c r="U13" i="1" s="1"/>
  <c r="U15" i="1"/>
  <c r="U44" i="1" s="1"/>
  <c r="J9" i="3" l="1"/>
  <c r="L9" i="3"/>
  <c r="Z44" i="1"/>
  <c r="R17" i="3"/>
  <c r="R9" i="3"/>
  <c r="R8" i="3"/>
  <c r="R16" i="3"/>
  <c r="Z7" i="1"/>
  <c r="Z13" i="1" s="1"/>
  <c r="T13" i="1"/>
  <c r="H8" i="3" s="1"/>
  <c r="P8" i="3" s="1"/>
  <c r="P11" i="3" s="1"/>
  <c r="U45" i="1"/>
  <c r="B53" i="2" s="1"/>
  <c r="B54" i="2" s="1"/>
  <c r="T9" i="3" l="1"/>
  <c r="V9" i="3"/>
  <c r="T17" i="3"/>
  <c r="V17" i="3"/>
  <c r="T16" i="3"/>
  <c r="V16" i="3"/>
  <c r="R19" i="3"/>
  <c r="V8" i="3"/>
  <c r="T8" i="3"/>
  <c r="T11" i="3" s="1"/>
  <c r="R11" i="3"/>
  <c r="V11" i="3" s="1"/>
  <c r="T45" i="1"/>
  <c r="J8" i="3"/>
  <c r="J11" i="3" s="1"/>
  <c r="L8" i="3"/>
  <c r="H11" i="3"/>
  <c r="L11" i="3" s="1"/>
  <c r="V19" i="3" l="1"/>
  <c r="T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Alcala</author>
  </authors>
  <commentList>
    <comment ref="R24" authorId="0" shapeId="0" xr:uid="{5E7FA197-F912-4FFF-B573-5F0F25AD9FCD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24" authorId="0" shapeId="0" xr:uid="{766BF4A6-B35C-4806-A5E8-6B58FB825E1D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28" authorId="0" shapeId="0" xr:uid="{EE5E013E-64A6-47AF-B6A1-E8B386B978C1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28" authorId="0" shapeId="0" xr:uid="{FF79B424-5B79-463C-B21F-15A47DC22D42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32" authorId="0" shapeId="0" xr:uid="{A73DE880-3880-4FD7-BBEE-119FDE310EDD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32" authorId="0" shapeId="0" xr:uid="{73F66742-2D7C-4473-9B19-20F94DE8C714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36" authorId="0" shapeId="0" xr:uid="{BD841032-E96F-47F7-BFBA-7AAC71B964A6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36" authorId="0" shapeId="0" xr:uid="{4914FAE6-7663-4B73-8A96-E28AD2DBD1CC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71" authorId="0" shapeId="0" xr:uid="{44CB491D-7412-4A0C-ADDC-DDFDA709B053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71" authorId="0" shapeId="0" xr:uid="{FE50F3DE-CA3F-4DCA-B387-F9B71599733E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72" authorId="0" shapeId="0" xr:uid="{14EE6476-BFBA-4994-B863-6FEE08F4FE50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72" authorId="0" shapeId="0" xr:uid="{96A4C83D-BC42-4BD9-852B-078238B6B195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75" authorId="0" shapeId="0" xr:uid="{C2ACF54D-A6DB-44CD-B2A3-97AC4887D10A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75" authorId="0" shapeId="0" xr:uid="{6F2E7A1A-5AF3-46CF-97A9-9F7FEA75EC18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77" authorId="0" shapeId="0" xr:uid="{BDE2A8FE-11F0-4ECD-9C01-856F41BA1989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77" authorId="0" shapeId="0" xr:uid="{C3ABF200-FB60-4C0B-B27D-17299BC6E40B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83" authorId="0" shapeId="0" xr:uid="{2EE2B017-E62D-4EAF-8DC6-2E151E1101A3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83" authorId="0" shapeId="0" xr:uid="{4C0B47AF-391D-406D-9DE3-D96F55F0DD88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85" authorId="0" shapeId="0" xr:uid="{0D4FE5BC-BBD3-4683-A4F3-FDA5DC4CD6FE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85" authorId="0" shapeId="0" xr:uid="{6E39843F-9F5A-446F-B816-56F3FC7244B1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88" authorId="0" shapeId="0" xr:uid="{95AFD334-4D3D-4CDA-BFD0-DF1D845F4DDA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88" authorId="0" shapeId="0" xr:uid="{D462571A-1E83-449C-938A-0FCF09CC9A3C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91" authorId="0" shapeId="0" xr:uid="{26D02F19-0B25-4DD4-BE96-8E86C3B4EECD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91" authorId="0" shapeId="0" xr:uid="{B90C1CB9-E262-464E-B836-3861B029200D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94" authorId="0" shapeId="0" xr:uid="{5CCAF4B2-C87E-4823-A147-15471C17604C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94" authorId="0" shapeId="0" xr:uid="{3670581E-F15C-474B-8E22-AE219444AD5B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97" authorId="0" shapeId="0" xr:uid="{7F8C2FAE-370A-41F9-A68E-C5D380C80052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97" authorId="0" shapeId="0" xr:uid="{00AA8A82-4474-4448-9343-C58E80BE78AE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00" authorId="0" shapeId="0" xr:uid="{6DE8A66C-B557-4BDC-978F-969D22C0005E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00" authorId="0" shapeId="0" xr:uid="{B6A49EFD-FC47-4D06-85AC-FE126B87A275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03" authorId="0" shapeId="0" xr:uid="{17E2CE1D-6D8A-4540-8EF9-E3872982771F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03" authorId="0" shapeId="0" xr:uid="{86C9BF57-54F4-4E21-872A-00AC1DCDA402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06" authorId="0" shapeId="0" xr:uid="{3547086C-7E94-4A4C-98F2-E453FAA8E7B7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06" authorId="0" shapeId="0" xr:uid="{653A17A9-8F88-4F18-B0B2-62DE09469C6C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08" authorId="0" shapeId="0" xr:uid="{5835EB78-B521-44D5-B516-F357A5CD53A7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08" authorId="0" shapeId="0" xr:uid="{2BEF9345-D40F-406E-8B7D-A788D5ACD557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10" authorId="0" shapeId="0" xr:uid="{A6B60D49-7E6E-433B-B044-F25DB08DAC09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10" authorId="0" shapeId="0" xr:uid="{1B2BFCBA-5F0C-4390-B714-DF00E64D8883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12" authorId="0" shapeId="0" xr:uid="{B6B3F29D-B508-4CE8-88F4-FCB53B313E59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12" authorId="0" shapeId="0" xr:uid="{89417945-273F-4398-98E2-43AEF4FBEE44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R114" authorId="0" shapeId="0" xr:uid="{1D627A4E-5BE8-4923-B165-E7F912D57FB8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  <comment ref="X114" authorId="0" shapeId="0" xr:uid="{E96DBBEA-FF1E-4FDB-8C12-F2F8F7E0A0F8}">
      <text>
        <r>
          <rPr>
            <b/>
            <sz val="9"/>
            <color indexed="81"/>
            <rFont val="Tahoma"/>
            <family val="2"/>
          </rPr>
          <t>Francisco Alcala:</t>
        </r>
        <r>
          <rPr>
            <sz val="9"/>
            <color indexed="81"/>
            <rFont val="Tahoma"/>
            <family val="2"/>
          </rPr>
          <t xml:space="preserve">
Addtln pickup rate plus return trip rate</t>
        </r>
      </text>
    </comment>
  </commentList>
</comments>
</file>

<file path=xl/sharedStrings.xml><?xml version="1.0" encoding="utf-8"?>
<sst xmlns="http://schemas.openxmlformats.org/spreadsheetml/2006/main" count="495" uniqueCount="273">
  <si>
    <t>ED'S DISPOSAL, INC. G-110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</si>
  <si>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</si>
  <si>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</si>
  <si>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Index</t>
  </si>
  <si>
    <t>Ed's Internal Service Code</t>
  </si>
  <si>
    <t>Meeks Description</t>
  </si>
  <si>
    <t>Pickup Frequency</t>
  </si>
  <si>
    <t>class</t>
  </si>
  <si>
    <t>Tariff Page</t>
  </si>
  <si>
    <t>Scheduled Service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</si>
  <si>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</si>
  <si>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</si>
  <si>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</si>
  <si>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</si>
  <si>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</si>
  <si>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</si>
  <si>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</si>
  <si>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</si>
  <si>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</si>
  <si>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   Current Tariff</t>
  </si>
  <si>
    <t>Company        Calculated Rate</t>
  </si>
  <si>
    <t>Company Current Revenue</t>
  </si>
  <si>
    <t>Company Calculated Revenue</t>
  </si>
  <si>
    <t>Revised Revenue Increase</t>
  </si>
  <si>
    <t>RES_32GAL_1XMONTH</t>
  </si>
  <si>
    <t>35 gallon Can</t>
  </si>
  <si>
    <t>Monthly (MG)</t>
  </si>
  <si>
    <t>Residential</t>
  </si>
  <si>
    <t>22-A</t>
  </si>
  <si>
    <t>1 Can MG</t>
  </si>
  <si>
    <t>RES_64GAL</t>
  </si>
  <si>
    <t>Supercan 60</t>
  </si>
  <si>
    <t>Weekly Pickup (WG)</t>
  </si>
  <si>
    <t>1 64 Gallon Weekly</t>
  </si>
  <si>
    <t>RES_96GAL</t>
  </si>
  <si>
    <t>Supercan 90</t>
  </si>
  <si>
    <t>1 96 Gallon Weekly</t>
  </si>
  <si>
    <t>RES_EXTRA</t>
  </si>
  <si>
    <t>Extras</t>
  </si>
  <si>
    <t>23-A</t>
  </si>
  <si>
    <t>Extra can or unit</t>
  </si>
  <si>
    <t>RES_EXTRA_YDS</t>
  </si>
  <si>
    <t>Yards</t>
  </si>
  <si>
    <t>Bulky Material (1-4 yds)</t>
  </si>
  <si>
    <t>Total</t>
  </si>
  <si>
    <t>COM_96GAL</t>
  </si>
  <si>
    <t>Commercial</t>
  </si>
  <si>
    <t>Container Svc - 96 gal 1st p/u</t>
  </si>
  <si>
    <t>Container Svc - 96 gal Add'tl p/u</t>
  </si>
  <si>
    <t>COM_300GAL</t>
  </si>
  <si>
    <t>1.5 yd container</t>
  </si>
  <si>
    <t>Container Svc - 300 gal 1st p/u</t>
  </si>
  <si>
    <t>Container Svc - 300 gal Add'tl p/u</t>
  </si>
  <si>
    <t>FEL_1.0YD</t>
  </si>
  <si>
    <t>1 yd container</t>
  </si>
  <si>
    <t>Container Svc - 1.0 Yd 1st p/u</t>
  </si>
  <si>
    <t>Container Svc - 1.0 Yd Add'tl p/u</t>
  </si>
  <si>
    <t>FEL_1.5YD</t>
  </si>
  <si>
    <t>Container Svc - 1.5 Yd 1st p/u</t>
  </si>
  <si>
    <t>Container Svc - 1.5 Yd Add'tl p/u</t>
  </si>
  <si>
    <t>TEMP_1.5YD_FEL</t>
  </si>
  <si>
    <t>Container Svc - 1.5Yd Temp</t>
  </si>
  <si>
    <t>FEL_1.5YD_SPEC_PICK_UP</t>
  </si>
  <si>
    <t>Container Svc - 1.5Yd  Spc'l p/u</t>
  </si>
  <si>
    <t>FEL_2.0YD</t>
  </si>
  <si>
    <t>2 yd container</t>
  </si>
  <si>
    <t>Container Svc - 2.0 Yd 1st p/u</t>
  </si>
  <si>
    <t>Container Svc - 2.0 Yd Add'tl p/u</t>
  </si>
  <si>
    <t>TEMP_2.0YD_FEL</t>
  </si>
  <si>
    <t>Container Svc - 2.0 Yd  Temp</t>
  </si>
  <si>
    <t>FEL_2.0YD_SPEC_PICK_UP</t>
  </si>
  <si>
    <t>Container Svc - 2.0 Yd  Spc'l p/u</t>
  </si>
  <si>
    <t>FEL_3.0YD</t>
  </si>
  <si>
    <t>3 yd container</t>
  </si>
  <si>
    <t>Container Svc - 3.0 Yd 1st p/u</t>
  </si>
  <si>
    <t>Container Svc - 3.0 Yd Add'tl p/u</t>
  </si>
  <si>
    <t>TEMP_3.0YD_FEL</t>
  </si>
  <si>
    <t>Container Svc - 3.0 Yd  Temp</t>
  </si>
  <si>
    <t>FEL_3.0YD_SPEC_PICK_UP</t>
  </si>
  <si>
    <t>Container Svc - 3.0 Yd  Spc'l p/u</t>
  </si>
  <si>
    <t>FEL_4.0YD</t>
  </si>
  <si>
    <t>4 yd container</t>
  </si>
  <si>
    <t>Container Svc - 4.0 Yd 1st p/u</t>
  </si>
  <si>
    <t>Container Svc - 4.0 Yd Add'tl p/u</t>
  </si>
  <si>
    <t>TEMP_4.0YD_FEL</t>
  </si>
  <si>
    <t>Container Svc - 4.0 Yd Temp</t>
  </si>
  <si>
    <t>FEL_4.0YD_SPEC_PICK_UP</t>
  </si>
  <si>
    <t>Container Svc - 4.0 Yd  Spc'l p/u</t>
  </si>
  <si>
    <t>FEL_6.0YD</t>
  </si>
  <si>
    <t>6 yd container</t>
  </si>
  <si>
    <t>Container Svc - 6.0 YD 1st p/u</t>
  </si>
  <si>
    <t>Container Svc - 6.0 YD Add'tl p/u</t>
  </si>
  <si>
    <t>TEMP_6.0YD_FEL</t>
  </si>
  <si>
    <t>Container Svc -  6.0 YD Temp</t>
  </si>
  <si>
    <t>FEL_8.0YD</t>
  </si>
  <si>
    <t>8 yd container</t>
  </si>
  <si>
    <t>Container Svc - 8.0 YD 1st p/u</t>
  </si>
  <si>
    <t>Container Svc - 8.0 YD Add'tl p/u</t>
  </si>
  <si>
    <t>TEMP_8.0YD_FEL</t>
  </si>
  <si>
    <t>Container Svc -  8.0 YD Temp</t>
  </si>
  <si>
    <t>No Current Customers</t>
  </si>
  <si>
    <t>1 can</t>
  </si>
  <si>
    <t>1 Can WG</t>
  </si>
  <si>
    <t>2 cans</t>
  </si>
  <si>
    <t>2 Cans WG</t>
  </si>
  <si>
    <t>3 cans</t>
  </si>
  <si>
    <t>3 Cans WG</t>
  </si>
  <si>
    <t>4 cans</t>
  </si>
  <si>
    <t>4 Cans WG</t>
  </si>
  <si>
    <t>5 cans</t>
  </si>
  <si>
    <t>5 Cans WG</t>
  </si>
  <si>
    <t>6 cans</t>
  </si>
  <si>
    <t>6 Cans WG</t>
  </si>
  <si>
    <t>1 300gal WG</t>
  </si>
  <si>
    <t>Extra 64gal Service</t>
  </si>
  <si>
    <t>Extra 96gal Service</t>
  </si>
  <si>
    <t>Bulky Material (add'l yds)</t>
  </si>
  <si>
    <t>Loose Material (1-4yds comp load)</t>
  </si>
  <si>
    <t>Loos Material (add'l yds comp load)</t>
  </si>
  <si>
    <t>Container Svc - 64 gal 1st p/u</t>
  </si>
  <si>
    <t>Container Svc - 64 gal Add'tl p/u</t>
  </si>
  <si>
    <t>Container Svc - 64 gal Spc'l p/u</t>
  </si>
  <si>
    <t>Container Svc - 96 gal Spc'l p/u</t>
  </si>
  <si>
    <t>Container Svc - 300 gal 1st p/u 1xMonth</t>
  </si>
  <si>
    <t>Container Svc - 300 gal Add'tl p/u EOW</t>
  </si>
  <si>
    <t>Container Svc - 300 gal Spc'l p/u</t>
  </si>
  <si>
    <t>Container Svc - 1.0 Yd  Temp</t>
  </si>
  <si>
    <t>Container Svc - 1.0 Yd  Spc'l p/u</t>
  </si>
  <si>
    <t>Container Svc - 1.5Yd EOW</t>
  </si>
  <si>
    <t>Container Svc - 2.0 Yd 2xWk</t>
  </si>
  <si>
    <t>Container Svc - 2.0 Yd EOW</t>
  </si>
  <si>
    <t>Container Svc - 3.0 Yd EOW</t>
  </si>
  <si>
    <t>Container Svc - 4.0 Yd EOW</t>
  </si>
  <si>
    <t>Container Svc - 6.0 Yd  Spc'l p/u</t>
  </si>
  <si>
    <t>Container Svc - 6.0 Yd EOW</t>
  </si>
  <si>
    <t>Container Svc - 8.0 Yd  Spc'l p/u</t>
  </si>
  <si>
    <t>Container Svc - 8.0 Yd EOW</t>
  </si>
  <si>
    <t>32gal can/unit - Each Scheduled Pickup</t>
  </si>
  <si>
    <t>32gal can/unit - Special Pickup</t>
  </si>
  <si>
    <t>1.5 yd packer/compactor</t>
  </si>
  <si>
    <t>Container Svc - 1.5Yd Compact 1st p/u</t>
  </si>
  <si>
    <t>Container Svc - 1.5Yd Compact Add'tl p/u</t>
  </si>
  <si>
    <t>Container Svc - 1.5Yd Compact Spc'l p/u</t>
  </si>
  <si>
    <t>2 yd packer/compactor</t>
  </si>
  <si>
    <t>Container Svc - 2Yd Compact 1st p/u</t>
  </si>
  <si>
    <t>Container Svc - 2Yd Compact Add'tl p/u</t>
  </si>
  <si>
    <t>Container Svc - 2Yd Compact Spc'l p/u</t>
  </si>
  <si>
    <t>3 yd packer/compactor</t>
  </si>
  <si>
    <t>Container Svc - 3Yd Compact 1st p/u</t>
  </si>
  <si>
    <t>Container Svc - 3Yd Compact Add'tl p/u</t>
  </si>
  <si>
    <t>Container Svc - 3Yd Compact Spc'l p/u</t>
  </si>
  <si>
    <t>4 yd packer/compactor</t>
  </si>
  <si>
    <t>Container Svc - 4Yd Compact 1st p/u</t>
  </si>
  <si>
    <t>Container Svc - 4Yd Compact Add'tl p/u</t>
  </si>
  <si>
    <t>Container Svc - 4Yd Compact Spc'l p/u</t>
  </si>
  <si>
    <t>6 yd packer/compactor</t>
  </si>
  <si>
    <t>Container Svc - 6Yd Compact 1st p/u</t>
  </si>
  <si>
    <t>Container Svc - 6Yd Compact Add'tl p/u</t>
  </si>
  <si>
    <t>Container Svc - 6Yd Compact Spc'l p/u</t>
  </si>
  <si>
    <t>8 yd packer/compactor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</si>
  <si>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</si>
  <si>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</si>
  <si>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</si>
  <si>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</si>
  <si>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</si>
  <si>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</si>
  <si>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</si>
  <si>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</si>
  <si>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</si>
  <si>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</si>
  <si>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</si>
  <si>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Adjustment Factor Calculation</t>
  </si>
  <si>
    <t>Total Tonnage</t>
  </si>
  <si>
    <t>Total Pounds</t>
  </si>
  <si>
    <t>Total Pick Ups</t>
  </si>
  <si>
    <t>Adjustment factor</t>
  </si>
  <si>
    <t>Monthly Factor</t>
  </si>
  <si>
    <t>Service Type</t>
  </si>
  <si>
    <t>Meeks_Description</t>
  </si>
  <si>
    <t>Original Meeks</t>
  </si>
  <si>
    <t>Pounds Per Pickup</t>
  </si>
  <si>
    <t>Staff Calculation</t>
  </si>
  <si>
    <t>Pickups:</t>
  </si>
  <si>
    <t>1 units</t>
  </si>
  <si>
    <t>2 units</t>
  </si>
  <si>
    <t>3 units</t>
  </si>
  <si>
    <t>4 units</t>
  </si>
  <si>
    <t>5 units</t>
  </si>
  <si>
    <t>6 units</t>
  </si>
  <si>
    <t>7 units</t>
  </si>
  <si>
    <t>20 gal minican</t>
  </si>
  <si>
    <t>5 Times per Week</t>
  </si>
  <si>
    <t>4 Times per Week</t>
  </si>
  <si>
    <t>3 Times per Week</t>
  </si>
  <si>
    <t>2 Times per Week</t>
  </si>
  <si>
    <t>Every Other Week (EOWG)</t>
  </si>
  <si>
    <t>*</t>
  </si>
  <si>
    <t>Once a month</t>
  </si>
  <si>
    <t>Tip Service Cross Reference</t>
  </si>
  <si>
    <t>CoreProduct</t>
  </si>
  <si>
    <t>MeeksProduct</t>
  </si>
  <si>
    <t>Cans</t>
  </si>
  <si>
    <t>COM_200GAL</t>
  </si>
  <si>
    <t>COM_220GAL</t>
  </si>
  <si>
    <t>COM_32GAL</t>
  </si>
  <si>
    <t>COM_64GAL</t>
  </si>
  <si>
    <t>COM_EXTRA_YARDS</t>
  </si>
  <si>
    <t>COMP_6.0YD_1X</t>
  </si>
  <si>
    <t>1 yd packer/compactor</t>
  </si>
  <si>
    <t>FEL_1.25YD</t>
  </si>
  <si>
    <t>5 yd packer/compactor</t>
  </si>
  <si>
    <t>FEL_CDBD</t>
  </si>
  <si>
    <t>?????</t>
  </si>
  <si>
    <t>1.25 yd container</t>
  </si>
  <si>
    <t>RES_ RECYCLE_CART</t>
  </si>
  <si>
    <t>RES_32GAL</t>
  </si>
  <si>
    <t>* not on meeks - calculated by staff</t>
  </si>
  <si>
    <t>RES_EXTRA_BAG/BOX/MISC</t>
  </si>
  <si>
    <t>CBLLC Transfer Station (Pasco)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</si>
  <si>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</si>
  <si>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</si>
  <si>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</si>
  <si>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</si>
  <si>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</si>
  <si>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</si>
  <si>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</si>
  <si>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</si>
  <si>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</si>
  <si>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</si>
  <si>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</si>
  <si>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</si>
  <si>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</si>
  <si>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</si>
  <si>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</si>
  <si>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</si>
  <si>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</si>
  <si>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</si>
  <si>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ED's Disposal, Inc.</t>
  </si>
  <si>
    <t>Calculated Revenue Increase</t>
  </si>
  <si>
    <t>As a result of increased disposal fees.</t>
  </si>
  <si>
    <t>Current</t>
  </si>
  <si>
    <t xml:space="preserve">Proposed </t>
  </si>
  <si>
    <t>Revenue</t>
  </si>
  <si>
    <t>Dollars</t>
  </si>
  <si>
    <t>Percentage</t>
  </si>
  <si>
    <t>Residential - from calculation worksheet</t>
  </si>
  <si>
    <t xml:space="preserve">Commercial </t>
  </si>
  <si>
    <t>Roll - Off - Tonnage</t>
  </si>
  <si>
    <t>Disposal Rate Per Ton</t>
  </si>
  <si>
    <t>Columbia Basin, LLC Transfer Station</t>
  </si>
  <si>
    <t>BDI</t>
  </si>
  <si>
    <t>EDS</t>
  </si>
  <si>
    <t>Packer</t>
  </si>
  <si>
    <t>Roll off</t>
  </si>
  <si>
    <t>Extra Bag Service</t>
  </si>
  <si>
    <t>As a result of increased B&amp;O Tax</t>
  </si>
  <si>
    <t>64gal Litter Receptacles/Toters</t>
  </si>
  <si>
    <t>96gal Litter Receptacles/Toters</t>
  </si>
  <si>
    <t>300gal Litter Receptacles/Toters</t>
  </si>
  <si>
    <t>1.0 yd container</t>
  </si>
  <si>
    <t>Prepared by Francisco Alcala, Ed's Disposal Pricing Manager</t>
  </si>
  <si>
    <t>Pre B&amp;O Increase</t>
  </si>
  <si>
    <t>B&amp;O Tax Increase</t>
  </si>
  <si>
    <t>Company Proposed Rate w/B&amp;O Increase</t>
  </si>
  <si>
    <t>Company Calculated Revenue (B&amp;O incorporated in grossup)</t>
  </si>
  <si>
    <t>Revised Revenue Increase B&amp;O Only</t>
  </si>
  <si>
    <t>Roll - Off</t>
  </si>
  <si>
    <t>Overall Increase</t>
  </si>
  <si>
    <t>Proposed</t>
  </si>
  <si>
    <t>Increase $</t>
  </si>
  <si>
    <t>Increase Pct%</t>
  </si>
  <si>
    <t>w/Disposal Adj</t>
  </si>
  <si>
    <t>w/B&amp;O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</si>
</sst>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[$-409]mmmm\ d\,\ yyyy;@"/>
    <numFmt numFmtId="172" formatCode="0.0%"/>
    <numFmt numFmtId="173" formatCode="0.000%"/>
    <numFmt numFmtId="174" formatCode="_(&quot;$&quot;* #,##0_);_(&quot;$&quot;* \(#,##0\);_(&quot;$&quot;* &quot;-&quot;??_);_(@_)"/>
    <numFmt numFmtId="17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44" fontId="6" fillId="4" borderId="0" xfId="5" applyFont="1" applyFill="1"/>
    <xf numFmtId="44" fontId="0" fillId="5" borderId="0" xfId="2" applyFont="1" applyFill="1" applyBorder="1"/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6" applyFont="1" applyBorder="1"/>
    <xf numFmtId="3" fontId="6" fillId="0" borderId="0" xfId="7" applyNumberFormat="1" applyFont="1" applyBorder="1"/>
    <xf numFmtId="3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/>
    <xf numFmtId="3" fontId="6" fillId="0" borderId="0" xfId="7" applyNumberFormat="1" applyFont="1"/>
    <xf numFmtId="0" fontId="6" fillId="0" borderId="0" xfId="6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Border="1"/>
    <xf numFmtId="164" fontId="4" fillId="0" borderId="1" xfId="1" applyNumberFormat="1" applyFont="1" applyBorder="1" applyAlignment="1">
      <alignment horizontal="center"/>
    </xf>
    <xf numFmtId="164" fontId="0" fillId="6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7" borderId="0" xfId="1" applyNumberFormat="1" applyFont="1" applyFill="1"/>
    <xf numFmtId="43" fontId="0" fillId="0" borderId="0" xfId="0" applyNumberFormat="1" applyFont="1"/>
    <xf numFmtId="2" fontId="0" fillId="0" borderId="0" xfId="0" applyNumberFormat="1"/>
    <xf numFmtId="0" fontId="0" fillId="0" borderId="0" xfId="0" applyFon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164" fontId="0" fillId="2" borderId="0" xfId="1" applyNumberFormat="1" applyFont="1" applyFill="1"/>
    <xf numFmtId="0" fontId="0" fillId="9" borderId="0" xfId="0" applyFill="1"/>
    <xf numFmtId="0" fontId="0" fillId="7" borderId="0" xfId="0" applyFont="1" applyFill="1" applyAlignment="1">
      <alignment horizontal="left" indent="1"/>
    </xf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6" borderId="0" xfId="2" applyFont="1" applyFill="1"/>
    <xf numFmtId="166" fontId="0" fillId="6" borderId="0" xfId="2" applyNumberFormat="1" applyFont="1" applyFill="1"/>
    <xf numFmtId="44" fontId="0" fillId="6" borderId="1" xfId="2" applyFont="1" applyFill="1" applyBorder="1"/>
    <xf numFmtId="166" fontId="0" fillId="6" borderId="1" xfId="2" applyNumberFormat="1" applyFont="1" applyFill="1" applyBorder="1"/>
    <xf numFmtId="167" fontId="0" fillId="0" borderId="0" xfId="1" applyNumberFormat="1" applyFont="1" applyBorder="1"/>
    <xf numFmtId="168" fontId="0" fillId="6" borderId="0" xfId="2" applyNumberFormat="1" applyFont="1" applyFill="1"/>
    <xf numFmtId="167" fontId="0" fillId="0" borderId="1" xfId="1" applyNumberFormat="1" applyFont="1" applyBorder="1"/>
    <xf numFmtId="169" fontId="0" fillId="0" borderId="0" xfId="0" applyNumberFormat="1" applyFont="1"/>
    <xf numFmtId="0" fontId="0" fillId="3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4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4" xfId="0" applyFont="1" applyBorder="1"/>
    <xf numFmtId="0" fontId="0" fillId="3" borderId="5" xfId="0" applyFont="1" applyFill="1" applyBorder="1" applyAlignment="1">
      <alignment horizontal="center"/>
    </xf>
    <xf numFmtId="0" fontId="0" fillId="0" borderId="6" xfId="0" applyFont="1" applyBorder="1"/>
    <xf numFmtId="44" fontId="0" fillId="0" borderId="7" xfId="2" applyFont="1" applyBorder="1"/>
    <xf numFmtId="44" fontId="0" fillId="0" borderId="9" xfId="2" applyFont="1" applyBorder="1"/>
    <xf numFmtId="10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4" fillId="0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0" xfId="0" applyFont="1" applyFill="1" applyAlignment="1">
      <alignment horizontal="left"/>
    </xf>
    <xf numFmtId="44" fontId="0" fillId="10" borderId="0" xfId="2" applyFont="1" applyFill="1"/>
    <xf numFmtId="44" fontId="0" fillId="10" borderId="1" xfId="2" applyFont="1" applyFill="1" applyBorder="1"/>
    <xf numFmtId="0" fontId="0" fillId="10" borderId="0" xfId="0" applyFont="1" applyFill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1" xfId="0" applyBorder="1"/>
    <xf numFmtId="3" fontId="0" fillId="0" borderId="10" xfId="0" applyNumberFormat="1" applyBorder="1" applyAlignment="1">
      <alignment horizontal="center"/>
    </xf>
    <xf numFmtId="172" fontId="0" fillId="0" borderId="0" xfId="3" applyNumberFormat="1" applyFont="1"/>
    <xf numFmtId="167" fontId="0" fillId="7" borderId="0" xfId="1" applyNumberFormat="1" applyFont="1" applyFill="1"/>
    <xf numFmtId="43" fontId="0" fillId="0" borderId="0" xfId="0" applyNumberFormat="1" applyFill="1" applyBorder="1"/>
    <xf numFmtId="43" fontId="0" fillId="0" borderId="1" xfId="0" applyNumberFormat="1" applyFill="1" applyBorder="1"/>
    <xf numFmtId="44" fontId="0" fillId="4" borderId="0" xfId="2" applyFont="1" applyFill="1" applyBorder="1"/>
    <xf numFmtId="0" fontId="0" fillId="3" borderId="0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3" fontId="4" fillId="3" borderId="1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8" xfId="0" applyFont="1" applyBorder="1"/>
    <xf numFmtId="44" fontId="0" fillId="0" borderId="0" xfId="2" applyFont="1" applyFill="1" applyBorder="1"/>
    <xf numFmtId="165" fontId="0" fillId="0" borderId="0" xfId="0" applyNumberFormat="1" applyFill="1"/>
    <xf numFmtId="0" fontId="0" fillId="0" borderId="3" xfId="0" applyFill="1" applyBorder="1"/>
    <xf numFmtId="173" fontId="4" fillId="3" borderId="1" xfId="3" applyNumberFormat="1" applyFont="1" applyFill="1" applyBorder="1" applyAlignment="1">
      <alignment horizontal="center" vertical="center" wrapText="1"/>
    </xf>
    <xf numFmtId="166" fontId="0" fillId="0" borderId="0" xfId="0" applyNumberFormat="1"/>
    <xf numFmtId="164" fontId="0" fillId="0" borderId="0" xfId="1" applyNumberFormat="1" applyFont="1"/>
    <xf numFmtId="174" fontId="0" fillId="0" borderId="0" xfId="1" applyNumberFormat="1" applyFont="1"/>
    <xf numFmtId="174" fontId="0" fillId="0" borderId="0" xfId="2" applyNumberFormat="1" applyFont="1"/>
    <xf numFmtId="175" fontId="4" fillId="3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0" fontId="0" fillId="0" borderId="1" xfId="3" applyNumberFormat="1" applyFont="1" applyBorder="1"/>
    <xf numFmtId="0" fontId="7" fillId="0" borderId="0" xfId="0" applyFont="1" applyAlignment="1"/>
    <xf numFmtId="171" fontId="7" fillId="0" borderId="0" xfId="0" applyNumberFormat="1" applyFont="1" applyAlignme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164" fontId="0" fillId="0" borderId="0" xfId="0" applyNumberFormat="1" applyBorder="1"/>
    <xf numFmtId="3" fontId="0" fillId="0" borderId="0" xfId="0" applyNumberFormat="1" applyBorder="1"/>
    <xf numFmtId="0" fontId="7" fillId="0" borderId="0" xfId="0" applyFont="1" applyBorder="1" applyAlignment="1"/>
    <xf numFmtId="171" fontId="7" fillId="0" borderId="0" xfId="0" applyNumberFormat="1" applyFont="1" applyBorder="1" applyAlignment="1"/>
    <xf numFmtId="10" fontId="0" fillId="0" borderId="0" xfId="3" applyNumberFormat="1" applyFont="1" applyBorder="1"/>
    <xf numFmtId="0" fontId="0" fillId="0" borderId="0" xfId="0" applyBorder="1" applyAlignment="1">
      <alignment horizontal="left"/>
    </xf>
    <xf numFmtId="165" fontId="0" fillId="5" borderId="0" xfId="2" applyNumberFormat="1" applyFont="1" applyFill="1" applyBorder="1"/>
    <xf numFmtId="43" fontId="0" fillId="0" borderId="0" xfId="1" applyFont="1" applyFill="1"/>
    <xf numFmtId="0" fontId="9" fillId="7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9" fillId="7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</cellXfs>
  <cellStyles count="9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 105" xfId="7" xr:uid="{00000000-0005-0000-0000-000004000000}"/>
    <cellStyle name="Normal 2" xfId="8" xr:uid="{00000000-0005-0000-0000-000005000000}"/>
    <cellStyle name="Normal_Murrey's Jan-Dec 2012" xfId="6" xr:uid="{00000000-0005-0000-0000-000006000000}"/>
    <cellStyle name="Normal_Price out" xfId="4" xr:uid="{00000000-0005-0000-0000-000007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156883</xdr:colOff>
      <xdr:row>48</xdr:row>
      <xdr:rowOff>67235</xdr:rowOff>
    </xdr:from>
    <xdr:to>
      <xdr:col>13</xdr:col>
      <xdr:colOff>112058</xdr:colOff>
      <xdr:row>59</xdr:row>
      <xdr:rowOff>145676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05308" y="9401735"/>
          <a:ext cx="8708650" cy="219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X:\FINANCIAL FOLDER\CITIES-Fuel Surcharge-Rates-Etc\_MasterData_RateCase\BDI-EDS_Filing_DEC2017\WorkingDocuments\Tonnage</a:t>
          </a:r>
        </a:p>
        <a:p>
          <a:r>
            <a:rPr lang="en-US" sz="1100"/>
            <a:t>BDI-EDS_Tonnage_31JULY2017 (WB Edit 29Aug2017)(DAEdit 03Oct2017).xlsx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GL_Download\BDI_WUTC-GeneralRateCase_2017-Jan_v03.1%20(CB%20New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ityRateCases\BDI%20Cost%20Allocation%20Model%20Ver%203.4%204-19-17%20(CB%20New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Bell%20&amp;%20Associates\City%20of%20Yakima\Rates%202016\Yakima%20City%20SW%20Cost%20Workbook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ostAllocationModel_v4.1-1.1f%20(Dave%20Edits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5"/>
  <sheetViews>
    <sheetView zoomScale="70" zoomScaleNormal="70" workbookViewId="0">
      <pane xSplit="5" ySplit="6" topLeftCell="I7" activePane="bottomRight" state="frozen"/>
      <selection pane="topRight" activeCell="F1" sqref="F1"/>
      <selection pane="bottomLeft" activeCell="A7" sqref="A7"/>
      <selection pane="bottomRight" activeCell="R2" sqref="R2"/>
    </sheetView>
  </sheetViews>
  <sheetFormatPr defaultRowHeight="15" x14ac:dyDescent="0.25"/>
  <cols>
    <col min="2" max="2" width="24.85546875" customWidth="1"/>
    <col min="3" max="3" width="24.85546875" style="96" customWidth="1"/>
    <col min="4" max="4" width="24.85546875" customWidth="1"/>
    <col min="5" max="5" width="5" customWidth="1"/>
    <col min="6" max="6" width="12" style="1" customWidth="1"/>
    <col min="7" max="7" width="48.140625" bestFit="1" customWidth="1"/>
    <col min="8" max="9" width="17.140625" customWidth="1"/>
    <col min="10" max="10" width="18.7109375" customWidth="1"/>
    <col min="11" max="11" width="15.42578125" customWidth="1"/>
    <col min="12" max="12" width="19.140625" customWidth="1"/>
    <col min="13" max="13" width="18.85546875" customWidth="1"/>
    <col min="14" max="14" width="12" customWidth="1"/>
    <col min="15" max="15" width="12.140625" customWidth="1"/>
    <col min="16" max="16" width="20.140625" customWidth="1"/>
    <col min="17" max="18" width="12" customWidth="1"/>
    <col min="19" max="19" width="18.7109375" bestFit="1" customWidth="1"/>
    <col min="20" max="20" width="20.5703125" bestFit="1" customWidth="1"/>
    <col min="21" max="21" width="18.28515625" style="23" bestFit="1" customWidth="1"/>
    <col min="22" max="22" width="4" customWidth="1"/>
    <col min="24" max="24" width="15.7109375" customWidth="1"/>
    <col min="25" max="25" width="23.28515625" customWidth="1"/>
    <col min="26" max="26" width="10.5703125" bestFit="1" customWidth="1"/>
  </cols>
  <sheetData>
    <row r="1" spans="1:26" ht="26.25" x14ac:dyDescent="0.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3" spans="1:26" x14ac:dyDescent="0.25">
      <c r="A3" t="s">
        <v>260</v>
      </c>
    </row>
    <row r="4" spans="1:26" x14ac:dyDescent="0.25">
      <c r="A4" t="s">
        <v>1</v>
      </c>
      <c r="Q4" s="136" t="s">
        <v>261</v>
      </c>
      <c r="R4" s="136"/>
      <c r="S4" s="136"/>
      <c r="T4" s="136"/>
      <c r="U4" s="136"/>
      <c r="V4" s="54"/>
      <c r="W4" s="130" t="s">
        <v>262</v>
      </c>
    </row>
    <row r="5" spans="1:26" x14ac:dyDescent="0.25">
      <c r="A5" t="s">
        <v>2</v>
      </c>
      <c r="Q5" s="136"/>
      <c r="R5" s="136"/>
      <c r="S5" s="136"/>
      <c r="T5" s="136"/>
      <c r="U5" s="136"/>
      <c r="V5" s="54"/>
      <c r="W5" s="130"/>
    </row>
    <row r="6" spans="1:26" ht="60" x14ac:dyDescent="0.25">
      <c r="A6" t="s">
        <v>3</v>
      </c>
      <c r="B6" s="2" t="s">
        <v>4</v>
      </c>
      <c r="C6" s="97" t="s">
        <v>5</v>
      </c>
      <c r="D6" s="2" t="s">
        <v>6</v>
      </c>
      <c r="E6" s="3" t="s">
        <v>7</v>
      </c>
      <c r="F6" s="4" t="s">
        <v>8</v>
      </c>
      <c r="G6" s="5" t="s">
        <v>9</v>
      </c>
      <c r="H6" s="4" t="s">
        <v>10</v>
      </c>
      <c r="I6" s="4" t="s">
        <v>11</v>
      </c>
      <c r="J6" s="3" t="s">
        <v>12</v>
      </c>
      <c r="K6" s="4" t="s">
        <v>13</v>
      </c>
      <c r="L6" s="4" t="s">
        <v>14</v>
      </c>
      <c r="M6" s="6" t="s">
        <v>15</v>
      </c>
      <c r="N6" s="7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54"/>
      <c r="W6" s="107">
        <f>0.0175-0.015</f>
        <v>2.5000000000000022E-3</v>
      </c>
      <c r="X6" s="4" t="s">
        <v>263</v>
      </c>
      <c r="Y6" s="4" t="s">
        <v>264</v>
      </c>
      <c r="Z6" s="4" t="s">
        <v>265</v>
      </c>
    </row>
    <row r="7" spans="1:26" ht="15" customHeight="1" x14ac:dyDescent="0.25">
      <c r="A7">
        <v>1</v>
      </c>
      <c r="B7" t="s">
        <v>24</v>
      </c>
      <c r="C7" s="96" t="s">
        <v>25</v>
      </c>
      <c r="D7" t="s">
        <v>26</v>
      </c>
      <c r="E7" s="133" t="s">
        <v>27</v>
      </c>
      <c r="F7" s="8" t="s">
        <v>28</v>
      </c>
      <c r="G7" s="9" t="s">
        <v>29</v>
      </c>
      <c r="H7">
        <v>10</v>
      </c>
      <c r="I7" s="10">
        <f>INDEX(References_EDS!$M$2:$T$9,MATCH($D7,References_EDS!$M$2:$M$9,0),MATCH(LEFT($G7,1)&amp;" units",References_EDS!$M$2:$T$2,0))</f>
        <v>1</v>
      </c>
      <c r="J7" s="11">
        <f>+H7*I7</f>
        <v>10</v>
      </c>
      <c r="K7">
        <f>References_EDS!C4</f>
        <v>34</v>
      </c>
      <c r="L7" s="11">
        <f>+K7*J7</f>
        <v>340</v>
      </c>
      <c r="M7" s="11">
        <f>+L7*$H$125</f>
        <v>270.10511627699998</v>
      </c>
      <c r="N7" s="12">
        <f>+M7*References_EDS!$C$42</f>
        <v>0.19717673488221038</v>
      </c>
      <c r="O7" s="12">
        <f>+N7/References_EDS!$G$45</f>
        <v>0.2012212826637518</v>
      </c>
      <c r="P7" s="12">
        <f>IFERROR(O7/J7,0)*I7</f>
        <v>2.0122128266375182E-2</v>
      </c>
      <c r="Q7" s="13">
        <v>9.1</v>
      </c>
      <c r="R7" s="14">
        <f>P7+Q7</f>
        <v>9.1201221282663756</v>
      </c>
      <c r="S7" s="12">
        <f>+Q7*H7</f>
        <v>91</v>
      </c>
      <c r="T7" s="12">
        <f>+R7*H7</f>
        <v>91.201221282663752</v>
      </c>
      <c r="U7" s="104">
        <f>+T7-S7</f>
        <v>0.20122128266375228</v>
      </c>
      <c r="V7" s="54"/>
      <c r="W7" s="108">
        <f>(R7/(1-$W$6))-R7</f>
        <v>2.2857448943023329E-2</v>
      </c>
      <c r="X7" s="14">
        <f>W7+R7</f>
        <v>9.1429795772093989</v>
      </c>
      <c r="Y7" s="110">
        <f>+X7*H7</f>
        <v>91.429795772093996</v>
      </c>
      <c r="Z7" s="111">
        <f>Y7-T7</f>
        <v>0.22857448943024394</v>
      </c>
    </row>
    <row r="8" spans="1:26" x14ac:dyDescent="0.25">
      <c r="A8">
        <v>2</v>
      </c>
      <c r="B8" t="s">
        <v>30</v>
      </c>
      <c r="C8" s="96" t="s">
        <v>31</v>
      </c>
      <c r="D8" t="s">
        <v>32</v>
      </c>
      <c r="E8" s="134"/>
      <c r="F8" s="8" t="s">
        <v>28</v>
      </c>
      <c r="G8" s="9" t="s">
        <v>33</v>
      </c>
      <c r="H8">
        <v>3286</v>
      </c>
      <c r="I8" s="10">
        <f>INDEX(References_EDS!$M$2:$T$9,MATCH($D8,References_EDS!$M$2:$M$9,0),MATCH(LEFT($G8,1)&amp;" units",References_EDS!$M$2:$T$2,0))</f>
        <v>4.333333333333333</v>
      </c>
      <c r="J8" s="11">
        <f>+H8*I8</f>
        <v>14239.333333333332</v>
      </c>
      <c r="K8">
        <f>References_EDS!C11</f>
        <v>47</v>
      </c>
      <c r="L8" s="11">
        <f>+K8*J8</f>
        <v>669248.66666666663</v>
      </c>
      <c r="M8" s="11">
        <f>+L8*$H$125</f>
        <v>531669.0850830212</v>
      </c>
      <c r="N8" s="12">
        <f>+M8*References_EDS!$C$42</f>
        <v>388.11843211060625</v>
      </c>
      <c r="O8" s="12">
        <f>+N8/References_EDS!$G$45</f>
        <v>396.07963272844808</v>
      </c>
      <c r="P8" s="12">
        <f t="shared" ref="P8:P9" si="0">IFERROR(O8/J8,0)*I8</f>
        <v>0.12053549383093368</v>
      </c>
      <c r="Q8" s="13">
        <v>18.84</v>
      </c>
      <c r="R8" s="14">
        <f t="shared" ref="R8:R11" si="1">P8+Q8</f>
        <v>18.960535493830932</v>
      </c>
      <c r="S8" s="12">
        <f t="shared" ref="S8:S9" si="2">+Q8*H8</f>
        <v>61908.24</v>
      </c>
      <c r="T8" s="12">
        <f t="shared" ref="T8:T9" si="3">+R8*H8</f>
        <v>62304.319632728439</v>
      </c>
      <c r="U8" s="104">
        <f t="shared" ref="U8:U11" si="4">+T8-S8</f>
        <v>396.07963272844063</v>
      </c>
      <c r="V8" s="54"/>
      <c r="W8" s="108">
        <f t="shared" ref="W8:W11" si="5">(R8/(1-$W$6))-R8</f>
        <v>4.7520139082280366E-2</v>
      </c>
      <c r="X8" s="14">
        <f t="shared" ref="X8:X11" si="6">W8+R8</f>
        <v>19.008055632913212</v>
      </c>
      <c r="Y8" s="111">
        <f>+X8*H8</f>
        <v>62460.470809752813</v>
      </c>
      <c r="Z8" s="111">
        <f t="shared" ref="Z8:Z11" si="7">Y8-T8</f>
        <v>156.15117702437419</v>
      </c>
    </row>
    <row r="9" spans="1:26" x14ac:dyDescent="0.25">
      <c r="A9">
        <v>3</v>
      </c>
      <c r="B9" t="s">
        <v>34</v>
      </c>
      <c r="C9" s="96" t="s">
        <v>35</v>
      </c>
      <c r="D9" t="s">
        <v>32</v>
      </c>
      <c r="E9" s="134"/>
      <c r="F9" s="8" t="s">
        <v>28</v>
      </c>
      <c r="G9" s="9" t="s">
        <v>36</v>
      </c>
      <c r="H9">
        <v>48173</v>
      </c>
      <c r="I9" s="10">
        <f>INDEX(References_EDS!$M$2:$T$9,MATCH($D9,References_EDS!$M$2:$M$9,0),MATCH(LEFT($G9,1)&amp;" units",References_EDS!$M$2:$T$2,0))</f>
        <v>4.333333333333333</v>
      </c>
      <c r="J9" s="11">
        <f>+H9*I9</f>
        <v>208749.66666666666</v>
      </c>
      <c r="K9">
        <f>References_EDS!C12</f>
        <v>68</v>
      </c>
      <c r="L9" s="11">
        <f>+K9*J9</f>
        <v>14194977.333333332</v>
      </c>
      <c r="M9" s="11">
        <f>+L9*$H$125</f>
        <v>11276870.597556997</v>
      </c>
      <c r="N9" s="12">
        <f>+M9*References_EDS!$C$42</f>
        <v>8232.1155362166246</v>
      </c>
      <c r="O9" s="12">
        <f>+N9/References_EDS!$G$45</f>
        <v>8400.9751364594595</v>
      </c>
      <c r="P9" s="12">
        <f t="shared" si="0"/>
        <v>0.17439177830858488</v>
      </c>
      <c r="Q9" s="13">
        <v>23.85</v>
      </c>
      <c r="R9" s="14">
        <f t="shared" si="1"/>
        <v>24.024391778308587</v>
      </c>
      <c r="S9" s="12">
        <f t="shared" si="2"/>
        <v>1148926.05</v>
      </c>
      <c r="T9" s="12">
        <f t="shared" si="3"/>
        <v>1157327.0251364596</v>
      </c>
      <c r="U9" s="104">
        <f t="shared" si="4"/>
        <v>8400.9751364595722</v>
      </c>
      <c r="V9" s="54"/>
      <c r="W9" s="108">
        <f t="shared" si="5"/>
        <v>6.0211508216312382E-2</v>
      </c>
      <c r="X9" s="14">
        <f t="shared" si="6"/>
        <v>24.084603286524899</v>
      </c>
      <c r="Y9" s="111">
        <f t="shared" ref="Y9" si="8">+X9*H9</f>
        <v>1160227.5941217639</v>
      </c>
      <c r="Z9" s="111">
        <f t="shared" si="7"/>
        <v>2900.5689853043295</v>
      </c>
    </row>
    <row r="10" spans="1:26" x14ac:dyDescent="0.25">
      <c r="A10">
        <v>4</v>
      </c>
      <c r="B10" t="s">
        <v>37</v>
      </c>
      <c r="C10" s="96" t="s">
        <v>38</v>
      </c>
      <c r="E10" s="134"/>
      <c r="F10" s="8" t="s">
        <v>39</v>
      </c>
      <c r="G10" s="9" t="s">
        <v>40</v>
      </c>
      <c r="J10">
        <v>2001.5</v>
      </c>
      <c r="K10">
        <f>References_EDS!C14</f>
        <v>34</v>
      </c>
      <c r="L10" s="11">
        <f t="shared" ref="L10:L11" si="9">+K10*J10</f>
        <v>68051</v>
      </c>
      <c r="M10" s="11">
        <f>+L10*$H$125</f>
        <v>54061.539022841549</v>
      </c>
      <c r="N10" s="12">
        <f>+M10*References_EDS!$C$42</f>
        <v>39.464923486674408</v>
      </c>
      <c r="O10" s="12">
        <f>+N10/References_EDS!$G$45</f>
        <v>40.274439725149925</v>
      </c>
      <c r="P10" s="12">
        <f t="shared" ref="P10:P11" si="10">IFERROR(O10/J10,0)</f>
        <v>2.0122128266375182E-2</v>
      </c>
      <c r="Q10" s="13">
        <v>3.33</v>
      </c>
      <c r="R10" s="14">
        <f t="shared" si="1"/>
        <v>3.3501221282663751</v>
      </c>
      <c r="S10" s="12">
        <f>+Q10*J10</f>
        <v>6664.9949999999999</v>
      </c>
      <c r="T10" s="12">
        <f>+R10*J10</f>
        <v>6705.2694397251498</v>
      </c>
      <c r="U10" s="104">
        <f t="shared" si="4"/>
        <v>40.274439725149932</v>
      </c>
      <c r="V10" s="54"/>
      <c r="W10" s="108">
        <f t="shared" si="5"/>
        <v>8.3962960608179316E-3</v>
      </c>
      <c r="X10" s="14">
        <f t="shared" si="6"/>
        <v>3.3585184243271931</v>
      </c>
      <c r="Y10" s="111">
        <f>+X10*J10</f>
        <v>6722.0746262908769</v>
      </c>
      <c r="Z10" s="111">
        <f t="shared" si="7"/>
        <v>16.805186565727126</v>
      </c>
    </row>
    <row r="11" spans="1:26" x14ac:dyDescent="0.25">
      <c r="A11">
        <v>5</v>
      </c>
      <c r="B11" t="s">
        <v>41</v>
      </c>
      <c r="C11" s="96" t="s">
        <v>42</v>
      </c>
      <c r="E11" s="134"/>
      <c r="F11" s="8">
        <v>24</v>
      </c>
      <c r="G11" s="9" t="s">
        <v>43</v>
      </c>
      <c r="J11">
        <v>98</v>
      </c>
      <c r="K11">
        <f>References_EDS!C31</f>
        <v>125</v>
      </c>
      <c r="L11" s="11">
        <f t="shared" si="9"/>
        <v>12250</v>
      </c>
      <c r="M11" s="11">
        <f>+L11*$H$125</f>
        <v>9731.7284540977944</v>
      </c>
      <c r="N11" s="12">
        <f>+M11*References_EDS!$C$42</f>
        <v>7.1041617714914045</v>
      </c>
      <c r="O11" s="12">
        <f>+N11/References_EDS!$G$45</f>
        <v>7.2498844489145879</v>
      </c>
      <c r="P11" s="12">
        <f t="shared" si="10"/>
        <v>7.3978412744026403E-2</v>
      </c>
      <c r="Q11" s="13">
        <v>15.87</v>
      </c>
      <c r="R11" s="14">
        <f t="shared" si="1"/>
        <v>15.943978412744025</v>
      </c>
      <c r="S11" s="12">
        <f>+Q11*J11</f>
        <v>1555.26</v>
      </c>
      <c r="T11" s="12">
        <f>+R11*J11</f>
        <v>1562.5098844489144</v>
      </c>
      <c r="U11" s="104">
        <f t="shared" si="4"/>
        <v>7.2498844489143721</v>
      </c>
      <c r="V11" s="54"/>
      <c r="W11" s="108">
        <f t="shared" si="5"/>
        <v>3.9959845645974212E-2</v>
      </c>
      <c r="X11" s="14">
        <f t="shared" si="6"/>
        <v>15.983938258389999</v>
      </c>
      <c r="Y11" s="111">
        <f>+X11*J11</f>
        <v>1566.42594932222</v>
      </c>
      <c r="Z11" s="111">
        <f t="shared" si="7"/>
        <v>3.916064873305686</v>
      </c>
    </row>
    <row r="12" spans="1:26" x14ac:dyDescent="0.25">
      <c r="E12" s="15"/>
      <c r="F12" s="8"/>
      <c r="G12" s="16"/>
      <c r="V12" s="54"/>
    </row>
    <row r="13" spans="1:26" x14ac:dyDescent="0.25">
      <c r="B13" s="17"/>
      <c r="C13" s="98"/>
      <c r="D13" s="17"/>
      <c r="E13" s="17"/>
      <c r="F13" s="18"/>
      <c r="G13" s="17" t="s">
        <v>44</v>
      </c>
      <c r="H13" s="17">
        <f>SUM(H7:H11)</f>
        <v>51469</v>
      </c>
      <c r="I13" s="17"/>
      <c r="J13" s="17">
        <f>SUM(J7:J11)</f>
        <v>225098.5</v>
      </c>
      <c r="K13" s="17"/>
      <c r="L13" s="17">
        <f>SUM(L7:L11)</f>
        <v>14944866.999999998</v>
      </c>
      <c r="M13" s="17">
        <f>SUM(M7:M11)</f>
        <v>11872603.055233236</v>
      </c>
      <c r="N13" s="17"/>
      <c r="O13" s="17"/>
      <c r="P13" s="17"/>
      <c r="Q13" s="17"/>
      <c r="R13" s="17"/>
      <c r="S13" s="19">
        <f t="shared" ref="S13:U13" si="11">SUM(S7:S11)</f>
        <v>1219145.5450000002</v>
      </c>
      <c r="T13" s="19">
        <f t="shared" si="11"/>
        <v>1227990.325314645</v>
      </c>
      <c r="U13" s="19">
        <f t="shared" si="11"/>
        <v>8844.7803146447404</v>
      </c>
      <c r="V13" s="54"/>
      <c r="W13" s="17"/>
      <c r="X13" s="17"/>
      <c r="Y13" s="19">
        <f>SUM(Y7:Y11)</f>
        <v>1231067.9953029021</v>
      </c>
      <c r="Z13" s="19">
        <f>SUM(Z7:Z11)</f>
        <v>3077.6699882571666</v>
      </c>
    </row>
    <row r="14" spans="1:26" s="23" customFormat="1" x14ac:dyDescent="0.25">
      <c r="A14"/>
      <c r="B14" s="20"/>
      <c r="C14" s="99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2"/>
      <c r="U14" s="22"/>
      <c r="V14" s="54"/>
      <c r="X14" s="20"/>
    </row>
    <row r="15" spans="1:26" x14ac:dyDescent="0.25">
      <c r="A15">
        <v>7</v>
      </c>
      <c r="B15" t="s">
        <v>45</v>
      </c>
      <c r="C15" s="96" t="s">
        <v>35</v>
      </c>
      <c r="E15" s="134" t="s">
        <v>46</v>
      </c>
      <c r="F15" s="8">
        <v>31</v>
      </c>
      <c r="G15" s="24" t="s">
        <v>47</v>
      </c>
      <c r="J15">
        <v>392</v>
      </c>
      <c r="K15" s="92">
        <f>K9</f>
        <v>68</v>
      </c>
      <c r="L15" s="11">
        <f t="shared" ref="L15:L42" si="12">+K15*J15</f>
        <v>26656</v>
      </c>
      <c r="M15" s="11">
        <f t="shared" ref="M15:M42" si="13">+L15*$H$125</f>
        <v>21176.241116116798</v>
      </c>
      <c r="N15" s="12">
        <f>+M15*References_EDS!$C$42</f>
        <v>15.458656014765294</v>
      </c>
      <c r="O15" s="12">
        <f>+N15/References_EDS!$G$45</f>
        <v>15.77574856083814</v>
      </c>
      <c r="P15" s="12">
        <f t="shared" ref="P15:P42" si="14">IFERROR(O15/J15,0)</f>
        <v>4.0244256532750357E-2</v>
      </c>
      <c r="Q15" s="94">
        <v>5.51</v>
      </c>
      <c r="R15" s="14">
        <f>P15+Q15</f>
        <v>5.5502442565327499</v>
      </c>
      <c r="S15" s="12">
        <f>+Q15*J15</f>
        <v>2159.92</v>
      </c>
      <c r="T15" s="12">
        <f>+R15*J15</f>
        <v>2175.6957485608382</v>
      </c>
      <c r="U15" s="104">
        <f t="shared" ref="U15:U42" si="15">+T15-S15</f>
        <v>15.77574856083811</v>
      </c>
      <c r="V15" s="54"/>
      <c r="W15" s="108">
        <f t="shared" ref="W15:W42" si="16">(R15/(1-$W$6))-R15</f>
        <v>1.3910386607851599E-2</v>
      </c>
      <c r="X15" s="14">
        <f t="shared" ref="X15:X42" si="17">W15+R15</f>
        <v>5.5641546431406015</v>
      </c>
      <c r="Y15" s="111">
        <f>+X15*J15</f>
        <v>2181.1486201111156</v>
      </c>
      <c r="Z15" s="111">
        <f t="shared" ref="Z15:Z42" si="18">Y15-T15</f>
        <v>5.4528715502774503</v>
      </c>
    </row>
    <row r="16" spans="1:26" x14ac:dyDescent="0.25">
      <c r="A16">
        <v>8</v>
      </c>
      <c r="B16" t="s">
        <v>45</v>
      </c>
      <c r="C16" s="96" t="s">
        <v>35</v>
      </c>
      <c r="E16" s="134"/>
      <c r="F16" s="8">
        <v>31</v>
      </c>
      <c r="G16" s="25" t="s">
        <v>48</v>
      </c>
      <c r="J16">
        <v>1222.1100000000001</v>
      </c>
      <c r="K16" s="92">
        <f>K9</f>
        <v>68</v>
      </c>
      <c r="L16" s="11">
        <f t="shared" si="12"/>
        <v>83103.48000000001</v>
      </c>
      <c r="M16" s="11">
        <f t="shared" si="13"/>
        <v>66019.6327306569</v>
      </c>
      <c r="N16" s="12">
        <f>+M16*References_EDS!$C$42</f>
        <v>48.194331893379633</v>
      </c>
      <c r="O16" s="12">
        <f>+N16/References_EDS!$G$45</f>
        <v>49.182908351239547</v>
      </c>
      <c r="P16" s="12">
        <f t="shared" si="14"/>
        <v>4.0244256532750357E-2</v>
      </c>
      <c r="Q16" s="94">
        <v>5.51</v>
      </c>
      <c r="R16" s="14">
        <f t="shared" ref="R16:R42" si="19">P16+Q16</f>
        <v>5.5502442565327499</v>
      </c>
      <c r="S16" s="12">
        <f t="shared" ref="S16:S42" si="20">+Q16*J16</f>
        <v>6733.8261000000002</v>
      </c>
      <c r="T16" s="12">
        <f t="shared" ref="T16:T42" si="21">+R16*J16</f>
        <v>6783.0090083512396</v>
      </c>
      <c r="U16" s="104">
        <f t="shared" si="15"/>
        <v>49.182908351239348</v>
      </c>
      <c r="V16" s="54"/>
      <c r="W16" s="108">
        <f t="shared" si="16"/>
        <v>1.3910386607851599E-2</v>
      </c>
      <c r="X16" s="14">
        <f t="shared" si="17"/>
        <v>5.5641546431406015</v>
      </c>
      <c r="Y16" s="111">
        <f t="shared" ref="Y16:Y42" si="22">+X16*J16</f>
        <v>6800.0090309285615</v>
      </c>
      <c r="Z16" s="111">
        <f t="shared" si="18"/>
        <v>17.000022577321943</v>
      </c>
    </row>
    <row r="17" spans="1:26" x14ac:dyDescent="0.25">
      <c r="A17">
        <v>9</v>
      </c>
      <c r="B17" t="s">
        <v>49</v>
      </c>
      <c r="C17" s="96" t="s">
        <v>54</v>
      </c>
      <c r="E17" s="134"/>
      <c r="F17" s="8">
        <v>31</v>
      </c>
      <c r="G17" t="s">
        <v>51</v>
      </c>
      <c r="J17">
        <v>433</v>
      </c>
      <c r="K17" s="92">
        <f>References_EDS!$C$16</f>
        <v>175</v>
      </c>
      <c r="L17" s="11">
        <f t="shared" si="12"/>
        <v>75775</v>
      </c>
      <c r="M17" s="11">
        <f t="shared" si="13"/>
        <v>60197.691723204924</v>
      </c>
      <c r="N17" s="12">
        <f>+M17*References_EDS!$C$42</f>
        <v>43.944314957939682</v>
      </c>
      <c r="O17" s="12">
        <f>+N17/References_EDS!$G$45</f>
        <v>44.845713805428801</v>
      </c>
      <c r="P17" s="12">
        <f t="shared" si="14"/>
        <v>0.10356977784163696</v>
      </c>
      <c r="Q17" s="94">
        <v>20.45</v>
      </c>
      <c r="R17" s="14">
        <f t="shared" si="19"/>
        <v>20.553569777841638</v>
      </c>
      <c r="S17" s="12">
        <f t="shared" si="20"/>
        <v>8854.85</v>
      </c>
      <c r="T17" s="12">
        <f t="shared" si="21"/>
        <v>8899.6957138054295</v>
      </c>
      <c r="U17" s="104">
        <f t="shared" si="15"/>
        <v>44.845713805429114</v>
      </c>
      <c r="V17" s="54"/>
      <c r="W17" s="108">
        <f t="shared" si="16"/>
        <v>5.1512706210129267E-2</v>
      </c>
      <c r="X17" s="14">
        <f t="shared" si="17"/>
        <v>20.605082484051767</v>
      </c>
      <c r="Y17" s="111">
        <f t="shared" si="22"/>
        <v>8922.0007155944149</v>
      </c>
      <c r="Z17" s="111">
        <f t="shared" si="18"/>
        <v>22.305001788985464</v>
      </c>
    </row>
    <row r="18" spans="1:26" x14ac:dyDescent="0.25">
      <c r="A18">
        <v>10</v>
      </c>
      <c r="B18" t="s">
        <v>49</v>
      </c>
      <c r="C18" s="96" t="s">
        <v>54</v>
      </c>
      <c r="E18" s="134"/>
      <c r="F18" s="8">
        <v>31</v>
      </c>
      <c r="G18" t="s">
        <v>52</v>
      </c>
      <c r="J18">
        <v>1179.54</v>
      </c>
      <c r="K18" s="92">
        <f>References_EDS!$C$16</f>
        <v>175</v>
      </c>
      <c r="L18" s="11">
        <f t="shared" si="12"/>
        <v>206419.5</v>
      </c>
      <c r="M18" s="11">
        <f t="shared" si="13"/>
        <v>163985.18543923588</v>
      </c>
      <c r="N18" s="12">
        <f>+M18*References_EDS!$C$42</f>
        <v>119.70918537064243</v>
      </c>
      <c r="O18" s="12">
        <f>+N18/References_EDS!$G$45</f>
        <v>122.16469575532446</v>
      </c>
      <c r="P18" s="12">
        <f t="shared" si="14"/>
        <v>0.10356977784163696</v>
      </c>
      <c r="Q18" s="94">
        <v>20.45</v>
      </c>
      <c r="R18" s="14">
        <f t="shared" si="19"/>
        <v>20.553569777841638</v>
      </c>
      <c r="S18" s="12">
        <f t="shared" si="20"/>
        <v>24121.592999999997</v>
      </c>
      <c r="T18" s="12">
        <f t="shared" si="21"/>
        <v>24243.757695755325</v>
      </c>
      <c r="U18" s="104">
        <f t="shared" si="15"/>
        <v>122.16469575532756</v>
      </c>
      <c r="V18" s="54"/>
      <c r="W18" s="108">
        <f t="shared" si="16"/>
        <v>5.1512706210129267E-2</v>
      </c>
      <c r="X18" s="14">
        <f t="shared" si="17"/>
        <v>20.605082484051767</v>
      </c>
      <c r="Y18" s="111">
        <f t="shared" si="22"/>
        <v>24304.51899323842</v>
      </c>
      <c r="Z18" s="111">
        <f t="shared" si="18"/>
        <v>60.761297483095404</v>
      </c>
    </row>
    <row r="19" spans="1:26" x14ac:dyDescent="0.25">
      <c r="A19">
        <v>11</v>
      </c>
      <c r="B19" t="s">
        <v>53</v>
      </c>
      <c r="C19" s="96" t="s">
        <v>54</v>
      </c>
      <c r="E19" s="134"/>
      <c r="F19" s="8">
        <v>32</v>
      </c>
      <c r="G19" t="s">
        <v>55</v>
      </c>
      <c r="J19">
        <v>12</v>
      </c>
      <c r="K19" s="92">
        <f>References_EDS!$C$16</f>
        <v>175</v>
      </c>
      <c r="L19" s="11">
        <f t="shared" si="12"/>
        <v>2100</v>
      </c>
      <c r="M19" s="11">
        <f t="shared" si="13"/>
        <v>1668.2963064167645</v>
      </c>
      <c r="N19" s="12">
        <f>+M19*References_EDS!$C$42</f>
        <v>1.2178563036842407</v>
      </c>
      <c r="O19" s="12">
        <f>+N19/References_EDS!$G$45</f>
        <v>1.2428373340996435</v>
      </c>
      <c r="P19" s="12">
        <f t="shared" si="14"/>
        <v>0.10356977784163696</v>
      </c>
      <c r="Q19" s="94">
        <v>17.45</v>
      </c>
      <c r="R19" s="14">
        <f t="shared" si="19"/>
        <v>17.553569777841638</v>
      </c>
      <c r="S19" s="12">
        <f t="shared" si="20"/>
        <v>209.39999999999998</v>
      </c>
      <c r="T19" s="12">
        <f t="shared" si="21"/>
        <v>210.64283733409965</v>
      </c>
      <c r="U19" s="104">
        <f t="shared" si="15"/>
        <v>1.2428373340996757</v>
      </c>
      <c r="V19" s="54"/>
      <c r="W19" s="108">
        <f t="shared" si="16"/>
        <v>4.3993909217647342E-2</v>
      </c>
      <c r="X19" s="14">
        <f t="shared" si="17"/>
        <v>17.597563687059285</v>
      </c>
      <c r="Y19" s="111">
        <f t="shared" si="22"/>
        <v>211.17076424471142</v>
      </c>
      <c r="Z19" s="111">
        <f t="shared" si="18"/>
        <v>0.52792691061176811</v>
      </c>
    </row>
    <row r="20" spans="1:26" x14ac:dyDescent="0.25">
      <c r="A20">
        <v>12</v>
      </c>
      <c r="B20" t="s">
        <v>53</v>
      </c>
      <c r="C20" s="96" t="s">
        <v>54</v>
      </c>
      <c r="E20" s="134"/>
      <c r="F20" s="8">
        <v>32</v>
      </c>
      <c r="G20" t="s">
        <v>56</v>
      </c>
      <c r="J20">
        <v>39.959999999999994</v>
      </c>
      <c r="K20" s="92">
        <f>References_EDS!$C$16</f>
        <v>175</v>
      </c>
      <c r="L20" s="11">
        <f t="shared" si="12"/>
        <v>6992.9999999999991</v>
      </c>
      <c r="M20" s="11">
        <f t="shared" si="13"/>
        <v>5555.4267003678251</v>
      </c>
      <c r="N20" s="12">
        <f>+M20*References_EDS!$C$42</f>
        <v>4.0554614912685203</v>
      </c>
      <c r="O20" s="12">
        <f>+N20/References_EDS!$G$45</f>
        <v>4.1386483225518118</v>
      </c>
      <c r="P20" s="12">
        <f t="shared" si="14"/>
        <v>0.10356977784163694</v>
      </c>
      <c r="Q20" s="94">
        <v>17.45</v>
      </c>
      <c r="R20" s="14">
        <f t="shared" si="19"/>
        <v>17.553569777841638</v>
      </c>
      <c r="S20" s="12">
        <f t="shared" si="20"/>
        <v>697.30199999999991</v>
      </c>
      <c r="T20" s="12">
        <f t="shared" si="21"/>
        <v>701.44064832255174</v>
      </c>
      <c r="U20" s="104">
        <f t="shared" si="15"/>
        <v>4.1386483225518305</v>
      </c>
      <c r="V20" s="54"/>
      <c r="W20" s="108">
        <f t="shared" si="16"/>
        <v>4.3993909217647342E-2</v>
      </c>
      <c r="X20" s="14">
        <f t="shared" si="17"/>
        <v>17.597563687059285</v>
      </c>
      <c r="Y20" s="111">
        <f t="shared" si="22"/>
        <v>703.19864493488888</v>
      </c>
      <c r="Z20" s="111">
        <f t="shared" si="18"/>
        <v>1.7579966123371378</v>
      </c>
    </row>
    <row r="21" spans="1:26" x14ac:dyDescent="0.25">
      <c r="A21">
        <v>13</v>
      </c>
      <c r="B21" t="s">
        <v>57</v>
      </c>
      <c r="C21" s="96" t="s">
        <v>50</v>
      </c>
      <c r="E21" s="134"/>
      <c r="F21" s="8">
        <v>32</v>
      </c>
      <c r="G21" t="s">
        <v>58</v>
      </c>
      <c r="J21">
        <v>782</v>
      </c>
      <c r="K21" s="92">
        <f>References_EDS!$C$17</f>
        <v>250</v>
      </c>
      <c r="L21" s="11">
        <f t="shared" si="12"/>
        <v>195500</v>
      </c>
      <c r="M21" s="11">
        <f t="shared" si="13"/>
        <v>155310.44185927499</v>
      </c>
      <c r="N21" s="12">
        <f>+M21*References_EDS!$C$42</f>
        <v>113.37662255727096</v>
      </c>
      <c r="O21" s="12">
        <f>+N21/References_EDS!$G$45</f>
        <v>115.70223753165727</v>
      </c>
      <c r="P21" s="12">
        <f t="shared" si="14"/>
        <v>0.14795682548805278</v>
      </c>
      <c r="Q21" s="94">
        <v>22.4</v>
      </c>
      <c r="R21" s="14">
        <f t="shared" si="19"/>
        <v>22.54795682548805</v>
      </c>
      <c r="S21" s="12">
        <f t="shared" si="20"/>
        <v>17516.8</v>
      </c>
      <c r="T21" s="12">
        <f t="shared" si="21"/>
        <v>17632.502237531655</v>
      </c>
      <c r="U21" s="104">
        <f t="shared" si="15"/>
        <v>115.70223753165556</v>
      </c>
      <c r="V21" s="54"/>
      <c r="W21" s="108">
        <f t="shared" si="16"/>
        <v>5.6511169988691989E-2</v>
      </c>
      <c r="X21" s="14">
        <f t="shared" si="17"/>
        <v>22.604467995476742</v>
      </c>
      <c r="Y21" s="111">
        <f t="shared" si="22"/>
        <v>17676.693972462814</v>
      </c>
      <c r="Z21" s="111">
        <f t="shared" si="18"/>
        <v>44.191734931158862</v>
      </c>
    </row>
    <row r="22" spans="1:26" x14ac:dyDescent="0.25">
      <c r="A22">
        <v>14</v>
      </c>
      <c r="B22" t="s">
        <v>57</v>
      </c>
      <c r="C22" s="96" t="s">
        <v>50</v>
      </c>
      <c r="E22" s="134"/>
      <c r="F22" s="8">
        <v>32</v>
      </c>
      <c r="G22" t="s">
        <v>59</v>
      </c>
      <c r="J22">
        <v>2417.7600000000002</v>
      </c>
      <c r="K22" s="92">
        <f>References_EDS!$C$17</f>
        <v>250</v>
      </c>
      <c r="L22" s="11">
        <f t="shared" si="12"/>
        <v>604440</v>
      </c>
      <c r="M22" s="11">
        <f t="shared" si="13"/>
        <v>480183.34259549965</v>
      </c>
      <c r="N22" s="12">
        <f>+M22*References_EDS!$C$42</f>
        <v>350.53384009471546</v>
      </c>
      <c r="O22" s="12">
        <f>+N22/References_EDS!$G$45</f>
        <v>357.72409439199453</v>
      </c>
      <c r="P22" s="12">
        <f t="shared" si="14"/>
        <v>0.14795682548805278</v>
      </c>
      <c r="Q22" s="94">
        <v>22.4</v>
      </c>
      <c r="R22" s="14">
        <f t="shared" si="19"/>
        <v>22.54795682548805</v>
      </c>
      <c r="S22" s="12">
        <f t="shared" si="20"/>
        <v>54157.824000000001</v>
      </c>
      <c r="T22" s="12">
        <f t="shared" si="21"/>
        <v>54515.548094391997</v>
      </c>
      <c r="U22" s="104">
        <f t="shared" si="15"/>
        <v>357.72409439199691</v>
      </c>
      <c r="V22" s="54"/>
      <c r="W22" s="108">
        <f t="shared" si="16"/>
        <v>5.6511169988691989E-2</v>
      </c>
      <c r="X22" s="14">
        <f t="shared" si="17"/>
        <v>22.604467995476742</v>
      </c>
      <c r="Y22" s="111">
        <f t="shared" si="22"/>
        <v>54652.178540743851</v>
      </c>
      <c r="Z22" s="111">
        <f t="shared" si="18"/>
        <v>136.63044635185361</v>
      </c>
    </row>
    <row r="23" spans="1:26" x14ac:dyDescent="0.25">
      <c r="A23">
        <v>15</v>
      </c>
      <c r="B23" t="s">
        <v>60</v>
      </c>
      <c r="C23" s="96" t="s">
        <v>50</v>
      </c>
      <c r="E23" s="134"/>
      <c r="F23" s="8">
        <v>32</v>
      </c>
      <c r="G23" s="23" t="s">
        <v>61</v>
      </c>
      <c r="J23">
        <v>3</v>
      </c>
      <c r="K23" s="92">
        <f>References_EDS!$C$17</f>
        <v>250</v>
      </c>
      <c r="L23" s="11">
        <f t="shared" si="12"/>
        <v>750</v>
      </c>
      <c r="M23" s="11">
        <f t="shared" si="13"/>
        <v>595.82010943455884</v>
      </c>
      <c r="N23" s="12">
        <f>+M23*References_EDS!$C$42</f>
        <v>0.43494867988722885</v>
      </c>
      <c r="O23" s="12">
        <f>+N23/References_EDS!$G$45</f>
        <v>0.44387047646415845</v>
      </c>
      <c r="P23" s="12">
        <f t="shared" si="14"/>
        <v>0.14795682548805281</v>
      </c>
      <c r="Q23" s="94">
        <v>29.79</v>
      </c>
      <c r="R23" s="14">
        <f t="shared" si="19"/>
        <v>29.937956825488051</v>
      </c>
      <c r="S23" s="12">
        <f t="shared" si="20"/>
        <v>89.37</v>
      </c>
      <c r="T23" s="12">
        <f t="shared" si="21"/>
        <v>89.81387047646416</v>
      </c>
      <c r="U23" s="104">
        <f t="shared" si="15"/>
        <v>0.44387047646415567</v>
      </c>
      <c r="V23" s="54"/>
      <c r="W23" s="108">
        <f t="shared" si="16"/>
        <v>7.5032473246835707E-2</v>
      </c>
      <c r="X23" s="14">
        <f t="shared" si="17"/>
        <v>30.012989298734887</v>
      </c>
      <c r="Y23" s="111">
        <f t="shared" si="22"/>
        <v>90.038967896204667</v>
      </c>
      <c r="Z23" s="111">
        <f t="shared" si="18"/>
        <v>0.22509741974050712</v>
      </c>
    </row>
    <row r="24" spans="1:26" x14ac:dyDescent="0.25">
      <c r="A24">
        <v>16</v>
      </c>
      <c r="B24" t="s">
        <v>62</v>
      </c>
      <c r="C24" s="96" t="s">
        <v>50</v>
      </c>
      <c r="E24" s="134"/>
      <c r="F24" s="8">
        <v>32</v>
      </c>
      <c r="G24" s="23" t="s">
        <v>63</v>
      </c>
      <c r="J24">
        <v>1</v>
      </c>
      <c r="K24" s="92">
        <f>References_EDS!$C$17</f>
        <v>250</v>
      </c>
      <c r="L24" s="11">
        <f t="shared" si="12"/>
        <v>250</v>
      </c>
      <c r="M24" s="11">
        <f t="shared" si="13"/>
        <v>198.60670314485293</v>
      </c>
      <c r="N24" s="12">
        <f>+M24*References_EDS!$C$42</f>
        <v>0.14498289329574293</v>
      </c>
      <c r="O24" s="12">
        <f>+N24/References_EDS!$G$45</f>
        <v>0.14795682548805281</v>
      </c>
      <c r="P24" s="12">
        <f t="shared" si="14"/>
        <v>0.14795682548805281</v>
      </c>
      <c r="Q24" s="94">
        <v>44.96</v>
      </c>
      <c r="R24" s="14">
        <f>R22+22.56</f>
        <v>45.107956825488046</v>
      </c>
      <c r="S24" s="12">
        <f t="shared" si="20"/>
        <v>44.96</v>
      </c>
      <c r="T24" s="12">
        <f t="shared" si="21"/>
        <v>45.107956825488046</v>
      </c>
      <c r="U24" s="104">
        <f t="shared" si="15"/>
        <v>0.14795682548804479</v>
      </c>
      <c r="V24" s="54"/>
      <c r="W24" s="108">
        <f t="shared" si="16"/>
        <v>0.11305252337214711</v>
      </c>
      <c r="X24" s="14">
        <f>X22+22.56</f>
        <v>45.164467995476741</v>
      </c>
      <c r="Y24" s="111">
        <f t="shared" si="22"/>
        <v>45.164467995476741</v>
      </c>
      <c r="Z24" s="111">
        <f t="shared" si="18"/>
        <v>5.6511169988695542E-2</v>
      </c>
    </row>
    <row r="25" spans="1:26" x14ac:dyDescent="0.25">
      <c r="A25">
        <v>17</v>
      </c>
      <c r="B25" t="s">
        <v>64</v>
      </c>
      <c r="C25" s="96" t="s">
        <v>65</v>
      </c>
      <c r="E25" s="134"/>
      <c r="F25" s="8">
        <v>32</v>
      </c>
      <c r="G25" s="23" t="s">
        <v>66</v>
      </c>
      <c r="J25">
        <v>270</v>
      </c>
      <c r="K25" s="92">
        <f>References_EDS!$C$18</f>
        <v>324</v>
      </c>
      <c r="L25" s="11">
        <f t="shared" si="12"/>
        <v>87480</v>
      </c>
      <c r="M25" s="11">
        <f t="shared" si="13"/>
        <v>69496.457564446944</v>
      </c>
      <c r="N25" s="12">
        <f>+M25*References_EDS!$C$42</f>
        <v>50.73241402204637</v>
      </c>
      <c r="O25" s="12">
        <f>+N25/References_EDS!$G$45</f>
        <v>51.773052374779439</v>
      </c>
      <c r="P25" s="12">
        <f t="shared" si="14"/>
        <v>0.19175204583251645</v>
      </c>
      <c r="Q25" s="94">
        <v>26.34</v>
      </c>
      <c r="R25" s="14">
        <f t="shared" si="19"/>
        <v>26.531752045832516</v>
      </c>
      <c r="S25" s="12">
        <f t="shared" si="20"/>
        <v>7111.8</v>
      </c>
      <c r="T25" s="12">
        <f t="shared" si="21"/>
        <v>7163.5730523747789</v>
      </c>
      <c r="U25" s="104">
        <f t="shared" si="15"/>
        <v>51.773052374778672</v>
      </c>
      <c r="V25" s="54"/>
      <c r="W25" s="108">
        <f t="shared" si="16"/>
        <v>6.6495619162484587E-2</v>
      </c>
      <c r="X25" s="14">
        <f t="shared" si="17"/>
        <v>26.598247664995</v>
      </c>
      <c r="Y25" s="111">
        <f t="shared" si="22"/>
        <v>7181.5268695486502</v>
      </c>
      <c r="Z25" s="111">
        <f t="shared" si="18"/>
        <v>17.953817173871357</v>
      </c>
    </row>
    <row r="26" spans="1:26" x14ac:dyDescent="0.25">
      <c r="A26">
        <v>18</v>
      </c>
      <c r="B26" t="s">
        <v>64</v>
      </c>
      <c r="C26" s="96" t="s">
        <v>65</v>
      </c>
      <c r="E26" s="134"/>
      <c r="F26" s="8">
        <v>32</v>
      </c>
      <c r="G26" s="23" t="s">
        <v>67</v>
      </c>
      <c r="J26">
        <v>695.06999999999994</v>
      </c>
      <c r="K26" s="92">
        <f>References_EDS!$C$18</f>
        <v>324</v>
      </c>
      <c r="L26" s="11">
        <f t="shared" si="12"/>
        <v>225202.68</v>
      </c>
      <c r="M26" s="11">
        <f t="shared" si="13"/>
        <v>178907.04725674124</v>
      </c>
      <c r="N26" s="12">
        <f>+M26*References_EDS!$C$42</f>
        <v>130.60214449742136</v>
      </c>
      <c r="O26" s="12">
        <f>+N26/References_EDS!$G$45</f>
        <v>133.28109449680719</v>
      </c>
      <c r="P26" s="12">
        <f t="shared" si="14"/>
        <v>0.19175204583251643</v>
      </c>
      <c r="Q26" s="94">
        <v>26.34</v>
      </c>
      <c r="R26" s="14">
        <f t="shared" si="19"/>
        <v>26.531752045832516</v>
      </c>
      <c r="S26" s="12">
        <f t="shared" si="20"/>
        <v>18308.143799999998</v>
      </c>
      <c r="T26" s="12">
        <f t="shared" si="21"/>
        <v>18441.424894496806</v>
      </c>
      <c r="U26" s="104">
        <f t="shared" si="15"/>
        <v>133.28109449680778</v>
      </c>
      <c r="V26" s="54"/>
      <c r="W26" s="108">
        <f t="shared" si="16"/>
        <v>6.6495619162484587E-2</v>
      </c>
      <c r="X26" s="14">
        <f t="shared" si="17"/>
        <v>26.598247664995</v>
      </c>
      <c r="Y26" s="111">
        <f t="shared" si="22"/>
        <v>18487.644004508074</v>
      </c>
      <c r="Z26" s="111">
        <f t="shared" si="18"/>
        <v>46.21911001126864</v>
      </c>
    </row>
    <row r="27" spans="1:26" x14ac:dyDescent="0.25">
      <c r="A27">
        <v>19</v>
      </c>
      <c r="B27" t="s">
        <v>68</v>
      </c>
      <c r="C27" s="96" t="s">
        <v>65</v>
      </c>
      <c r="E27" s="134"/>
      <c r="F27" s="8">
        <v>32</v>
      </c>
      <c r="G27" s="23" t="s">
        <v>69</v>
      </c>
      <c r="J27">
        <v>11</v>
      </c>
      <c r="K27" s="92">
        <f>References_EDS!$C$18</f>
        <v>324</v>
      </c>
      <c r="L27" s="11">
        <f t="shared" si="12"/>
        <v>3564</v>
      </c>
      <c r="M27" s="11">
        <f t="shared" si="13"/>
        <v>2831.3371600330233</v>
      </c>
      <c r="N27" s="12">
        <f>+M27*References_EDS!$C$42</f>
        <v>2.0668761268241114</v>
      </c>
      <c r="O27" s="12">
        <f>+N27/References_EDS!$G$45</f>
        <v>2.1092725041576807</v>
      </c>
      <c r="P27" s="12">
        <f t="shared" si="14"/>
        <v>0.19175204583251643</v>
      </c>
      <c r="Q27" s="94">
        <v>38.340000000000003</v>
      </c>
      <c r="R27" s="14">
        <f t="shared" si="19"/>
        <v>38.531752045832519</v>
      </c>
      <c r="S27" s="12">
        <f t="shared" si="20"/>
        <v>421.74</v>
      </c>
      <c r="T27" s="12">
        <f t="shared" si="21"/>
        <v>423.84927250415774</v>
      </c>
      <c r="U27" s="104">
        <f t="shared" si="15"/>
        <v>2.1092725041577296</v>
      </c>
      <c r="V27" s="54"/>
      <c r="W27" s="108">
        <f t="shared" si="16"/>
        <v>9.6570807132408731E-2</v>
      </c>
      <c r="X27" s="14">
        <f t="shared" si="17"/>
        <v>38.628322852964928</v>
      </c>
      <c r="Y27" s="111">
        <f t="shared" si="22"/>
        <v>424.91155138261422</v>
      </c>
      <c r="Z27" s="111">
        <f t="shared" si="18"/>
        <v>1.0622788784564818</v>
      </c>
    </row>
    <row r="28" spans="1:26" x14ac:dyDescent="0.25">
      <c r="A28">
        <v>20</v>
      </c>
      <c r="B28" t="s">
        <v>70</v>
      </c>
      <c r="C28" s="96" t="s">
        <v>65</v>
      </c>
      <c r="E28" s="134"/>
      <c r="F28" s="8">
        <v>32</v>
      </c>
      <c r="G28" s="23" t="s">
        <v>71</v>
      </c>
      <c r="J28">
        <v>1</v>
      </c>
      <c r="K28" s="92">
        <f>References_EDS!$C$18</f>
        <v>324</v>
      </c>
      <c r="L28" s="11">
        <f t="shared" si="12"/>
        <v>324</v>
      </c>
      <c r="M28" s="11">
        <f t="shared" si="13"/>
        <v>257.39428727572943</v>
      </c>
      <c r="N28" s="12">
        <f>+M28*References_EDS!$C$42</f>
        <v>0.18789782971128285</v>
      </c>
      <c r="O28" s="12">
        <f>+N28/References_EDS!$G$45</f>
        <v>0.19175204583251643</v>
      </c>
      <c r="P28" s="12">
        <f t="shared" si="14"/>
        <v>0.19175204583251643</v>
      </c>
      <c r="Q28" s="94">
        <v>48.9</v>
      </c>
      <c r="R28" s="14">
        <f>R26+22.56</f>
        <v>49.091752045832514</v>
      </c>
      <c r="S28" s="12">
        <f t="shared" si="20"/>
        <v>48.9</v>
      </c>
      <c r="T28" s="12">
        <f t="shared" si="21"/>
        <v>49.091752045832514</v>
      </c>
      <c r="U28" s="104">
        <f t="shared" si="15"/>
        <v>0.19175204583251571</v>
      </c>
      <c r="V28" s="54"/>
      <c r="W28" s="108">
        <f t="shared" si="16"/>
        <v>0.12303697254594681</v>
      </c>
      <c r="X28" s="14">
        <f>X26+22.56</f>
        <v>49.158247664995002</v>
      </c>
      <c r="Y28" s="111">
        <f t="shared" si="22"/>
        <v>49.158247664995002</v>
      </c>
      <c r="Z28" s="111">
        <f t="shared" si="18"/>
        <v>6.649561916248814E-2</v>
      </c>
    </row>
    <row r="29" spans="1:26" x14ac:dyDescent="0.25">
      <c r="A29">
        <v>21</v>
      </c>
      <c r="B29" t="s">
        <v>72</v>
      </c>
      <c r="C29" s="96" t="s">
        <v>73</v>
      </c>
      <c r="E29" s="134"/>
      <c r="F29" s="8">
        <v>32</v>
      </c>
      <c r="G29" s="23" t="s">
        <v>74</v>
      </c>
      <c r="J29">
        <v>440</v>
      </c>
      <c r="K29" s="92">
        <f>References_EDS!$C$19</f>
        <v>473</v>
      </c>
      <c r="L29" s="11">
        <f t="shared" si="12"/>
        <v>208120</v>
      </c>
      <c r="M29" s="11">
        <f t="shared" si="13"/>
        <v>165336.10823402717</v>
      </c>
      <c r="N29" s="12">
        <f>+M29*References_EDS!$C$42</f>
        <v>120.69535901084008</v>
      </c>
      <c r="O29" s="12">
        <f>+N29/References_EDS!$G$45</f>
        <v>123.17109808229419</v>
      </c>
      <c r="P29" s="12">
        <f t="shared" si="14"/>
        <v>0.2799343138233959</v>
      </c>
      <c r="Q29" s="94">
        <v>31.73</v>
      </c>
      <c r="R29" s="14">
        <f t="shared" si="19"/>
        <v>32.009934313823393</v>
      </c>
      <c r="S29" s="12">
        <f t="shared" si="20"/>
        <v>13961.2</v>
      </c>
      <c r="T29" s="12">
        <f t="shared" si="21"/>
        <v>14084.371098082293</v>
      </c>
      <c r="U29" s="104">
        <f t="shared" si="15"/>
        <v>123.17109808229179</v>
      </c>
      <c r="V29" s="54"/>
      <c r="W29" s="108">
        <f t="shared" si="16"/>
        <v>8.0225399282760179E-2</v>
      </c>
      <c r="X29" s="14">
        <f t="shared" si="17"/>
        <v>32.090159713106154</v>
      </c>
      <c r="Y29" s="111">
        <f t="shared" si="22"/>
        <v>14119.670273766707</v>
      </c>
      <c r="Z29" s="111">
        <f t="shared" si="18"/>
        <v>35.299175684414877</v>
      </c>
    </row>
    <row r="30" spans="1:26" x14ac:dyDescent="0.25">
      <c r="A30">
        <v>22</v>
      </c>
      <c r="B30" t="s">
        <v>72</v>
      </c>
      <c r="C30" s="96" t="s">
        <v>73</v>
      </c>
      <c r="E30" s="134"/>
      <c r="F30" s="8">
        <v>32</v>
      </c>
      <c r="G30" s="23" t="s">
        <v>75</v>
      </c>
      <c r="J30">
        <v>1243.6199999999997</v>
      </c>
      <c r="K30" s="92">
        <f>References_EDS!$C$19</f>
        <v>473</v>
      </c>
      <c r="L30" s="11">
        <f t="shared" si="12"/>
        <v>588232.25999999989</v>
      </c>
      <c r="M30" s="11">
        <f t="shared" si="13"/>
        <v>467307.4793681837</v>
      </c>
      <c r="N30" s="12">
        <f>+M30*References_EDS!$C$42</f>
        <v>341.1344599387748</v>
      </c>
      <c r="O30" s="12">
        <f>+N30/References_EDS!$G$45</f>
        <v>348.13191135705154</v>
      </c>
      <c r="P30" s="12">
        <f t="shared" si="14"/>
        <v>0.2799343138233959</v>
      </c>
      <c r="Q30" s="94">
        <v>31.73</v>
      </c>
      <c r="R30" s="14">
        <f t="shared" si="19"/>
        <v>32.009934313823393</v>
      </c>
      <c r="S30" s="12">
        <f t="shared" si="20"/>
        <v>39460.06259999999</v>
      </c>
      <c r="T30" s="12">
        <f t="shared" si="21"/>
        <v>39808.19451135704</v>
      </c>
      <c r="U30" s="104">
        <f t="shared" si="15"/>
        <v>348.13191135704983</v>
      </c>
      <c r="V30" s="54"/>
      <c r="W30" s="108">
        <f t="shared" si="16"/>
        <v>8.0225399282760179E-2</v>
      </c>
      <c r="X30" s="14">
        <f t="shared" si="17"/>
        <v>32.090159713106154</v>
      </c>
      <c r="Y30" s="111">
        <f t="shared" si="22"/>
        <v>39907.964422413061</v>
      </c>
      <c r="Z30" s="111">
        <f t="shared" si="18"/>
        <v>99.769911056020646</v>
      </c>
    </row>
    <row r="31" spans="1:26" x14ac:dyDescent="0.25">
      <c r="A31">
        <v>23</v>
      </c>
      <c r="B31" t="s">
        <v>76</v>
      </c>
      <c r="C31" s="96" t="s">
        <v>73</v>
      </c>
      <c r="E31" s="134"/>
      <c r="F31" s="8">
        <v>32</v>
      </c>
      <c r="G31" s="23" t="s">
        <v>77</v>
      </c>
      <c r="J31">
        <v>32</v>
      </c>
      <c r="K31" s="92">
        <f>References_EDS!$C$19</f>
        <v>473</v>
      </c>
      <c r="L31" s="11">
        <f t="shared" si="12"/>
        <v>15136</v>
      </c>
      <c r="M31" s="11">
        <f t="shared" si="13"/>
        <v>12024.444235201976</v>
      </c>
      <c r="N31" s="12">
        <f>+M31*References_EDS!$C$42</f>
        <v>8.7778442916974608</v>
      </c>
      <c r="O31" s="12">
        <f>+N31/References_EDS!$G$45</f>
        <v>8.9578980423486687</v>
      </c>
      <c r="P31" s="12">
        <f t="shared" si="14"/>
        <v>0.2799343138233959</v>
      </c>
      <c r="Q31" s="94">
        <v>43.73</v>
      </c>
      <c r="R31" s="14">
        <f t="shared" si="19"/>
        <v>44.009934313823393</v>
      </c>
      <c r="S31" s="12">
        <f t="shared" si="20"/>
        <v>1399.36</v>
      </c>
      <c r="T31" s="12">
        <f t="shared" si="21"/>
        <v>1408.3178980423486</v>
      </c>
      <c r="U31" s="104">
        <f t="shared" si="15"/>
        <v>8.9578980423486883</v>
      </c>
      <c r="V31" s="54"/>
      <c r="W31" s="108">
        <f t="shared" si="16"/>
        <v>0.11030058725268788</v>
      </c>
      <c r="X31" s="14">
        <f t="shared" si="17"/>
        <v>44.120234901076081</v>
      </c>
      <c r="Y31" s="111">
        <f t="shared" si="22"/>
        <v>1411.8475168344346</v>
      </c>
      <c r="Z31" s="111">
        <f t="shared" si="18"/>
        <v>3.529618792086012</v>
      </c>
    </row>
    <row r="32" spans="1:26" x14ac:dyDescent="0.25">
      <c r="A32">
        <v>24</v>
      </c>
      <c r="B32" t="s">
        <v>78</v>
      </c>
      <c r="C32" s="96" t="s">
        <v>73</v>
      </c>
      <c r="E32" s="134"/>
      <c r="F32" s="8">
        <v>32</v>
      </c>
      <c r="G32" s="23" t="s">
        <v>79</v>
      </c>
      <c r="J32">
        <v>2</v>
      </c>
      <c r="K32" s="92">
        <f>References_EDS!$C$19</f>
        <v>473</v>
      </c>
      <c r="L32" s="11">
        <f t="shared" si="12"/>
        <v>946</v>
      </c>
      <c r="M32" s="11">
        <f t="shared" si="13"/>
        <v>751.5277647001235</v>
      </c>
      <c r="N32" s="12">
        <f>+M32*References_EDS!$C$42</f>
        <v>0.5486152682310913</v>
      </c>
      <c r="O32" s="12">
        <f>+N32/References_EDS!$G$45</f>
        <v>0.55986862764679179</v>
      </c>
      <c r="P32" s="12">
        <f t="shared" si="14"/>
        <v>0.2799343138233959</v>
      </c>
      <c r="Q32" s="94">
        <v>54.29</v>
      </c>
      <c r="R32" s="14">
        <f>R30+22.56</f>
        <v>54.569934313823396</v>
      </c>
      <c r="S32" s="12">
        <f t="shared" si="20"/>
        <v>108.58</v>
      </c>
      <c r="T32" s="12">
        <f t="shared" si="21"/>
        <v>109.13986862764679</v>
      </c>
      <c r="U32" s="104">
        <f t="shared" si="15"/>
        <v>0.55986862764679302</v>
      </c>
      <c r="V32" s="54"/>
      <c r="W32" s="108">
        <f t="shared" si="16"/>
        <v>0.13676675266621885</v>
      </c>
      <c r="X32" s="14">
        <f>X30+22.56</f>
        <v>54.650159713106149</v>
      </c>
      <c r="Y32" s="111">
        <f t="shared" si="22"/>
        <v>109.3003194262123</v>
      </c>
      <c r="Z32" s="111">
        <f t="shared" si="18"/>
        <v>0.16045079856550615</v>
      </c>
    </row>
    <row r="33" spans="1:26" x14ac:dyDescent="0.25">
      <c r="A33">
        <v>25</v>
      </c>
      <c r="B33" t="s">
        <v>80</v>
      </c>
      <c r="C33" s="96" t="s">
        <v>81</v>
      </c>
      <c r="E33" s="134"/>
      <c r="F33" s="8">
        <v>32</v>
      </c>
      <c r="G33" s="23" t="s">
        <v>82</v>
      </c>
      <c r="J33">
        <v>202</v>
      </c>
      <c r="K33" s="92">
        <f>References_EDS!$C$20</f>
        <v>613</v>
      </c>
      <c r="L33" s="11">
        <f t="shared" si="12"/>
        <v>123826</v>
      </c>
      <c r="M33" s="11">
        <f t="shared" si="13"/>
        <v>98370.694494458236</v>
      </c>
      <c r="N33" s="12">
        <f>+M33*References_EDS!$C$42</f>
        <v>71.81060698095466</v>
      </c>
      <c r="O33" s="12">
        <f>+N33/References_EDS!$G$45</f>
        <v>73.283607491534497</v>
      </c>
      <c r="P33" s="12">
        <f t="shared" si="14"/>
        <v>0.36279013609670541</v>
      </c>
      <c r="Q33" s="94">
        <v>37.1</v>
      </c>
      <c r="R33" s="14">
        <f t="shared" si="19"/>
        <v>37.462790136096707</v>
      </c>
      <c r="S33" s="12">
        <f t="shared" si="20"/>
        <v>7494.2000000000007</v>
      </c>
      <c r="T33" s="12">
        <f t="shared" si="21"/>
        <v>7567.4836074915347</v>
      </c>
      <c r="U33" s="104">
        <f t="shared" si="15"/>
        <v>73.283607491533985</v>
      </c>
      <c r="V33" s="54"/>
      <c r="W33" s="108">
        <f t="shared" si="16"/>
        <v>9.3891704601745118E-2</v>
      </c>
      <c r="X33" s="14">
        <f t="shared" si="17"/>
        <v>37.556681840698452</v>
      </c>
      <c r="Y33" s="111">
        <f t="shared" si="22"/>
        <v>7586.449731821087</v>
      </c>
      <c r="Z33" s="111">
        <f t="shared" si="18"/>
        <v>18.966124329552258</v>
      </c>
    </row>
    <row r="34" spans="1:26" x14ac:dyDescent="0.25">
      <c r="A34">
        <v>26</v>
      </c>
      <c r="B34" t="s">
        <v>80</v>
      </c>
      <c r="C34" s="96" t="s">
        <v>81</v>
      </c>
      <c r="E34" s="134"/>
      <c r="F34" s="8">
        <v>32</v>
      </c>
      <c r="G34" s="23" t="s">
        <v>83</v>
      </c>
      <c r="J34">
        <v>530.19000000000005</v>
      </c>
      <c r="K34" s="92">
        <f>References_EDS!$C$20</f>
        <v>613</v>
      </c>
      <c r="L34" s="11">
        <f t="shared" si="12"/>
        <v>325006.47000000003</v>
      </c>
      <c r="M34" s="11">
        <f t="shared" si="13"/>
        <v>258193.85402978622</v>
      </c>
      <c r="N34" s="12">
        <f>+M34*References_EDS!$C$42</f>
        <v>188.48151344174431</v>
      </c>
      <c r="O34" s="12">
        <f>+N34/References_EDS!$G$45</f>
        <v>192.34770225711227</v>
      </c>
      <c r="P34" s="12">
        <f t="shared" si="14"/>
        <v>0.36279013609670546</v>
      </c>
      <c r="Q34" s="94">
        <v>37.1</v>
      </c>
      <c r="R34" s="14">
        <f t="shared" si="19"/>
        <v>37.462790136096707</v>
      </c>
      <c r="S34" s="12">
        <f t="shared" si="20"/>
        <v>19670.049000000003</v>
      </c>
      <c r="T34" s="12">
        <f t="shared" si="21"/>
        <v>19862.396702257116</v>
      </c>
      <c r="U34" s="104">
        <f t="shared" si="15"/>
        <v>192.34770225711327</v>
      </c>
      <c r="V34" s="54"/>
      <c r="W34" s="108">
        <f t="shared" si="16"/>
        <v>9.3891704601745118E-2</v>
      </c>
      <c r="X34" s="14">
        <f t="shared" si="17"/>
        <v>37.556681840698452</v>
      </c>
      <c r="Y34" s="111">
        <f t="shared" si="22"/>
        <v>19912.177145119913</v>
      </c>
      <c r="Z34" s="111">
        <f t="shared" si="18"/>
        <v>49.780442862796917</v>
      </c>
    </row>
    <row r="35" spans="1:26" x14ac:dyDescent="0.25">
      <c r="A35">
        <v>27</v>
      </c>
      <c r="B35" t="s">
        <v>84</v>
      </c>
      <c r="C35" s="96" t="s">
        <v>81</v>
      </c>
      <c r="E35" s="134"/>
      <c r="F35" s="8">
        <v>32</v>
      </c>
      <c r="G35" s="23" t="s">
        <v>85</v>
      </c>
      <c r="J35">
        <v>31</v>
      </c>
      <c r="K35" s="92">
        <f>References_EDS!$C$20</f>
        <v>613</v>
      </c>
      <c r="L35" s="11">
        <f t="shared" si="12"/>
        <v>19003</v>
      </c>
      <c r="M35" s="11">
        <f t="shared" si="13"/>
        <v>15096.492719446562</v>
      </c>
      <c r="N35" s="12">
        <f>+M35*References_EDS!$C$42</f>
        <v>11.020439685196012</v>
      </c>
      <c r="O35" s="12">
        <f>+N35/References_EDS!$G$45</f>
        <v>11.246494218997869</v>
      </c>
      <c r="P35" s="12">
        <f t="shared" si="14"/>
        <v>0.36279013609670546</v>
      </c>
      <c r="Q35" s="94">
        <v>49.1</v>
      </c>
      <c r="R35" s="14">
        <f t="shared" si="19"/>
        <v>49.462790136096707</v>
      </c>
      <c r="S35" s="12">
        <f t="shared" si="20"/>
        <v>1522.1000000000001</v>
      </c>
      <c r="T35" s="12">
        <f t="shared" si="21"/>
        <v>1533.346494218998</v>
      </c>
      <c r="U35" s="104">
        <f t="shared" si="15"/>
        <v>11.246494218997896</v>
      </c>
      <c r="V35" s="54"/>
      <c r="W35" s="108">
        <f t="shared" si="16"/>
        <v>0.12396689257166571</v>
      </c>
      <c r="X35" s="14">
        <f t="shared" si="17"/>
        <v>49.586757028668373</v>
      </c>
      <c r="Y35" s="111">
        <f t="shared" si="22"/>
        <v>1537.1894678887195</v>
      </c>
      <c r="Z35" s="111">
        <f t="shared" si="18"/>
        <v>3.8429736697214594</v>
      </c>
    </row>
    <row r="36" spans="1:26" x14ac:dyDescent="0.25">
      <c r="A36">
        <v>28</v>
      </c>
      <c r="B36" t="s">
        <v>86</v>
      </c>
      <c r="C36" s="96" t="s">
        <v>81</v>
      </c>
      <c r="E36" s="134"/>
      <c r="F36" s="8">
        <v>32</v>
      </c>
      <c r="G36" s="23" t="s">
        <v>87</v>
      </c>
      <c r="J36">
        <v>1</v>
      </c>
      <c r="K36" s="92">
        <f>References_EDS!$C$20</f>
        <v>613</v>
      </c>
      <c r="L36" s="11">
        <f t="shared" si="12"/>
        <v>613</v>
      </c>
      <c r="M36" s="11">
        <f t="shared" si="13"/>
        <v>486.98363611117941</v>
      </c>
      <c r="N36" s="12">
        <f>+M36*References_EDS!$C$42</f>
        <v>0.35549805436116166</v>
      </c>
      <c r="O36" s="12">
        <f>+N36/References_EDS!$G$45</f>
        <v>0.36279013609670546</v>
      </c>
      <c r="P36" s="12">
        <f t="shared" si="14"/>
        <v>0.36279013609670546</v>
      </c>
      <c r="Q36" s="94">
        <v>59.66</v>
      </c>
      <c r="R36" s="14">
        <f>R34+22.56</f>
        <v>60.022790136096702</v>
      </c>
      <c r="S36" s="12">
        <f t="shared" si="20"/>
        <v>59.66</v>
      </c>
      <c r="T36" s="12">
        <f t="shared" si="21"/>
        <v>60.022790136096702</v>
      </c>
      <c r="U36" s="104">
        <f t="shared" si="15"/>
        <v>0.36279013609670585</v>
      </c>
      <c r="V36" s="54"/>
      <c r="W36" s="108">
        <f t="shared" si="16"/>
        <v>0.15043305798520379</v>
      </c>
      <c r="X36" s="14">
        <f>X34+22.56</f>
        <v>60.116681840698448</v>
      </c>
      <c r="Y36" s="111">
        <f t="shared" si="22"/>
        <v>60.116681840698448</v>
      </c>
      <c r="Z36" s="111">
        <f t="shared" si="18"/>
        <v>9.3891704601745118E-2</v>
      </c>
    </row>
    <row r="37" spans="1:26" x14ac:dyDescent="0.25">
      <c r="A37">
        <v>29</v>
      </c>
      <c r="B37" t="s">
        <v>88</v>
      </c>
      <c r="C37" s="96" t="s">
        <v>89</v>
      </c>
      <c r="E37" s="134"/>
      <c r="F37" s="8">
        <v>32</v>
      </c>
      <c r="G37" t="s">
        <v>90</v>
      </c>
      <c r="J37">
        <v>112</v>
      </c>
      <c r="K37" s="92">
        <f>References_EDS!$C$21</f>
        <v>840</v>
      </c>
      <c r="L37" s="11">
        <f t="shared" si="12"/>
        <v>94080</v>
      </c>
      <c r="M37" s="11">
        <f t="shared" si="13"/>
        <v>74739.674527471056</v>
      </c>
      <c r="N37" s="12">
        <f>+M37*References_EDS!$C$42</f>
        <v>54.55996240505398</v>
      </c>
      <c r="O37" s="12">
        <f>+N37/References_EDS!$G$45</f>
        <v>55.679112567664028</v>
      </c>
      <c r="P37" s="12">
        <f t="shared" si="14"/>
        <v>0.49713493363985739</v>
      </c>
      <c r="Q37" s="94">
        <v>44.19</v>
      </c>
      <c r="R37" s="14">
        <f t="shared" si="19"/>
        <v>44.687134933639854</v>
      </c>
      <c r="S37" s="12">
        <f t="shared" si="20"/>
        <v>4949.28</v>
      </c>
      <c r="T37" s="12">
        <f t="shared" si="21"/>
        <v>5004.9591125676634</v>
      </c>
      <c r="U37" s="104">
        <f t="shared" si="15"/>
        <v>55.679112567663651</v>
      </c>
      <c r="V37" s="54"/>
      <c r="W37" s="108">
        <f t="shared" si="16"/>
        <v>0.11199783191388235</v>
      </c>
      <c r="X37" s="14">
        <f t="shared" si="17"/>
        <v>44.799132765553736</v>
      </c>
      <c r="Y37" s="111">
        <f t="shared" si="22"/>
        <v>5017.5028697420184</v>
      </c>
      <c r="Z37" s="111">
        <f t="shared" si="18"/>
        <v>12.543757174355051</v>
      </c>
    </row>
    <row r="38" spans="1:26" x14ac:dyDescent="0.25">
      <c r="A38">
        <v>30</v>
      </c>
      <c r="B38" t="s">
        <v>88</v>
      </c>
      <c r="C38" s="96" t="s">
        <v>89</v>
      </c>
      <c r="E38" s="134"/>
      <c r="F38" s="8">
        <v>32</v>
      </c>
      <c r="G38" t="s">
        <v>91</v>
      </c>
      <c r="J38">
        <v>318.34999999999991</v>
      </c>
      <c r="K38" s="92">
        <f>References_EDS!$C$21</f>
        <v>840</v>
      </c>
      <c r="L38" s="11">
        <f t="shared" si="12"/>
        <v>267413.99999999994</v>
      </c>
      <c r="M38" s="11">
        <f t="shared" si="13"/>
        <v>212440.85165911075</v>
      </c>
      <c r="N38" s="12">
        <f>+M38*References_EDS!$C$42</f>
        <v>155.08182171115115</v>
      </c>
      <c r="O38" s="12">
        <f>+N38/References_EDS!$G$45</f>
        <v>158.26290612424856</v>
      </c>
      <c r="P38" s="12">
        <f t="shared" si="14"/>
        <v>0.49713493363985739</v>
      </c>
      <c r="Q38" s="94">
        <v>44.19</v>
      </c>
      <c r="R38" s="14">
        <f t="shared" si="19"/>
        <v>44.687134933639854</v>
      </c>
      <c r="S38" s="12">
        <f t="shared" si="20"/>
        <v>14067.886499999995</v>
      </c>
      <c r="T38" s="12">
        <f t="shared" si="21"/>
        <v>14226.149406124243</v>
      </c>
      <c r="U38" s="104">
        <f t="shared" si="15"/>
        <v>158.26290612424782</v>
      </c>
      <c r="V38" s="54"/>
      <c r="W38" s="108">
        <f t="shared" si="16"/>
        <v>0.11199783191388235</v>
      </c>
      <c r="X38" s="14">
        <f t="shared" si="17"/>
        <v>44.799132765553736</v>
      </c>
      <c r="Y38" s="111">
        <f t="shared" si="22"/>
        <v>14261.803915914028</v>
      </c>
      <c r="Z38" s="111">
        <f t="shared" si="18"/>
        <v>35.654509789785152</v>
      </c>
    </row>
    <row r="39" spans="1:26" x14ac:dyDescent="0.25">
      <c r="A39">
        <v>31</v>
      </c>
      <c r="B39" t="s">
        <v>92</v>
      </c>
      <c r="C39" s="96" t="s">
        <v>89</v>
      </c>
      <c r="E39" s="134"/>
      <c r="F39" s="8">
        <v>32</v>
      </c>
      <c r="G39" t="s">
        <v>93</v>
      </c>
      <c r="J39">
        <v>37</v>
      </c>
      <c r="K39" s="92">
        <f>References_EDS!$C$21</f>
        <v>840</v>
      </c>
      <c r="L39" s="11">
        <f t="shared" si="12"/>
        <v>31080</v>
      </c>
      <c r="M39" s="11">
        <f t="shared" si="13"/>
        <v>24690.785334968117</v>
      </c>
      <c r="N39" s="12">
        <f>+M39*References_EDS!$C$42</f>
        <v>18.024273294526761</v>
      </c>
      <c r="O39" s="12">
        <f>+N39/References_EDS!$G$45</f>
        <v>18.393992544674724</v>
      </c>
      <c r="P39" s="12">
        <f t="shared" si="14"/>
        <v>0.49713493363985739</v>
      </c>
      <c r="Q39" s="94">
        <v>56.19</v>
      </c>
      <c r="R39" s="14">
        <f t="shared" si="19"/>
        <v>56.687134933639854</v>
      </c>
      <c r="S39" s="12">
        <f t="shared" si="20"/>
        <v>2079.0299999999997</v>
      </c>
      <c r="T39" s="12">
        <f t="shared" si="21"/>
        <v>2097.4239925446745</v>
      </c>
      <c r="U39" s="104">
        <f t="shared" si="15"/>
        <v>18.393992544674802</v>
      </c>
      <c r="V39" s="54"/>
      <c r="W39" s="108">
        <f t="shared" si="16"/>
        <v>0.14207301988380294</v>
      </c>
      <c r="X39" s="14">
        <f t="shared" si="17"/>
        <v>56.829207953523657</v>
      </c>
      <c r="Y39" s="111">
        <f t="shared" si="22"/>
        <v>2102.6806942803755</v>
      </c>
      <c r="Z39" s="111">
        <f t="shared" si="18"/>
        <v>5.2567017357009718</v>
      </c>
    </row>
    <row r="40" spans="1:26" x14ac:dyDescent="0.25">
      <c r="A40">
        <v>32</v>
      </c>
      <c r="B40" t="s">
        <v>94</v>
      </c>
      <c r="C40" s="96" t="s">
        <v>95</v>
      </c>
      <c r="E40" s="134"/>
      <c r="F40" s="8">
        <v>32</v>
      </c>
      <c r="G40" t="s">
        <v>96</v>
      </c>
      <c r="J40">
        <v>71</v>
      </c>
      <c r="K40" s="92">
        <f>References_EDS!$C$22</f>
        <v>980</v>
      </c>
      <c r="L40" s="11">
        <f t="shared" si="12"/>
        <v>69580</v>
      </c>
      <c r="M40" s="11">
        <f t="shared" si="13"/>
        <v>55276.21761927547</v>
      </c>
      <c r="N40" s="12">
        <f>+M40*References_EDS!$C$42</f>
        <v>40.351638862071177</v>
      </c>
      <c r="O40" s="12">
        <f>+N40/References_EDS!$G$45</f>
        <v>41.179343669834857</v>
      </c>
      <c r="P40" s="12">
        <f t="shared" si="14"/>
        <v>0.57999075591316696</v>
      </c>
      <c r="Q40" s="94">
        <v>54.06</v>
      </c>
      <c r="R40" s="14">
        <f t="shared" si="19"/>
        <v>54.639990755913168</v>
      </c>
      <c r="S40" s="12">
        <f t="shared" si="20"/>
        <v>3838.26</v>
      </c>
      <c r="T40" s="12">
        <f t="shared" si="21"/>
        <v>3879.4393436698351</v>
      </c>
      <c r="U40" s="104">
        <f t="shared" si="15"/>
        <v>41.179343669834907</v>
      </c>
      <c r="V40" s="54"/>
      <c r="W40" s="108">
        <f t="shared" si="16"/>
        <v>0.13694233272158129</v>
      </c>
      <c r="X40" s="14">
        <f t="shared" si="17"/>
        <v>54.776933088634749</v>
      </c>
      <c r="Y40" s="111">
        <f t="shared" si="22"/>
        <v>3889.1622492930674</v>
      </c>
      <c r="Z40" s="111">
        <f t="shared" si="18"/>
        <v>9.7229056232322364</v>
      </c>
    </row>
    <row r="41" spans="1:26" x14ac:dyDescent="0.25">
      <c r="A41">
        <v>33</v>
      </c>
      <c r="B41" t="s">
        <v>94</v>
      </c>
      <c r="C41" s="96" t="s">
        <v>95</v>
      </c>
      <c r="E41" s="134"/>
      <c r="F41" s="8">
        <v>32</v>
      </c>
      <c r="G41" t="s">
        <v>97</v>
      </c>
      <c r="J41">
        <v>207.18</v>
      </c>
      <c r="K41" s="92">
        <f>References_EDS!$C$22</f>
        <v>980</v>
      </c>
      <c r="L41" s="11">
        <f t="shared" si="12"/>
        <v>203036.4</v>
      </c>
      <c r="M41" s="11">
        <f t="shared" si="13"/>
        <v>161297.56008959847</v>
      </c>
      <c r="N41" s="12">
        <f>+M41*References_EDS!$C$42</f>
        <v>117.74721886540712</v>
      </c>
      <c r="O41" s="12">
        <f>+N41/References_EDS!$G$45</f>
        <v>120.16248481008994</v>
      </c>
      <c r="P41" s="12">
        <f t="shared" si="14"/>
        <v>0.57999075591316696</v>
      </c>
      <c r="Q41" s="94">
        <v>54.06</v>
      </c>
      <c r="R41" s="14">
        <f t="shared" si="19"/>
        <v>54.639990755913168</v>
      </c>
      <c r="S41" s="12">
        <f t="shared" si="20"/>
        <v>11200.150800000001</v>
      </c>
      <c r="T41" s="12">
        <f t="shared" si="21"/>
        <v>11320.31328481009</v>
      </c>
      <c r="U41" s="104">
        <f t="shared" si="15"/>
        <v>120.16248481008915</v>
      </c>
      <c r="V41" s="54"/>
      <c r="W41" s="108">
        <f t="shared" si="16"/>
        <v>0.13694233272158129</v>
      </c>
      <c r="X41" s="14">
        <f t="shared" si="17"/>
        <v>54.776933088634749</v>
      </c>
      <c r="Y41" s="111">
        <f t="shared" si="22"/>
        <v>11348.684997303348</v>
      </c>
      <c r="Z41" s="111">
        <f t="shared" si="18"/>
        <v>28.371712493257291</v>
      </c>
    </row>
    <row r="42" spans="1:26" x14ac:dyDescent="0.25">
      <c r="A42">
        <v>34</v>
      </c>
      <c r="B42" t="s">
        <v>98</v>
      </c>
      <c r="C42" s="96" t="s">
        <v>95</v>
      </c>
      <c r="E42" s="134"/>
      <c r="F42" s="8">
        <v>32</v>
      </c>
      <c r="G42" t="s">
        <v>99</v>
      </c>
      <c r="J42">
        <v>24</v>
      </c>
      <c r="K42" s="93">
        <f>References_EDS!$C$22</f>
        <v>980</v>
      </c>
      <c r="L42" s="11">
        <f t="shared" si="12"/>
        <v>23520</v>
      </c>
      <c r="M42" s="11">
        <f t="shared" si="13"/>
        <v>18684.918631867764</v>
      </c>
      <c r="N42" s="12">
        <f>+M42*References_EDS!$C$42</f>
        <v>13.639990601263495</v>
      </c>
      <c r="O42" s="12">
        <f>+N42/References_EDS!$G$45</f>
        <v>13.919778141916007</v>
      </c>
      <c r="P42" s="12">
        <f t="shared" si="14"/>
        <v>0.57999075591316696</v>
      </c>
      <c r="Q42" s="94">
        <v>65.81</v>
      </c>
      <c r="R42" s="14">
        <f t="shared" si="19"/>
        <v>66.389990755913175</v>
      </c>
      <c r="S42" s="12">
        <f t="shared" si="20"/>
        <v>1579.44</v>
      </c>
      <c r="T42" s="12">
        <f t="shared" si="21"/>
        <v>1593.3597781419162</v>
      </c>
      <c r="U42" s="104">
        <f t="shared" si="15"/>
        <v>13.91977814191614</v>
      </c>
      <c r="V42" s="54"/>
      <c r="W42" s="108">
        <f t="shared" si="16"/>
        <v>0.1663909542754709</v>
      </c>
      <c r="X42" s="14">
        <f t="shared" si="17"/>
        <v>66.556381710188646</v>
      </c>
      <c r="Y42" s="111">
        <f t="shared" si="22"/>
        <v>1597.3531610445275</v>
      </c>
      <c r="Z42" s="111">
        <f t="shared" si="18"/>
        <v>3.9933829026113017</v>
      </c>
    </row>
    <row r="43" spans="1:26" x14ac:dyDescent="0.25">
      <c r="A43">
        <v>35</v>
      </c>
      <c r="F43" s="8"/>
      <c r="L43" s="11"/>
      <c r="V43" s="54"/>
    </row>
    <row r="44" spans="1:26" x14ac:dyDescent="0.25">
      <c r="A44">
        <v>36</v>
      </c>
      <c r="B44" s="17"/>
      <c r="C44" s="98"/>
      <c r="D44" s="17"/>
      <c r="E44" s="17"/>
      <c r="F44" s="18"/>
      <c r="G44" s="17" t="s">
        <v>44</v>
      </c>
      <c r="H44" s="17">
        <f>SUM(H15:H42)</f>
        <v>0</v>
      </c>
      <c r="I44" s="17"/>
      <c r="J44" s="17">
        <f>SUM(J15:J42)</f>
        <v>10710.78</v>
      </c>
      <c r="K44" s="17"/>
      <c r="L44" s="17">
        <f>SUM(L15:L42)</f>
        <v>3488150.79</v>
      </c>
      <c r="M44" s="17">
        <f>SUM(M15:M42)</f>
        <v>2771080.5138960569</v>
      </c>
      <c r="N44" s="17"/>
      <c r="O44" s="17"/>
      <c r="P44" s="17"/>
      <c r="Q44" s="17"/>
      <c r="R44" s="17"/>
      <c r="S44" s="19">
        <f>SUM(S15:S42)</f>
        <v>261865.68780000001</v>
      </c>
      <c r="T44" s="19">
        <f>SUM(T15:T42)</f>
        <v>263930.07067084813</v>
      </c>
      <c r="U44" s="19">
        <f>SUM(U15:U42)</f>
        <v>2064.3828708481724</v>
      </c>
      <c r="V44" s="54"/>
      <c r="W44" s="17"/>
      <c r="X44" s="17"/>
      <c r="Y44" s="19">
        <f t="shared" ref="Y44:Z44" si="23">SUM(Y15:Y42)</f>
        <v>264591.266837943</v>
      </c>
      <c r="Z44" s="112">
        <f t="shared" si="23"/>
        <v>661.19616709483125</v>
      </c>
    </row>
    <row r="45" spans="1:26" x14ac:dyDescent="0.25">
      <c r="A45">
        <v>37</v>
      </c>
      <c r="F45" s="8"/>
      <c r="H45" s="26">
        <f>+H44+H13</f>
        <v>51469</v>
      </c>
      <c r="J45" s="26">
        <f>+J44+J13</f>
        <v>235809.28</v>
      </c>
      <c r="L45" s="26">
        <f>+L44+L13</f>
        <v>18433017.789999999</v>
      </c>
      <c r="M45" s="26">
        <f>+M44+M13</f>
        <v>14643683.569129294</v>
      </c>
      <c r="S45" s="12">
        <f>+S44+S13</f>
        <v>1481011.2328000001</v>
      </c>
      <c r="T45" s="12">
        <f>+T44+T13</f>
        <v>1491920.395985493</v>
      </c>
      <c r="U45" s="105">
        <f>+U44+U13</f>
        <v>10909.163185492913</v>
      </c>
      <c r="V45" s="54"/>
    </row>
    <row r="46" spans="1:26" x14ac:dyDescent="0.25">
      <c r="A46">
        <v>38</v>
      </c>
      <c r="F46" s="8"/>
      <c r="L46" s="11"/>
      <c r="V46" s="54"/>
    </row>
    <row r="47" spans="1:26" x14ac:dyDescent="0.25">
      <c r="A47">
        <v>39</v>
      </c>
      <c r="F47" s="8"/>
      <c r="L47" s="11"/>
      <c r="V47" s="54"/>
    </row>
    <row r="48" spans="1:26" x14ac:dyDescent="0.25">
      <c r="A48">
        <v>40</v>
      </c>
      <c r="F48" s="8"/>
      <c r="L48" s="11"/>
      <c r="V48" s="54"/>
    </row>
    <row r="49" spans="1:25" x14ac:dyDescent="0.25">
      <c r="A49">
        <v>41</v>
      </c>
      <c r="B49" s="27"/>
      <c r="C49" s="100"/>
      <c r="D49" s="27"/>
      <c r="E49" s="27"/>
      <c r="F49" s="28"/>
      <c r="G49" s="29" t="s">
        <v>100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95"/>
      <c r="V49" s="54"/>
      <c r="W49" s="95"/>
      <c r="X49" s="95"/>
    </row>
    <row r="50" spans="1:25" ht="15" customHeight="1" x14ac:dyDescent="0.25">
      <c r="A50">
        <v>47</v>
      </c>
      <c r="C50" s="96" t="s">
        <v>101</v>
      </c>
      <c r="D50" t="s">
        <v>32</v>
      </c>
      <c r="E50" s="135" t="s">
        <v>27</v>
      </c>
      <c r="F50" s="1" t="s">
        <v>28</v>
      </c>
      <c r="G50" s="30" t="s">
        <v>102</v>
      </c>
      <c r="H50">
        <v>0</v>
      </c>
      <c r="I50" s="129">
        <f>References_EDS!$N$7</f>
        <v>4.333333333333333</v>
      </c>
      <c r="J50" s="11">
        <v>52</v>
      </c>
      <c r="K50">
        <f>References_EDS!C4</f>
        <v>34</v>
      </c>
      <c r="L50" s="11">
        <f t="shared" ref="L50:L65" si="24">+K50*J50</f>
        <v>1768</v>
      </c>
      <c r="M50" s="11">
        <f t="shared" ref="M50:M65" si="25">+L50*$H$125</f>
        <v>1404.5466046403999</v>
      </c>
      <c r="N50" s="12">
        <f>+M50*References_EDS!$C$42</f>
        <v>1.0253190213874941</v>
      </c>
      <c r="O50" s="12">
        <f>+N50/References_EDS!$G$45</f>
        <v>1.0463506698515095</v>
      </c>
      <c r="P50" s="12">
        <f>IFERROR(O50/J50,0)*I50</f>
        <v>8.7195889154292452E-2</v>
      </c>
      <c r="Q50" s="13">
        <v>19.39</v>
      </c>
      <c r="R50" s="128">
        <f>P50+Q50</f>
        <v>19.477195889154292</v>
      </c>
      <c r="S50" s="12">
        <f>+Q50*H50</f>
        <v>0</v>
      </c>
      <c r="T50" s="12">
        <f>+R50*H50</f>
        <v>0</v>
      </c>
      <c r="U50" s="104">
        <f>+T50-S50</f>
        <v>0</v>
      </c>
      <c r="V50" s="54"/>
      <c r="W50" s="108">
        <f t="shared" ref="W50:W65" si="26">(R50/(1-$W$6))-R50</f>
        <v>4.8815027291112756E-2</v>
      </c>
      <c r="X50" s="14">
        <f t="shared" ref="X50:X65" si="27">W50+R50</f>
        <v>19.526010916445404</v>
      </c>
      <c r="Y50" s="111"/>
    </row>
    <row r="51" spans="1:25" x14ac:dyDescent="0.25">
      <c r="A51">
        <v>48</v>
      </c>
      <c r="C51" s="96" t="s">
        <v>103</v>
      </c>
      <c r="D51" t="s">
        <v>32</v>
      </c>
      <c r="E51" s="135"/>
      <c r="F51" s="1" t="s">
        <v>28</v>
      </c>
      <c r="G51" s="24" t="s">
        <v>104</v>
      </c>
      <c r="H51">
        <v>0</v>
      </c>
      <c r="I51" s="129">
        <f>References_EDS!$N$7</f>
        <v>4.333333333333333</v>
      </c>
      <c r="J51" s="11">
        <v>52</v>
      </c>
      <c r="K51">
        <f>References_EDS!C5</f>
        <v>51</v>
      </c>
      <c r="L51" s="11">
        <f>+K51*J51</f>
        <v>2652</v>
      </c>
      <c r="M51" s="11">
        <f t="shared" si="25"/>
        <v>2106.8199069605998</v>
      </c>
      <c r="N51" s="12">
        <f>+M51*References_EDS!$C$42</f>
        <v>1.5379785320812409</v>
      </c>
      <c r="O51" s="12">
        <f>+N51/References_EDS!$G$45</f>
        <v>1.5695260047772639</v>
      </c>
      <c r="P51" s="12">
        <f>IFERROR(O51/J51,0)*I51</f>
        <v>0.13079383373143863</v>
      </c>
      <c r="Q51" s="13">
        <v>23.57</v>
      </c>
      <c r="R51" s="14">
        <f t="shared" ref="R51:R65" si="28">P51+Q51</f>
        <v>23.700793833731439</v>
      </c>
      <c r="S51" s="12">
        <f t="shared" ref="S51:S65" si="29">+Q51*H51</f>
        <v>0</v>
      </c>
      <c r="T51" s="12">
        <f t="shared" ref="T51:T65" si="30">+R51*H51</f>
        <v>0</v>
      </c>
      <c r="U51" s="104">
        <f t="shared" ref="U51:U65" si="31">+T51-S51</f>
        <v>0</v>
      </c>
      <c r="V51" s="54"/>
      <c r="W51" s="108">
        <f t="shared" si="26"/>
        <v>5.9400485798825287E-2</v>
      </c>
      <c r="X51" s="14">
        <f t="shared" si="27"/>
        <v>23.760194319530264</v>
      </c>
      <c r="Y51" s="111"/>
    </row>
    <row r="52" spans="1:25" x14ac:dyDescent="0.25">
      <c r="A52">
        <v>49</v>
      </c>
      <c r="C52" s="96" t="s">
        <v>105</v>
      </c>
      <c r="D52" t="s">
        <v>32</v>
      </c>
      <c r="E52" s="135"/>
      <c r="F52" s="1" t="s">
        <v>28</v>
      </c>
      <c r="G52" s="24" t="s">
        <v>106</v>
      </c>
      <c r="H52">
        <v>0</v>
      </c>
      <c r="I52" s="129">
        <f>References_EDS!$N$7</f>
        <v>4.333333333333333</v>
      </c>
      <c r="J52" s="11">
        <v>52</v>
      </c>
      <c r="K52">
        <f>References_EDS!C6</f>
        <v>77</v>
      </c>
      <c r="L52" s="11">
        <f t="shared" si="24"/>
        <v>4004</v>
      </c>
      <c r="M52" s="11">
        <f t="shared" si="25"/>
        <v>3180.8849575679646</v>
      </c>
      <c r="N52" s="12">
        <f>+M52*References_EDS!$C$42</f>
        <v>2.322046019024619</v>
      </c>
      <c r="O52" s="12">
        <f>+N52/References_EDS!$G$45</f>
        <v>2.3696765170166536</v>
      </c>
      <c r="P52" s="12">
        <f t="shared" ref="P52:P56" si="32">IFERROR(O52/J52,0)*I52</f>
        <v>0.19747304308472113</v>
      </c>
      <c r="Q52" s="13">
        <v>28.72</v>
      </c>
      <c r="R52" s="14">
        <f t="shared" si="28"/>
        <v>28.917473043084719</v>
      </c>
      <c r="S52" s="12">
        <f t="shared" si="29"/>
        <v>0</v>
      </c>
      <c r="T52" s="12">
        <f t="shared" si="30"/>
        <v>0</v>
      </c>
      <c r="U52" s="104">
        <f t="shared" si="31"/>
        <v>0</v>
      </c>
      <c r="V52" s="54"/>
      <c r="W52" s="108">
        <f t="shared" si="26"/>
        <v>7.2474869782165996E-2</v>
      </c>
      <c r="X52" s="14">
        <f t="shared" si="27"/>
        <v>28.989947912866885</v>
      </c>
      <c r="Y52" s="111"/>
    </row>
    <row r="53" spans="1:25" x14ac:dyDescent="0.25">
      <c r="A53">
        <v>50</v>
      </c>
      <c r="C53" s="96" t="s">
        <v>107</v>
      </c>
      <c r="D53" t="s">
        <v>32</v>
      </c>
      <c r="E53" s="135"/>
      <c r="F53" s="1" t="s">
        <v>28</v>
      </c>
      <c r="G53" s="24" t="s">
        <v>108</v>
      </c>
      <c r="H53">
        <v>0</v>
      </c>
      <c r="I53" s="129">
        <f>References_EDS!$N$7</f>
        <v>4.333333333333333</v>
      </c>
      <c r="J53" s="11">
        <v>52</v>
      </c>
      <c r="K53">
        <f>References_EDS!C7</f>
        <v>97</v>
      </c>
      <c r="L53" s="11">
        <f t="shared" si="24"/>
        <v>5044</v>
      </c>
      <c r="M53" s="11">
        <f t="shared" si="25"/>
        <v>4007.0888426505526</v>
      </c>
      <c r="N53" s="12">
        <f>+M53*References_EDS!$C$42</f>
        <v>2.9251748551349093</v>
      </c>
      <c r="O53" s="12">
        <f>+N53/References_EDS!$G$45</f>
        <v>2.985176911046953</v>
      </c>
      <c r="P53" s="12">
        <f t="shared" si="32"/>
        <v>0.2487647425872461</v>
      </c>
      <c r="Q53" s="13">
        <v>34.06</v>
      </c>
      <c r="R53" s="14">
        <f t="shared" si="28"/>
        <v>34.30876474258725</v>
      </c>
      <c r="S53" s="12">
        <f t="shared" si="29"/>
        <v>0</v>
      </c>
      <c r="T53" s="12">
        <f t="shared" si="30"/>
        <v>0</v>
      </c>
      <c r="U53" s="104">
        <f t="shared" si="31"/>
        <v>0</v>
      </c>
      <c r="V53" s="54"/>
      <c r="W53" s="108">
        <f t="shared" si="26"/>
        <v>8.5986879054104293E-2</v>
      </c>
      <c r="X53" s="14">
        <f t="shared" si="27"/>
        <v>34.394751621641355</v>
      </c>
      <c r="Y53" s="111"/>
    </row>
    <row r="54" spans="1:25" x14ac:dyDescent="0.25">
      <c r="A54">
        <v>51</v>
      </c>
      <c r="C54" s="96" t="s">
        <v>109</v>
      </c>
      <c r="D54" t="s">
        <v>32</v>
      </c>
      <c r="E54" s="135"/>
      <c r="F54" s="1" t="s">
        <v>28</v>
      </c>
      <c r="G54" s="24" t="s">
        <v>110</v>
      </c>
      <c r="H54">
        <v>0</v>
      </c>
      <c r="I54" s="129">
        <f>References_EDS!$N$7</f>
        <v>4.333333333333333</v>
      </c>
      <c r="J54" s="11">
        <v>52</v>
      </c>
      <c r="K54">
        <f>References_EDS!C8</f>
        <v>117</v>
      </c>
      <c r="L54" s="11">
        <f t="shared" si="24"/>
        <v>6084</v>
      </c>
      <c r="M54" s="11">
        <f t="shared" si="25"/>
        <v>4833.292727733141</v>
      </c>
      <c r="N54" s="12">
        <f>+M54*References_EDS!$C$42</f>
        <v>3.5283036912451999</v>
      </c>
      <c r="O54" s="12">
        <f>+N54/References_EDS!$G$45</f>
        <v>3.6006773050772529</v>
      </c>
      <c r="P54" s="12">
        <f t="shared" si="32"/>
        <v>0.30005644208977106</v>
      </c>
      <c r="Q54" s="13">
        <v>43.9</v>
      </c>
      <c r="R54" s="14">
        <f t="shared" si="28"/>
        <v>44.200056442089767</v>
      </c>
      <c r="S54" s="12">
        <f t="shared" si="29"/>
        <v>0</v>
      </c>
      <c r="T54" s="12">
        <f t="shared" si="30"/>
        <v>0</v>
      </c>
      <c r="U54" s="104">
        <f t="shared" si="31"/>
        <v>0</v>
      </c>
      <c r="V54" s="54"/>
      <c r="W54" s="108">
        <f t="shared" si="26"/>
        <v>0.11077708381476015</v>
      </c>
      <c r="X54" s="14">
        <f t="shared" si="27"/>
        <v>44.310833525904528</v>
      </c>
      <c r="Y54" s="111"/>
    </row>
    <row r="55" spans="1:25" x14ac:dyDescent="0.25">
      <c r="A55">
        <v>52</v>
      </c>
      <c r="C55" s="96" t="s">
        <v>111</v>
      </c>
      <c r="D55" t="s">
        <v>32</v>
      </c>
      <c r="E55" s="135"/>
      <c r="F55" s="1" t="s">
        <v>28</v>
      </c>
      <c r="G55" s="24" t="s">
        <v>112</v>
      </c>
      <c r="H55">
        <v>0</v>
      </c>
      <c r="I55" s="129">
        <f>References_EDS!$N$7</f>
        <v>4.333333333333333</v>
      </c>
      <c r="J55" s="11">
        <v>52</v>
      </c>
      <c r="K55">
        <f>References_EDS!C9</f>
        <v>157</v>
      </c>
      <c r="L55" s="11">
        <f t="shared" si="24"/>
        <v>8164</v>
      </c>
      <c r="M55" s="11">
        <f t="shared" si="25"/>
        <v>6485.7004978983177</v>
      </c>
      <c r="N55" s="12">
        <f>+M55*References_EDS!$C$42</f>
        <v>4.7345613634657813</v>
      </c>
      <c r="O55" s="12">
        <f>+N55/References_EDS!$G$45</f>
        <v>4.8316780931378522</v>
      </c>
      <c r="P55" s="12">
        <f t="shared" si="32"/>
        <v>0.40263984109482098</v>
      </c>
      <c r="Q55" s="13">
        <v>50.3</v>
      </c>
      <c r="R55" s="14">
        <f t="shared" si="28"/>
        <v>50.702639841094815</v>
      </c>
      <c r="S55" s="12">
        <f t="shared" si="29"/>
        <v>0</v>
      </c>
      <c r="T55" s="12">
        <f t="shared" si="30"/>
        <v>0</v>
      </c>
      <c r="U55" s="104">
        <f t="shared" si="31"/>
        <v>0</v>
      </c>
      <c r="V55" s="54"/>
      <c r="W55" s="108">
        <f t="shared" si="26"/>
        <v>0.12707428531602716</v>
      </c>
      <c r="X55" s="14">
        <f t="shared" si="27"/>
        <v>50.829714126410842</v>
      </c>
      <c r="Y55" s="111"/>
    </row>
    <row r="56" spans="1:25" x14ac:dyDescent="0.25">
      <c r="A56">
        <v>53</v>
      </c>
      <c r="C56" s="96" t="s">
        <v>259</v>
      </c>
      <c r="D56" t="s">
        <v>32</v>
      </c>
      <c r="E56" s="135"/>
      <c r="F56" s="1" t="s">
        <v>28</v>
      </c>
      <c r="G56" s="31" t="s">
        <v>113</v>
      </c>
      <c r="H56">
        <v>0</v>
      </c>
      <c r="I56" s="129">
        <f>References_EDS!$N$7</f>
        <v>4.333333333333333</v>
      </c>
      <c r="J56" s="11">
        <v>52</v>
      </c>
      <c r="K56" s="26">
        <f>K17</f>
        <v>175</v>
      </c>
      <c r="L56" s="11">
        <f t="shared" si="24"/>
        <v>9100</v>
      </c>
      <c r="M56" s="11">
        <f t="shared" si="25"/>
        <v>7229.2839944726466</v>
      </c>
      <c r="N56" s="12">
        <f>+M56*References_EDS!$C$42</f>
        <v>5.277377315965043</v>
      </c>
      <c r="O56" s="12">
        <f>+N56/References_EDS!$G$45</f>
        <v>5.3856284477651224</v>
      </c>
      <c r="P56" s="12">
        <f t="shared" si="32"/>
        <v>0.4488023706470935</v>
      </c>
      <c r="Q56" s="13">
        <v>87.97</v>
      </c>
      <c r="R56" s="14">
        <f t="shared" si="28"/>
        <v>88.418802370647086</v>
      </c>
      <c r="S56" s="12">
        <f t="shared" si="29"/>
        <v>0</v>
      </c>
      <c r="T56" s="12">
        <f t="shared" si="30"/>
        <v>0</v>
      </c>
      <c r="U56" s="104">
        <f t="shared" si="31"/>
        <v>0</v>
      </c>
      <c r="V56" s="54"/>
      <c r="W56" s="108">
        <f t="shared" si="26"/>
        <v>0.22160100844773467</v>
      </c>
      <c r="X56" s="14">
        <f t="shared" si="27"/>
        <v>88.64040337909482</v>
      </c>
      <c r="Y56" s="111"/>
    </row>
    <row r="57" spans="1:25" x14ac:dyDescent="0.25">
      <c r="A57">
        <v>54</v>
      </c>
      <c r="C57" s="96" t="s">
        <v>25</v>
      </c>
      <c r="E57" s="135"/>
      <c r="F57" s="1" t="s">
        <v>39</v>
      </c>
      <c r="G57" s="31" t="s">
        <v>254</v>
      </c>
      <c r="I57" s="129"/>
      <c r="J57" s="11">
        <v>52</v>
      </c>
      <c r="K57">
        <f>References_EDS!C14</f>
        <v>34</v>
      </c>
      <c r="L57" s="11">
        <f t="shared" si="24"/>
        <v>1768</v>
      </c>
      <c r="M57" s="11">
        <f t="shared" si="25"/>
        <v>1404.5466046403999</v>
      </c>
      <c r="N57" s="12">
        <f>+M57*References_EDS!$C$42</f>
        <v>1.0253190213874941</v>
      </c>
      <c r="O57" s="12">
        <f>+N57/References_EDS!$G$45</f>
        <v>1.0463506698515095</v>
      </c>
      <c r="P57" s="12">
        <f t="shared" ref="P57:P65" si="33">IFERROR(O57/J57,0)</f>
        <v>2.0122128266375182E-2</v>
      </c>
      <c r="Q57" s="13">
        <v>3.35</v>
      </c>
      <c r="R57" s="14">
        <f t="shared" si="28"/>
        <v>3.3701221282663751</v>
      </c>
      <c r="S57" s="12">
        <f t="shared" si="29"/>
        <v>0</v>
      </c>
      <c r="T57" s="12">
        <f t="shared" si="30"/>
        <v>0</v>
      </c>
      <c r="U57" s="104">
        <f t="shared" si="31"/>
        <v>0</v>
      </c>
      <c r="V57" s="54"/>
      <c r="W57" s="108">
        <f t="shared" si="26"/>
        <v>8.4464213741011207E-3</v>
      </c>
      <c r="X57" s="14">
        <f t="shared" si="27"/>
        <v>3.3785685496404763</v>
      </c>
      <c r="Y57" s="111"/>
    </row>
    <row r="58" spans="1:25" x14ac:dyDescent="0.25">
      <c r="A58">
        <v>55</v>
      </c>
      <c r="C58" s="96" t="s">
        <v>31</v>
      </c>
      <c r="E58" s="135"/>
      <c r="F58" s="1" t="s">
        <v>39</v>
      </c>
      <c r="G58" s="31" t="s">
        <v>114</v>
      </c>
      <c r="I58" s="129"/>
      <c r="J58" s="11">
        <v>52</v>
      </c>
      <c r="K58">
        <f>References_EDS!C11</f>
        <v>47</v>
      </c>
      <c r="L58" s="11">
        <f t="shared" si="24"/>
        <v>2444</v>
      </c>
      <c r="M58" s="11">
        <f t="shared" si="25"/>
        <v>1941.5791299440823</v>
      </c>
      <c r="N58" s="12">
        <f>+M58*References_EDS!$C$42</f>
        <v>1.417352764859183</v>
      </c>
      <c r="O58" s="12">
        <f>+N58/References_EDS!$G$45</f>
        <v>1.4464259259712042</v>
      </c>
      <c r="P58" s="12">
        <f t="shared" si="33"/>
        <v>2.7815883191753928E-2</v>
      </c>
      <c r="Q58" s="13">
        <v>18.37</v>
      </c>
      <c r="R58" s="14">
        <f t="shared" si="28"/>
        <v>18.397815883191754</v>
      </c>
      <c r="S58" s="12">
        <f t="shared" si="29"/>
        <v>0</v>
      </c>
      <c r="T58" s="12">
        <f t="shared" si="30"/>
        <v>0</v>
      </c>
      <c r="U58" s="104">
        <f t="shared" si="31"/>
        <v>0</v>
      </c>
      <c r="V58" s="54"/>
      <c r="W58" s="108">
        <f t="shared" si="26"/>
        <v>4.6109814243585845E-2</v>
      </c>
      <c r="X58" s="14">
        <f t="shared" si="27"/>
        <v>18.44392569743534</v>
      </c>
      <c r="Y58" s="111"/>
    </row>
    <row r="59" spans="1:25" x14ac:dyDescent="0.25">
      <c r="A59">
        <v>56</v>
      </c>
      <c r="C59" s="96" t="s">
        <v>35</v>
      </c>
      <c r="E59" s="135"/>
      <c r="F59" s="1" t="s">
        <v>39</v>
      </c>
      <c r="G59" s="31" t="s">
        <v>115</v>
      </c>
      <c r="I59" s="10"/>
      <c r="J59" s="11">
        <v>52</v>
      </c>
      <c r="K59">
        <f>References_EDS!C12</f>
        <v>68</v>
      </c>
      <c r="L59" s="11">
        <f t="shared" si="24"/>
        <v>3536</v>
      </c>
      <c r="M59" s="11">
        <f t="shared" si="25"/>
        <v>2809.0932092807998</v>
      </c>
      <c r="N59" s="12">
        <f>+M59*References_EDS!$C$42</f>
        <v>2.0506380427749882</v>
      </c>
      <c r="O59" s="12">
        <f>+N59/References_EDS!$G$45</f>
        <v>2.092701339703019</v>
      </c>
      <c r="P59" s="12">
        <f t="shared" si="33"/>
        <v>4.0244256532750364E-2</v>
      </c>
      <c r="Q59" s="13">
        <v>23.18</v>
      </c>
      <c r="R59" s="14">
        <f t="shared" si="28"/>
        <v>23.220244256532752</v>
      </c>
      <c r="S59" s="12">
        <f t="shared" si="29"/>
        <v>0</v>
      </c>
      <c r="T59" s="12">
        <f t="shared" si="30"/>
        <v>0</v>
      </c>
      <c r="U59" s="104">
        <f t="shared" si="31"/>
        <v>0</v>
      </c>
      <c r="V59" s="54"/>
      <c r="W59" s="108">
        <f t="shared" si="26"/>
        <v>5.8196100893564306E-2</v>
      </c>
      <c r="X59" s="14">
        <f t="shared" si="27"/>
        <v>23.278440357426316</v>
      </c>
      <c r="Y59" s="111"/>
    </row>
    <row r="60" spans="1:25" x14ac:dyDescent="0.25">
      <c r="A60">
        <v>57</v>
      </c>
      <c r="C60" s="96" t="s">
        <v>31</v>
      </c>
      <c r="E60" s="135"/>
      <c r="F60" s="1">
        <v>24</v>
      </c>
      <c r="G60" s="31" t="s">
        <v>256</v>
      </c>
      <c r="I60" s="10"/>
      <c r="J60" s="11">
        <v>52</v>
      </c>
      <c r="K60">
        <f>K58</f>
        <v>47</v>
      </c>
      <c r="L60" s="11">
        <f t="shared" si="24"/>
        <v>2444</v>
      </c>
      <c r="M60" s="11">
        <f t="shared" si="25"/>
        <v>1941.5791299440823</v>
      </c>
      <c r="N60" s="12">
        <f>+M60*References_EDS!$C$42</f>
        <v>1.417352764859183</v>
      </c>
      <c r="O60" s="12">
        <f>+N60/References_EDS!$G$45</f>
        <v>1.4464259259712042</v>
      </c>
      <c r="P60" s="12">
        <f t="shared" si="33"/>
        <v>2.7815883191753928E-2</v>
      </c>
      <c r="Q60" s="13">
        <v>4.21</v>
      </c>
      <c r="R60" s="14">
        <f t="shared" si="28"/>
        <v>4.2378158831917538</v>
      </c>
      <c r="S60" s="12">
        <f t="shared" si="29"/>
        <v>0</v>
      </c>
      <c r="T60" s="12">
        <f t="shared" si="30"/>
        <v>0</v>
      </c>
      <c r="U60" s="104">
        <f t="shared" si="31"/>
        <v>0</v>
      </c>
      <c r="V60" s="54"/>
      <c r="W60" s="108">
        <f t="shared" si="26"/>
        <v>1.0621092439077273E-2</v>
      </c>
      <c r="X60" s="14">
        <f t="shared" si="27"/>
        <v>4.2484369756308311</v>
      </c>
      <c r="Y60" s="111"/>
    </row>
    <row r="61" spans="1:25" x14ac:dyDescent="0.25">
      <c r="A61">
        <v>58</v>
      </c>
      <c r="C61" s="96" t="s">
        <v>35</v>
      </c>
      <c r="E61" s="135"/>
      <c r="F61" s="1">
        <v>24</v>
      </c>
      <c r="G61" s="31" t="s">
        <v>257</v>
      </c>
      <c r="I61" s="10"/>
      <c r="J61" s="11">
        <v>52</v>
      </c>
      <c r="K61">
        <f>K59</f>
        <v>68</v>
      </c>
      <c r="L61" s="11">
        <f t="shared" si="24"/>
        <v>3536</v>
      </c>
      <c r="M61" s="11">
        <f t="shared" si="25"/>
        <v>2809.0932092807998</v>
      </c>
      <c r="N61" s="12">
        <f>+M61*References_EDS!$C$42</f>
        <v>2.0506380427749882</v>
      </c>
      <c r="O61" s="12">
        <f>+N61/References_EDS!$G$45</f>
        <v>2.092701339703019</v>
      </c>
      <c r="P61" s="12">
        <f t="shared" si="33"/>
        <v>4.0244256532750364E-2</v>
      </c>
      <c r="Q61" s="13">
        <v>18.25</v>
      </c>
      <c r="R61" s="14">
        <f t="shared" si="28"/>
        <v>18.290244256532752</v>
      </c>
      <c r="S61" s="12">
        <f t="shared" si="29"/>
        <v>0</v>
      </c>
      <c r="T61" s="12">
        <f t="shared" si="30"/>
        <v>0</v>
      </c>
      <c r="U61" s="104">
        <f t="shared" si="31"/>
        <v>0</v>
      </c>
      <c r="V61" s="54"/>
      <c r="W61" s="108">
        <f t="shared" si="26"/>
        <v>4.5840211169252854E-2</v>
      </c>
      <c r="X61" s="14">
        <f t="shared" si="27"/>
        <v>18.336084467702005</v>
      </c>
      <c r="Y61" s="111"/>
    </row>
    <row r="62" spans="1:25" x14ac:dyDescent="0.25">
      <c r="A62">
        <v>59</v>
      </c>
      <c r="C62" s="96" t="s">
        <v>259</v>
      </c>
      <c r="E62" s="135"/>
      <c r="F62" s="1">
        <v>24</v>
      </c>
      <c r="G62" s="31" t="s">
        <v>258</v>
      </c>
      <c r="I62" s="10"/>
      <c r="J62" s="11">
        <v>52</v>
      </c>
      <c r="K62" s="26">
        <f>K56</f>
        <v>175</v>
      </c>
      <c r="L62" s="11">
        <f t="shared" si="24"/>
        <v>9100</v>
      </c>
      <c r="M62" s="11">
        <f t="shared" si="25"/>
        <v>7229.2839944726466</v>
      </c>
      <c r="N62" s="12">
        <f>+M62*References_EDS!$C$42</f>
        <v>5.277377315965043</v>
      </c>
      <c r="O62" s="12">
        <f>+N62/References_EDS!$G$45</f>
        <v>5.3856284477651224</v>
      </c>
      <c r="P62" s="12">
        <f t="shared" si="33"/>
        <v>0.10356977784163697</v>
      </c>
      <c r="Q62" s="13">
        <v>23</v>
      </c>
      <c r="R62" s="14">
        <f t="shared" si="28"/>
        <v>23.103569777841638</v>
      </c>
      <c r="S62" s="12">
        <f t="shared" si="29"/>
        <v>0</v>
      </c>
      <c r="T62" s="12">
        <f t="shared" si="30"/>
        <v>0</v>
      </c>
      <c r="U62" s="104">
        <f t="shared" si="31"/>
        <v>0</v>
      </c>
      <c r="V62" s="54"/>
      <c r="W62" s="108">
        <f t="shared" si="26"/>
        <v>5.7903683653737659E-2</v>
      </c>
      <c r="X62" s="14">
        <f t="shared" si="27"/>
        <v>23.161473461495376</v>
      </c>
      <c r="Y62" s="111"/>
    </row>
    <row r="63" spans="1:25" x14ac:dyDescent="0.25">
      <c r="A63">
        <v>60</v>
      </c>
      <c r="C63" s="96" t="s">
        <v>42</v>
      </c>
      <c r="E63" s="135"/>
      <c r="F63" s="1">
        <v>24</v>
      </c>
      <c r="G63" s="9" t="s">
        <v>116</v>
      </c>
      <c r="I63" s="10"/>
      <c r="J63" s="11">
        <v>52</v>
      </c>
      <c r="K63" s="11">
        <f>K11</f>
        <v>125</v>
      </c>
      <c r="L63" s="11">
        <f t="shared" si="24"/>
        <v>6500</v>
      </c>
      <c r="M63" s="11">
        <f t="shared" si="25"/>
        <v>5163.7742817661765</v>
      </c>
      <c r="N63" s="12">
        <f>+M63*References_EDS!$C$42</f>
        <v>3.7695552256893166</v>
      </c>
      <c r="O63" s="12">
        <f>+N63/References_EDS!$G$45</f>
        <v>3.8468774626893731</v>
      </c>
      <c r="P63" s="12">
        <f t="shared" si="33"/>
        <v>7.3978412744026403E-2</v>
      </c>
      <c r="Q63" s="13">
        <v>15.87</v>
      </c>
      <c r="R63" s="14">
        <f t="shared" si="28"/>
        <v>15.943978412744025</v>
      </c>
      <c r="S63" s="12">
        <f t="shared" si="29"/>
        <v>0</v>
      </c>
      <c r="T63" s="12">
        <f t="shared" si="30"/>
        <v>0</v>
      </c>
      <c r="U63" s="104">
        <f t="shared" si="31"/>
        <v>0</v>
      </c>
      <c r="V63" s="54"/>
      <c r="W63" s="108">
        <f t="shared" si="26"/>
        <v>3.9959845645974212E-2</v>
      </c>
      <c r="X63" s="14">
        <f t="shared" si="27"/>
        <v>15.983938258389999</v>
      </c>
      <c r="Y63" s="111"/>
    </row>
    <row r="64" spans="1:25" x14ac:dyDescent="0.25">
      <c r="A64">
        <v>61</v>
      </c>
      <c r="C64" s="96" t="s">
        <v>42</v>
      </c>
      <c r="E64" s="135"/>
      <c r="F64" s="1">
        <v>24</v>
      </c>
      <c r="G64" s="31" t="s">
        <v>117</v>
      </c>
      <c r="I64" s="10"/>
      <c r="J64" s="11">
        <v>52</v>
      </c>
      <c r="K64" s="11">
        <f>K63</f>
        <v>125</v>
      </c>
      <c r="L64" s="11">
        <f t="shared" si="24"/>
        <v>6500</v>
      </c>
      <c r="M64" s="11">
        <f t="shared" si="25"/>
        <v>5163.7742817661765</v>
      </c>
      <c r="N64" s="12">
        <f>+M64*References_EDS!$C$42</f>
        <v>3.7695552256893166</v>
      </c>
      <c r="O64" s="12">
        <f>+N64/References_EDS!$G$45</f>
        <v>3.8468774626893731</v>
      </c>
      <c r="P64" s="12">
        <f t="shared" si="33"/>
        <v>7.3978412744026403E-2</v>
      </c>
      <c r="Q64" s="13">
        <v>15.87</v>
      </c>
      <c r="R64" s="14">
        <f t="shared" si="28"/>
        <v>15.943978412744025</v>
      </c>
      <c r="S64" s="12">
        <f t="shared" si="29"/>
        <v>0</v>
      </c>
      <c r="T64" s="12">
        <f t="shared" si="30"/>
        <v>0</v>
      </c>
      <c r="U64" s="104">
        <f t="shared" si="31"/>
        <v>0</v>
      </c>
      <c r="V64" s="54"/>
      <c r="W64" s="108">
        <f t="shared" si="26"/>
        <v>3.9959845645974212E-2</v>
      </c>
      <c r="X64" s="14">
        <f t="shared" si="27"/>
        <v>15.983938258389999</v>
      </c>
      <c r="Y64" s="111"/>
    </row>
    <row r="65" spans="1:25" x14ac:dyDescent="0.25">
      <c r="A65">
        <v>62</v>
      </c>
      <c r="C65" s="96" t="s">
        <v>42</v>
      </c>
      <c r="E65" s="135"/>
      <c r="F65" s="1">
        <v>24</v>
      </c>
      <c r="G65" s="31" t="s">
        <v>118</v>
      </c>
      <c r="I65" s="10"/>
      <c r="J65" s="11">
        <v>52</v>
      </c>
      <c r="K65" s="11">
        <f>K63</f>
        <v>125</v>
      </c>
      <c r="L65" s="11">
        <f t="shared" si="24"/>
        <v>6500</v>
      </c>
      <c r="M65" s="11">
        <f t="shared" si="25"/>
        <v>5163.7742817661765</v>
      </c>
      <c r="N65" s="12">
        <f>+M65*References_EDS!$C$42</f>
        <v>3.7695552256893166</v>
      </c>
      <c r="O65" s="12">
        <f>+N65/References_EDS!$G$45</f>
        <v>3.8468774626893731</v>
      </c>
      <c r="P65" s="12">
        <f t="shared" si="33"/>
        <v>7.3978412744026403E-2</v>
      </c>
      <c r="Q65" s="13">
        <v>15.87</v>
      </c>
      <c r="R65" s="14">
        <f t="shared" si="28"/>
        <v>15.943978412744025</v>
      </c>
      <c r="S65" s="12">
        <f t="shared" si="29"/>
        <v>0</v>
      </c>
      <c r="T65" s="12">
        <f t="shared" si="30"/>
        <v>0</v>
      </c>
      <c r="U65" s="104">
        <f t="shared" si="31"/>
        <v>0</v>
      </c>
      <c r="V65" s="54"/>
      <c r="W65" s="108">
        <f t="shared" si="26"/>
        <v>3.9959845645974212E-2</v>
      </c>
      <c r="X65" s="14">
        <f t="shared" si="27"/>
        <v>15.983938258389999</v>
      </c>
      <c r="Y65" s="111"/>
    </row>
    <row r="66" spans="1:25" x14ac:dyDescent="0.25">
      <c r="A66">
        <v>63</v>
      </c>
      <c r="V66" s="54"/>
    </row>
    <row r="67" spans="1:25" x14ac:dyDescent="0.25">
      <c r="A67">
        <v>64</v>
      </c>
      <c r="V67" s="54"/>
    </row>
    <row r="68" spans="1:25" x14ac:dyDescent="0.25">
      <c r="A68">
        <v>65</v>
      </c>
      <c r="B68" s="32"/>
      <c r="C68" s="101"/>
      <c r="D68" s="32"/>
      <c r="E68" s="32"/>
      <c r="F68" s="3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06"/>
      <c r="V68" s="54"/>
      <c r="W68" s="32"/>
      <c r="X68" s="32"/>
    </row>
    <row r="69" spans="1:25" x14ac:dyDescent="0.25">
      <c r="A69">
        <v>66</v>
      </c>
      <c r="C69" s="96" t="s">
        <v>31</v>
      </c>
      <c r="E69" s="133" t="s">
        <v>46</v>
      </c>
      <c r="F69" s="1">
        <v>31</v>
      </c>
      <c r="G69" t="s">
        <v>119</v>
      </c>
      <c r="J69" s="11">
        <v>52</v>
      </c>
      <c r="K69" s="11">
        <f>K58</f>
        <v>47</v>
      </c>
      <c r="L69" s="11">
        <f t="shared" ref="L69:L114" si="34">+K69*J69</f>
        <v>2444</v>
      </c>
      <c r="M69" s="11">
        <f t="shared" ref="M69:M114" si="35">+L69*$H$125</f>
        <v>1941.5791299440823</v>
      </c>
      <c r="N69" s="12">
        <f>+M69*References_EDS!$C$42</f>
        <v>1.417352764859183</v>
      </c>
      <c r="O69" s="12">
        <f>+N69/References_EDS!$G$45</f>
        <v>1.4464259259712042</v>
      </c>
      <c r="P69" s="12">
        <f>IFERROR(O69/J69,0)</f>
        <v>2.7815883191753928E-2</v>
      </c>
      <c r="Q69" s="13">
        <v>4.33</v>
      </c>
      <c r="R69" s="14">
        <f t="shared" ref="R69:R74" si="36">P69+Q69</f>
        <v>4.3578158831917539</v>
      </c>
      <c r="S69" s="12">
        <f>+Q69*H69</f>
        <v>0</v>
      </c>
      <c r="T69" s="12">
        <f>+R69*H69</f>
        <v>0</v>
      </c>
      <c r="U69" s="104">
        <f>+T69-S69</f>
        <v>0</v>
      </c>
      <c r="V69" s="54"/>
      <c r="W69" s="108">
        <f t="shared" ref="W69:W114" si="37">(R69/(1-$W$6))-R69</f>
        <v>1.0921844318776408E-2</v>
      </c>
      <c r="X69" s="14">
        <f t="shared" ref="X69:X113" si="38">W69+R69</f>
        <v>4.3687377275105304</v>
      </c>
      <c r="Y69" s="111"/>
    </row>
    <row r="70" spans="1:25" x14ac:dyDescent="0.25">
      <c r="A70">
        <v>67</v>
      </c>
      <c r="C70" s="96" t="s">
        <v>31</v>
      </c>
      <c r="E70" s="134"/>
      <c r="F70" s="1">
        <v>31</v>
      </c>
      <c r="G70" s="23" t="s">
        <v>120</v>
      </c>
      <c r="J70" s="11">
        <v>52</v>
      </c>
      <c r="K70" s="11">
        <f>K69</f>
        <v>47</v>
      </c>
      <c r="L70" s="11">
        <f t="shared" si="34"/>
        <v>2444</v>
      </c>
      <c r="M70" s="11">
        <f t="shared" si="35"/>
        <v>1941.5791299440823</v>
      </c>
      <c r="N70" s="12">
        <f>+M70*References_EDS!$C$42</f>
        <v>1.417352764859183</v>
      </c>
      <c r="O70" s="12">
        <f>+N70/References_EDS!$G$45</f>
        <v>1.4464259259712042</v>
      </c>
      <c r="P70" s="12">
        <f t="shared" ref="P70:P114" si="39">IFERROR(O70/J70,0)</f>
        <v>2.7815883191753928E-2</v>
      </c>
      <c r="Q70" s="13">
        <v>4.33</v>
      </c>
      <c r="R70" s="14">
        <f t="shared" si="36"/>
        <v>4.3578158831917539</v>
      </c>
      <c r="S70" s="12">
        <f t="shared" ref="S70:S114" si="40">+Q70*H70</f>
        <v>0</v>
      </c>
      <c r="T70" s="12">
        <f t="shared" ref="T70:T114" si="41">+R70*H70</f>
        <v>0</v>
      </c>
      <c r="U70" s="104">
        <f t="shared" ref="U70:U114" si="42">+T70-S70</f>
        <v>0</v>
      </c>
      <c r="V70" s="54"/>
      <c r="W70" s="108">
        <f t="shared" si="37"/>
        <v>1.0921844318776408E-2</v>
      </c>
      <c r="X70" s="14">
        <f t="shared" si="38"/>
        <v>4.3687377275105304</v>
      </c>
      <c r="Y70" s="111"/>
    </row>
    <row r="71" spans="1:25" x14ac:dyDescent="0.25">
      <c r="A71">
        <v>68</v>
      </c>
      <c r="C71" s="96" t="s">
        <v>31</v>
      </c>
      <c r="E71" s="134"/>
      <c r="F71" s="1">
        <v>31</v>
      </c>
      <c r="G71" s="23" t="s">
        <v>121</v>
      </c>
      <c r="J71" s="11">
        <v>52</v>
      </c>
      <c r="K71" s="11">
        <f>K69</f>
        <v>47</v>
      </c>
      <c r="L71" s="11">
        <f t="shared" si="34"/>
        <v>2444</v>
      </c>
      <c r="M71" s="11">
        <f t="shared" si="35"/>
        <v>1941.5791299440823</v>
      </c>
      <c r="N71" s="12">
        <f>+M71*References_EDS!$C$42</f>
        <v>1.417352764859183</v>
      </c>
      <c r="O71" s="12">
        <f>+N71/References_EDS!$G$45</f>
        <v>1.4464259259712042</v>
      </c>
      <c r="P71" s="12">
        <f t="shared" si="39"/>
        <v>2.7815883191753928E-2</v>
      </c>
      <c r="Q71" s="13">
        <v>14.36</v>
      </c>
      <c r="R71" s="14">
        <f>R70+10.03</f>
        <v>14.387815883191752</v>
      </c>
      <c r="S71" s="12">
        <f t="shared" si="40"/>
        <v>0</v>
      </c>
      <c r="T71" s="12">
        <f t="shared" si="41"/>
        <v>0</v>
      </c>
      <c r="U71" s="104">
        <f t="shared" si="42"/>
        <v>0</v>
      </c>
      <c r="V71" s="54"/>
      <c r="W71" s="108">
        <f t="shared" si="37"/>
        <v>3.6059688930304645E-2</v>
      </c>
      <c r="X71" s="14">
        <f>X70+10.03</f>
        <v>14.398737727510529</v>
      </c>
      <c r="Y71" s="111"/>
    </row>
    <row r="72" spans="1:25" x14ac:dyDescent="0.25">
      <c r="A72">
        <v>69</v>
      </c>
      <c r="C72" s="96" t="s">
        <v>35</v>
      </c>
      <c r="E72" s="134"/>
      <c r="F72" s="1">
        <v>31</v>
      </c>
      <c r="G72" s="23" t="s">
        <v>122</v>
      </c>
      <c r="J72" s="11">
        <v>52</v>
      </c>
      <c r="K72" s="11">
        <f>K59</f>
        <v>68</v>
      </c>
      <c r="L72" s="11">
        <f t="shared" si="34"/>
        <v>3536</v>
      </c>
      <c r="M72" s="11">
        <f t="shared" si="35"/>
        <v>2809.0932092807998</v>
      </c>
      <c r="N72" s="12">
        <f>+M72*References_EDS!$C$42</f>
        <v>2.0506380427749882</v>
      </c>
      <c r="O72" s="12">
        <f>+N72/References_EDS!$G$45</f>
        <v>2.092701339703019</v>
      </c>
      <c r="P72" s="12">
        <f t="shared" si="39"/>
        <v>4.0244256532750364E-2</v>
      </c>
      <c r="Q72" s="13">
        <v>15.54</v>
      </c>
      <c r="R72" s="14">
        <f>R16+10.03</f>
        <v>15.580244256532749</v>
      </c>
      <c r="S72" s="12">
        <f t="shared" si="40"/>
        <v>0</v>
      </c>
      <c r="T72" s="12">
        <f t="shared" si="41"/>
        <v>0</v>
      </c>
      <c r="U72" s="104">
        <f t="shared" si="42"/>
        <v>0</v>
      </c>
      <c r="V72" s="54"/>
      <c r="W72" s="108">
        <f t="shared" si="37"/>
        <v>3.9048231219378948E-2</v>
      </c>
      <c r="X72" s="14">
        <f>X16+10.03</f>
        <v>15.594154643140602</v>
      </c>
      <c r="Y72" s="111"/>
    </row>
    <row r="73" spans="1:25" x14ac:dyDescent="0.25">
      <c r="A73">
        <v>70</v>
      </c>
      <c r="C73" s="96" t="s">
        <v>54</v>
      </c>
      <c r="E73" s="134"/>
      <c r="F73" s="1">
        <v>31</v>
      </c>
      <c r="G73" s="23" t="s">
        <v>123</v>
      </c>
      <c r="J73" s="11">
        <v>52</v>
      </c>
      <c r="K73" s="11">
        <f>K56</f>
        <v>175</v>
      </c>
      <c r="L73" s="11">
        <f t="shared" si="34"/>
        <v>9100</v>
      </c>
      <c r="M73" s="11">
        <f t="shared" si="35"/>
        <v>7229.2839944726466</v>
      </c>
      <c r="N73" s="12">
        <f>+M73*References_EDS!$C$42</f>
        <v>5.277377315965043</v>
      </c>
      <c r="O73" s="12">
        <f>+N73/References_EDS!$G$45</f>
        <v>5.3856284477651224</v>
      </c>
      <c r="P73" s="12">
        <f t="shared" si="39"/>
        <v>0.10356977784163697</v>
      </c>
      <c r="Q73" s="13">
        <v>20.45</v>
      </c>
      <c r="R73" s="14">
        <f t="shared" si="36"/>
        <v>20.553569777841638</v>
      </c>
      <c r="S73" s="12">
        <f t="shared" si="40"/>
        <v>0</v>
      </c>
      <c r="T73" s="12">
        <f t="shared" si="41"/>
        <v>0</v>
      </c>
      <c r="U73" s="104">
        <f t="shared" si="42"/>
        <v>0</v>
      </c>
      <c r="V73" s="54"/>
      <c r="W73" s="108">
        <f t="shared" si="37"/>
        <v>5.1512706210129267E-2</v>
      </c>
      <c r="X73" s="14">
        <f t="shared" si="38"/>
        <v>20.605082484051767</v>
      </c>
      <c r="Y73" s="111"/>
    </row>
    <row r="74" spans="1:25" x14ac:dyDescent="0.25">
      <c r="A74">
        <v>71</v>
      </c>
      <c r="C74" s="96" t="s">
        <v>54</v>
      </c>
      <c r="E74" s="134"/>
      <c r="F74" s="1">
        <v>31</v>
      </c>
      <c r="G74" s="23" t="s">
        <v>124</v>
      </c>
      <c r="J74" s="11">
        <v>52</v>
      </c>
      <c r="K74" s="11">
        <f>K56</f>
        <v>175</v>
      </c>
      <c r="L74" s="11">
        <f t="shared" si="34"/>
        <v>9100</v>
      </c>
      <c r="M74" s="11">
        <f t="shared" si="35"/>
        <v>7229.2839944726466</v>
      </c>
      <c r="N74" s="12">
        <f>+M74*References_EDS!$C$42</f>
        <v>5.277377315965043</v>
      </c>
      <c r="O74" s="12">
        <f>+N74/References_EDS!$G$45</f>
        <v>5.3856284477651224</v>
      </c>
      <c r="P74" s="12">
        <f t="shared" si="39"/>
        <v>0.10356977784163697</v>
      </c>
      <c r="Q74" s="13">
        <v>20.45</v>
      </c>
      <c r="R74" s="14">
        <f t="shared" si="36"/>
        <v>20.553569777841638</v>
      </c>
      <c r="S74" s="12">
        <f t="shared" si="40"/>
        <v>0</v>
      </c>
      <c r="T74" s="12">
        <f t="shared" si="41"/>
        <v>0</v>
      </c>
      <c r="U74" s="104">
        <f t="shared" si="42"/>
        <v>0</v>
      </c>
      <c r="V74" s="54"/>
      <c r="W74" s="108">
        <f t="shared" si="37"/>
        <v>5.1512706210129267E-2</v>
      </c>
      <c r="X74" s="14">
        <f t="shared" si="38"/>
        <v>20.605082484051767</v>
      </c>
      <c r="Y74" s="111"/>
    </row>
    <row r="75" spans="1:25" x14ac:dyDescent="0.25">
      <c r="A75">
        <v>72</v>
      </c>
      <c r="C75" s="96" t="s">
        <v>54</v>
      </c>
      <c r="E75" s="134"/>
      <c r="F75" s="1">
        <v>31</v>
      </c>
      <c r="G75" s="23" t="s">
        <v>125</v>
      </c>
      <c r="J75" s="11">
        <v>52</v>
      </c>
      <c r="K75" s="11">
        <f>K56</f>
        <v>175</v>
      </c>
      <c r="L75" s="11">
        <f t="shared" si="34"/>
        <v>9100</v>
      </c>
      <c r="M75" s="11">
        <f t="shared" si="35"/>
        <v>7229.2839944726466</v>
      </c>
      <c r="N75" s="12">
        <f>+M75*References_EDS!$C$42</f>
        <v>5.277377315965043</v>
      </c>
      <c r="O75" s="12">
        <f>+N75/References_EDS!$G$45</f>
        <v>5.3856284477651224</v>
      </c>
      <c r="P75" s="12">
        <f t="shared" si="39"/>
        <v>0.10356977784163697</v>
      </c>
      <c r="Q75" s="13">
        <v>30.48</v>
      </c>
      <c r="R75" s="14">
        <f>R18+10.03</f>
        <v>30.583569777841639</v>
      </c>
      <c r="S75" s="12">
        <f t="shared" si="40"/>
        <v>0</v>
      </c>
      <c r="T75" s="12">
        <f t="shared" si="41"/>
        <v>0</v>
      </c>
      <c r="U75" s="104">
        <f t="shared" si="42"/>
        <v>0</v>
      </c>
      <c r="V75" s="54"/>
      <c r="W75" s="108">
        <f t="shared" si="37"/>
        <v>7.6650550821657504E-2</v>
      </c>
      <c r="X75" s="14">
        <f>X18+10.03</f>
        <v>30.635082484051765</v>
      </c>
      <c r="Y75" s="111"/>
    </row>
    <row r="76" spans="1:25" x14ac:dyDescent="0.25">
      <c r="A76">
        <v>73</v>
      </c>
      <c r="C76" s="96" t="s">
        <v>54</v>
      </c>
      <c r="E76" s="134"/>
      <c r="F76" s="1">
        <v>32</v>
      </c>
      <c r="G76" s="23" t="s">
        <v>126</v>
      </c>
      <c r="J76" s="11">
        <v>52</v>
      </c>
      <c r="K76">
        <f>References_EDS!$C$16</f>
        <v>175</v>
      </c>
      <c r="L76" s="11">
        <f t="shared" si="34"/>
        <v>9100</v>
      </c>
      <c r="M76" s="11">
        <f t="shared" si="35"/>
        <v>7229.2839944726466</v>
      </c>
      <c r="N76" s="12">
        <f>+M76*References_EDS!$C$42</f>
        <v>5.277377315965043</v>
      </c>
      <c r="O76" s="12">
        <f>+N76/References_EDS!$G$45</f>
        <v>5.3856284477651224</v>
      </c>
      <c r="P76" s="12">
        <f t="shared" si="39"/>
        <v>0.10356977784163697</v>
      </c>
      <c r="Q76" s="13">
        <v>25.15</v>
      </c>
      <c r="R76" s="14">
        <f t="shared" ref="R76" si="43">P76+Q76</f>
        <v>25.253569777841637</v>
      </c>
      <c r="S76" s="12">
        <f t="shared" si="40"/>
        <v>0</v>
      </c>
      <c r="T76" s="12">
        <f t="shared" si="41"/>
        <v>0</v>
      </c>
      <c r="U76" s="104">
        <f t="shared" si="42"/>
        <v>0</v>
      </c>
      <c r="V76" s="54"/>
      <c r="W76" s="108">
        <f t="shared" si="37"/>
        <v>6.3292154831682268E-2</v>
      </c>
      <c r="X76" s="14">
        <f t="shared" si="38"/>
        <v>25.316861932673319</v>
      </c>
      <c r="Y76" s="111"/>
    </row>
    <row r="77" spans="1:25" x14ac:dyDescent="0.25">
      <c r="A77">
        <v>74</v>
      </c>
      <c r="C77" s="96" t="s">
        <v>54</v>
      </c>
      <c r="E77" s="134"/>
      <c r="F77" s="1">
        <v>32</v>
      </c>
      <c r="G77" s="23" t="s">
        <v>127</v>
      </c>
      <c r="J77" s="11">
        <v>52</v>
      </c>
      <c r="K77">
        <f>References_EDS!$C$16</f>
        <v>175</v>
      </c>
      <c r="L77" s="11">
        <f t="shared" si="34"/>
        <v>9100</v>
      </c>
      <c r="M77" s="11">
        <f t="shared" si="35"/>
        <v>7229.2839944726466</v>
      </c>
      <c r="N77" s="12">
        <f>+M77*References_EDS!$C$42</f>
        <v>5.277377315965043</v>
      </c>
      <c r="O77" s="12">
        <f>+N77/References_EDS!$G$45</f>
        <v>5.3856284477651224</v>
      </c>
      <c r="P77" s="12">
        <f t="shared" si="39"/>
        <v>0.10356977784163697</v>
      </c>
      <c r="Q77" s="13">
        <v>40.01</v>
      </c>
      <c r="R77" s="14">
        <f>R20+22.56</f>
        <v>40.113569777841633</v>
      </c>
      <c r="S77" s="12">
        <f t="shared" si="40"/>
        <v>0</v>
      </c>
      <c r="T77" s="12">
        <f t="shared" si="41"/>
        <v>0</v>
      </c>
      <c r="U77" s="104">
        <f t="shared" si="42"/>
        <v>0</v>
      </c>
      <c r="V77" s="54"/>
      <c r="W77" s="108">
        <f t="shared" si="37"/>
        <v>0.10053526260110601</v>
      </c>
      <c r="X77" s="14">
        <f>X20+22.56</f>
        <v>40.15756368705928</v>
      </c>
      <c r="Y77" s="111"/>
    </row>
    <row r="78" spans="1:25" x14ac:dyDescent="0.25">
      <c r="A78">
        <v>75</v>
      </c>
      <c r="C78" s="96" t="s">
        <v>50</v>
      </c>
      <c r="E78" s="134"/>
      <c r="F78" s="1">
        <v>32</v>
      </c>
      <c r="G78" s="23" t="s">
        <v>128</v>
      </c>
      <c r="J78" s="11">
        <v>52</v>
      </c>
      <c r="K78">
        <f>References_EDS!C17</f>
        <v>250</v>
      </c>
      <c r="L78" s="11">
        <f t="shared" si="34"/>
        <v>13000</v>
      </c>
      <c r="M78" s="11">
        <f t="shared" si="35"/>
        <v>10327.548563532353</v>
      </c>
      <c r="N78" s="12">
        <f>+M78*References_EDS!$C$42</f>
        <v>7.5391104513786331</v>
      </c>
      <c r="O78" s="12">
        <f>+N78/References_EDS!$G$45</f>
        <v>7.6937549253787463</v>
      </c>
      <c r="P78" s="12">
        <f t="shared" si="39"/>
        <v>0.14795682548805281</v>
      </c>
      <c r="Q78" s="13">
        <v>22.4</v>
      </c>
      <c r="R78" s="14">
        <f t="shared" ref="R78" si="44">P78+Q78</f>
        <v>22.54795682548805</v>
      </c>
      <c r="S78" s="12">
        <f t="shared" si="40"/>
        <v>0</v>
      </c>
      <c r="T78" s="12">
        <f t="shared" si="41"/>
        <v>0</v>
      </c>
      <c r="U78" s="104">
        <f t="shared" si="42"/>
        <v>0</v>
      </c>
      <c r="V78" s="54"/>
      <c r="W78" s="108">
        <f t="shared" si="37"/>
        <v>5.6511169988691989E-2</v>
      </c>
      <c r="X78" s="14">
        <f t="shared" si="38"/>
        <v>22.604467995476742</v>
      </c>
      <c r="Y78" s="111"/>
    </row>
    <row r="79" spans="1:25" x14ac:dyDescent="0.25">
      <c r="A79">
        <v>76</v>
      </c>
      <c r="C79" s="96" t="s">
        <v>65</v>
      </c>
      <c r="E79" s="134"/>
      <c r="F79" s="1">
        <v>32</v>
      </c>
      <c r="G79" s="23" t="s">
        <v>129</v>
      </c>
      <c r="J79" s="11">
        <v>52</v>
      </c>
      <c r="K79">
        <f>References_EDS!$C$18</f>
        <v>324</v>
      </c>
      <c r="L79" s="11">
        <f t="shared" si="34"/>
        <v>16848</v>
      </c>
      <c r="M79" s="11">
        <f t="shared" si="35"/>
        <v>13384.502938337928</v>
      </c>
      <c r="N79" s="12">
        <f>+M79*References_EDS!$C$42</f>
        <v>9.7706871449867077</v>
      </c>
      <c r="O79" s="12">
        <f>+N79/References_EDS!$G$45</f>
        <v>9.971106383290854</v>
      </c>
      <c r="P79" s="12">
        <f t="shared" si="39"/>
        <v>0.19175204583251643</v>
      </c>
      <c r="Q79" s="13">
        <v>26.34</v>
      </c>
      <c r="R79" s="14">
        <f>R25</f>
        <v>26.531752045832516</v>
      </c>
      <c r="S79" s="12">
        <f t="shared" si="40"/>
        <v>0</v>
      </c>
      <c r="T79" s="12">
        <f t="shared" si="41"/>
        <v>0</v>
      </c>
      <c r="U79" s="104">
        <f t="shared" si="42"/>
        <v>0</v>
      </c>
      <c r="V79" s="54"/>
      <c r="W79" s="108">
        <f t="shared" si="37"/>
        <v>6.6495619162484587E-2</v>
      </c>
      <c r="X79" s="14">
        <f t="shared" si="38"/>
        <v>26.598247664995</v>
      </c>
      <c r="Y79" s="111"/>
    </row>
    <row r="80" spans="1:25" x14ac:dyDescent="0.25">
      <c r="A80">
        <v>77</v>
      </c>
      <c r="C80" s="96" t="s">
        <v>65</v>
      </c>
      <c r="E80" s="134"/>
      <c r="F80" s="1">
        <v>32</v>
      </c>
      <c r="G80" s="23" t="s">
        <v>130</v>
      </c>
      <c r="J80" s="11">
        <v>52</v>
      </c>
      <c r="K80">
        <f>References_EDS!$C$18</f>
        <v>324</v>
      </c>
      <c r="L80" s="11">
        <f t="shared" si="34"/>
        <v>16848</v>
      </c>
      <c r="M80" s="11">
        <f t="shared" si="35"/>
        <v>13384.502938337928</v>
      </c>
      <c r="N80" s="12">
        <f>+M80*References_EDS!$C$42</f>
        <v>9.7706871449867077</v>
      </c>
      <c r="O80" s="12">
        <f>+N80/References_EDS!$G$45</f>
        <v>9.971106383290854</v>
      </c>
      <c r="P80" s="12">
        <f t="shared" si="39"/>
        <v>0.19175204583251643</v>
      </c>
      <c r="Q80" s="13">
        <v>26.34</v>
      </c>
      <c r="R80" s="14">
        <f t="shared" ref="R80:R82" si="45">P80+Q80</f>
        <v>26.531752045832516</v>
      </c>
      <c r="S80" s="12">
        <f t="shared" si="40"/>
        <v>0</v>
      </c>
      <c r="T80" s="12">
        <f t="shared" si="41"/>
        <v>0</v>
      </c>
      <c r="U80" s="104">
        <f t="shared" si="42"/>
        <v>0</v>
      </c>
      <c r="V80" s="54"/>
      <c r="W80" s="108">
        <f t="shared" si="37"/>
        <v>6.6495619162484587E-2</v>
      </c>
      <c r="X80" s="14">
        <f t="shared" si="38"/>
        <v>26.598247664995</v>
      </c>
      <c r="Y80" s="111"/>
    </row>
    <row r="81" spans="1:25" x14ac:dyDescent="0.25">
      <c r="A81">
        <v>78</v>
      </c>
      <c r="C81" s="96" t="s">
        <v>73</v>
      </c>
      <c r="E81" s="134"/>
      <c r="F81" s="1">
        <v>32</v>
      </c>
      <c r="G81" s="23" t="s">
        <v>131</v>
      </c>
      <c r="J81" s="11">
        <v>52</v>
      </c>
      <c r="K81">
        <f>References_EDS!C19</f>
        <v>473</v>
      </c>
      <c r="L81" s="11">
        <f t="shared" si="34"/>
        <v>24596</v>
      </c>
      <c r="M81" s="11">
        <f t="shared" si="35"/>
        <v>19539.721882203212</v>
      </c>
      <c r="N81" s="12">
        <f>+M81*References_EDS!$C$42</f>
        <v>14.263996974008373</v>
      </c>
      <c r="O81" s="12">
        <f>+N81/References_EDS!$G$45</f>
        <v>14.556584318816586</v>
      </c>
      <c r="P81" s="12">
        <f t="shared" si="39"/>
        <v>0.2799343138233959</v>
      </c>
      <c r="Q81" s="13">
        <v>31.73</v>
      </c>
      <c r="R81" s="14">
        <f t="shared" si="45"/>
        <v>32.009934313823393</v>
      </c>
      <c r="S81" s="12">
        <f t="shared" si="40"/>
        <v>0</v>
      </c>
      <c r="T81" s="12">
        <f t="shared" si="41"/>
        <v>0</v>
      </c>
      <c r="U81" s="104">
        <f t="shared" si="42"/>
        <v>0</v>
      </c>
      <c r="V81" s="54"/>
      <c r="W81" s="108">
        <f t="shared" si="37"/>
        <v>8.0225399282760179E-2</v>
      </c>
      <c r="X81" s="14">
        <f t="shared" si="38"/>
        <v>32.090159713106154</v>
      </c>
      <c r="Y81" s="111"/>
    </row>
    <row r="82" spans="1:25" x14ac:dyDescent="0.25">
      <c r="A82">
        <v>79</v>
      </c>
      <c r="C82" s="96" t="s">
        <v>81</v>
      </c>
      <c r="E82" s="134"/>
      <c r="F82" s="1">
        <v>32</v>
      </c>
      <c r="G82" s="23" t="s">
        <v>132</v>
      </c>
      <c r="J82" s="11">
        <v>26</v>
      </c>
      <c r="K82">
        <f>References_EDS!C20</f>
        <v>613</v>
      </c>
      <c r="L82" s="11">
        <f t="shared" si="34"/>
        <v>15938</v>
      </c>
      <c r="M82" s="11">
        <f t="shared" si="35"/>
        <v>12661.574538890663</v>
      </c>
      <c r="N82" s="12">
        <f>+M82*References_EDS!$C$42</f>
        <v>9.2429494133902033</v>
      </c>
      <c r="O82" s="12">
        <f>+N82/References_EDS!$G$45</f>
        <v>9.4325435385143415</v>
      </c>
      <c r="P82" s="12">
        <f t="shared" si="39"/>
        <v>0.36279013609670546</v>
      </c>
      <c r="Q82" s="13">
        <v>37.1</v>
      </c>
      <c r="R82" s="14">
        <f t="shared" si="45"/>
        <v>37.462790136096707</v>
      </c>
      <c r="S82" s="12">
        <f t="shared" si="40"/>
        <v>0</v>
      </c>
      <c r="T82" s="12">
        <f t="shared" si="41"/>
        <v>0</v>
      </c>
      <c r="U82" s="104">
        <f t="shared" si="42"/>
        <v>0</v>
      </c>
      <c r="V82" s="54"/>
      <c r="W82" s="108">
        <f t="shared" si="37"/>
        <v>9.3891704601745118E-2</v>
      </c>
      <c r="X82" s="14">
        <f t="shared" si="38"/>
        <v>37.556681840698452</v>
      </c>
      <c r="Y82" s="111"/>
    </row>
    <row r="83" spans="1:25" x14ac:dyDescent="0.25">
      <c r="A83">
        <v>80</v>
      </c>
      <c r="C83" s="96" t="s">
        <v>89</v>
      </c>
      <c r="E83" s="134"/>
      <c r="F83" s="1">
        <v>32</v>
      </c>
      <c r="G83" s="23" t="s">
        <v>133</v>
      </c>
      <c r="J83" s="11">
        <v>26</v>
      </c>
      <c r="K83">
        <f>References_EDS!$C$21</f>
        <v>840</v>
      </c>
      <c r="L83" s="11">
        <f t="shared" si="34"/>
        <v>21840</v>
      </c>
      <c r="M83" s="11">
        <f t="shared" si="35"/>
        <v>17350.281586734352</v>
      </c>
      <c r="N83" s="12">
        <f>+M83*References_EDS!$C$42</f>
        <v>12.665705558316104</v>
      </c>
      <c r="O83" s="12">
        <f>+N83/References_EDS!$G$45</f>
        <v>12.925508274636293</v>
      </c>
      <c r="P83" s="12">
        <f t="shared" si="39"/>
        <v>0.49713493363985745</v>
      </c>
      <c r="Q83" s="13">
        <v>66.75</v>
      </c>
      <c r="R83" s="14">
        <f>R38+22.56</f>
        <v>67.247134933639856</v>
      </c>
      <c r="S83" s="12">
        <f t="shared" si="40"/>
        <v>0</v>
      </c>
      <c r="T83" s="12">
        <f t="shared" si="41"/>
        <v>0</v>
      </c>
      <c r="U83" s="104">
        <f t="shared" si="42"/>
        <v>0</v>
      </c>
      <c r="V83" s="54"/>
      <c r="W83" s="108">
        <f t="shared" si="37"/>
        <v>0.16853918529733392</v>
      </c>
      <c r="X83" s="14">
        <f>X38+22.56</f>
        <v>67.359132765553738</v>
      </c>
      <c r="Y83" s="111"/>
    </row>
    <row r="84" spans="1:25" x14ac:dyDescent="0.25">
      <c r="A84">
        <v>81</v>
      </c>
      <c r="C84" s="96" t="s">
        <v>89</v>
      </c>
      <c r="E84" s="134"/>
      <c r="F84" s="1">
        <v>32</v>
      </c>
      <c r="G84" s="23" t="s">
        <v>134</v>
      </c>
      <c r="J84" s="11">
        <v>26</v>
      </c>
      <c r="K84">
        <f>References_EDS!$C$21</f>
        <v>840</v>
      </c>
      <c r="L84" s="11">
        <f t="shared" si="34"/>
        <v>21840</v>
      </c>
      <c r="M84" s="11">
        <f t="shared" si="35"/>
        <v>17350.281586734352</v>
      </c>
      <c r="N84" s="12">
        <f>+M84*References_EDS!$C$42</f>
        <v>12.665705558316104</v>
      </c>
      <c r="O84" s="12">
        <f>+N84/References_EDS!$G$45</f>
        <v>12.925508274636293</v>
      </c>
      <c r="P84" s="12">
        <f t="shared" si="39"/>
        <v>0.49713493363985745</v>
      </c>
      <c r="Q84" s="13">
        <v>44.19</v>
      </c>
      <c r="R84" s="14">
        <f t="shared" ref="R84" si="46">P84+Q84</f>
        <v>44.687134933639854</v>
      </c>
      <c r="S84" s="12">
        <f t="shared" si="40"/>
        <v>0</v>
      </c>
      <c r="T84" s="12">
        <f t="shared" si="41"/>
        <v>0</v>
      </c>
      <c r="U84" s="104">
        <f t="shared" si="42"/>
        <v>0</v>
      </c>
      <c r="V84" s="54"/>
      <c r="W84" s="108">
        <f t="shared" si="37"/>
        <v>0.11199783191388235</v>
      </c>
      <c r="X84" s="14">
        <f t="shared" si="38"/>
        <v>44.799132765553736</v>
      </c>
      <c r="Y84" s="111"/>
    </row>
    <row r="85" spans="1:25" x14ac:dyDescent="0.25">
      <c r="A85">
        <v>82</v>
      </c>
      <c r="C85" s="96" t="s">
        <v>95</v>
      </c>
      <c r="E85" s="134"/>
      <c r="F85" s="1">
        <v>32</v>
      </c>
      <c r="G85" s="23" t="s">
        <v>135</v>
      </c>
      <c r="J85" s="11">
        <v>26</v>
      </c>
      <c r="K85">
        <f>References_EDS!$C$22</f>
        <v>980</v>
      </c>
      <c r="L85" s="11">
        <f t="shared" si="34"/>
        <v>25480</v>
      </c>
      <c r="M85" s="11">
        <f t="shared" si="35"/>
        <v>20241.99518452341</v>
      </c>
      <c r="N85" s="12">
        <f>+M85*References_EDS!$C$42</f>
        <v>14.776656484702119</v>
      </c>
      <c r="O85" s="12">
        <f>+N85/References_EDS!$G$45</f>
        <v>15.079759653742341</v>
      </c>
      <c r="P85" s="12">
        <f t="shared" si="39"/>
        <v>0.57999075591316696</v>
      </c>
      <c r="Q85" s="13">
        <v>76.62</v>
      </c>
      <c r="R85" s="14">
        <f>R41+22.56</f>
        <v>77.199990755913163</v>
      </c>
      <c r="S85" s="12">
        <f t="shared" si="40"/>
        <v>0</v>
      </c>
      <c r="T85" s="12">
        <f t="shared" si="41"/>
        <v>0</v>
      </c>
      <c r="U85" s="104">
        <f t="shared" si="42"/>
        <v>0</v>
      </c>
      <c r="V85" s="54"/>
      <c r="W85" s="108">
        <f t="shared" si="37"/>
        <v>0.19348368610503996</v>
      </c>
      <c r="X85" s="14">
        <f>X41+22.56</f>
        <v>77.336933088634751</v>
      </c>
      <c r="Y85" s="111"/>
    </row>
    <row r="86" spans="1:25" x14ac:dyDescent="0.25">
      <c r="A86">
        <v>83</v>
      </c>
      <c r="C86" s="96" t="s">
        <v>95</v>
      </c>
      <c r="E86" s="134"/>
      <c r="F86" s="1">
        <v>32</v>
      </c>
      <c r="G86" s="23" t="s">
        <v>136</v>
      </c>
      <c r="J86" s="11">
        <v>26</v>
      </c>
      <c r="K86">
        <f>References_EDS!$C$22</f>
        <v>980</v>
      </c>
      <c r="L86" s="11">
        <f t="shared" si="34"/>
        <v>25480</v>
      </c>
      <c r="M86" s="11">
        <f t="shared" si="35"/>
        <v>20241.99518452341</v>
      </c>
      <c r="N86" s="12">
        <f>+M86*References_EDS!$C$42</f>
        <v>14.776656484702119</v>
      </c>
      <c r="O86" s="12">
        <f>+N86/References_EDS!$G$45</f>
        <v>15.079759653742341</v>
      </c>
      <c r="P86" s="12">
        <f t="shared" si="39"/>
        <v>0.57999075591316696</v>
      </c>
      <c r="Q86" s="13">
        <v>54.06</v>
      </c>
      <c r="R86" s="14">
        <f t="shared" ref="R86" si="47">P86+Q86</f>
        <v>54.639990755913168</v>
      </c>
      <c r="S86" s="12">
        <f t="shared" si="40"/>
        <v>0</v>
      </c>
      <c r="T86" s="12">
        <f t="shared" si="41"/>
        <v>0</v>
      </c>
      <c r="U86" s="104">
        <f t="shared" si="42"/>
        <v>0</v>
      </c>
      <c r="V86" s="54"/>
      <c r="W86" s="108">
        <f t="shared" si="37"/>
        <v>0.13694233272158129</v>
      </c>
      <c r="X86" s="14">
        <f t="shared" si="38"/>
        <v>54.776933088634749</v>
      </c>
      <c r="Y86" s="111"/>
    </row>
    <row r="87" spans="1:25" x14ac:dyDescent="0.25">
      <c r="A87">
        <v>84</v>
      </c>
      <c r="C87" s="96" t="s">
        <v>101</v>
      </c>
      <c r="E87" s="134"/>
      <c r="F87" s="1">
        <v>33</v>
      </c>
      <c r="G87" s="23" t="s">
        <v>137</v>
      </c>
      <c r="J87" s="11">
        <v>52</v>
      </c>
      <c r="K87">
        <f>References_EDS!C15</f>
        <v>29</v>
      </c>
      <c r="L87" s="11">
        <f t="shared" si="34"/>
        <v>1508</v>
      </c>
      <c r="M87" s="11">
        <f t="shared" si="35"/>
        <v>1197.9956333697528</v>
      </c>
      <c r="N87" s="12">
        <f>+M87*References_EDS!$C$42</f>
        <v>0.87453681235992131</v>
      </c>
      <c r="O87" s="12">
        <f>+N87/References_EDS!$G$45</f>
        <v>0.8924755713439344</v>
      </c>
      <c r="P87" s="12">
        <f t="shared" si="39"/>
        <v>1.7162991756614124E-2</v>
      </c>
      <c r="Q87" s="13">
        <v>3.23</v>
      </c>
      <c r="R87" s="14">
        <f t="shared" ref="R87:R90" si="48">P87+Q87</f>
        <v>3.247162991756614</v>
      </c>
      <c r="S87" s="12">
        <f t="shared" si="40"/>
        <v>0</v>
      </c>
      <c r="T87" s="12">
        <f t="shared" si="41"/>
        <v>0</v>
      </c>
      <c r="U87" s="104">
        <f t="shared" si="42"/>
        <v>0</v>
      </c>
      <c r="V87" s="54"/>
      <c r="W87" s="108">
        <f t="shared" si="37"/>
        <v>8.1382531121718671E-3</v>
      </c>
      <c r="X87" s="14">
        <f t="shared" si="38"/>
        <v>3.2553012448687859</v>
      </c>
      <c r="Y87" s="111"/>
    </row>
    <row r="88" spans="1:25" x14ac:dyDescent="0.25">
      <c r="A88">
        <v>85</v>
      </c>
      <c r="C88" s="96" t="s">
        <v>101</v>
      </c>
      <c r="E88" s="134"/>
      <c r="F88" s="1">
        <v>33</v>
      </c>
      <c r="G88" s="23" t="s">
        <v>138</v>
      </c>
      <c r="J88" s="11">
        <v>52</v>
      </c>
      <c r="K88">
        <f>References_EDS!C15</f>
        <v>29</v>
      </c>
      <c r="L88" s="11">
        <f t="shared" si="34"/>
        <v>1508</v>
      </c>
      <c r="M88" s="11">
        <f t="shared" si="35"/>
        <v>1197.9956333697528</v>
      </c>
      <c r="N88" s="12">
        <f>+M88*References_EDS!$C$42</f>
        <v>0.87453681235992131</v>
      </c>
      <c r="O88" s="12">
        <f>+N88/References_EDS!$G$45</f>
        <v>0.8924755713439344</v>
      </c>
      <c r="P88" s="12">
        <f t="shared" si="39"/>
        <v>1.7162991756614124E-2</v>
      </c>
      <c r="Q88" s="13">
        <v>13.26</v>
      </c>
      <c r="R88" s="14">
        <f>R87+10.03</f>
        <v>13.277162991756613</v>
      </c>
      <c r="S88" s="12">
        <f t="shared" si="40"/>
        <v>0</v>
      </c>
      <c r="T88" s="12">
        <f t="shared" si="41"/>
        <v>0</v>
      </c>
      <c r="U88" s="104">
        <f t="shared" si="42"/>
        <v>0</v>
      </c>
      <c r="V88" s="54"/>
      <c r="W88" s="108">
        <f t="shared" si="37"/>
        <v>3.3276097723700104E-2</v>
      </c>
      <c r="X88" s="14">
        <f>X87+10.03</f>
        <v>13.285301244868785</v>
      </c>
      <c r="Y88" s="111"/>
    </row>
    <row r="89" spans="1:25" x14ac:dyDescent="0.25">
      <c r="A89">
        <v>86</v>
      </c>
      <c r="C89" s="102" t="s">
        <v>139</v>
      </c>
      <c r="E89" s="35"/>
      <c r="F89" s="1">
        <v>34</v>
      </c>
      <c r="G89" s="23" t="s">
        <v>140</v>
      </c>
      <c r="J89" s="11">
        <v>52</v>
      </c>
      <c r="K89">
        <f>References_EDS!$C$24</f>
        <v>689</v>
      </c>
      <c r="L89" s="11">
        <f t="shared" si="34"/>
        <v>35828</v>
      </c>
      <c r="M89" s="11">
        <f t="shared" si="35"/>
        <v>28462.723841095165</v>
      </c>
      <c r="N89" s="12">
        <f>+M89*References_EDS!$C$42</f>
        <v>20.777788403999512</v>
      </c>
      <c r="O89" s="12">
        <f>+N89/References_EDS!$G$45</f>
        <v>21.203988574343825</v>
      </c>
      <c r="P89" s="12">
        <f t="shared" si="39"/>
        <v>0.40776901104507357</v>
      </c>
      <c r="Q89" s="13">
        <v>29.79</v>
      </c>
      <c r="R89" s="14">
        <f t="shared" si="48"/>
        <v>30.197769011045072</v>
      </c>
      <c r="S89" s="12">
        <f t="shared" si="40"/>
        <v>0</v>
      </c>
      <c r="T89" s="12">
        <f t="shared" si="41"/>
        <v>0</v>
      </c>
      <c r="U89" s="104">
        <f t="shared" si="42"/>
        <v>0</v>
      </c>
      <c r="V89" s="54"/>
      <c r="W89" s="108">
        <f t="shared" si="37"/>
        <v>7.5683631606626278E-2</v>
      </c>
      <c r="X89" s="14">
        <f t="shared" si="38"/>
        <v>30.273452642651698</v>
      </c>
      <c r="Y89" s="111"/>
    </row>
    <row r="90" spans="1:25" x14ac:dyDescent="0.25">
      <c r="A90">
        <v>87</v>
      </c>
      <c r="C90" s="102" t="s">
        <v>139</v>
      </c>
      <c r="E90" s="35"/>
      <c r="F90" s="1">
        <v>34</v>
      </c>
      <c r="G90" s="23" t="s">
        <v>141</v>
      </c>
      <c r="J90" s="11">
        <v>52</v>
      </c>
      <c r="K90">
        <f>References_EDS!$C$24</f>
        <v>689</v>
      </c>
      <c r="L90" s="11">
        <f t="shared" si="34"/>
        <v>35828</v>
      </c>
      <c r="M90" s="11">
        <f t="shared" si="35"/>
        <v>28462.723841095165</v>
      </c>
      <c r="N90" s="12">
        <f>+M90*References_EDS!$C$42</f>
        <v>20.777788403999512</v>
      </c>
      <c r="O90" s="12">
        <f>+N90/References_EDS!$G$45</f>
        <v>21.203988574343825</v>
      </c>
      <c r="P90" s="12">
        <f t="shared" si="39"/>
        <v>0.40776901104507357</v>
      </c>
      <c r="Q90" s="13">
        <v>29.79</v>
      </c>
      <c r="R90" s="14">
        <f t="shared" si="48"/>
        <v>30.197769011045072</v>
      </c>
      <c r="S90" s="12">
        <f t="shared" si="40"/>
        <v>0</v>
      </c>
      <c r="T90" s="12">
        <f t="shared" si="41"/>
        <v>0</v>
      </c>
      <c r="U90" s="104">
        <f t="shared" si="42"/>
        <v>0</v>
      </c>
      <c r="V90" s="54"/>
      <c r="W90" s="108">
        <f t="shared" si="37"/>
        <v>7.5683631606626278E-2</v>
      </c>
      <c r="X90" s="14">
        <f t="shared" si="38"/>
        <v>30.273452642651698</v>
      </c>
      <c r="Y90" s="111"/>
    </row>
    <row r="91" spans="1:25" x14ac:dyDescent="0.25">
      <c r="A91">
        <v>88</v>
      </c>
      <c r="C91" s="102" t="s">
        <v>139</v>
      </c>
      <c r="E91" s="35"/>
      <c r="F91" s="1">
        <v>34</v>
      </c>
      <c r="G91" s="23" t="s">
        <v>142</v>
      </c>
      <c r="J91" s="11">
        <v>52</v>
      </c>
      <c r="K91">
        <f>References_EDS!$C$24</f>
        <v>689</v>
      </c>
      <c r="L91" s="11">
        <f t="shared" si="34"/>
        <v>35828</v>
      </c>
      <c r="M91" s="11">
        <f t="shared" si="35"/>
        <v>28462.723841095165</v>
      </c>
      <c r="N91" s="12">
        <f>+M91*References_EDS!$C$42</f>
        <v>20.777788403999512</v>
      </c>
      <c r="O91" s="12">
        <f>+N91/References_EDS!$G$45</f>
        <v>21.203988574343825</v>
      </c>
      <c r="P91" s="12">
        <f t="shared" si="39"/>
        <v>0.40776901104507357</v>
      </c>
      <c r="Q91" s="13">
        <v>52.35</v>
      </c>
      <c r="R91" s="14">
        <f>R90+22.56</f>
        <v>52.75776901104507</v>
      </c>
      <c r="S91" s="12">
        <f t="shared" si="40"/>
        <v>0</v>
      </c>
      <c r="T91" s="12">
        <f t="shared" si="41"/>
        <v>0</v>
      </c>
      <c r="U91" s="104">
        <f t="shared" si="42"/>
        <v>0</v>
      </c>
      <c r="V91" s="54"/>
      <c r="W91" s="108">
        <f t="shared" si="37"/>
        <v>0.1322249849900885</v>
      </c>
      <c r="X91" s="14">
        <f>X90+22.56</f>
        <v>52.833452642651693</v>
      </c>
      <c r="Y91" s="111"/>
    </row>
    <row r="92" spans="1:25" x14ac:dyDescent="0.25">
      <c r="A92">
        <v>89</v>
      </c>
      <c r="C92" s="102" t="s">
        <v>143</v>
      </c>
      <c r="E92" s="35"/>
      <c r="F92" s="1">
        <v>34</v>
      </c>
      <c r="G92" s="23" t="s">
        <v>144</v>
      </c>
      <c r="J92" s="11">
        <v>52</v>
      </c>
      <c r="K92">
        <f>References_EDS!$C$25</f>
        <v>892</v>
      </c>
      <c r="L92" s="11">
        <f t="shared" si="34"/>
        <v>46384</v>
      </c>
      <c r="M92" s="11">
        <f t="shared" si="35"/>
        <v>36848.693274683435</v>
      </c>
      <c r="N92" s="12">
        <f>+M92*References_EDS!$C$42</f>
        <v>26.899546090518964</v>
      </c>
      <c r="O92" s="12">
        <f>+N92/References_EDS!$G$45</f>
        <v>27.451317573751368</v>
      </c>
      <c r="P92" s="12">
        <f t="shared" si="39"/>
        <v>0.52790995334137247</v>
      </c>
      <c r="Q92" s="13">
        <v>41.16</v>
      </c>
      <c r="R92" s="14">
        <f t="shared" ref="R92:R93" si="49">P92+Q92</f>
        <v>41.687909953341368</v>
      </c>
      <c r="S92" s="12">
        <f t="shared" si="40"/>
        <v>0</v>
      </c>
      <c r="T92" s="12">
        <f t="shared" si="41"/>
        <v>0</v>
      </c>
      <c r="U92" s="104">
        <f t="shared" si="42"/>
        <v>0</v>
      </c>
      <c r="V92" s="54"/>
      <c r="W92" s="108">
        <f t="shared" si="37"/>
        <v>0.10448097732666639</v>
      </c>
      <c r="X92" s="14">
        <f t="shared" si="38"/>
        <v>41.792390930668034</v>
      </c>
      <c r="Y92" s="111"/>
    </row>
    <row r="93" spans="1:25" x14ac:dyDescent="0.25">
      <c r="A93">
        <v>90</v>
      </c>
      <c r="C93" s="102" t="s">
        <v>143</v>
      </c>
      <c r="E93" s="35"/>
      <c r="F93" s="1">
        <v>34</v>
      </c>
      <c r="G93" s="23" t="s">
        <v>145</v>
      </c>
      <c r="J93" s="11">
        <v>52</v>
      </c>
      <c r="K93">
        <f>References_EDS!$C$25</f>
        <v>892</v>
      </c>
      <c r="L93" s="11">
        <f t="shared" si="34"/>
        <v>46384</v>
      </c>
      <c r="M93" s="11">
        <f t="shared" si="35"/>
        <v>36848.693274683435</v>
      </c>
      <c r="N93" s="12">
        <f>+M93*References_EDS!$C$42</f>
        <v>26.899546090518964</v>
      </c>
      <c r="O93" s="12">
        <f>+N93/References_EDS!$G$45</f>
        <v>27.451317573751368</v>
      </c>
      <c r="P93" s="12">
        <f t="shared" si="39"/>
        <v>0.52790995334137247</v>
      </c>
      <c r="Q93" s="13">
        <v>41.16</v>
      </c>
      <c r="R93" s="14">
        <f t="shared" si="49"/>
        <v>41.687909953341368</v>
      </c>
      <c r="S93" s="12">
        <f t="shared" si="40"/>
        <v>0</v>
      </c>
      <c r="T93" s="12">
        <f t="shared" si="41"/>
        <v>0</v>
      </c>
      <c r="U93" s="104">
        <f t="shared" si="42"/>
        <v>0</v>
      </c>
      <c r="V93" s="54"/>
      <c r="W93" s="108">
        <f t="shared" si="37"/>
        <v>0.10448097732666639</v>
      </c>
      <c r="X93" s="14">
        <f t="shared" si="38"/>
        <v>41.792390930668034</v>
      </c>
      <c r="Y93" s="111"/>
    </row>
    <row r="94" spans="1:25" x14ac:dyDescent="0.25">
      <c r="A94">
        <v>91</v>
      </c>
      <c r="C94" s="102" t="s">
        <v>143</v>
      </c>
      <c r="E94" s="35"/>
      <c r="F94" s="1">
        <v>34</v>
      </c>
      <c r="G94" s="23" t="s">
        <v>146</v>
      </c>
      <c r="J94" s="11">
        <v>52</v>
      </c>
      <c r="K94">
        <f>References_EDS!$C$25</f>
        <v>892</v>
      </c>
      <c r="L94" s="11">
        <f t="shared" si="34"/>
        <v>46384</v>
      </c>
      <c r="M94" s="11">
        <f t="shared" si="35"/>
        <v>36848.693274683435</v>
      </c>
      <c r="N94" s="12">
        <f>+M94*References_EDS!$C$42</f>
        <v>26.899546090518964</v>
      </c>
      <c r="O94" s="12">
        <f>+N94/References_EDS!$G$45</f>
        <v>27.451317573751368</v>
      </c>
      <c r="P94" s="12">
        <f t="shared" si="39"/>
        <v>0.52790995334137247</v>
      </c>
      <c r="Q94" s="13">
        <v>63.72</v>
      </c>
      <c r="R94" s="14">
        <f>R93+22.56</f>
        <v>64.247909953341363</v>
      </c>
      <c r="S94" s="12">
        <f t="shared" si="40"/>
        <v>0</v>
      </c>
      <c r="T94" s="12">
        <f t="shared" si="41"/>
        <v>0</v>
      </c>
      <c r="U94" s="104">
        <f t="shared" si="42"/>
        <v>0</v>
      </c>
      <c r="V94" s="54"/>
      <c r="W94" s="108">
        <f t="shared" si="37"/>
        <v>0.16102233071012506</v>
      </c>
      <c r="X94" s="14">
        <f>X93+22.56</f>
        <v>64.352390930668037</v>
      </c>
      <c r="Y94" s="111"/>
    </row>
    <row r="95" spans="1:25" x14ac:dyDescent="0.25">
      <c r="A95">
        <v>92</v>
      </c>
      <c r="C95" s="102" t="s">
        <v>147</v>
      </c>
      <c r="E95" s="35"/>
      <c r="F95" s="1">
        <v>34</v>
      </c>
      <c r="G95" s="23" t="s">
        <v>148</v>
      </c>
      <c r="J95" s="11">
        <v>52</v>
      </c>
      <c r="K95">
        <f>References_EDS!$C$26</f>
        <v>1301</v>
      </c>
      <c r="L95" s="11">
        <f t="shared" si="34"/>
        <v>67652</v>
      </c>
      <c r="M95" s="11">
        <f t="shared" si="35"/>
        <v>53744.562724622359</v>
      </c>
      <c r="N95" s="12">
        <f>+M95*References_EDS!$C$42</f>
        <v>39.233530788974399</v>
      </c>
      <c r="O95" s="12">
        <f>+N95/References_EDS!$G$45</f>
        <v>40.038300631670985</v>
      </c>
      <c r="P95" s="12">
        <f t="shared" si="39"/>
        <v>0.76996731983982669</v>
      </c>
      <c r="Q95" s="13">
        <v>54.07</v>
      </c>
      <c r="R95" s="14">
        <f t="shared" ref="R95:R96" si="50">P95+Q95</f>
        <v>54.839967319839829</v>
      </c>
      <c r="S95" s="12">
        <f t="shared" si="40"/>
        <v>0</v>
      </c>
      <c r="T95" s="12">
        <f t="shared" si="41"/>
        <v>0</v>
      </c>
      <c r="U95" s="104">
        <f t="shared" si="42"/>
        <v>0</v>
      </c>
      <c r="V95" s="54"/>
      <c r="W95" s="108">
        <f t="shared" si="37"/>
        <v>0.13744352711739083</v>
      </c>
      <c r="X95" s="14">
        <f t="shared" si="38"/>
        <v>54.97741084695722</v>
      </c>
      <c r="Y95" s="111"/>
    </row>
    <row r="96" spans="1:25" x14ac:dyDescent="0.25">
      <c r="A96">
        <v>93</v>
      </c>
      <c r="C96" s="102" t="s">
        <v>147</v>
      </c>
      <c r="E96" s="35"/>
      <c r="F96" s="1">
        <v>34</v>
      </c>
      <c r="G96" s="23" t="s">
        <v>149</v>
      </c>
      <c r="J96" s="11">
        <v>52</v>
      </c>
      <c r="K96">
        <f>References_EDS!$C$26</f>
        <v>1301</v>
      </c>
      <c r="L96" s="11">
        <f t="shared" si="34"/>
        <v>67652</v>
      </c>
      <c r="M96" s="11">
        <f t="shared" si="35"/>
        <v>53744.562724622359</v>
      </c>
      <c r="N96" s="12">
        <f>+M96*References_EDS!$C$42</f>
        <v>39.233530788974399</v>
      </c>
      <c r="O96" s="12">
        <f>+N96/References_EDS!$G$45</f>
        <v>40.038300631670985</v>
      </c>
      <c r="P96" s="12">
        <f t="shared" si="39"/>
        <v>0.76996731983982669</v>
      </c>
      <c r="Q96" s="13">
        <v>54.07</v>
      </c>
      <c r="R96" s="14">
        <f t="shared" si="50"/>
        <v>54.839967319839829</v>
      </c>
      <c r="S96" s="12">
        <f t="shared" si="40"/>
        <v>0</v>
      </c>
      <c r="T96" s="12">
        <f t="shared" si="41"/>
        <v>0</v>
      </c>
      <c r="U96" s="104">
        <f t="shared" si="42"/>
        <v>0</v>
      </c>
      <c r="V96" s="54"/>
      <c r="W96" s="108">
        <f t="shared" si="37"/>
        <v>0.13744352711739083</v>
      </c>
      <c r="X96" s="14">
        <f t="shared" si="38"/>
        <v>54.97741084695722</v>
      </c>
      <c r="Y96" s="111"/>
    </row>
    <row r="97" spans="1:25" x14ac:dyDescent="0.25">
      <c r="A97">
        <v>94</v>
      </c>
      <c r="C97" s="102" t="s">
        <v>147</v>
      </c>
      <c r="E97" s="35"/>
      <c r="F97" s="1">
        <v>34</v>
      </c>
      <c r="G97" s="23" t="s">
        <v>150</v>
      </c>
      <c r="J97" s="11">
        <v>52</v>
      </c>
      <c r="K97">
        <f>References_EDS!$C$26</f>
        <v>1301</v>
      </c>
      <c r="L97" s="11">
        <f t="shared" si="34"/>
        <v>67652</v>
      </c>
      <c r="M97" s="11">
        <f t="shared" si="35"/>
        <v>53744.562724622359</v>
      </c>
      <c r="N97" s="12">
        <f>+M97*References_EDS!$C$42</f>
        <v>39.233530788974399</v>
      </c>
      <c r="O97" s="12">
        <f>+N97/References_EDS!$G$45</f>
        <v>40.038300631670985</v>
      </c>
      <c r="P97" s="12">
        <f t="shared" si="39"/>
        <v>0.76996731983982669</v>
      </c>
      <c r="Q97" s="13">
        <v>76.63</v>
      </c>
      <c r="R97" s="14">
        <f>R96+22.56</f>
        <v>77.399967319839831</v>
      </c>
      <c r="S97" s="12">
        <f t="shared" si="40"/>
        <v>0</v>
      </c>
      <c r="T97" s="12">
        <f t="shared" si="41"/>
        <v>0</v>
      </c>
      <c r="U97" s="104">
        <f t="shared" si="42"/>
        <v>0</v>
      </c>
      <c r="V97" s="54"/>
      <c r="W97" s="108">
        <f t="shared" si="37"/>
        <v>0.1939848805008495</v>
      </c>
      <c r="X97" s="14">
        <f>X96+22.56</f>
        <v>77.537410846957215</v>
      </c>
      <c r="Y97" s="111"/>
    </row>
    <row r="98" spans="1:25" x14ac:dyDescent="0.25">
      <c r="A98">
        <v>95</v>
      </c>
      <c r="C98" s="102" t="s">
        <v>151</v>
      </c>
      <c r="E98" s="35"/>
      <c r="F98" s="1">
        <v>34</v>
      </c>
      <c r="G98" s="23" t="s">
        <v>152</v>
      </c>
      <c r="J98" s="11">
        <v>52</v>
      </c>
      <c r="K98">
        <f>References_EDS!$C$27</f>
        <v>1686</v>
      </c>
      <c r="L98" s="11">
        <f t="shared" si="34"/>
        <v>87672</v>
      </c>
      <c r="M98" s="11">
        <f t="shared" si="35"/>
        <v>69648.98751246219</v>
      </c>
      <c r="N98" s="12">
        <f>+M98*References_EDS!$C$42</f>
        <v>50.843760884097499</v>
      </c>
      <c r="O98" s="12">
        <f>+N98/References_EDS!$G$45</f>
        <v>51.886683216754257</v>
      </c>
      <c r="P98" s="12">
        <f t="shared" si="39"/>
        <v>0.99782083109142805</v>
      </c>
      <c r="Q98" s="13">
        <v>78.2</v>
      </c>
      <c r="R98" s="14">
        <f t="shared" ref="R98:R99" si="51">P98+Q98</f>
        <v>79.197820831091434</v>
      </c>
      <c r="S98" s="12">
        <f t="shared" si="40"/>
        <v>0</v>
      </c>
      <c r="T98" s="12">
        <f t="shared" si="41"/>
        <v>0</v>
      </c>
      <c r="U98" s="104">
        <f t="shared" si="42"/>
        <v>0</v>
      </c>
      <c r="V98" s="54"/>
      <c r="W98" s="108">
        <f t="shared" si="37"/>
        <v>0.19849077902529189</v>
      </c>
      <c r="X98" s="14">
        <f t="shared" si="38"/>
        <v>79.396311610116726</v>
      </c>
      <c r="Y98" s="111"/>
    </row>
    <row r="99" spans="1:25" x14ac:dyDescent="0.25">
      <c r="A99">
        <v>96</v>
      </c>
      <c r="C99" s="102" t="s">
        <v>151</v>
      </c>
      <c r="E99" s="35"/>
      <c r="F99" s="1">
        <v>34</v>
      </c>
      <c r="G99" s="23" t="s">
        <v>153</v>
      </c>
      <c r="J99" s="11">
        <v>52</v>
      </c>
      <c r="K99">
        <f>References_EDS!$C$27</f>
        <v>1686</v>
      </c>
      <c r="L99" s="11">
        <f t="shared" si="34"/>
        <v>87672</v>
      </c>
      <c r="M99" s="11">
        <f t="shared" si="35"/>
        <v>69648.98751246219</v>
      </c>
      <c r="N99" s="12">
        <f>+M99*References_EDS!$C$42</f>
        <v>50.843760884097499</v>
      </c>
      <c r="O99" s="12">
        <f>+N99/References_EDS!$G$45</f>
        <v>51.886683216754257</v>
      </c>
      <c r="P99" s="12">
        <f t="shared" si="39"/>
        <v>0.99782083109142805</v>
      </c>
      <c r="Q99" s="13">
        <v>78.2</v>
      </c>
      <c r="R99" s="14">
        <f t="shared" si="51"/>
        <v>79.197820831091434</v>
      </c>
      <c r="S99" s="12">
        <f t="shared" si="40"/>
        <v>0</v>
      </c>
      <c r="T99" s="12">
        <f t="shared" si="41"/>
        <v>0</v>
      </c>
      <c r="U99" s="104">
        <f t="shared" si="42"/>
        <v>0</v>
      </c>
      <c r="V99" s="54"/>
      <c r="W99" s="108">
        <f t="shared" si="37"/>
        <v>0.19849077902529189</v>
      </c>
      <c r="X99" s="14">
        <f t="shared" si="38"/>
        <v>79.396311610116726</v>
      </c>
      <c r="Y99" s="111"/>
    </row>
    <row r="100" spans="1:25" x14ac:dyDescent="0.25">
      <c r="A100">
        <v>97</v>
      </c>
      <c r="C100" s="102" t="s">
        <v>151</v>
      </c>
      <c r="E100" s="35"/>
      <c r="F100" s="1">
        <v>34</v>
      </c>
      <c r="G100" s="23" t="s">
        <v>154</v>
      </c>
      <c r="J100" s="11">
        <v>52</v>
      </c>
      <c r="K100">
        <f>References_EDS!$C$27</f>
        <v>1686</v>
      </c>
      <c r="L100" s="11">
        <f t="shared" si="34"/>
        <v>87672</v>
      </c>
      <c r="M100" s="11">
        <f t="shared" si="35"/>
        <v>69648.98751246219</v>
      </c>
      <c r="N100" s="12">
        <f>+M100*References_EDS!$C$42</f>
        <v>50.843760884097499</v>
      </c>
      <c r="O100" s="12">
        <f>+N100/References_EDS!$G$45</f>
        <v>51.886683216754257</v>
      </c>
      <c r="P100" s="12">
        <f t="shared" si="39"/>
        <v>0.99782083109142805</v>
      </c>
      <c r="Q100" s="13">
        <v>100.76</v>
      </c>
      <c r="R100" s="14">
        <f>R99+22.56</f>
        <v>101.75782083109144</v>
      </c>
      <c r="S100" s="12">
        <f t="shared" si="40"/>
        <v>0</v>
      </c>
      <c r="T100" s="12">
        <f t="shared" si="41"/>
        <v>0</v>
      </c>
      <c r="U100" s="104">
        <f t="shared" si="42"/>
        <v>0</v>
      </c>
      <c r="V100" s="54"/>
      <c r="W100" s="108">
        <f t="shared" si="37"/>
        <v>0.25503213240874345</v>
      </c>
      <c r="X100" s="14">
        <f>X99+22.56</f>
        <v>101.95631161011673</v>
      </c>
      <c r="Y100" s="111"/>
    </row>
    <row r="101" spans="1:25" x14ac:dyDescent="0.25">
      <c r="A101">
        <v>98</v>
      </c>
      <c r="C101" s="102" t="s">
        <v>155</v>
      </c>
      <c r="E101" s="35"/>
      <c r="F101" s="1">
        <v>34</v>
      </c>
      <c r="G101" s="23" t="s">
        <v>156</v>
      </c>
      <c r="J101" s="11">
        <v>52</v>
      </c>
      <c r="K101">
        <f>References_EDS!$C$29</f>
        <v>2310</v>
      </c>
      <c r="L101" s="11">
        <f t="shared" si="34"/>
        <v>120120</v>
      </c>
      <c r="M101" s="11">
        <f t="shared" si="35"/>
        <v>95426.548727038942</v>
      </c>
      <c r="N101" s="12">
        <f>+M101*References_EDS!$C$42</f>
        <v>69.661380570738572</v>
      </c>
      <c r="O101" s="12">
        <f>+N101/References_EDS!$G$45</f>
        <v>71.090295510499615</v>
      </c>
      <c r="P101" s="12">
        <f t="shared" si="39"/>
        <v>1.3671210675096079</v>
      </c>
      <c r="Q101" s="13">
        <v>98.18</v>
      </c>
      <c r="R101" s="14">
        <f t="shared" ref="R101:R102" si="52">P101+Q101</f>
        <v>99.547121067509622</v>
      </c>
      <c r="S101" s="12">
        <f t="shared" si="40"/>
        <v>0</v>
      </c>
      <c r="T101" s="12">
        <f t="shared" si="41"/>
        <v>0</v>
      </c>
      <c r="U101" s="104">
        <f t="shared" si="42"/>
        <v>0</v>
      </c>
      <c r="V101" s="54"/>
      <c r="W101" s="108">
        <f t="shared" si="37"/>
        <v>0.24949153149751169</v>
      </c>
      <c r="X101" s="14">
        <f t="shared" si="38"/>
        <v>99.796612599007133</v>
      </c>
      <c r="Y101" s="111"/>
    </row>
    <row r="102" spans="1:25" x14ac:dyDescent="0.25">
      <c r="A102">
        <v>99</v>
      </c>
      <c r="C102" s="102" t="s">
        <v>155</v>
      </c>
      <c r="E102" s="35"/>
      <c r="F102" s="1">
        <v>34</v>
      </c>
      <c r="G102" s="23" t="s">
        <v>157</v>
      </c>
      <c r="J102" s="11">
        <v>52</v>
      </c>
      <c r="K102">
        <f>References_EDS!$C$29</f>
        <v>2310</v>
      </c>
      <c r="L102" s="11">
        <f t="shared" si="34"/>
        <v>120120</v>
      </c>
      <c r="M102" s="11">
        <f t="shared" si="35"/>
        <v>95426.548727038942</v>
      </c>
      <c r="N102" s="12">
        <f>+M102*References_EDS!$C$42</f>
        <v>69.661380570738572</v>
      </c>
      <c r="O102" s="12">
        <f>+N102/References_EDS!$G$45</f>
        <v>71.090295510499615</v>
      </c>
      <c r="P102" s="12">
        <f t="shared" si="39"/>
        <v>1.3671210675096079</v>
      </c>
      <c r="Q102" s="13">
        <v>98.18</v>
      </c>
      <c r="R102" s="14">
        <f t="shared" si="52"/>
        <v>99.547121067509622</v>
      </c>
      <c r="S102" s="12">
        <f t="shared" si="40"/>
        <v>0</v>
      </c>
      <c r="T102" s="12">
        <f t="shared" si="41"/>
        <v>0</v>
      </c>
      <c r="U102" s="104">
        <f t="shared" si="42"/>
        <v>0</v>
      </c>
      <c r="V102" s="54"/>
      <c r="W102" s="108">
        <f t="shared" si="37"/>
        <v>0.24949153149751169</v>
      </c>
      <c r="X102" s="14">
        <f t="shared" si="38"/>
        <v>99.796612599007133</v>
      </c>
      <c r="Y102" s="111"/>
    </row>
    <row r="103" spans="1:25" x14ac:dyDescent="0.25">
      <c r="A103">
        <v>100</v>
      </c>
      <c r="C103" s="102" t="s">
        <v>155</v>
      </c>
      <c r="E103" s="35"/>
      <c r="F103" s="1">
        <v>34</v>
      </c>
      <c r="G103" s="23" t="s">
        <v>158</v>
      </c>
      <c r="J103" s="11">
        <v>52</v>
      </c>
      <c r="K103">
        <f>References_EDS!$C$29</f>
        <v>2310</v>
      </c>
      <c r="L103" s="11">
        <f t="shared" si="34"/>
        <v>120120</v>
      </c>
      <c r="M103" s="11">
        <f t="shared" si="35"/>
        <v>95426.548727038942</v>
      </c>
      <c r="N103" s="12">
        <f>+M103*References_EDS!$C$42</f>
        <v>69.661380570738572</v>
      </c>
      <c r="O103" s="12">
        <f>+N103/References_EDS!$G$45</f>
        <v>71.090295510499615</v>
      </c>
      <c r="P103" s="12">
        <f t="shared" si="39"/>
        <v>1.3671210675096079</v>
      </c>
      <c r="Q103" s="13">
        <v>120.74</v>
      </c>
      <c r="R103" s="14">
        <f>R102+22.56</f>
        <v>122.10712106750962</v>
      </c>
      <c r="S103" s="12">
        <f t="shared" si="40"/>
        <v>0</v>
      </c>
      <c r="T103" s="12">
        <f t="shared" si="41"/>
        <v>0</v>
      </c>
      <c r="U103" s="104">
        <f t="shared" si="42"/>
        <v>0</v>
      </c>
      <c r="V103" s="54"/>
      <c r="W103" s="108">
        <f t="shared" si="37"/>
        <v>0.30603288488096325</v>
      </c>
      <c r="X103" s="14">
        <f>X102+22.56</f>
        <v>122.35661259900714</v>
      </c>
      <c r="Y103" s="111"/>
    </row>
    <row r="104" spans="1:25" x14ac:dyDescent="0.25">
      <c r="A104">
        <v>101</v>
      </c>
      <c r="C104" s="102" t="s">
        <v>159</v>
      </c>
      <c r="E104" s="35"/>
      <c r="F104" s="1">
        <v>34</v>
      </c>
      <c r="G104" s="23" t="s">
        <v>160</v>
      </c>
      <c r="J104" s="11">
        <v>52</v>
      </c>
      <c r="K104">
        <f>References_EDS!$C$30</f>
        <v>2800</v>
      </c>
      <c r="L104" s="11">
        <f t="shared" si="34"/>
        <v>145600</v>
      </c>
      <c r="M104" s="11">
        <f t="shared" si="35"/>
        <v>115668.54391156234</v>
      </c>
      <c r="N104" s="12">
        <f>+M104*References_EDS!$C$42</f>
        <v>84.438037055440688</v>
      </c>
      <c r="O104" s="12">
        <f>+N104/References_EDS!$G$45</f>
        <v>86.170055164241958</v>
      </c>
      <c r="P104" s="12">
        <f t="shared" si="39"/>
        <v>1.6571164454661915</v>
      </c>
      <c r="Q104" s="13">
        <v>143.72999999999999</v>
      </c>
      <c r="R104" s="14">
        <f t="shared" ref="R104:R105" si="53">P104+Q104</f>
        <v>145.38711644546618</v>
      </c>
      <c r="S104" s="12">
        <f t="shared" si="40"/>
        <v>0</v>
      </c>
      <c r="T104" s="12">
        <f t="shared" si="41"/>
        <v>0</v>
      </c>
      <c r="U104" s="104">
        <f t="shared" si="42"/>
        <v>0</v>
      </c>
      <c r="V104" s="54"/>
      <c r="W104" s="108">
        <f t="shared" si="37"/>
        <v>0.36437873795856035</v>
      </c>
      <c r="X104" s="14">
        <f t="shared" si="38"/>
        <v>145.75149518342474</v>
      </c>
      <c r="Y104" s="111"/>
    </row>
    <row r="105" spans="1:25" x14ac:dyDescent="0.25">
      <c r="A105">
        <v>102</v>
      </c>
      <c r="C105" s="102" t="s">
        <v>159</v>
      </c>
      <c r="E105" s="35"/>
      <c r="F105" s="1">
        <v>34</v>
      </c>
      <c r="G105" s="23" t="s">
        <v>161</v>
      </c>
      <c r="J105" s="11">
        <v>52</v>
      </c>
      <c r="K105">
        <f>References_EDS!$C$30</f>
        <v>2800</v>
      </c>
      <c r="L105" s="11">
        <f t="shared" si="34"/>
        <v>145600</v>
      </c>
      <c r="M105" s="11">
        <f t="shared" si="35"/>
        <v>115668.54391156234</v>
      </c>
      <c r="N105" s="12">
        <f>+M105*References_EDS!$C$42</f>
        <v>84.438037055440688</v>
      </c>
      <c r="O105" s="12">
        <f>+N105/References_EDS!$G$45</f>
        <v>86.170055164241958</v>
      </c>
      <c r="P105" s="12">
        <f t="shared" si="39"/>
        <v>1.6571164454661915</v>
      </c>
      <c r="Q105" s="13">
        <v>143.72999999999999</v>
      </c>
      <c r="R105" s="14">
        <f t="shared" si="53"/>
        <v>145.38711644546618</v>
      </c>
      <c r="S105" s="12">
        <f t="shared" si="40"/>
        <v>0</v>
      </c>
      <c r="T105" s="12">
        <f t="shared" si="41"/>
        <v>0</v>
      </c>
      <c r="U105" s="104">
        <f t="shared" si="42"/>
        <v>0</v>
      </c>
      <c r="V105" s="54"/>
      <c r="W105" s="108">
        <f t="shared" si="37"/>
        <v>0.36437873795856035</v>
      </c>
      <c r="X105" s="14">
        <f t="shared" si="38"/>
        <v>145.75149518342474</v>
      </c>
      <c r="Y105" s="111"/>
    </row>
    <row r="106" spans="1:25" x14ac:dyDescent="0.25">
      <c r="A106">
        <v>103</v>
      </c>
      <c r="C106" s="102" t="s">
        <v>159</v>
      </c>
      <c r="F106" s="1">
        <v>34</v>
      </c>
      <c r="G106" s="23" t="s">
        <v>162</v>
      </c>
      <c r="J106" s="11">
        <v>52</v>
      </c>
      <c r="K106">
        <f>References_EDS!$C$30</f>
        <v>2800</v>
      </c>
      <c r="L106" s="11">
        <f t="shared" si="34"/>
        <v>145600</v>
      </c>
      <c r="M106" s="11">
        <f t="shared" si="35"/>
        <v>115668.54391156234</v>
      </c>
      <c r="N106" s="12">
        <f>+M106*References_EDS!$C$42</f>
        <v>84.438037055440688</v>
      </c>
      <c r="O106" s="12">
        <f>+N106/References_EDS!$G$45</f>
        <v>86.170055164241958</v>
      </c>
      <c r="P106" s="12">
        <f t="shared" si="39"/>
        <v>1.6571164454661915</v>
      </c>
      <c r="Q106" s="13">
        <v>160.74</v>
      </c>
      <c r="R106" s="14">
        <f>R105+22.56</f>
        <v>167.94711644546618</v>
      </c>
      <c r="S106" s="12">
        <f t="shared" si="40"/>
        <v>0</v>
      </c>
      <c r="T106" s="12">
        <f t="shared" si="41"/>
        <v>0</v>
      </c>
      <c r="U106" s="104">
        <f t="shared" si="42"/>
        <v>0</v>
      </c>
      <c r="V106" s="54"/>
      <c r="W106" s="108">
        <f t="shared" si="37"/>
        <v>0.4209200913419977</v>
      </c>
      <c r="X106" s="14">
        <f>X105+22.56</f>
        <v>168.31149518342474</v>
      </c>
      <c r="Y106" s="111"/>
    </row>
    <row r="107" spans="1:25" x14ac:dyDescent="0.25">
      <c r="A107">
        <v>104</v>
      </c>
      <c r="C107" s="102" t="s">
        <v>143</v>
      </c>
      <c r="E107" s="35"/>
      <c r="F107" s="1">
        <v>35</v>
      </c>
      <c r="G107" s="23" t="s">
        <v>163</v>
      </c>
      <c r="J107" s="11">
        <v>52</v>
      </c>
      <c r="K107" s="11">
        <f>K92</f>
        <v>892</v>
      </c>
      <c r="L107" s="11">
        <f t="shared" si="34"/>
        <v>46384</v>
      </c>
      <c r="M107" s="11">
        <f t="shared" si="35"/>
        <v>36848.693274683435</v>
      </c>
      <c r="N107" s="12">
        <f>+M107*References_EDS!$C$42</f>
        <v>26.899546090518964</v>
      </c>
      <c r="O107" s="12">
        <f>+N107/References_EDS!$G$45</f>
        <v>27.451317573751368</v>
      </c>
      <c r="P107" s="12">
        <f t="shared" si="39"/>
        <v>0.52790995334137247</v>
      </c>
      <c r="Q107" s="13">
        <v>55.93</v>
      </c>
      <c r="R107" s="14">
        <f t="shared" ref="R107" si="54">P107+Q107</f>
        <v>56.457909953341371</v>
      </c>
      <c r="S107" s="12">
        <f t="shared" si="40"/>
        <v>0</v>
      </c>
      <c r="T107" s="12">
        <f t="shared" si="41"/>
        <v>0</v>
      </c>
      <c r="U107" s="104">
        <f t="shared" si="42"/>
        <v>0</v>
      </c>
      <c r="V107" s="54"/>
      <c r="W107" s="108">
        <f t="shared" si="37"/>
        <v>0.14149852118631401</v>
      </c>
      <c r="X107" s="14">
        <f t="shared" si="38"/>
        <v>56.599408474527685</v>
      </c>
      <c r="Y107" s="111"/>
    </row>
    <row r="108" spans="1:25" x14ac:dyDescent="0.25">
      <c r="A108">
        <v>105</v>
      </c>
      <c r="C108" s="102" t="s">
        <v>143</v>
      </c>
      <c r="E108" s="35"/>
      <c r="F108" s="1">
        <v>35</v>
      </c>
      <c r="G108" s="23" t="s">
        <v>164</v>
      </c>
      <c r="J108" s="11">
        <v>52</v>
      </c>
      <c r="K108">
        <f>K92</f>
        <v>892</v>
      </c>
      <c r="L108" s="11">
        <f t="shared" si="34"/>
        <v>46384</v>
      </c>
      <c r="M108" s="11">
        <f t="shared" si="35"/>
        <v>36848.693274683435</v>
      </c>
      <c r="N108" s="12">
        <f>+M108*References_EDS!$C$42</f>
        <v>26.899546090518964</v>
      </c>
      <c r="O108" s="12">
        <f>+N108/References_EDS!$G$45</f>
        <v>27.451317573751368</v>
      </c>
      <c r="P108" s="12">
        <f t="shared" si="39"/>
        <v>0.52790995334137247</v>
      </c>
      <c r="Q108" s="13">
        <v>78.489999999999995</v>
      </c>
      <c r="R108" s="14">
        <f>R107+22.56</f>
        <v>79.017909953341373</v>
      </c>
      <c r="S108" s="12">
        <f t="shared" si="40"/>
        <v>0</v>
      </c>
      <c r="T108" s="12">
        <f t="shared" si="41"/>
        <v>0</v>
      </c>
      <c r="U108" s="104">
        <f t="shared" si="42"/>
        <v>0</v>
      </c>
      <c r="V108" s="54"/>
      <c r="W108" s="108">
        <f t="shared" si="37"/>
        <v>0.19803987456977268</v>
      </c>
      <c r="X108" s="14">
        <f>X107+22.56</f>
        <v>79.15940847452768</v>
      </c>
      <c r="Y108" s="111"/>
    </row>
    <row r="109" spans="1:25" x14ac:dyDescent="0.25">
      <c r="A109">
        <v>106</v>
      </c>
      <c r="C109" s="102" t="s">
        <v>147</v>
      </c>
      <c r="E109" s="35"/>
      <c r="F109" s="1">
        <v>35</v>
      </c>
      <c r="G109" s="23" t="s">
        <v>165</v>
      </c>
      <c r="J109" s="11">
        <v>52</v>
      </c>
      <c r="K109">
        <f>K95</f>
        <v>1301</v>
      </c>
      <c r="L109" s="11">
        <f t="shared" si="34"/>
        <v>67652</v>
      </c>
      <c r="M109" s="11">
        <f t="shared" si="35"/>
        <v>53744.562724622359</v>
      </c>
      <c r="N109" s="12">
        <f>+M109*References_EDS!$C$42</f>
        <v>39.233530788974399</v>
      </c>
      <c r="O109" s="12">
        <f>+N109/References_EDS!$G$45</f>
        <v>40.038300631670985</v>
      </c>
      <c r="P109" s="12">
        <f t="shared" si="39"/>
        <v>0.76996731983982669</v>
      </c>
      <c r="Q109" s="13">
        <v>78.64</v>
      </c>
      <c r="R109" s="14">
        <f t="shared" ref="R109" si="55">P109+Q109</f>
        <v>79.409967319839822</v>
      </c>
      <c r="S109" s="12">
        <f t="shared" si="40"/>
        <v>0</v>
      </c>
      <c r="T109" s="12">
        <f t="shared" si="41"/>
        <v>0</v>
      </c>
      <c r="U109" s="104">
        <f t="shared" si="42"/>
        <v>0</v>
      </c>
      <c r="V109" s="54"/>
      <c r="W109" s="108">
        <f t="shared" si="37"/>
        <v>0.19902247448581534</v>
      </c>
      <c r="X109" s="14">
        <f t="shared" si="38"/>
        <v>79.608989794325637</v>
      </c>
      <c r="Y109" s="111"/>
    </row>
    <row r="110" spans="1:25" x14ac:dyDescent="0.25">
      <c r="A110">
        <v>107</v>
      </c>
      <c r="C110" s="102" t="s">
        <v>147</v>
      </c>
      <c r="E110" s="35"/>
      <c r="F110" s="1">
        <v>35</v>
      </c>
      <c r="G110" s="23" t="s">
        <v>166</v>
      </c>
      <c r="J110" s="11">
        <v>52</v>
      </c>
      <c r="K110">
        <f>K95</f>
        <v>1301</v>
      </c>
      <c r="L110" s="11">
        <f t="shared" si="34"/>
        <v>67652</v>
      </c>
      <c r="M110" s="11">
        <f t="shared" si="35"/>
        <v>53744.562724622359</v>
      </c>
      <c r="N110" s="12">
        <f>+M110*References_EDS!$C$42</f>
        <v>39.233530788974399</v>
      </c>
      <c r="O110" s="12">
        <f>+N110/References_EDS!$G$45</f>
        <v>40.038300631670985</v>
      </c>
      <c r="P110" s="12">
        <f t="shared" si="39"/>
        <v>0.76996731983982669</v>
      </c>
      <c r="Q110" s="13">
        <v>101.2</v>
      </c>
      <c r="R110" s="14">
        <f>R109+22.56</f>
        <v>101.96996731983982</v>
      </c>
      <c r="S110" s="12">
        <f t="shared" si="40"/>
        <v>0</v>
      </c>
      <c r="T110" s="12">
        <f t="shared" si="41"/>
        <v>0</v>
      </c>
      <c r="U110" s="104">
        <f t="shared" si="42"/>
        <v>0</v>
      </c>
      <c r="V110" s="54"/>
      <c r="W110" s="108">
        <f t="shared" si="37"/>
        <v>0.2555638278692669</v>
      </c>
      <c r="X110" s="14">
        <f>X109+22.56</f>
        <v>102.16898979432564</v>
      </c>
      <c r="Y110" s="111"/>
    </row>
    <row r="111" spans="1:25" x14ac:dyDescent="0.25">
      <c r="A111">
        <v>108</v>
      </c>
      <c r="C111" s="102" t="s">
        <v>151</v>
      </c>
      <c r="E111" s="35"/>
      <c r="F111" s="1">
        <v>35</v>
      </c>
      <c r="G111" s="23" t="s">
        <v>167</v>
      </c>
      <c r="J111" s="11">
        <v>52</v>
      </c>
      <c r="K111" s="11">
        <f>K98</f>
        <v>1686</v>
      </c>
      <c r="L111" s="11">
        <f t="shared" si="34"/>
        <v>87672</v>
      </c>
      <c r="M111" s="11">
        <f t="shared" si="35"/>
        <v>69648.98751246219</v>
      </c>
      <c r="N111" s="12">
        <f>+M111*References_EDS!$C$42</f>
        <v>50.843760884097499</v>
      </c>
      <c r="O111" s="12">
        <f>+N111/References_EDS!$G$45</f>
        <v>51.886683216754257</v>
      </c>
      <c r="P111" s="12">
        <f t="shared" si="39"/>
        <v>0.99782083109142805</v>
      </c>
      <c r="Q111" s="13">
        <v>108.31</v>
      </c>
      <c r="R111" s="14">
        <f t="shared" ref="R111" si="56">P111+Q111</f>
        <v>109.30782083109143</v>
      </c>
      <c r="S111" s="12">
        <f t="shared" si="40"/>
        <v>0</v>
      </c>
      <c r="T111" s="12">
        <f t="shared" si="41"/>
        <v>0</v>
      </c>
      <c r="U111" s="104">
        <f t="shared" si="42"/>
        <v>0</v>
      </c>
      <c r="V111" s="54"/>
      <c r="W111" s="108">
        <f t="shared" si="37"/>
        <v>0.27395443817314913</v>
      </c>
      <c r="X111" s="14">
        <f t="shared" si="38"/>
        <v>109.58177526926458</v>
      </c>
      <c r="Y111" s="111"/>
    </row>
    <row r="112" spans="1:25" x14ac:dyDescent="0.25">
      <c r="A112">
        <v>109</v>
      </c>
      <c r="C112" s="102" t="s">
        <v>151</v>
      </c>
      <c r="E112" s="35"/>
      <c r="F112" s="1">
        <v>35</v>
      </c>
      <c r="G112" s="23" t="s">
        <v>168</v>
      </c>
      <c r="J112" s="11">
        <v>52</v>
      </c>
      <c r="K112">
        <f>K98</f>
        <v>1686</v>
      </c>
      <c r="L112" s="11">
        <f t="shared" si="34"/>
        <v>87672</v>
      </c>
      <c r="M112" s="11">
        <f t="shared" si="35"/>
        <v>69648.98751246219</v>
      </c>
      <c r="N112" s="12">
        <f>+M112*References_EDS!$C$42</f>
        <v>50.843760884097499</v>
      </c>
      <c r="O112" s="12">
        <f>+N112/References_EDS!$G$45</f>
        <v>51.886683216754257</v>
      </c>
      <c r="P112" s="12">
        <f t="shared" si="39"/>
        <v>0.99782083109142805</v>
      </c>
      <c r="Q112" s="13">
        <v>130.87</v>
      </c>
      <c r="R112" s="14">
        <f>R111+22.56</f>
        <v>131.86782083109142</v>
      </c>
      <c r="S112" s="12">
        <f t="shared" si="40"/>
        <v>0</v>
      </c>
      <c r="T112" s="12">
        <f t="shared" si="41"/>
        <v>0</v>
      </c>
      <c r="U112" s="104">
        <f t="shared" si="42"/>
        <v>0</v>
      </c>
      <c r="V112" s="54"/>
      <c r="W112" s="108">
        <f t="shared" si="37"/>
        <v>0.3304957915566149</v>
      </c>
      <c r="X112" s="14">
        <f>X111+22.56</f>
        <v>132.14177526926457</v>
      </c>
      <c r="Y112" s="111"/>
    </row>
    <row r="113" spans="1:25" x14ac:dyDescent="0.25">
      <c r="A113">
        <v>110</v>
      </c>
      <c r="C113" s="102" t="s">
        <v>155</v>
      </c>
      <c r="E113" s="35"/>
      <c r="F113" s="1">
        <v>35</v>
      </c>
      <c r="G113" s="23" t="s">
        <v>169</v>
      </c>
      <c r="J113" s="11">
        <v>52</v>
      </c>
      <c r="K113" s="11">
        <f>K101</f>
        <v>2310</v>
      </c>
      <c r="L113" s="11">
        <f t="shared" si="34"/>
        <v>120120</v>
      </c>
      <c r="M113" s="11">
        <f t="shared" si="35"/>
        <v>95426.548727038942</v>
      </c>
      <c r="N113" s="12">
        <f>+M113*References_EDS!$C$42</f>
        <v>69.661380570738572</v>
      </c>
      <c r="O113" s="12">
        <f>+N113/References_EDS!$G$45</f>
        <v>71.090295510499615</v>
      </c>
      <c r="P113" s="12">
        <f t="shared" si="39"/>
        <v>1.3671210675096079</v>
      </c>
      <c r="Q113" s="13">
        <v>139.47999999999999</v>
      </c>
      <c r="R113" s="14">
        <f t="shared" ref="R113" si="57">P113+Q113</f>
        <v>140.84712106750959</v>
      </c>
      <c r="S113" s="12">
        <f t="shared" si="40"/>
        <v>0</v>
      </c>
      <c r="T113" s="12">
        <f t="shared" si="41"/>
        <v>0</v>
      </c>
      <c r="U113" s="104">
        <f t="shared" si="42"/>
        <v>0</v>
      </c>
      <c r="V113" s="54"/>
      <c r="W113" s="108">
        <f t="shared" si="37"/>
        <v>0.35300030342733635</v>
      </c>
      <c r="X113" s="14">
        <f t="shared" si="38"/>
        <v>141.20012137093693</v>
      </c>
      <c r="Y113" s="111"/>
    </row>
    <row r="114" spans="1:25" x14ac:dyDescent="0.25">
      <c r="A114">
        <v>111</v>
      </c>
      <c r="C114" s="102" t="s">
        <v>155</v>
      </c>
      <c r="E114" s="35"/>
      <c r="F114" s="1">
        <v>35</v>
      </c>
      <c r="G114" s="23" t="s">
        <v>170</v>
      </c>
      <c r="J114" s="11">
        <v>52</v>
      </c>
      <c r="K114" s="11">
        <f>K113</f>
        <v>2310</v>
      </c>
      <c r="L114" s="11">
        <f t="shared" si="34"/>
        <v>120120</v>
      </c>
      <c r="M114" s="11">
        <f t="shared" si="35"/>
        <v>95426.548727038942</v>
      </c>
      <c r="N114" s="12">
        <f>+M114*References_EDS!$C$42</f>
        <v>69.661380570738572</v>
      </c>
      <c r="O114" s="12">
        <f>+N114/References_EDS!$G$45</f>
        <v>71.090295510499615</v>
      </c>
      <c r="P114" s="12">
        <f t="shared" si="39"/>
        <v>1.3671210675096079</v>
      </c>
      <c r="Q114" s="13">
        <v>162.04</v>
      </c>
      <c r="R114" s="14">
        <f>R113+22.56</f>
        <v>163.40712106750959</v>
      </c>
      <c r="S114" s="12">
        <f t="shared" si="40"/>
        <v>0</v>
      </c>
      <c r="T114" s="12">
        <f t="shared" si="41"/>
        <v>0</v>
      </c>
      <c r="U114" s="104">
        <f t="shared" si="42"/>
        <v>0</v>
      </c>
      <c r="V114" s="54"/>
      <c r="W114" s="108">
        <f t="shared" si="37"/>
        <v>0.40954165681080212</v>
      </c>
      <c r="X114" s="14">
        <f>X113+22.56</f>
        <v>163.76012137093693</v>
      </c>
      <c r="Y114" s="111"/>
    </row>
    <row r="120" spans="1:25" x14ac:dyDescent="0.25">
      <c r="G120" s="131" t="s">
        <v>171</v>
      </c>
      <c r="H120" s="131"/>
    </row>
    <row r="121" spans="1:25" x14ac:dyDescent="0.25">
      <c r="G121" s="36"/>
      <c r="H121" s="37" t="s">
        <v>44</v>
      </c>
    </row>
    <row r="122" spans="1:25" x14ac:dyDescent="0.25">
      <c r="G122" s="36" t="s">
        <v>172</v>
      </c>
      <c r="H122" s="38">
        <f>'Tonnage Summary'!C2</f>
        <v>7321.8417845646463</v>
      </c>
    </row>
    <row r="123" spans="1:25" x14ac:dyDescent="0.25">
      <c r="G123" s="36" t="s">
        <v>173</v>
      </c>
      <c r="H123" s="39">
        <f>+H122*2000</f>
        <v>14643683.569129292</v>
      </c>
    </row>
    <row r="124" spans="1:25" x14ac:dyDescent="0.25">
      <c r="G124" s="36" t="s">
        <v>174</v>
      </c>
      <c r="H124" s="39">
        <f>J45</f>
        <v>235809.28</v>
      </c>
    </row>
    <row r="125" spans="1:25" x14ac:dyDescent="0.25">
      <c r="G125" s="40" t="s">
        <v>175</v>
      </c>
      <c r="H125" s="41">
        <f>+H123/L45</f>
        <v>0.79442681257941172</v>
      </c>
    </row>
  </sheetData>
  <autoFilter ref="A6:U114" xr:uid="{00000000-0009-0000-0000-000000000000}"/>
  <mergeCells count="8">
    <mergeCell ref="W4:W5"/>
    <mergeCell ref="G120:H120"/>
    <mergeCell ref="A1:U1"/>
    <mergeCell ref="E7:E11"/>
    <mergeCell ref="E15:E42"/>
    <mergeCell ref="E50:E65"/>
    <mergeCell ref="E69:E88"/>
    <mergeCell ref="Q4:U5"/>
  </mergeCells>
  <pageMargins left="0.7" right="0.7" top="0.75" bottom="0.75" header="0.3" footer="0.3"/>
  <pageSetup orientation="portrait" horizontalDpi="200" verticalDpi="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References_EDS!$M$3:$M$9</xm:f>
          </x14:formula1>
          <xm:sqref>D7:D48 D50:D67 D69:D242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58"/>
  <sheetViews>
    <sheetView topLeftCell="A13" zoomScale="85" zoomScaleNormal="85" workbookViewId="0">
      <selection activeCell="C4" sqref="C4"/>
    </sheetView>
  </sheetViews>
  <sheetFormatPr defaultRowHeight="15" x14ac:dyDescent="0.25"/>
  <cols>
    <col min="1" max="1" width="37.140625" bestFit="1" customWidth="1"/>
    <col min="2" max="2" width="24.28515625" bestFit="1" customWidth="1"/>
    <col min="3" max="3" width="13.140625" customWidth="1"/>
    <col min="4" max="4" width="11" customWidth="1"/>
    <col min="5" max="5" width="11.140625" customWidth="1"/>
    <col min="6" max="6" width="14.28515625" customWidth="1"/>
    <col min="7" max="7" width="42.140625" bestFit="1" customWidth="1"/>
    <col min="8" max="8" width="12.42578125" bestFit="1" customWidth="1"/>
    <col min="13" max="13" width="25.85546875" bestFit="1" customWidth="1"/>
    <col min="14" max="14" width="22.7109375" bestFit="1" customWidth="1"/>
  </cols>
  <sheetData>
    <row r="1" spans="1:20" s="42" customFormat="1" x14ac:dyDescent="0.25">
      <c r="B1" s="42" t="s">
        <v>13</v>
      </c>
      <c r="G1" s="43"/>
      <c r="M1" s="137" t="s">
        <v>176</v>
      </c>
      <c r="N1" s="137"/>
      <c r="O1" s="137"/>
      <c r="P1" s="137"/>
      <c r="Q1" s="137"/>
      <c r="R1" s="137"/>
      <c r="S1" s="137"/>
      <c r="T1" s="137"/>
    </row>
    <row r="2" spans="1:20" s="42" customFormat="1" ht="30" x14ac:dyDescent="0.25">
      <c r="A2" s="42" t="s">
        <v>177</v>
      </c>
      <c r="B2" s="42" t="s">
        <v>178</v>
      </c>
      <c r="C2" s="42" t="s">
        <v>179</v>
      </c>
      <c r="D2" s="42" t="s">
        <v>180</v>
      </c>
      <c r="E2" s="42" t="s">
        <v>181</v>
      </c>
      <c r="M2" s="44" t="s">
        <v>182</v>
      </c>
      <c r="N2" s="45" t="s">
        <v>183</v>
      </c>
      <c r="O2" s="45" t="s">
        <v>184</v>
      </c>
      <c r="P2" s="45" t="s">
        <v>185</v>
      </c>
      <c r="Q2" s="46" t="s">
        <v>186</v>
      </c>
      <c r="R2" s="46" t="s">
        <v>187</v>
      </c>
      <c r="S2" s="46" t="s">
        <v>188</v>
      </c>
      <c r="T2" s="45" t="s">
        <v>189</v>
      </c>
    </row>
    <row r="3" spans="1:20" x14ac:dyDescent="0.25">
      <c r="A3" t="s">
        <v>27</v>
      </c>
      <c r="B3" s="34" t="s">
        <v>190</v>
      </c>
      <c r="C3" s="34">
        <v>20</v>
      </c>
      <c r="D3" s="47">
        <v>14.988000000000001</v>
      </c>
      <c r="E3" s="48"/>
      <c r="F3" s="90"/>
      <c r="L3" s="49">
        <v>5</v>
      </c>
      <c r="M3" s="50" t="s">
        <v>191</v>
      </c>
      <c r="N3" s="10">
        <f>52*5/12</f>
        <v>21.666666666666668</v>
      </c>
      <c r="O3" s="51">
        <f>$N$3*2</f>
        <v>43.333333333333336</v>
      </c>
      <c r="P3" s="51">
        <f>$N$3*3</f>
        <v>65</v>
      </c>
      <c r="Q3" s="51">
        <f>$N$3*4</f>
        <v>86.666666666666671</v>
      </c>
      <c r="R3" s="51">
        <f>$N$3*5</f>
        <v>108.33333333333334</v>
      </c>
      <c r="S3" s="51">
        <f>$N$3*6</f>
        <v>130</v>
      </c>
      <c r="T3" s="51">
        <f>$N$3*7</f>
        <v>151.66666666666669</v>
      </c>
    </row>
    <row r="4" spans="1:20" x14ac:dyDescent="0.25">
      <c r="A4" t="s">
        <v>27</v>
      </c>
      <c r="B4" s="34" t="s">
        <v>101</v>
      </c>
      <c r="C4" s="34">
        <v>34</v>
      </c>
      <c r="D4" s="47">
        <v>25.479600000000001</v>
      </c>
      <c r="E4" s="48"/>
      <c r="F4" s="90"/>
      <c r="L4" s="49">
        <v>4</v>
      </c>
      <c r="M4" s="50" t="s">
        <v>192</v>
      </c>
      <c r="N4" s="10">
        <f>52*4/12</f>
        <v>17.333333333333332</v>
      </c>
      <c r="O4" s="51">
        <f>$N$4*2</f>
        <v>34.666666666666664</v>
      </c>
      <c r="P4" s="51">
        <f>$N$4*3</f>
        <v>52</v>
      </c>
      <c r="Q4" s="51">
        <f>$N$4*4</f>
        <v>69.333333333333329</v>
      </c>
      <c r="R4" s="51">
        <f>$N$4*5</f>
        <v>86.666666666666657</v>
      </c>
      <c r="S4" s="51">
        <f>$N$4*6</f>
        <v>104</v>
      </c>
      <c r="T4" s="51">
        <f>$N$4*7</f>
        <v>121.33333333333333</v>
      </c>
    </row>
    <row r="5" spans="1:20" x14ac:dyDescent="0.25">
      <c r="A5" t="s">
        <v>27</v>
      </c>
      <c r="B5" s="34" t="s">
        <v>103</v>
      </c>
      <c r="C5" s="34">
        <v>51</v>
      </c>
      <c r="D5" s="47">
        <v>38.2194</v>
      </c>
      <c r="E5" s="48"/>
      <c r="F5" s="90"/>
      <c r="H5" s="52"/>
      <c r="L5" s="49">
        <v>3</v>
      </c>
      <c r="M5" s="50" t="s">
        <v>193</v>
      </c>
      <c r="N5" s="10">
        <f>52*3/12</f>
        <v>13</v>
      </c>
      <c r="O5" s="51">
        <f>$N$5*2</f>
        <v>26</v>
      </c>
      <c r="P5" s="51">
        <f>$N$5*3</f>
        <v>39</v>
      </c>
      <c r="Q5" s="51">
        <f>$N$5*4</f>
        <v>52</v>
      </c>
      <c r="R5" s="51">
        <f>$N$5*5</f>
        <v>65</v>
      </c>
      <c r="S5" s="51">
        <f>$N$5*6</f>
        <v>78</v>
      </c>
      <c r="T5" s="51">
        <f>$N$5*7</f>
        <v>91</v>
      </c>
    </row>
    <row r="6" spans="1:20" x14ac:dyDescent="0.25">
      <c r="A6" t="s">
        <v>27</v>
      </c>
      <c r="B6" s="34" t="s">
        <v>105</v>
      </c>
      <c r="C6" s="34">
        <v>77</v>
      </c>
      <c r="D6" s="47">
        <v>57.703800000000008</v>
      </c>
      <c r="E6" s="48"/>
      <c r="F6" s="90"/>
      <c r="L6" s="49">
        <v>2</v>
      </c>
      <c r="M6" s="50" t="s">
        <v>194</v>
      </c>
      <c r="N6" s="10">
        <f>52*2/12</f>
        <v>8.6666666666666661</v>
      </c>
      <c r="O6" s="48">
        <f>$N$6*2</f>
        <v>17.333333333333332</v>
      </c>
      <c r="P6" s="48">
        <f>$N$6*3</f>
        <v>26</v>
      </c>
      <c r="Q6" s="48">
        <f>$N$6*4</f>
        <v>34.666666666666664</v>
      </c>
      <c r="R6" s="48">
        <f>$N$6*5</f>
        <v>43.333333333333329</v>
      </c>
      <c r="S6" s="48">
        <f>$N$6*6</f>
        <v>52</v>
      </c>
      <c r="T6" s="48">
        <f>$N$6*7</f>
        <v>60.666666666666664</v>
      </c>
    </row>
    <row r="7" spans="1:20" x14ac:dyDescent="0.25">
      <c r="A7" t="s">
        <v>27</v>
      </c>
      <c r="B7" s="34" t="s">
        <v>107</v>
      </c>
      <c r="C7" s="34">
        <v>97</v>
      </c>
      <c r="D7" s="47">
        <v>72.691800000000001</v>
      </c>
      <c r="E7" s="48"/>
      <c r="F7" s="90"/>
      <c r="L7" s="49">
        <v>1</v>
      </c>
      <c r="M7" s="50" t="s">
        <v>32</v>
      </c>
      <c r="N7" s="10">
        <f>52/12</f>
        <v>4.333333333333333</v>
      </c>
      <c r="O7" s="48">
        <f>$N$7*2</f>
        <v>8.6666666666666661</v>
      </c>
      <c r="P7" s="48">
        <f>$N$7*3</f>
        <v>13</v>
      </c>
      <c r="Q7" s="48">
        <f>$N$7*4</f>
        <v>17.333333333333332</v>
      </c>
      <c r="R7" s="48">
        <f>$N$7*5</f>
        <v>21.666666666666664</v>
      </c>
      <c r="S7" s="48">
        <f>$N$7*6</f>
        <v>26</v>
      </c>
      <c r="T7" s="48">
        <f>$N$7*7</f>
        <v>30.333333333333332</v>
      </c>
    </row>
    <row r="8" spans="1:20" x14ac:dyDescent="0.25">
      <c r="A8" t="s">
        <v>27</v>
      </c>
      <c r="B8" s="34" t="s">
        <v>109</v>
      </c>
      <c r="C8" s="34">
        <v>117</v>
      </c>
      <c r="D8" s="47">
        <v>87.679800000000014</v>
      </c>
      <c r="E8" s="48"/>
      <c r="F8" s="90"/>
      <c r="L8" s="49">
        <v>0.5</v>
      </c>
      <c r="M8" s="50" t="s">
        <v>195</v>
      </c>
      <c r="N8" s="10">
        <f>26/12</f>
        <v>2.1666666666666665</v>
      </c>
      <c r="O8" s="48">
        <f>$N$8*2</f>
        <v>4.333333333333333</v>
      </c>
      <c r="P8" s="48">
        <f>$N$8*3</f>
        <v>6.5</v>
      </c>
      <c r="Q8" s="48">
        <f>$N$8*4</f>
        <v>8.6666666666666661</v>
      </c>
      <c r="R8" s="48">
        <f>$N$8*5</f>
        <v>10.833333333333332</v>
      </c>
      <c r="S8" s="48">
        <f>$N$8*6</f>
        <v>13</v>
      </c>
      <c r="T8" s="48">
        <f>$N$8*7</f>
        <v>15.166666666666666</v>
      </c>
    </row>
    <row r="9" spans="1:20" x14ac:dyDescent="0.25">
      <c r="A9" t="s">
        <v>27</v>
      </c>
      <c r="B9" s="34" t="s">
        <v>111</v>
      </c>
      <c r="C9" s="34">
        <v>157</v>
      </c>
      <c r="D9" s="47">
        <v>117.65580000000001</v>
      </c>
      <c r="E9" s="48"/>
      <c r="F9" s="90"/>
      <c r="L9" s="49">
        <v>8.3333333333333329E-2</v>
      </c>
      <c r="M9" s="50" t="s">
        <v>26</v>
      </c>
      <c r="N9" s="10">
        <f>12/12</f>
        <v>1</v>
      </c>
      <c r="O9" s="48">
        <f>$N$9*2</f>
        <v>2</v>
      </c>
      <c r="P9" s="48">
        <f>$N$9*3</f>
        <v>3</v>
      </c>
      <c r="Q9" s="48">
        <f>$N$9*4</f>
        <v>4</v>
      </c>
      <c r="R9" s="48">
        <f>$N$9*5</f>
        <v>5</v>
      </c>
      <c r="S9" s="48">
        <f>$N$9*6</f>
        <v>6</v>
      </c>
      <c r="T9" s="48">
        <f>$N$9*7</f>
        <v>7</v>
      </c>
    </row>
    <row r="10" spans="1:20" x14ac:dyDescent="0.25">
      <c r="A10" t="s">
        <v>27</v>
      </c>
      <c r="B10" s="34" t="s">
        <v>25</v>
      </c>
      <c r="C10" s="34">
        <v>37</v>
      </c>
      <c r="D10" s="47">
        <v>27.727800000000002</v>
      </c>
      <c r="E10" s="48" t="s">
        <v>196</v>
      </c>
      <c r="F10" s="90"/>
    </row>
    <row r="11" spans="1:20" x14ac:dyDescent="0.25">
      <c r="A11" t="s">
        <v>27</v>
      </c>
      <c r="B11" s="34" t="s">
        <v>31</v>
      </c>
      <c r="C11" s="34">
        <v>47</v>
      </c>
      <c r="D11" s="53">
        <v>32.5</v>
      </c>
      <c r="E11" s="48"/>
      <c r="F11" s="90"/>
    </row>
    <row r="12" spans="1:20" x14ac:dyDescent="0.25">
      <c r="A12" t="s">
        <v>27</v>
      </c>
      <c r="B12" s="34" t="s">
        <v>35</v>
      </c>
      <c r="C12" s="34">
        <v>68</v>
      </c>
      <c r="D12" s="53">
        <v>54</v>
      </c>
      <c r="E12" s="48"/>
      <c r="F12" s="90"/>
    </row>
    <row r="13" spans="1:20" x14ac:dyDescent="0.25">
      <c r="A13" t="s">
        <v>27</v>
      </c>
      <c r="B13" s="34" t="s">
        <v>197</v>
      </c>
      <c r="C13" s="34">
        <v>34</v>
      </c>
      <c r="D13" s="47">
        <v>25.479600000000001</v>
      </c>
      <c r="E13" s="48"/>
      <c r="F13" s="90"/>
      <c r="M13" s="138" t="s">
        <v>198</v>
      </c>
      <c r="N13" s="138"/>
    </row>
    <row r="14" spans="1:20" x14ac:dyDescent="0.25">
      <c r="A14" t="s">
        <v>27</v>
      </c>
      <c r="B14" s="34" t="s">
        <v>38</v>
      </c>
      <c r="C14" s="34">
        <v>34</v>
      </c>
      <c r="D14" s="53">
        <v>20</v>
      </c>
      <c r="E14" s="48"/>
      <c r="F14" s="90"/>
      <c r="M14" s="54" t="s">
        <v>199</v>
      </c>
      <c r="N14" s="54" t="s">
        <v>200</v>
      </c>
    </row>
    <row r="15" spans="1:20" x14ac:dyDescent="0.25">
      <c r="A15" t="s">
        <v>46</v>
      </c>
      <c r="B15" s="34" t="s">
        <v>201</v>
      </c>
      <c r="C15" s="34">
        <v>29</v>
      </c>
      <c r="D15" s="47">
        <v>21.732600000000001</v>
      </c>
      <c r="E15" s="48"/>
      <c r="F15" s="90"/>
      <c r="M15" t="s">
        <v>202</v>
      </c>
      <c r="N15" s="55" t="s">
        <v>54</v>
      </c>
    </row>
    <row r="16" spans="1:20" x14ac:dyDescent="0.25">
      <c r="A16" t="s">
        <v>46</v>
      </c>
      <c r="B16" s="34" t="s">
        <v>54</v>
      </c>
      <c r="C16" s="34">
        <v>175</v>
      </c>
      <c r="D16" s="47">
        <v>131.14500000000001</v>
      </c>
      <c r="E16" s="48"/>
      <c r="F16" s="90"/>
      <c r="M16" t="s">
        <v>203</v>
      </c>
      <c r="N16" s="55" t="s">
        <v>54</v>
      </c>
    </row>
    <row r="17" spans="1:14" x14ac:dyDescent="0.25">
      <c r="A17" t="s">
        <v>46</v>
      </c>
      <c r="B17" s="34" t="s">
        <v>50</v>
      </c>
      <c r="C17" s="34">
        <v>250</v>
      </c>
      <c r="D17" s="47">
        <v>187.35000000000002</v>
      </c>
      <c r="E17" s="48"/>
      <c r="F17" s="90"/>
      <c r="M17" t="s">
        <v>49</v>
      </c>
      <c r="N17" s="55" t="s">
        <v>50</v>
      </c>
    </row>
    <row r="18" spans="1:14" x14ac:dyDescent="0.25">
      <c r="A18" t="s">
        <v>46</v>
      </c>
      <c r="B18" s="34" t="s">
        <v>65</v>
      </c>
      <c r="C18" s="34">
        <v>324</v>
      </c>
      <c r="D18" s="47">
        <v>242.80560000000003</v>
      </c>
      <c r="E18" s="48"/>
      <c r="F18" s="90"/>
      <c r="M18" t="s">
        <v>204</v>
      </c>
      <c r="N18" s="34" t="s">
        <v>201</v>
      </c>
    </row>
    <row r="19" spans="1:14" x14ac:dyDescent="0.25">
      <c r="A19" t="s">
        <v>46</v>
      </c>
      <c r="B19" s="34" t="s">
        <v>73</v>
      </c>
      <c r="C19" s="34">
        <v>473</v>
      </c>
      <c r="D19" s="47">
        <v>354.46620000000001</v>
      </c>
      <c r="E19" s="48"/>
      <c r="F19" s="90"/>
      <c r="M19" t="s">
        <v>205</v>
      </c>
      <c r="N19" s="34" t="s">
        <v>31</v>
      </c>
    </row>
    <row r="20" spans="1:14" x14ac:dyDescent="0.25">
      <c r="A20" t="s">
        <v>46</v>
      </c>
      <c r="B20" s="34" t="s">
        <v>81</v>
      </c>
      <c r="C20" s="34">
        <v>613</v>
      </c>
      <c r="D20" s="47">
        <v>459.38220000000007</v>
      </c>
      <c r="E20" s="48"/>
      <c r="F20" s="90"/>
      <c r="M20" t="s">
        <v>45</v>
      </c>
      <c r="N20" s="34" t="s">
        <v>35</v>
      </c>
    </row>
    <row r="21" spans="1:14" x14ac:dyDescent="0.25">
      <c r="A21" t="s">
        <v>46</v>
      </c>
      <c r="B21" s="34" t="s">
        <v>89</v>
      </c>
      <c r="C21" s="34">
        <v>840</v>
      </c>
      <c r="D21" s="47">
        <v>629.49600000000009</v>
      </c>
      <c r="E21" s="48"/>
      <c r="F21" s="90"/>
      <c r="M21" t="s">
        <v>206</v>
      </c>
      <c r="N21" s="34" t="s">
        <v>42</v>
      </c>
    </row>
    <row r="22" spans="1:14" x14ac:dyDescent="0.25">
      <c r="A22" t="s">
        <v>46</v>
      </c>
      <c r="B22" s="34" t="s">
        <v>95</v>
      </c>
      <c r="C22" s="34">
        <v>980</v>
      </c>
      <c r="D22" s="47">
        <v>734.41200000000003</v>
      </c>
      <c r="E22" s="48"/>
      <c r="F22" s="90"/>
      <c r="M22" t="s">
        <v>207</v>
      </c>
      <c r="N22" s="34" t="s">
        <v>155</v>
      </c>
    </row>
    <row r="23" spans="1:14" x14ac:dyDescent="0.25">
      <c r="A23" t="s">
        <v>46</v>
      </c>
      <c r="B23" s="34" t="s">
        <v>208</v>
      </c>
      <c r="C23" s="34">
        <v>482</v>
      </c>
      <c r="D23" s="47">
        <v>361.21080000000001</v>
      </c>
      <c r="E23" s="48" t="s">
        <v>196</v>
      </c>
      <c r="F23" s="90"/>
      <c r="M23" t="s">
        <v>53</v>
      </c>
      <c r="N23" s="34" t="s">
        <v>54</v>
      </c>
    </row>
    <row r="24" spans="1:14" x14ac:dyDescent="0.25">
      <c r="A24" t="s">
        <v>46</v>
      </c>
      <c r="B24" s="34" t="s">
        <v>139</v>
      </c>
      <c r="C24" s="34">
        <v>689</v>
      </c>
      <c r="D24" s="47">
        <v>516.33660000000009</v>
      </c>
      <c r="E24" s="48" t="s">
        <v>196</v>
      </c>
      <c r="F24" s="90"/>
      <c r="M24" t="s">
        <v>209</v>
      </c>
      <c r="N24" s="55" t="s">
        <v>54</v>
      </c>
    </row>
    <row r="25" spans="1:14" x14ac:dyDescent="0.25">
      <c r="A25" t="s">
        <v>46</v>
      </c>
      <c r="B25" s="34" t="s">
        <v>143</v>
      </c>
      <c r="C25" s="34">
        <v>892</v>
      </c>
      <c r="D25" s="47">
        <v>668.46480000000008</v>
      </c>
      <c r="E25" s="48" t="s">
        <v>196</v>
      </c>
      <c r="F25" s="90"/>
      <c r="M25" t="s">
        <v>57</v>
      </c>
      <c r="N25" s="34" t="s">
        <v>50</v>
      </c>
    </row>
    <row r="26" spans="1:14" x14ac:dyDescent="0.25">
      <c r="A26" t="s">
        <v>46</v>
      </c>
      <c r="B26" s="34" t="s">
        <v>147</v>
      </c>
      <c r="C26" s="34">
        <v>1301</v>
      </c>
      <c r="D26" s="47">
        <v>974.96940000000006</v>
      </c>
      <c r="E26" s="48"/>
      <c r="F26" s="90"/>
      <c r="M26" t="s">
        <v>64</v>
      </c>
      <c r="N26" s="34" t="s">
        <v>65</v>
      </c>
    </row>
    <row r="27" spans="1:14" x14ac:dyDescent="0.25">
      <c r="A27" t="s">
        <v>46</v>
      </c>
      <c r="B27" s="34" t="s">
        <v>151</v>
      </c>
      <c r="C27" s="34">
        <v>1686</v>
      </c>
      <c r="D27" s="47">
        <v>1263.4884000000002</v>
      </c>
      <c r="E27" s="48"/>
      <c r="F27" s="90"/>
      <c r="M27" t="s">
        <v>72</v>
      </c>
      <c r="N27" s="34" t="s">
        <v>73</v>
      </c>
    </row>
    <row r="28" spans="1:14" x14ac:dyDescent="0.25">
      <c r="A28" t="s">
        <v>46</v>
      </c>
      <c r="B28" s="34" t="s">
        <v>210</v>
      </c>
      <c r="C28" s="34">
        <v>2046</v>
      </c>
      <c r="D28" s="47">
        <v>1533.2724000000001</v>
      </c>
      <c r="E28" s="48"/>
      <c r="F28" s="90"/>
      <c r="M28" t="s">
        <v>80</v>
      </c>
      <c r="N28" s="34" t="s">
        <v>81</v>
      </c>
    </row>
    <row r="29" spans="1:14" x14ac:dyDescent="0.25">
      <c r="A29" t="s">
        <v>46</v>
      </c>
      <c r="B29" s="34" t="s">
        <v>155</v>
      </c>
      <c r="C29" s="34">
        <v>2310</v>
      </c>
      <c r="D29" s="47">
        <v>1731.1140000000003</v>
      </c>
      <c r="E29" s="48"/>
      <c r="F29" s="90"/>
      <c r="M29" t="s">
        <v>88</v>
      </c>
      <c r="N29" s="34" t="s">
        <v>89</v>
      </c>
    </row>
    <row r="30" spans="1:14" x14ac:dyDescent="0.25">
      <c r="A30" t="s">
        <v>46</v>
      </c>
      <c r="B30" s="34" t="s">
        <v>159</v>
      </c>
      <c r="C30" s="34">
        <v>2800</v>
      </c>
      <c r="D30" s="47">
        <v>2098.3200000000002</v>
      </c>
      <c r="E30" s="48" t="s">
        <v>196</v>
      </c>
      <c r="F30" s="90"/>
      <c r="M30" t="s">
        <v>94</v>
      </c>
      <c r="N30" s="34" t="s">
        <v>95</v>
      </c>
    </row>
    <row r="31" spans="1:14" x14ac:dyDescent="0.25">
      <c r="A31" t="s">
        <v>46</v>
      </c>
      <c r="B31" s="34" t="s">
        <v>42</v>
      </c>
      <c r="C31" s="34">
        <v>125</v>
      </c>
      <c r="D31" s="47">
        <v>93.675000000000011</v>
      </c>
      <c r="F31" s="90"/>
      <c r="M31" t="s">
        <v>211</v>
      </c>
      <c r="N31" s="34" t="s">
        <v>212</v>
      </c>
    </row>
    <row r="32" spans="1:14" x14ac:dyDescent="0.25">
      <c r="A32" t="s">
        <v>46</v>
      </c>
      <c r="B32" s="34" t="s">
        <v>213</v>
      </c>
      <c r="C32" s="34">
        <v>206.25</v>
      </c>
      <c r="D32" s="47">
        <v>154.56375000000003</v>
      </c>
      <c r="E32" s="56" t="s">
        <v>196</v>
      </c>
      <c r="F32" s="90"/>
      <c r="M32" t="s">
        <v>214</v>
      </c>
      <c r="N32" s="34" t="s">
        <v>212</v>
      </c>
    </row>
    <row r="33" spans="1:14" x14ac:dyDescent="0.25">
      <c r="M33" t="s">
        <v>215</v>
      </c>
      <c r="N33" s="34" t="s">
        <v>25</v>
      </c>
    </row>
    <row r="34" spans="1:14" x14ac:dyDescent="0.25">
      <c r="D34" s="56" t="s">
        <v>216</v>
      </c>
      <c r="M34" t="s">
        <v>30</v>
      </c>
      <c r="N34" s="34" t="s">
        <v>31</v>
      </c>
    </row>
    <row r="35" spans="1:14" x14ac:dyDescent="0.25">
      <c r="M35" t="s">
        <v>34</v>
      </c>
      <c r="N35" s="34" t="s">
        <v>35</v>
      </c>
    </row>
    <row r="36" spans="1:14" x14ac:dyDescent="0.25">
      <c r="M36" t="s">
        <v>217</v>
      </c>
      <c r="N36" s="34" t="s">
        <v>38</v>
      </c>
    </row>
    <row r="39" spans="1:14" x14ac:dyDescent="0.25">
      <c r="A39" s="3" t="s">
        <v>218</v>
      </c>
      <c r="B39" s="57" t="s">
        <v>219</v>
      </c>
      <c r="C39" s="57" t="s">
        <v>220</v>
      </c>
      <c r="D39" s="50"/>
      <c r="E39" s="50"/>
      <c r="F39" s="139" t="s">
        <v>221</v>
      </c>
      <c r="G39" s="139"/>
      <c r="H39" s="50"/>
      <c r="I39" s="50"/>
    </row>
    <row r="40" spans="1:14" x14ac:dyDescent="0.25">
      <c r="A40" s="58" t="s">
        <v>222</v>
      </c>
      <c r="B40" s="59">
        <v>53.26</v>
      </c>
      <c r="C40" s="60">
        <f>B40/2000</f>
        <v>2.6629999999999997E-2</v>
      </c>
      <c r="D40" s="50"/>
      <c r="E40" s="50"/>
      <c r="F40" s="50" t="s">
        <v>223</v>
      </c>
      <c r="G40" s="91">
        <f>0.015</f>
        <v>1.4999999999999999E-2</v>
      </c>
      <c r="H40" s="50"/>
      <c r="I40" s="50"/>
    </row>
    <row r="41" spans="1:14" x14ac:dyDescent="0.25">
      <c r="A41" s="58" t="s">
        <v>224</v>
      </c>
      <c r="B41" s="61">
        <v>54.72</v>
      </c>
      <c r="C41" s="62">
        <f>B41/2000</f>
        <v>2.7359999999999999E-2</v>
      </c>
      <c r="D41" s="50"/>
      <c r="E41" s="50"/>
      <c r="F41" s="50" t="s">
        <v>225</v>
      </c>
      <c r="G41" s="63">
        <f>0.0051</f>
        <v>5.1000000000000004E-3</v>
      </c>
      <c r="H41" s="50"/>
      <c r="I41" s="50"/>
    </row>
    <row r="42" spans="1:14" x14ac:dyDescent="0.25">
      <c r="A42" s="34" t="s">
        <v>16</v>
      </c>
      <c r="B42" s="59">
        <f>B41-B40</f>
        <v>1.4600000000000009</v>
      </c>
      <c r="C42" s="64">
        <f>C41-C40</f>
        <v>7.3000000000000148E-4</v>
      </c>
      <c r="D42" s="50"/>
      <c r="E42" s="50"/>
      <c r="F42" s="50" t="s">
        <v>226</v>
      </c>
      <c r="G42" s="65"/>
      <c r="H42" s="50"/>
      <c r="I42" s="50"/>
    </row>
    <row r="43" spans="1:14" x14ac:dyDescent="0.25">
      <c r="A43" s="50"/>
      <c r="B43" s="50"/>
      <c r="C43" s="50"/>
      <c r="D43" s="50"/>
      <c r="E43" s="50"/>
      <c r="F43" s="50" t="s">
        <v>44</v>
      </c>
      <c r="G43" s="66">
        <f>SUM(G40:G42)</f>
        <v>2.01E-2</v>
      </c>
      <c r="H43" s="50"/>
      <c r="I43" s="50"/>
    </row>
    <row r="44" spans="1:14" x14ac:dyDescent="0.25">
      <c r="A44" s="50"/>
      <c r="B44" s="67" t="s">
        <v>227</v>
      </c>
      <c r="C44" s="50"/>
      <c r="D44" s="50"/>
      <c r="E44" s="50"/>
      <c r="F44" s="50"/>
      <c r="G44" s="50"/>
      <c r="H44" s="50"/>
      <c r="I44" s="50"/>
    </row>
    <row r="45" spans="1:14" x14ac:dyDescent="0.25">
      <c r="A45" s="50" t="s">
        <v>228</v>
      </c>
      <c r="B45" s="68">
        <f>B42</f>
        <v>1.4600000000000009</v>
      </c>
      <c r="C45" s="50"/>
      <c r="D45" s="50"/>
      <c r="E45" s="50"/>
      <c r="F45" s="50" t="s">
        <v>229</v>
      </c>
      <c r="G45" s="69">
        <f>1-G43</f>
        <v>0.97989999999999999</v>
      </c>
      <c r="H45" s="50"/>
      <c r="I45" s="50"/>
    </row>
    <row r="46" spans="1:14" x14ac:dyDescent="0.25">
      <c r="A46" s="50" t="s">
        <v>230</v>
      </c>
      <c r="B46" s="68">
        <f>B45/$G$45</f>
        <v>1.4899479538728451</v>
      </c>
      <c r="C46" s="50"/>
      <c r="D46" s="50"/>
      <c r="E46" s="50"/>
      <c r="F46" s="50"/>
      <c r="G46" s="50"/>
      <c r="H46" s="50"/>
      <c r="I46" s="50"/>
    </row>
    <row r="47" spans="1:14" x14ac:dyDescent="0.25">
      <c r="A47" s="50" t="s">
        <v>231</v>
      </c>
      <c r="B47" s="70">
        <f>'Tonnage Summary'!C2</f>
        <v>7321.8417845646463</v>
      </c>
      <c r="C47" s="50"/>
      <c r="D47" s="50"/>
      <c r="E47" s="50"/>
      <c r="F47" s="50"/>
      <c r="G47" s="50"/>
      <c r="H47" s="50"/>
      <c r="I47" s="50"/>
    </row>
    <row r="48" spans="1:14" x14ac:dyDescent="0.25">
      <c r="A48" s="71" t="s">
        <v>232</v>
      </c>
      <c r="B48" s="72">
        <f>B46*B47</f>
        <v>10909.163185492795</v>
      </c>
      <c r="C48" s="50"/>
      <c r="D48" s="50"/>
      <c r="E48" s="50"/>
      <c r="F48" s="50"/>
      <c r="G48" s="50"/>
      <c r="H48" s="50"/>
      <c r="I48" s="50"/>
    </row>
    <row r="49" spans="1:9" x14ac:dyDescent="0.25">
      <c r="A49" s="50"/>
      <c r="B49" s="50"/>
      <c r="C49" s="50"/>
      <c r="D49" s="50"/>
      <c r="E49" s="50"/>
      <c r="F49" s="50"/>
      <c r="G49" s="50"/>
      <c r="H49" s="50"/>
      <c r="I49" s="50"/>
    </row>
    <row r="50" spans="1:9" x14ac:dyDescent="0.25">
      <c r="A50" s="50"/>
      <c r="B50" s="50"/>
      <c r="C50" s="50"/>
      <c r="D50" s="50"/>
      <c r="E50" s="50"/>
      <c r="F50" s="50"/>
      <c r="G50" s="50"/>
      <c r="H50" s="50"/>
      <c r="I50" s="50"/>
    </row>
    <row r="51" spans="1:9" ht="15.75" thickBot="1" x14ac:dyDescent="0.3">
      <c r="A51" s="50"/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73" t="s">
        <v>233</v>
      </c>
      <c r="B52" s="74" t="s">
        <v>234</v>
      </c>
      <c r="C52" s="50"/>
      <c r="D52" s="68"/>
      <c r="E52" s="50"/>
      <c r="F52" s="50"/>
      <c r="G52" s="50"/>
      <c r="H52" s="50"/>
      <c r="I52" s="50"/>
    </row>
    <row r="53" spans="1:9" x14ac:dyDescent="0.25">
      <c r="A53" s="75" t="s">
        <v>235</v>
      </c>
      <c r="B53" s="76">
        <f>'EDS_Disp &amp; B&amp;O Increase Calc'!U45</f>
        <v>10909.163185492913</v>
      </c>
      <c r="C53" s="50"/>
      <c r="D53" s="50"/>
      <c r="E53" s="50"/>
      <c r="F53" s="50"/>
      <c r="G53" s="50"/>
      <c r="H53" s="50"/>
      <c r="I53" s="50"/>
    </row>
    <row r="54" spans="1:9" ht="15.75" thickBot="1" x14ac:dyDescent="0.3">
      <c r="A54" s="103" t="s">
        <v>236</v>
      </c>
      <c r="B54" s="77">
        <f>B53-B48</f>
        <v>1.1823431123048067E-10</v>
      </c>
      <c r="C54" s="50"/>
      <c r="D54" s="50"/>
      <c r="E54" s="50"/>
      <c r="F54" s="50"/>
      <c r="G54" s="50"/>
      <c r="H54" s="50"/>
      <c r="I54" s="50"/>
    </row>
    <row r="55" spans="1:9" x14ac:dyDescent="0.25">
      <c r="A55" s="75"/>
      <c r="B55" s="50"/>
      <c r="C55" s="50"/>
      <c r="D55" s="50"/>
      <c r="E55" s="50"/>
      <c r="F55" s="50"/>
      <c r="G55" s="50"/>
      <c r="H55" s="50"/>
      <c r="I55" s="50"/>
    </row>
    <row r="56" spans="1:9" x14ac:dyDescent="0.25">
      <c r="A56" s="50"/>
      <c r="B56" s="50"/>
      <c r="C56" s="50"/>
      <c r="D56" s="50"/>
      <c r="E56" s="50"/>
      <c r="F56" s="50"/>
    </row>
    <row r="57" spans="1:9" x14ac:dyDescent="0.25">
      <c r="A57" s="50"/>
      <c r="B57" s="50"/>
      <c r="C57" s="50"/>
      <c r="D57" s="50"/>
      <c r="E57" s="50"/>
      <c r="F57" s="50"/>
    </row>
    <row r="58" spans="1:9" x14ac:dyDescent="0.25">
      <c r="A58" s="50"/>
      <c r="B58" s="50"/>
      <c r="C58" s="50"/>
      <c r="D58" s="50"/>
      <c r="E58" s="50"/>
      <c r="F58" s="50"/>
    </row>
  </sheetData>
  <mergeCells count="3">
    <mergeCell ref="M1:T1"/>
    <mergeCell ref="M13:N13"/>
    <mergeCell ref="F39:G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2"/>
  <sheetViews>
    <sheetView tabSelected="1" workbookViewId="0">
      <selection activeCell="L13" sqref="L13:L16"/>
    </sheetView>
  </sheetViews>
  <sheetFormatPr defaultRowHeight="15" x14ac:dyDescent="0.25"/>
  <cols>
    <col min="1" max="1" width="22.5703125" customWidth="1"/>
    <col min="7" max="7" width="2.28515625" customWidth="1"/>
    <col min="9" max="9" width="2.28515625" customWidth="1"/>
    <col min="11" max="11" width="2.28515625" customWidth="1"/>
    <col min="15" max="15" width="12" customWidth="1"/>
    <col min="16" max="16" width="12.5703125" bestFit="1" customWidth="1"/>
    <col min="17" max="17" width="2.28515625" customWidth="1"/>
    <col min="18" max="18" width="12.5703125" bestFit="1" customWidth="1"/>
    <col min="19" max="19" width="1.5703125" customWidth="1"/>
    <col min="20" max="20" width="9.7109375" customWidth="1"/>
    <col min="21" max="21" width="1.85546875" customWidth="1"/>
    <col min="22" max="22" width="12.7109375" customWidth="1"/>
    <col min="23" max="23" width="9" bestFit="1" customWidth="1"/>
    <col min="24" max="24" width="1.28515625" customWidth="1"/>
  </cols>
  <sheetData>
    <row r="1" spans="1:25" ht="18.75" x14ac:dyDescent="0.3">
      <c r="A1" s="140" t="s">
        <v>237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N1" s="118"/>
      <c r="O1" s="142" t="s">
        <v>237</v>
      </c>
      <c r="P1" s="142"/>
      <c r="Q1" s="142"/>
      <c r="R1" s="142"/>
      <c r="S1" s="142"/>
      <c r="T1" s="142"/>
      <c r="U1" s="142"/>
      <c r="V1" s="142"/>
      <c r="W1" s="124"/>
      <c r="X1" s="116"/>
      <c r="Y1" s="116"/>
    </row>
    <row r="2" spans="1:25" ht="18.75" x14ac:dyDescent="0.3">
      <c r="A2" s="140" t="s">
        <v>238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N2" s="118"/>
      <c r="O2" s="142" t="s">
        <v>238</v>
      </c>
      <c r="P2" s="142"/>
      <c r="Q2" s="142"/>
      <c r="R2" s="142"/>
      <c r="S2" s="142"/>
      <c r="T2" s="142"/>
      <c r="U2" s="142"/>
      <c r="V2" s="142"/>
      <c r="W2" s="124"/>
      <c r="X2" s="116"/>
      <c r="Y2" s="116"/>
    </row>
    <row r="3" spans="1:25" ht="18.75" x14ac:dyDescent="0.3">
      <c r="A3" s="141">
        <v>44197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N3" s="118"/>
      <c r="O3" s="143">
        <v>44197</v>
      </c>
      <c r="P3" s="143"/>
      <c r="Q3" s="143"/>
      <c r="R3" s="143"/>
      <c r="S3" s="143"/>
      <c r="T3" s="143"/>
      <c r="U3" s="143"/>
      <c r="V3" s="143"/>
      <c r="W3" s="125"/>
      <c r="X3" s="117"/>
      <c r="Y3" s="117"/>
    </row>
    <row r="4" spans="1:25" ht="18.75" x14ac:dyDescent="0.3">
      <c r="A4" s="140" t="s">
        <v>239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N4" s="118"/>
      <c r="O4" s="142" t="s">
        <v>255</v>
      </c>
      <c r="P4" s="142"/>
      <c r="Q4" s="142"/>
      <c r="R4" s="142"/>
      <c r="S4" s="142"/>
      <c r="T4" s="142"/>
      <c r="U4" s="142"/>
      <c r="V4" s="142"/>
      <c r="W4" s="124"/>
      <c r="X4" s="116"/>
      <c r="Y4" s="116"/>
    </row>
    <row r="5" spans="1:25" x14ac:dyDescent="0.25"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5" x14ac:dyDescent="0.25">
      <c r="F6" s="1" t="s">
        <v>240</v>
      </c>
      <c r="G6" s="1"/>
      <c r="H6" s="1" t="s">
        <v>241</v>
      </c>
      <c r="I6" s="1"/>
      <c r="J6" s="1" t="s">
        <v>16</v>
      </c>
      <c r="L6" s="1" t="s">
        <v>16</v>
      </c>
      <c r="N6" s="118"/>
      <c r="O6" s="118"/>
      <c r="P6" s="119" t="s">
        <v>242</v>
      </c>
      <c r="Q6" s="119"/>
      <c r="R6" s="119" t="s">
        <v>242</v>
      </c>
      <c r="S6" s="119"/>
      <c r="T6" s="119" t="s">
        <v>16</v>
      </c>
      <c r="U6" s="118"/>
      <c r="V6" s="119" t="s">
        <v>16</v>
      </c>
      <c r="W6" s="118"/>
    </row>
    <row r="7" spans="1:25" x14ac:dyDescent="0.25">
      <c r="F7" s="1" t="s">
        <v>242</v>
      </c>
      <c r="G7" s="1"/>
      <c r="H7" s="1" t="s">
        <v>242</v>
      </c>
      <c r="I7" s="1"/>
      <c r="J7" s="1" t="s">
        <v>243</v>
      </c>
      <c r="L7" s="1" t="s">
        <v>244</v>
      </c>
      <c r="N7" s="118"/>
      <c r="O7" s="118"/>
      <c r="P7" s="119" t="s">
        <v>271</v>
      </c>
      <c r="Q7" s="119"/>
      <c r="R7" s="119" t="s">
        <v>272</v>
      </c>
      <c r="S7" s="119"/>
      <c r="T7" s="119" t="s">
        <v>243</v>
      </c>
      <c r="U7" s="118"/>
      <c r="V7" s="119" t="s">
        <v>244</v>
      </c>
      <c r="W7" s="118"/>
    </row>
    <row r="8" spans="1:25" x14ac:dyDescent="0.25">
      <c r="A8" t="s">
        <v>245</v>
      </c>
      <c r="F8" s="26">
        <f>'EDS_Disp &amp; B&amp;O Increase Calc'!S13</f>
        <v>1219145.5450000002</v>
      </c>
      <c r="H8" s="26">
        <f>'EDS_Disp &amp; B&amp;O Increase Calc'!T13</f>
        <v>1227990.325314645</v>
      </c>
      <c r="J8" s="26">
        <f>+H8-F8</f>
        <v>8844.7803146447986</v>
      </c>
      <c r="L8" s="78">
        <f>+H8/F8-1</f>
        <v>7.2549010665046154E-3</v>
      </c>
      <c r="N8" s="118"/>
      <c r="O8" s="118" t="s">
        <v>27</v>
      </c>
      <c r="P8" s="120">
        <f>H8</f>
        <v>1227990.325314645</v>
      </c>
      <c r="Q8" s="120"/>
      <c r="R8" s="120">
        <f>'EDS_Disp &amp; B&amp;O Increase Calc'!Y13</f>
        <v>1231067.9953029021</v>
      </c>
      <c r="S8" s="121"/>
      <c r="T8" s="120">
        <f>R8-P8</f>
        <v>3077.669988257112</v>
      </c>
      <c r="U8" s="118"/>
      <c r="V8" s="126">
        <f t="shared" ref="V8:V10" si="0">R8/P8-1</f>
        <v>2.5062656641603454E-3</v>
      </c>
      <c r="W8" s="118"/>
    </row>
    <row r="9" spans="1:25" x14ac:dyDescent="0.25">
      <c r="A9" t="s">
        <v>246</v>
      </c>
      <c r="F9" s="26">
        <f>'EDS_Disp &amp; B&amp;O Increase Calc'!S44</f>
        <v>261865.68780000001</v>
      </c>
      <c r="H9" s="26">
        <f>'EDS_Disp &amp; B&amp;O Increase Calc'!T44</f>
        <v>263930.07067084813</v>
      </c>
      <c r="J9" s="26">
        <f>+H9-F9</f>
        <v>2064.382870848116</v>
      </c>
      <c r="L9" s="78">
        <f>+H9/F9-1</f>
        <v>7.8833652785574859E-3</v>
      </c>
      <c r="M9" s="52"/>
      <c r="N9" s="118"/>
      <c r="O9" s="118" t="s">
        <v>46</v>
      </c>
      <c r="P9" s="120">
        <f t="shared" ref="P9:P10" si="1">H9</f>
        <v>263930.07067084813</v>
      </c>
      <c r="Q9" s="122"/>
      <c r="R9" s="122">
        <f>'EDS_Disp &amp; B&amp;O Increase Calc'!Y44</f>
        <v>264591.266837943</v>
      </c>
      <c r="S9" s="118"/>
      <c r="T9" s="120">
        <f t="shared" ref="T9:T10" si="2">R9-P9</f>
        <v>661.19616709486581</v>
      </c>
      <c r="U9" s="118"/>
      <c r="V9" s="126">
        <f t="shared" si="0"/>
        <v>2.5051945214664695E-3</v>
      </c>
      <c r="W9" s="118"/>
    </row>
    <row r="10" spans="1:25" x14ac:dyDescent="0.25">
      <c r="A10" t="s">
        <v>247</v>
      </c>
      <c r="B10" s="26">
        <f>'Tonnage Summary'!$C$3</f>
        <v>2984.2135544971202</v>
      </c>
      <c r="F10" s="79">
        <f>$B$10*D20</f>
        <v>158939.21391251663</v>
      </c>
      <c r="G10" s="26"/>
      <c r="H10" s="79">
        <f>B10*D21</f>
        <v>163296.16570208242</v>
      </c>
      <c r="J10" s="79">
        <f>+H10-F10</f>
        <v>4356.9517895657918</v>
      </c>
      <c r="L10" s="80">
        <f>+H10/F10-1</f>
        <v>2.7412692452121634E-2</v>
      </c>
      <c r="N10" s="118"/>
      <c r="O10" s="123" t="s">
        <v>266</v>
      </c>
      <c r="P10" s="70">
        <f t="shared" si="1"/>
        <v>163296.16570208242</v>
      </c>
      <c r="Q10" s="122"/>
      <c r="R10" s="114">
        <f>H10</f>
        <v>163296.16570208242</v>
      </c>
      <c r="S10" s="118"/>
      <c r="T10" s="70">
        <f t="shared" si="2"/>
        <v>0</v>
      </c>
      <c r="U10" s="118"/>
      <c r="V10" s="115">
        <f t="shared" si="0"/>
        <v>0</v>
      </c>
      <c r="W10" s="118"/>
    </row>
    <row r="11" spans="1:25" x14ac:dyDescent="0.25">
      <c r="F11" s="26">
        <f>SUM(F8:F10)</f>
        <v>1639950.4467125167</v>
      </c>
      <c r="G11" s="26"/>
      <c r="H11" s="26">
        <f>SUM(H8:H10)</f>
        <v>1655216.5616875754</v>
      </c>
      <c r="I11" s="26"/>
      <c r="J11" s="26">
        <f>SUM(J8:J10)</f>
        <v>15266.114975058706</v>
      </c>
      <c r="L11" s="78">
        <f>+H11/F11-1</f>
        <v>9.3088879640610411E-3</v>
      </c>
      <c r="N11" s="118"/>
      <c r="O11" s="118"/>
      <c r="P11" s="122">
        <f>SUM(P8:P10)</f>
        <v>1655216.5616875754</v>
      </c>
      <c r="Q11" s="122"/>
      <c r="R11" s="122">
        <f>SUM(R8:R10)</f>
        <v>1658955.4278429274</v>
      </c>
      <c r="S11" s="118"/>
      <c r="T11" s="122">
        <f>SUM(T8:T10)</f>
        <v>3738.8661553519778</v>
      </c>
      <c r="U11" s="118"/>
      <c r="V11" s="126">
        <f>R11/P11-1</f>
        <v>2.2588380529131591E-3</v>
      </c>
      <c r="W11" s="118"/>
    </row>
    <row r="12" spans="1:25" x14ac:dyDescent="0.25"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5" x14ac:dyDescent="0.25">
      <c r="L13" s="78"/>
      <c r="N13" s="118"/>
      <c r="O13" s="118"/>
      <c r="P13" s="118"/>
      <c r="Q13" s="118"/>
      <c r="R13" s="118"/>
      <c r="S13" s="118"/>
      <c r="T13" s="118"/>
      <c r="U13" s="118"/>
      <c r="V13" s="126"/>
      <c r="W13" s="118"/>
    </row>
    <row r="14" spans="1:25" ht="18.75" x14ac:dyDescent="0.3">
      <c r="L14" s="78"/>
      <c r="P14" s="142" t="s">
        <v>267</v>
      </c>
      <c r="Q14" s="142"/>
      <c r="R14" s="142"/>
      <c r="S14" s="142"/>
      <c r="T14" s="142"/>
      <c r="U14" s="142"/>
      <c r="V14" s="142"/>
    </row>
    <row r="15" spans="1:25" x14ac:dyDescent="0.25">
      <c r="P15" s="1" t="s">
        <v>240</v>
      </c>
      <c r="Q15" s="1"/>
      <c r="R15" s="1" t="s">
        <v>268</v>
      </c>
      <c r="T15" t="s">
        <v>269</v>
      </c>
      <c r="V15" s="127" t="s">
        <v>270</v>
      </c>
    </row>
    <row r="16" spans="1:25" x14ac:dyDescent="0.25">
      <c r="L16" s="10"/>
      <c r="M16" s="49"/>
      <c r="O16" s="118" t="s">
        <v>27</v>
      </c>
      <c r="P16" s="113">
        <f>F8</f>
        <v>1219145.5450000002</v>
      </c>
      <c r="R16" s="109">
        <f>'EDS_Disp &amp; B&amp;O Increase Calc'!Y13</f>
        <v>1231067.9953029021</v>
      </c>
      <c r="T16" s="120">
        <f>R16-P16</f>
        <v>11922.450302901911</v>
      </c>
      <c r="V16" s="126">
        <f t="shared" ref="V16:V18" si="3">R16/P16-1</f>
        <v>9.7793494401046122E-3</v>
      </c>
    </row>
    <row r="17" spans="1:22" x14ac:dyDescent="0.25">
      <c r="A17" t="s">
        <v>248</v>
      </c>
      <c r="M17" s="49"/>
      <c r="O17" s="118" t="s">
        <v>46</v>
      </c>
      <c r="P17" s="113">
        <f t="shared" ref="P17:P18" si="4">F9</f>
        <v>261865.68780000001</v>
      </c>
      <c r="R17" s="109">
        <f>'EDS_Disp &amp; B&amp;O Increase Calc'!Y44</f>
        <v>264591.266837943</v>
      </c>
      <c r="T17" s="120">
        <f t="shared" ref="T17:T18" si="5">R17-P17</f>
        <v>2725.5790379429818</v>
      </c>
      <c r="V17" s="126">
        <f t="shared" si="3"/>
        <v>1.0408309163530527E-2</v>
      </c>
    </row>
    <row r="18" spans="1:22" x14ac:dyDescent="0.25">
      <c r="M18" s="49"/>
      <c r="O18" s="123" t="s">
        <v>266</v>
      </c>
      <c r="P18" s="114">
        <f t="shared" si="4"/>
        <v>158939.21391251663</v>
      </c>
      <c r="R18" s="79">
        <f>H10</f>
        <v>163296.16570208242</v>
      </c>
      <c r="T18" s="70">
        <f t="shared" si="5"/>
        <v>4356.9517895657918</v>
      </c>
      <c r="V18" s="115">
        <f t="shared" si="3"/>
        <v>2.7412692452121634E-2</v>
      </c>
    </row>
    <row r="19" spans="1:22" x14ac:dyDescent="0.25">
      <c r="A19" s="81" t="s">
        <v>249</v>
      </c>
      <c r="D19" s="82" t="s">
        <v>219</v>
      </c>
      <c r="P19" s="113">
        <f>SUM(P16:P18)</f>
        <v>1639950.4467125167</v>
      </c>
      <c r="R19" s="113">
        <f>SUM(R16:R18)</f>
        <v>1658955.4278429274</v>
      </c>
      <c r="T19" s="122">
        <f>R19-P19</f>
        <v>19004.981130410684</v>
      </c>
      <c r="V19" s="126">
        <f>R19/P19-1</f>
        <v>1.1588753287337772E-2</v>
      </c>
    </row>
    <row r="20" spans="1:22" x14ac:dyDescent="0.25">
      <c r="A20" s="83" t="s">
        <v>222</v>
      </c>
      <c r="D20" s="84">
        <f>References_EDS!B40</f>
        <v>53.26</v>
      </c>
    </row>
    <row r="21" spans="1:22" x14ac:dyDescent="0.25">
      <c r="A21" s="83" t="s">
        <v>224</v>
      </c>
      <c r="D21" s="85">
        <f>References_EDS!$B$41</f>
        <v>54.72</v>
      </c>
    </row>
    <row r="22" spans="1:22" x14ac:dyDescent="0.25">
      <c r="A22" s="86" t="s">
        <v>16</v>
      </c>
      <c r="D22" s="84">
        <f>D21-D20</f>
        <v>1.4600000000000009</v>
      </c>
    </row>
  </sheetData>
  <mergeCells count="9">
    <mergeCell ref="A1:L1"/>
    <mergeCell ref="A2:L2"/>
    <mergeCell ref="A3:L3"/>
    <mergeCell ref="A4:L4"/>
    <mergeCell ref="P14:V14"/>
    <mergeCell ref="O1:V1"/>
    <mergeCell ref="O2:V2"/>
    <mergeCell ref="O3:V3"/>
    <mergeCell ref="O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>
      <selection activeCell="B4" sqref="B4"/>
    </sheetView>
  </sheetViews>
  <sheetFormatPr defaultRowHeight="15" x14ac:dyDescent="0.25"/>
  <cols>
    <col min="1" max="1" width="12.5703125" customWidth="1"/>
  </cols>
  <sheetData>
    <row r="1" spans="1:4" x14ac:dyDescent="0.25">
      <c r="B1" s="87" t="s">
        <v>250</v>
      </c>
      <c r="C1" s="87" t="s">
        <v>251</v>
      </c>
      <c r="D1" s="87" t="s">
        <v>44</v>
      </c>
    </row>
    <row r="2" spans="1:4" x14ac:dyDescent="0.25">
      <c r="A2" s="88" t="s">
        <v>252</v>
      </c>
      <c r="B2" s="89">
        <v>13378.365901423074</v>
      </c>
      <c r="C2" s="89">
        <v>7321.8417845646463</v>
      </c>
      <c r="D2" s="89">
        <f>SUM(B2:C2)</f>
        <v>20700.20768598772</v>
      </c>
    </row>
    <row r="3" spans="1:4" x14ac:dyDescent="0.25">
      <c r="A3" s="88" t="s">
        <v>253</v>
      </c>
      <c r="B3" s="89">
        <v>21385.176175121844</v>
      </c>
      <c r="C3" s="89">
        <v>2984.2135544971202</v>
      </c>
      <c r="D3" s="89">
        <f>SUM(B3:C3)</f>
        <v>24369.389729618964</v>
      </c>
    </row>
    <row r="4" spans="1:4" x14ac:dyDescent="0.25">
      <c r="A4" s="88" t="s">
        <v>44</v>
      </c>
      <c r="B4" s="89">
        <f>SUM(B2:B3)</f>
        <v>34763.542076544916</v>
      </c>
      <c r="C4" s="89">
        <f>SUM(C2:C3)</f>
        <v>10306.055339061766</v>
      </c>
      <c r="D4" s="89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2021-11-11T08:00:00+00:00</OpenedDate>
    <SignificantOrder xmlns="dc463f71-b30c-4ab2-9473-d307f9d35888">false</SignificantOrder>
    <Date1 xmlns="dc463f71-b30c-4ab2-9473-d307f9d35888">2021-11-11T08:00:00+00:00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Ed's Disposal, Inc</CaseCompanyNames>
    <Nickname xmlns="http://schemas.microsoft.com/sharepoint/v3" xsi:nil="true"/>
    <DocketNumber xmlns="dc463f71-b30c-4ab2-9473-d307f9d35888">210889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46C0D8C5E2DF43B09AF50FE6C8729F" ma:contentTypeVersion="36" ma:contentTypeDescription="" ma:contentTypeScope="" ma:versionID="f6863f4c6179a6bfa320dc095fbe47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BF7DBE-DDAC-426A-BD1A-904E7F5443F2}"/>
</file>

<file path=customXml/itemProps2.xml><?xml version="1.0" encoding="utf-8"?>
<ds:datastoreItem xmlns:ds="http://schemas.openxmlformats.org/officeDocument/2006/customXml" ds:itemID="{06F70465-7178-4D04-A5DE-48A091F991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DA0F4-F0E0-4C6B-A396-5B15CF79D534}">
  <ds:schemaRefs>
    <ds:schemaRef ds:uri="dc463f71-b30c-4ab2-9473-d307f9d35888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3DC7A94-D664-4219-A566-B9E8D53E0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EDS_Disp &amp; B&amp;O Increase Calc</vt:lpstr>
      <vt:lpstr>References_EDS</vt:lpstr>
      <vt:lpstr>EDS_RevenueIncrease</vt:lpstr>
      <vt:lpstr>Tonnage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Francisco Alcala</cp:lastModifiedBy>
  <dcterms:created xsi:type="dcterms:W3CDTF">2018-10-24T22:23:50Z</dcterms:created>
  <dcterms:modified xsi:type="dcterms:W3CDTF">2021-11-11T22:15:53Z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0x0101006E56B4D1795A2E4DB2F0B01679ED314A005F46C0D8C5E2DF43B09AF50FE6C8729F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