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2D450299-CFEC-4E91-925B-18F193BA65BD}" xr6:coauthVersionLast="45" xr6:coauthVersionMax="45" xr10:uidLastSave="{00000000-0000-0000-0000-000000000000}"/>
  <bookViews>
    <workbookView xWindow="1170" yWindow="1170" windowWidth="21600" windowHeight="11385" xr2:uid="{00000000-000D-0000-FFFF-FFFF00000000}"/>
  </bookViews>
  <sheets>
    <sheet name="Power Supply Normalization" sheetId="6" r:id="rId1"/>
    <sheet name="Earnings Test Differences" sheetId="2" r:id="rId2"/>
    <sheet name="Earnings Test Calculation" sheetId="4" r:id="rId3"/>
  </sheets>
  <definedNames>
    <definedName name="_xlnm.Print_Area" localSheetId="2">'Earnings Test Calculation'!$A$1:$G$43</definedName>
    <definedName name="_xlnm.Print_Area" localSheetId="0">'Power Supply Normalization'!$A$1:$J$46</definedName>
    <definedName name="_xlnm.Print_Titles" localSheetId="0">'Power Supply Normalization'!$A:$A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6" l="1"/>
  <c r="E31" i="6"/>
  <c r="C30" i="6" l="1"/>
  <c r="E30" i="6"/>
  <c r="G13" i="6"/>
  <c r="G19" i="6"/>
  <c r="G15" i="6"/>
  <c r="G14" i="6"/>
  <c r="C8" i="6" l="1"/>
  <c r="F26" i="2" l="1"/>
  <c r="D26" i="2"/>
  <c r="N18" i="4" l="1"/>
  <c r="N20" i="4" s="1"/>
  <c r="N22" i="4" s="1"/>
  <c r="M18" i="4"/>
  <c r="M20" i="4" s="1"/>
  <c r="M22" i="4" s="1"/>
  <c r="N24" i="4" l="1"/>
  <c r="F19" i="4" s="1"/>
  <c r="M24" i="4"/>
  <c r="D19" i="4" s="1"/>
  <c r="G43" i="6" l="1"/>
  <c r="G39" i="6"/>
  <c r="G38" i="6"/>
  <c r="E43" i="6"/>
  <c r="E39" i="6"/>
  <c r="E38" i="6"/>
  <c r="C38" i="6"/>
  <c r="E26" i="6"/>
  <c r="C23" i="6"/>
  <c r="C22" i="6"/>
  <c r="C9" i="6"/>
  <c r="C10" i="6"/>
  <c r="C11" i="6"/>
  <c r="C12" i="6"/>
  <c r="C13" i="6"/>
  <c r="C39" i="6" s="1"/>
  <c r="C14" i="6"/>
  <c r="C43" i="6"/>
  <c r="E19" i="6" l="1"/>
  <c r="E21" i="6" s="1"/>
  <c r="E25" i="6" s="1"/>
  <c r="G21" i="6" l="1"/>
  <c r="J38" i="6"/>
  <c r="J43" i="6"/>
  <c r="G40" i="6"/>
  <c r="J39" i="6"/>
  <c r="E40" i="6"/>
  <c r="J40" i="6" l="1"/>
  <c r="G25" i="6"/>
  <c r="C19" i="6"/>
  <c r="C21" i="6" s="1"/>
  <c r="C25" i="6" s="1"/>
  <c r="C27" i="6" l="1"/>
  <c r="G34" i="6"/>
  <c r="G42" i="6" s="1"/>
  <c r="I38" i="6"/>
  <c r="I39" i="6"/>
  <c r="I43" i="6"/>
  <c r="C32" i="6" l="1"/>
  <c r="C34" i="6" s="1"/>
  <c r="D34" i="6" s="1"/>
  <c r="E32" i="6"/>
  <c r="E34" i="6" s="1"/>
  <c r="F34" i="6" s="1"/>
  <c r="G44" i="6"/>
  <c r="G46" i="6" s="1"/>
  <c r="C40" i="6"/>
  <c r="I40" i="6"/>
  <c r="C42" i="6" l="1"/>
  <c r="C44" i="6" s="1"/>
  <c r="C46" i="6" s="1"/>
  <c r="E42" i="6"/>
  <c r="I42" i="6" l="1"/>
  <c r="I44" i="6" s="1"/>
  <c r="I46" i="6" s="1"/>
  <c r="E44" i="6"/>
  <c r="E46" i="6" s="1"/>
  <c r="J42" i="6"/>
  <c r="J44" i="6" s="1"/>
  <c r="J46" i="6" s="1"/>
  <c r="F14" i="4"/>
  <c r="F16" i="4" s="1"/>
  <c r="G18" i="4" s="1"/>
  <c r="G20" i="4" s="1"/>
  <c r="D14" i="4"/>
  <c r="D16" i="4" s="1"/>
  <c r="D18" i="4" l="1"/>
  <c r="D20" i="4" s="1"/>
  <c r="D22" i="4" s="1"/>
  <c r="E18" i="4"/>
  <c r="E20" i="4" s="1"/>
  <c r="F18" i="4"/>
  <c r="F20" i="4" s="1"/>
  <c r="F22" i="4" s="1"/>
  <c r="F30" i="4"/>
  <c r="G26" i="4" s="1"/>
  <c r="D30" i="4"/>
  <c r="E26" i="4" s="1"/>
  <c r="D33" i="4" l="1"/>
  <c r="E33" i="4" s="1"/>
  <c r="F33" i="4"/>
  <c r="G33" i="4" s="1"/>
  <c r="E28" i="4"/>
  <c r="D34" i="4" s="1"/>
  <c r="E34" i="4" s="1"/>
  <c r="G28" i="4"/>
  <c r="F34" i="4" s="1"/>
  <c r="G34" i="4" s="1"/>
  <c r="D35" i="4" l="1"/>
  <c r="E35" i="4"/>
  <c r="E39" i="4" s="1"/>
  <c r="G35" i="4"/>
  <c r="G39" i="4" s="1"/>
  <c r="E30" i="4"/>
  <c r="F35" i="4"/>
  <c r="G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4" authorId="0" shapeId="0" xr:uid="{00000000-0006-0000-0100-000001000000}">
      <text>
        <r>
          <rPr>
            <b/>
            <sz val="9"/>
            <color indexed="81"/>
            <rFont val="Tahoma"/>
            <family val="2"/>
          </rPr>
          <t>Author:</t>
        </r>
        <r>
          <rPr>
            <sz val="9"/>
            <color indexed="81"/>
            <rFont val="Tahoma"/>
            <family val="2"/>
          </rPr>
          <t xml:space="preserve">
2019 Estimated sharing was $0.</t>
        </r>
      </text>
    </comment>
    <comment ref="F14" authorId="0" shapeId="0" xr:uid="{00000000-0006-0000-0100-000002000000}">
      <text>
        <r>
          <rPr>
            <b/>
            <sz val="9"/>
            <color indexed="81"/>
            <rFont val="Tahoma"/>
            <family val="2"/>
          </rPr>
          <t>tlk:</t>
        </r>
        <r>
          <rPr>
            <sz val="9"/>
            <color indexed="81"/>
            <rFont val="Tahoma"/>
            <family val="2"/>
          </rPr>
          <t xml:space="preserve">
2018 true-up entry made during 2019 was eliminated in CB Misc Adjustment.  2019 Estimated sharing was $0.</t>
        </r>
      </text>
    </comment>
  </commentList>
</comments>
</file>

<file path=xl/sharedStrings.xml><?xml version="1.0" encoding="utf-8"?>
<sst xmlns="http://schemas.openxmlformats.org/spreadsheetml/2006/main" count="132" uniqueCount="121">
  <si>
    <t>Decoupling Earnings Test</t>
  </si>
  <si>
    <t>Power Supply Normalization</t>
  </si>
  <si>
    <t>Normalize ERM Accounts to Allowed System Amounts Adjusted for Actual Loads</t>
  </si>
  <si>
    <t>Account 555 - Purchased Power</t>
  </si>
  <si>
    <t>Account 501 - Thermal Fuel</t>
  </si>
  <si>
    <t>Account 547 - Natural Gas Fuel</t>
  </si>
  <si>
    <t>Account 447 - Sales for Resale</t>
  </si>
  <si>
    <t>Account 565 - Transmission Expense</t>
  </si>
  <si>
    <t>Account 456 - Transmission Revenue</t>
  </si>
  <si>
    <t>Account 557 - Broker Fees</t>
  </si>
  <si>
    <t>Production/Transmission Ratio</t>
  </si>
  <si>
    <t>Washington Allocation</t>
  </si>
  <si>
    <t>Washington Authorized Sales (MWhs)</t>
  </si>
  <si>
    <t>Retail Revenue Credit at Authorized Sales</t>
  </si>
  <si>
    <t>Actual  Sales (MWhs)</t>
  </si>
  <si>
    <t>Load Difference</t>
  </si>
  <si>
    <t>CB Load Change Adjustment to Authorized</t>
  </si>
  <si>
    <t>Normalized Power Supply Cost</t>
  </si>
  <si>
    <t xml:space="preserve">ERM Accounts </t>
  </si>
  <si>
    <t>Retail Revenue Adjustment rate for Incremental Sales</t>
  </si>
  <si>
    <t>Actual</t>
  </si>
  <si>
    <t>Account 557 - Resource Opt Expense</t>
  </si>
  <si>
    <t>Account 456 - Resource Opt Revenue</t>
  </si>
  <si>
    <t>Total Washington ERM Cost</t>
  </si>
  <si>
    <t>Adjustment by Account Category</t>
  </si>
  <si>
    <t>Sales for Resale Revenue</t>
  </si>
  <si>
    <t>Other Operating Revenue</t>
  </si>
  <si>
    <t>Total Revenue</t>
  </si>
  <si>
    <t>Production &amp; Transmission Operating Expense</t>
  </si>
  <si>
    <t>Purchased Power</t>
  </si>
  <si>
    <t>Total Production &amp; Transmission Expense</t>
  </si>
  <si>
    <t>Income Before Tax</t>
  </si>
  <si>
    <t>Normalized</t>
  </si>
  <si>
    <t>Adjustment</t>
  </si>
  <si>
    <t>WA Decoupling Earnings Test</t>
  </si>
  <si>
    <t>Account 449100</t>
  </si>
  <si>
    <t>Account 456 - REC Sales</t>
  </si>
  <si>
    <t>Washington EIA REC Purchase/Sales</t>
  </si>
  <si>
    <t>Electric</t>
  </si>
  <si>
    <t>Natural Gas</t>
  </si>
  <si>
    <t>No adjustment to Gas Supply is necessary as cost of gas is 100% normalized through the gas cost deferral which is the amount accounted for by the decoupling mechanism.</t>
  </si>
  <si>
    <t>3.00</t>
  </si>
  <si>
    <t>Eliminate Weather Adjustment</t>
  </si>
  <si>
    <t>3.01</t>
  </si>
  <si>
    <t>Eliminate Provision for Earnings Test Refund</t>
  </si>
  <si>
    <t>Purpose of the Earnings Test is to determine sharing, it is necessary to eliminate the Provision for Rate Refund associated with the Company's estimate of the Decoupling Earnings Test Sharing</t>
  </si>
  <si>
    <t>Decoupling Normalized Power Cost</t>
  </si>
  <si>
    <t>3.02</t>
  </si>
  <si>
    <t>Adjustment Differences from WAC-480-100-257 and WAC-480-90-257 filings</t>
  </si>
  <si>
    <t>Commission Basis</t>
  </si>
  <si>
    <t>Earnings Tests</t>
  </si>
  <si>
    <t>Adjusted Actual</t>
  </si>
  <si>
    <t>Earnings Test PS</t>
  </si>
  <si>
    <t>Earnings Test Normalized</t>
  </si>
  <si>
    <t>Provision For Rate Refund</t>
  </si>
  <si>
    <t>Earnings Test does not include an adjustment for normal weather as the decoupling mechanism captures usage associated with weather.  Reverse Commission Basis Adjustment 2.10</t>
  </si>
  <si>
    <t>Avista Utilities</t>
  </si>
  <si>
    <t>Rate Base</t>
  </si>
  <si>
    <t>Net Income</t>
  </si>
  <si>
    <t xml:space="preserve">Calculated ROR </t>
  </si>
  <si>
    <t xml:space="preserve">Base ROR </t>
  </si>
  <si>
    <t>Excess ROR</t>
  </si>
  <si>
    <t>Excess Earnings</t>
  </si>
  <si>
    <t>Conversion Factor</t>
  </si>
  <si>
    <t>Excess Revenue (Excess Earnings/CF)</t>
  </si>
  <si>
    <t>Sharing %</t>
  </si>
  <si>
    <t>Residential Revenue</t>
  </si>
  <si>
    <t>Non-Residential Revenue</t>
  </si>
  <si>
    <t>Total Normalized Revenue</t>
  </si>
  <si>
    <t xml:space="preserve">  Residential</t>
  </si>
  <si>
    <t xml:space="preserve"> Non-Residential</t>
  </si>
  <si>
    <t>Total</t>
  </si>
  <si>
    <t>Additional Adjustments for Earnings Test Include:</t>
  </si>
  <si>
    <t xml:space="preserve">Decoupling Mechanism Earnings Test </t>
  </si>
  <si>
    <t xml:space="preserve">To ensure separation of the Decoupling Earnings Test Sharing from the Energy Recovery Mechanism Sharing without the possibility of double-counting, this adjustment restates variable Power Supply Costs to the amount accounted for by the decoupling mechanism with actual loads.  The Energy Recovery Mechanism provides for sharing power cost differences with customers. </t>
  </si>
  <si>
    <t>$000s</t>
  </si>
  <si>
    <t>AVISTA UTILITIES</t>
  </si>
  <si>
    <t>Power Supply</t>
  </si>
  <si>
    <t>Washington Settlement Adjustment</t>
  </si>
  <si>
    <t xml:space="preserve">Commission Basis PS </t>
  </si>
  <si>
    <t>Account 557 - REC Expenses (offset to REC Revenue)</t>
  </si>
  <si>
    <t>Washington Jurisdiction</t>
  </si>
  <si>
    <t>2017 Total Earnings Test Sharing</t>
  </si>
  <si>
    <t>Washington Direct Transmission Revenue</t>
  </si>
  <si>
    <t>Line No.</t>
  </si>
  <si>
    <t xml:space="preserve">Preliminary Earnings Test Sharing </t>
  </si>
  <si>
    <t>Gross Revenue Sharing</t>
  </si>
  <si>
    <t>Net of Revenue Related Expenses</t>
  </si>
  <si>
    <t>Revenue Conversion Factor</t>
  </si>
  <si>
    <t xml:space="preserve">Line </t>
  </si>
  <si>
    <t>No.</t>
  </si>
  <si>
    <t>Description</t>
  </si>
  <si>
    <t>Factor</t>
  </si>
  <si>
    <t>Revenues</t>
  </si>
  <si>
    <t>Expense:</t>
  </si>
  <si>
    <t xml:space="preserve">  Uncollectibles</t>
  </si>
  <si>
    <t xml:space="preserve">  Commission Fees</t>
  </si>
  <si>
    <t xml:space="preserve">  Washington Excise Tax</t>
  </si>
  <si>
    <t xml:space="preserve">    Total Expense</t>
  </si>
  <si>
    <t>Net Operating Income Before FIT</t>
  </si>
  <si>
    <t>REVENUE CONVERSION FACTOR</t>
  </si>
  <si>
    <t>Electric System</t>
  </si>
  <si>
    <t>Natural Gas System</t>
  </si>
  <si>
    <t>Final December Estimate Booked</t>
  </si>
  <si>
    <t xml:space="preserve">  Federal Income Tax @ 21%</t>
  </si>
  <si>
    <t>3.03</t>
  </si>
  <si>
    <t>Prior Period Property Tax Expense True-Up</t>
  </si>
  <si>
    <t>Production/Transmission/UG Storage</t>
  </si>
  <si>
    <t>Distribution</t>
  </si>
  <si>
    <t>Due to the timing of the final determination of prior year property taxes, the Company expenses an estimate during the property tax year with a true-up the following April when the actual expense is known. Commission Basis Property Tax Adjustment eliminated this normal true-up of prior year property tax expense to reflect only the current year estimate.  For purposes of earnings sharing it is appropriate to add back the prior year true-up in the current year earnings sharing determination in order to account for actual property taxes paid by the company that was not captured in the prior year earnings sharing.</t>
  </si>
  <si>
    <t>Final 2019 Earnings Sharing True-Up</t>
  </si>
  <si>
    <t>2020 Actual Loads</t>
  </si>
  <si>
    <t>12 Months Ended December 2020</t>
  </si>
  <si>
    <t>2019 Property Tax Expense True-Up</t>
  </si>
  <si>
    <t>2020 Deferrals</t>
  </si>
  <si>
    <r>
      <t xml:space="preserve">(1)  Revenue from 2020 normalized loads and customers at present billing rates, 
       electric rates effective since </t>
    </r>
    <r>
      <rPr>
        <sz val="11"/>
        <rFont val="Calibri"/>
        <family val="2"/>
        <scheme val="minor"/>
      </rPr>
      <t>4-1-2021</t>
    </r>
    <r>
      <rPr>
        <sz val="11"/>
        <color theme="1"/>
        <rFont val="Calibri"/>
        <family val="2"/>
        <scheme val="minor"/>
      </rPr>
      <t>, natural gas rates effective since</t>
    </r>
    <r>
      <rPr>
        <sz val="11"/>
        <rFont val="Calibri"/>
        <family val="2"/>
        <scheme val="minor"/>
      </rPr>
      <t xml:space="preserve"> 4-1-2021</t>
    </r>
    <r>
      <rPr>
        <sz val="11"/>
        <color theme="1"/>
        <rFont val="Calibri"/>
        <family val="2"/>
        <scheme val="minor"/>
      </rPr>
      <t>.</t>
    </r>
  </si>
  <si>
    <t>TWELVE MONTHS ENDED DECEMBER 31, 2020</t>
  </si>
  <si>
    <t>2020 Actual</t>
  </si>
  <si>
    <t>Revenue From 2020 Normalized Loads and Customers at Present Billing Rates (1)</t>
  </si>
  <si>
    <t>2020 Commission Basis Earnings Test for Decoupling</t>
  </si>
  <si>
    <t>March True-Up for 2020 Actual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</si>
</sst>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 numFmtId="167" formatCode="0.000000"/>
    <numFmt numFmtId="168" formatCode="&quot;$&quot;#,##0.00000"/>
  </numFmts>
  <fonts count="18">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name val="Geneva"/>
    </font>
    <font>
      <sz val="10"/>
      <name val="Arial"/>
      <family val="2"/>
    </font>
    <font>
      <sz val="10"/>
      <color rgb="FF0000FF"/>
      <name val="Arial"/>
      <family val="2"/>
    </font>
    <font>
      <sz val="10"/>
      <color rgb="FF0000FF"/>
      <name val="Geneva"/>
    </font>
    <font>
      <sz val="9"/>
      <color indexed="81"/>
      <name val="Tahoma"/>
      <family val="2"/>
    </font>
    <font>
      <b/>
      <sz val="9"/>
      <color indexed="81"/>
      <name val="Tahoma"/>
      <family val="2"/>
    </font>
    <font>
      <sz val="11"/>
      <color rgb="FF0070C0"/>
      <name val="Calibri"/>
      <family val="2"/>
      <scheme val="minor"/>
    </font>
    <font>
      <sz val="10"/>
      <name val="Times New Roman"/>
      <family val="1"/>
    </font>
    <font>
      <b/>
      <sz val="10"/>
      <name val="Times New Roman"/>
      <family val="1"/>
    </font>
    <font>
      <b/>
      <sz val="11"/>
      <color rgb="FF0070C0"/>
      <name val="Calibri"/>
      <family val="2"/>
      <scheme val="minor"/>
    </font>
    <font>
      <b/>
      <i/>
      <sz val="10"/>
      <name val="Times New Roman"/>
      <family val="1"/>
    </font>
    <font>
      <i/>
      <sz val="10"/>
      <name val="Times New Roman"/>
      <family val="1"/>
    </font>
    <font>
      <sz val="10"/>
      <color indexed="48"/>
      <name val="Times New Roman"/>
      <family val="1"/>
    </font>
    <font>
      <sz val="11"/>
      <name val="Calibri"/>
      <family val="2"/>
      <scheme val="minor"/>
    </font>
  </fonts>
  <fills count="2">
    <fill>
      <patternFill patternType="none"/>
    </fill>
    <fill>
      <patternFill patternType="gray125"/>
    </fill>
  </fills>
  <borders count="6">
    <border>
      <left/>
      <right/>
      <top/>
      <bottom/>
      <diagonal/>
    </border>
    <border>
      <left/>
      <right/>
      <top style="thin">
        <color indexed="64"/>
      </top>
      <bottom/>
      <diagonal/>
    </border>
    <border>
      <left style="double">
        <color rgb="FFFF0000"/>
      </left>
      <right style="double">
        <color rgb="FFFF0000"/>
      </right>
      <top style="double">
        <color rgb="FFFF0000"/>
      </top>
      <bottom style="double">
        <color rgb="FFFF0000"/>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5" fillId="0" borderId="0" applyFont="0" applyFill="0" applyBorder="0" applyAlignment="0" applyProtection="0"/>
  </cellStyleXfs>
  <cellXfs count="72">
    <xf numFmtId="0" fontId="0" fillId="0" borderId="0" xfId="0"/>
    <xf numFmtId="0" fontId="2" fillId="0" borderId="0" xfId="0" applyFont="1"/>
    <xf numFmtId="0" fontId="0" fillId="0" borderId="0" xfId="0" applyFill="1"/>
    <xf numFmtId="164" fontId="0" fillId="0" borderId="0" xfId="1" applyNumberFormat="1" applyFont="1"/>
    <xf numFmtId="164" fontId="0" fillId="0" borderId="1" xfId="1" applyNumberFormat="1" applyFont="1" applyBorder="1"/>
    <xf numFmtId="164" fontId="2" fillId="0" borderId="1" xfId="1" applyNumberFormat="1" applyFont="1" applyBorder="1"/>
    <xf numFmtId="3" fontId="4" fillId="0" borderId="0" xfId="4" applyNumberFormat="1" applyFill="1"/>
    <xf numFmtId="164" fontId="6" fillId="0" borderId="0" xfId="5" applyNumberFormat="1" applyFont="1" applyFill="1" applyAlignment="1">
      <alignment vertical="center"/>
    </xf>
    <xf numFmtId="164" fontId="2" fillId="0" borderId="0" xfId="1" applyNumberFormat="1" applyFont="1"/>
    <xf numFmtId="164" fontId="2" fillId="0" borderId="0" xfId="0" applyNumberFormat="1" applyFont="1"/>
    <xf numFmtId="44" fontId="0" fillId="0" borderId="0" xfId="2" applyFont="1"/>
    <xf numFmtId="0" fontId="0" fillId="0" borderId="0" xfId="0" applyAlignment="1">
      <alignment horizontal="center"/>
    </xf>
    <xf numFmtId="164" fontId="0" fillId="0" borderId="0" xfId="0" applyNumberFormat="1"/>
    <xf numFmtId="164" fontId="0" fillId="0" borderId="1" xfId="0" applyNumberFormat="1" applyBorder="1"/>
    <xf numFmtId="0" fontId="0" fillId="0" borderId="0" xfId="0" applyAlignment="1">
      <alignment horizontal="left" wrapText="1"/>
    </xf>
    <xf numFmtId="164" fontId="0" fillId="0" borderId="0" xfId="1" applyNumberFormat="1" applyFont="1" applyFill="1"/>
    <xf numFmtId="0" fontId="0" fillId="0" borderId="0" xfId="0" quotePrefix="1"/>
    <xf numFmtId="0" fontId="0" fillId="0" borderId="0" xfId="0" applyAlignment="1">
      <alignment horizontal="left"/>
    </xf>
    <xf numFmtId="0" fontId="0" fillId="0" borderId="0" xfId="0" applyAlignment="1">
      <alignment vertical="center"/>
    </xf>
    <xf numFmtId="166" fontId="0" fillId="0" borderId="0" xfId="0" applyNumberFormat="1"/>
    <xf numFmtId="10" fontId="0" fillId="0" borderId="0" xfId="3" applyNumberFormat="1" applyFont="1"/>
    <xf numFmtId="10" fontId="0" fillId="0" borderId="0" xfId="0" applyNumberFormat="1"/>
    <xf numFmtId="167" fontId="10" fillId="0" borderId="0" xfId="3" applyNumberFormat="1" applyFont="1" applyBorder="1"/>
    <xf numFmtId="9" fontId="0" fillId="0" borderId="0" xfId="0" applyNumberFormat="1"/>
    <xf numFmtId="166" fontId="2" fillId="0" borderId="2" xfId="0" applyNumberFormat="1" applyFont="1" applyBorder="1"/>
    <xf numFmtId="166" fontId="2" fillId="0" borderId="0" xfId="0" applyNumberFormat="1" applyFont="1" applyBorder="1"/>
    <xf numFmtId="168" fontId="0" fillId="0" borderId="0" xfId="0" applyNumberFormat="1"/>
    <xf numFmtId="0" fontId="0" fillId="0" borderId="0" xfId="0" applyAlignment="1">
      <alignment horizontal="center"/>
    </xf>
    <xf numFmtId="0" fontId="0" fillId="0" borderId="0" xfId="0" applyAlignment="1">
      <alignment vertical="top"/>
    </xf>
    <xf numFmtId="0" fontId="0" fillId="0" borderId="0" xfId="0" applyAlignment="1">
      <alignment horizontal="center" wrapText="1"/>
    </xf>
    <xf numFmtId="0" fontId="0" fillId="0" borderId="0" xfId="0" applyBorder="1"/>
    <xf numFmtId="44" fontId="0" fillId="0" borderId="0" xfId="0" applyNumberFormat="1"/>
    <xf numFmtId="166" fontId="0" fillId="0" borderId="0" xfId="2" applyNumberFormat="1" applyFont="1"/>
    <xf numFmtId="164" fontId="13" fillId="0" borderId="0" xfId="1" applyNumberFormat="1" applyFont="1"/>
    <xf numFmtId="0" fontId="0" fillId="0" borderId="0" xfId="0" applyAlignment="1">
      <alignment horizontal="center"/>
    </xf>
    <xf numFmtId="14" fontId="0" fillId="0" borderId="0" xfId="0" applyNumberFormat="1"/>
    <xf numFmtId="0" fontId="0" fillId="0" borderId="0" xfId="0" applyAlignment="1">
      <alignment horizontal="center"/>
    </xf>
    <xf numFmtId="0" fontId="0" fillId="0" borderId="0" xfId="0" applyAlignment="1">
      <alignment horizontal="center"/>
    </xf>
    <xf numFmtId="0" fontId="11" fillId="0" borderId="0" xfId="0" applyFont="1"/>
    <xf numFmtId="0" fontId="15" fillId="0" borderId="0" xfId="0" applyFont="1"/>
    <xf numFmtId="0" fontId="12" fillId="0" borderId="0" xfId="0" applyFont="1" applyAlignment="1">
      <alignment horizontal="center"/>
    </xf>
    <xf numFmtId="0" fontId="14" fillId="0" borderId="0" xfId="0" applyFont="1" applyBorder="1" applyAlignment="1">
      <alignment horizontal="center"/>
    </xf>
    <xf numFmtId="0" fontId="12" fillId="0" borderId="3" xfId="0" applyFont="1" applyBorder="1" applyAlignment="1">
      <alignment horizontal="center"/>
    </xf>
    <xf numFmtId="0" fontId="12" fillId="0" borderId="0" xfId="0" applyFont="1" applyBorder="1" applyAlignment="1">
      <alignment horizontal="center"/>
    </xf>
    <xf numFmtId="0" fontId="14" fillId="0" borderId="3" xfId="0" applyFont="1" applyBorder="1" applyAlignment="1">
      <alignment horizontal="center"/>
    </xf>
    <xf numFmtId="0" fontId="11" fillId="0" borderId="0" xfId="0" applyFont="1" applyAlignment="1">
      <alignment horizontal="center"/>
    </xf>
    <xf numFmtId="0" fontId="12" fillId="0" borderId="0" xfId="0" applyFont="1"/>
    <xf numFmtId="167" fontId="12" fillId="0" borderId="0" xfId="0" applyNumberFormat="1" applyFont="1"/>
    <xf numFmtId="167" fontId="11" fillId="0" borderId="0" xfId="0" applyNumberFormat="1" applyFont="1"/>
    <xf numFmtId="10" fontId="16" fillId="0" borderId="0" xfId="0" applyNumberFormat="1" applyFont="1"/>
    <xf numFmtId="167" fontId="15" fillId="0" borderId="4" xfId="0" applyNumberFormat="1" applyFont="1" applyBorder="1"/>
    <xf numFmtId="166" fontId="2" fillId="0" borderId="1" xfId="0" applyNumberFormat="1" applyFont="1" applyBorder="1"/>
    <xf numFmtId="0" fontId="0" fillId="0" borderId="0" xfId="0" applyAlignment="1">
      <alignment horizontal="center"/>
    </xf>
    <xf numFmtId="0" fontId="0" fillId="0" borderId="0" xfId="0" applyFont="1"/>
    <xf numFmtId="167" fontId="15" fillId="0" borderId="0" xfId="0" applyNumberFormat="1" applyFont="1" applyFill="1"/>
    <xf numFmtId="0" fontId="0" fillId="0" borderId="0" xfId="0" applyAlignment="1">
      <alignment horizontal="center"/>
    </xf>
    <xf numFmtId="164" fontId="2" fillId="0" borderId="1" xfId="0" applyNumberFormat="1" applyFont="1" applyBorder="1"/>
    <xf numFmtId="164" fontId="2" fillId="0" borderId="0" xfId="1" applyNumberFormat="1" applyFont="1" applyFill="1"/>
    <xf numFmtId="10" fontId="3" fillId="0" borderId="0" xfId="3" applyNumberFormat="1" applyFont="1" applyFill="1" applyBorder="1"/>
    <xf numFmtId="165" fontId="7" fillId="0" borderId="0" xfId="4" applyNumberFormat="1" applyFont="1" applyFill="1"/>
    <xf numFmtId="166" fontId="0" fillId="0" borderId="0" xfId="2" applyNumberFormat="1" applyFont="1" applyFill="1"/>
    <xf numFmtId="167" fontId="11" fillId="0" borderId="0" xfId="0" applyNumberFormat="1" applyFont="1" applyFill="1"/>
    <xf numFmtId="167" fontId="15" fillId="0" borderId="5" xfId="0" applyNumberFormat="1" applyFont="1" applyFill="1" applyBorder="1"/>
    <xf numFmtId="167" fontId="15" fillId="0" borderId="0" xfId="0" applyNumberFormat="1" applyFont="1" applyFill="1" applyBorder="1"/>
    <xf numFmtId="167" fontId="15" fillId="0" borderId="3" xfId="0" applyNumberFormat="1" applyFont="1" applyFill="1" applyBorder="1"/>
    <xf numFmtId="167" fontId="15" fillId="0" borderId="4" xfId="0" applyNumberFormat="1" applyFont="1" applyFill="1" applyBorder="1"/>
    <xf numFmtId="166" fontId="0" fillId="0" borderId="0" xfId="0" applyNumberFormat="1" applyFill="1"/>
    <xf numFmtId="0" fontId="0" fillId="0" borderId="0" xfId="0" applyAlignment="1">
      <alignment horizontal="justify" wrapText="1"/>
    </xf>
    <xf numFmtId="0" fontId="0" fillId="0" borderId="0" xfId="0" applyAlignment="1">
      <alignment horizontal="left" wrapText="1"/>
    </xf>
    <xf numFmtId="0" fontId="12"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6">
    <cellStyle name="Comma" xfId="1" builtinId="3"/>
    <cellStyle name="Comma 2" xfId="5" xr:uid="{00000000-0005-0000-0000-000001000000}"/>
    <cellStyle name="Currency" xfId="2" builtinId="4"/>
    <cellStyle name="Normal" xfId="0" builtinId="0"/>
    <cellStyle name="Normal 2" xfId="4"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46"/>
  <sheetViews>
    <sheetView tabSelected="1" topLeftCell="A19" zoomScaleNormal="100" workbookViewId="0">
      <selection activeCell="E47" sqref="E47"/>
    </sheetView>
  </sheetViews>
  <sheetFormatPr defaultRowHeight="15"/>
  <cols>
    <col min="1" max="1" width="41.42578125" customWidth="1"/>
    <col min="2" max="2" width="4.140625" customWidth="1"/>
    <col min="3" max="3" width="16.7109375" customWidth="1"/>
    <col min="4" max="4" width="7.85546875" customWidth="1"/>
    <col min="5" max="5" width="15.140625" customWidth="1"/>
    <col min="6" max="6" width="7.7109375" customWidth="1"/>
    <col min="7" max="7" width="13.5703125" customWidth="1"/>
    <col min="8" max="8" width="6.85546875" customWidth="1"/>
    <col min="9" max="9" width="12.85546875" customWidth="1"/>
    <col min="10" max="10" width="16.28515625" customWidth="1"/>
    <col min="11" max="11" width="24" customWidth="1"/>
    <col min="12" max="12" width="13.85546875" customWidth="1"/>
    <col min="13" max="14" width="13.28515625" customWidth="1"/>
    <col min="15" max="15" width="15.7109375" customWidth="1"/>
    <col min="16" max="16" width="15.28515625" customWidth="1"/>
    <col min="17" max="17" width="16.28515625" customWidth="1"/>
    <col min="18" max="18" width="5.28515625" customWidth="1"/>
    <col min="19" max="19" width="14.28515625" customWidth="1"/>
    <col min="20" max="20" width="15.42578125" customWidth="1"/>
    <col min="21" max="21" width="14.42578125" customWidth="1"/>
  </cols>
  <sheetData>
    <row r="1" spans="1:7">
      <c r="A1" t="s">
        <v>0</v>
      </c>
    </row>
    <row r="2" spans="1:7">
      <c r="A2" t="s">
        <v>1</v>
      </c>
    </row>
    <row r="3" spans="1:7">
      <c r="A3" t="s">
        <v>111</v>
      </c>
    </row>
    <row r="5" spans="1:7" ht="24.6" customHeight="1">
      <c r="A5" s="18" t="s">
        <v>2</v>
      </c>
    </row>
    <row r="6" spans="1:7">
      <c r="A6" t="s">
        <v>75</v>
      </c>
      <c r="C6" s="27" t="s">
        <v>50</v>
      </c>
      <c r="E6" s="27" t="s">
        <v>49</v>
      </c>
      <c r="G6" s="27" t="s">
        <v>117</v>
      </c>
    </row>
    <row r="7" spans="1:7">
      <c r="A7" t="s">
        <v>18</v>
      </c>
      <c r="C7" s="27" t="s">
        <v>32</v>
      </c>
      <c r="E7" s="27" t="s">
        <v>51</v>
      </c>
      <c r="G7" s="27" t="s">
        <v>77</v>
      </c>
    </row>
    <row r="8" spans="1:7">
      <c r="A8" t="s">
        <v>3</v>
      </c>
      <c r="C8" s="3">
        <f>E8</f>
        <v>111395</v>
      </c>
      <c r="E8" s="15">
        <v>111395</v>
      </c>
      <c r="G8" s="15">
        <v>123904</v>
      </c>
    </row>
    <row r="9" spans="1:7">
      <c r="A9" t="s">
        <v>4</v>
      </c>
      <c r="C9" s="3">
        <f t="shared" ref="C9:C14" si="0">E9</f>
        <v>28874</v>
      </c>
      <c r="E9" s="15">
        <v>28874</v>
      </c>
      <c r="G9" s="15">
        <v>28238</v>
      </c>
    </row>
    <row r="10" spans="1:7">
      <c r="A10" t="s">
        <v>5</v>
      </c>
      <c r="C10" s="3">
        <f t="shared" si="0"/>
        <v>70067</v>
      </c>
      <c r="E10" s="15">
        <v>70067</v>
      </c>
      <c r="G10" s="15">
        <v>53864</v>
      </c>
    </row>
    <row r="11" spans="1:7">
      <c r="A11" t="s">
        <v>6</v>
      </c>
      <c r="C11" s="3">
        <f t="shared" si="0"/>
        <v>-54104</v>
      </c>
      <c r="E11" s="15">
        <v>-54104</v>
      </c>
      <c r="G11" s="15">
        <v>-81164</v>
      </c>
    </row>
    <row r="12" spans="1:7">
      <c r="A12" t="s">
        <v>7</v>
      </c>
      <c r="C12" s="3">
        <f t="shared" si="0"/>
        <v>17404</v>
      </c>
      <c r="E12" s="15">
        <v>17404</v>
      </c>
      <c r="G12" s="15">
        <v>16539</v>
      </c>
    </row>
    <row r="13" spans="1:7">
      <c r="A13" t="s">
        <v>8</v>
      </c>
      <c r="C13" s="3">
        <f t="shared" si="0"/>
        <v>-15149</v>
      </c>
      <c r="E13" s="15">
        <v>-15149</v>
      </c>
      <c r="G13" s="15">
        <f>-19461</f>
        <v>-19461</v>
      </c>
    </row>
    <row r="14" spans="1:7">
      <c r="A14" t="s">
        <v>9</v>
      </c>
      <c r="C14" s="3">
        <f t="shared" si="0"/>
        <v>411</v>
      </c>
      <c r="E14" s="15">
        <v>411</v>
      </c>
      <c r="G14" s="15">
        <f>298+152+57+51</f>
        <v>558</v>
      </c>
    </row>
    <row r="15" spans="1:7">
      <c r="A15" t="s">
        <v>21</v>
      </c>
      <c r="C15" s="3"/>
      <c r="E15" s="3">
        <v>0</v>
      </c>
      <c r="G15" s="15">
        <f>32770+2</f>
        <v>32772</v>
      </c>
    </row>
    <row r="16" spans="1:7">
      <c r="A16" t="s">
        <v>22</v>
      </c>
      <c r="C16" s="3"/>
      <c r="E16" s="3">
        <v>0</v>
      </c>
      <c r="G16" s="15">
        <v>-31096</v>
      </c>
    </row>
    <row r="17" spans="1:7">
      <c r="A17" t="s">
        <v>80</v>
      </c>
      <c r="C17" s="3"/>
      <c r="E17" s="3">
        <v>0</v>
      </c>
      <c r="G17" s="15">
        <v>0</v>
      </c>
    </row>
    <row r="18" spans="1:7">
      <c r="A18" t="s">
        <v>36</v>
      </c>
      <c r="C18" s="3"/>
      <c r="E18" s="3">
        <v>0</v>
      </c>
      <c r="G18" s="15">
        <v>-3221</v>
      </c>
    </row>
    <row r="19" spans="1:7">
      <c r="C19" s="4">
        <f>SUM(C8:C14)</f>
        <v>158898</v>
      </c>
      <c r="E19" s="4">
        <f>SUM(E8:E18)</f>
        <v>158898</v>
      </c>
      <c r="F19" s="4"/>
      <c r="G19" s="4">
        <f>SUM(G8:G18)</f>
        <v>120933</v>
      </c>
    </row>
    <row r="20" spans="1:7">
      <c r="A20" t="s">
        <v>10</v>
      </c>
      <c r="C20" s="58">
        <v>0.6573</v>
      </c>
      <c r="E20" s="58">
        <v>0.65539999999999998</v>
      </c>
      <c r="G20" s="58">
        <v>0.65539999999999998</v>
      </c>
    </row>
    <row r="21" spans="1:7">
      <c r="A21" t="s">
        <v>11</v>
      </c>
      <c r="C21" s="3">
        <f>C19*C20</f>
        <v>104443.6554</v>
      </c>
      <c r="E21" s="3">
        <f>E19*E20</f>
        <v>104141.74919999999</v>
      </c>
      <c r="G21" s="3">
        <f>G19*G20</f>
        <v>79259.488199999993</v>
      </c>
    </row>
    <row r="22" spans="1:7">
      <c r="A22" t="s">
        <v>78</v>
      </c>
      <c r="C22" s="3">
        <f t="shared" ref="C22:C23" si="1">E22</f>
        <v>-1987</v>
      </c>
      <c r="E22" s="15">
        <v>-1987</v>
      </c>
      <c r="G22" s="15">
        <v>0</v>
      </c>
    </row>
    <row r="23" spans="1:7">
      <c r="A23" t="s">
        <v>37</v>
      </c>
      <c r="C23" s="3">
        <f t="shared" si="1"/>
        <v>0</v>
      </c>
      <c r="E23" s="15">
        <v>0</v>
      </c>
      <c r="G23" s="15">
        <v>0</v>
      </c>
    </row>
    <row r="24" spans="1:7">
      <c r="A24" t="s">
        <v>83</v>
      </c>
      <c r="C24" s="3"/>
      <c r="E24" s="15"/>
      <c r="G24" s="15">
        <v>-114</v>
      </c>
    </row>
    <row r="25" spans="1:7">
      <c r="A25" s="1" t="s">
        <v>23</v>
      </c>
      <c r="C25" s="5">
        <f>SUM(C21:C23)</f>
        <v>102456.6554</v>
      </c>
      <c r="E25" s="5">
        <f>E21+E23+E22</f>
        <v>102154.74919999999</v>
      </c>
      <c r="G25" s="5">
        <f>G21+G23+G24</f>
        <v>79145.488199999993</v>
      </c>
    </row>
    <row r="26" spans="1:7">
      <c r="A26" t="s">
        <v>12</v>
      </c>
      <c r="C26" s="15">
        <v>5658613</v>
      </c>
      <c r="E26" s="6">
        <f>C26</f>
        <v>5658613</v>
      </c>
    </row>
    <row r="27" spans="1:7">
      <c r="A27" t="s">
        <v>13</v>
      </c>
      <c r="C27" s="10">
        <f>C25/C26*1000</f>
        <v>18.106319587503158</v>
      </c>
      <c r="E27" s="10"/>
    </row>
    <row r="28" spans="1:7">
      <c r="C28" s="3"/>
      <c r="E28" s="3"/>
    </row>
    <row r="29" spans="1:7">
      <c r="A29" t="s">
        <v>14</v>
      </c>
      <c r="C29" s="7">
        <v>5461711</v>
      </c>
      <c r="E29" s="7">
        <v>5495690</v>
      </c>
    </row>
    <row r="30" spans="1:7">
      <c r="A30" t="s">
        <v>15</v>
      </c>
      <c r="C30" s="3">
        <f>C29-C26</f>
        <v>-196902</v>
      </c>
      <c r="E30" s="3">
        <f>E29-E26</f>
        <v>-162923</v>
      </c>
    </row>
    <row r="31" spans="1:7">
      <c r="A31" s="2" t="s">
        <v>19</v>
      </c>
      <c r="C31" s="59">
        <f>-3565.177/C30*1000</f>
        <v>18.106352398655172</v>
      </c>
      <c r="E31" s="59">
        <f>(615.36-3565.177)/E30*1000</f>
        <v>18.10558975712453</v>
      </c>
    </row>
    <row r="32" spans="1:7">
      <c r="A32" s="1" t="s">
        <v>16</v>
      </c>
      <c r="C32" s="8">
        <f>C30*C31/1000</f>
        <v>-3565.177000000001</v>
      </c>
      <c r="E32" s="8">
        <f>E30*E31/1000</f>
        <v>-2949.817</v>
      </c>
    </row>
    <row r="34" spans="1:15">
      <c r="A34" s="1" t="s">
        <v>17</v>
      </c>
      <c r="C34" s="9">
        <f>ROUND(C25+C32,0)</f>
        <v>98891</v>
      </c>
      <c r="D34" s="10">
        <f>C34/C29*1000</f>
        <v>18.106230813018119</v>
      </c>
      <c r="E34" s="9">
        <f>ROUND(E25+E32,0)</f>
        <v>99205</v>
      </c>
      <c r="F34" s="10">
        <f>E34/E29*1000</f>
        <v>18.051418475205114</v>
      </c>
      <c r="G34" s="9">
        <f>ROUND(G25+G32,0)</f>
        <v>79145</v>
      </c>
      <c r="K34" s="33"/>
    </row>
    <row r="35" spans="1:15" ht="27" customHeight="1">
      <c r="C35" s="10"/>
      <c r="I35" s="29" t="s">
        <v>52</v>
      </c>
      <c r="J35" s="29" t="s">
        <v>79</v>
      </c>
      <c r="K35" s="1"/>
    </row>
    <row r="36" spans="1:15">
      <c r="A36" s="1" t="s">
        <v>24</v>
      </c>
      <c r="C36" s="27" t="s">
        <v>53</v>
      </c>
      <c r="D36" s="27"/>
      <c r="E36" s="27" t="s">
        <v>49</v>
      </c>
      <c r="F36" s="27"/>
      <c r="G36" s="27" t="s">
        <v>20</v>
      </c>
      <c r="I36" s="27" t="s">
        <v>33</v>
      </c>
      <c r="J36" s="27" t="s">
        <v>33</v>
      </c>
      <c r="L36" s="12"/>
      <c r="M36" s="12"/>
      <c r="N36" s="12"/>
    </row>
    <row r="38" spans="1:15">
      <c r="A38" t="s">
        <v>25</v>
      </c>
      <c r="C38" s="12">
        <f>ROUND(-C11*$C$20,0)</f>
        <v>35563</v>
      </c>
      <c r="E38" s="12">
        <f>ROUND(-E11*$E$20,0)</f>
        <v>35460</v>
      </c>
      <c r="G38" s="12">
        <f>ROUND(-G11*$G$20,0)</f>
        <v>53195</v>
      </c>
      <c r="I38" s="12">
        <f>C38-E38</f>
        <v>103</v>
      </c>
      <c r="J38" s="12">
        <f>E38-G38</f>
        <v>-17735</v>
      </c>
      <c r="L38" s="12"/>
      <c r="M38" s="12"/>
      <c r="N38" s="12"/>
      <c r="O38" s="12"/>
    </row>
    <row r="39" spans="1:15">
      <c r="A39" t="s">
        <v>26</v>
      </c>
      <c r="C39" s="12">
        <f>ROUND(-C13*$C$20,0)</f>
        <v>9957</v>
      </c>
      <c r="E39" s="12">
        <f>ROUND(-(E13+E16+E18)*$E$20,0)</f>
        <v>9929</v>
      </c>
      <c r="G39" s="12">
        <f>ROUND(-(G13+G16+G18)*$G$20-G24,0)</f>
        <v>35360</v>
      </c>
      <c r="I39" s="12">
        <f>C39-E39</f>
        <v>28</v>
      </c>
      <c r="J39" s="12">
        <f>E39-G39</f>
        <v>-25431</v>
      </c>
      <c r="L39" s="12"/>
      <c r="M39" s="12"/>
      <c r="N39" s="12"/>
      <c r="O39" s="12"/>
    </row>
    <row r="40" spans="1:15">
      <c r="A40" t="s">
        <v>27</v>
      </c>
      <c r="C40" s="13">
        <f>SUM(C38:C39)</f>
        <v>45520</v>
      </c>
      <c r="E40" s="13">
        <f>SUM(E38:E39)</f>
        <v>45389</v>
      </c>
      <c r="G40" s="13">
        <f>SUM(G38:G39)</f>
        <v>88555</v>
      </c>
      <c r="I40" s="13">
        <f>SUM(I38:I39)</f>
        <v>131</v>
      </c>
      <c r="J40" s="13">
        <f>SUM(J38:J39)</f>
        <v>-43166</v>
      </c>
      <c r="L40" s="3"/>
      <c r="M40" s="3"/>
      <c r="N40" s="3"/>
      <c r="O40" s="12"/>
    </row>
    <row r="41" spans="1:15">
      <c r="L41" s="3"/>
      <c r="M41" s="3"/>
      <c r="N41" s="3"/>
      <c r="O41" s="12"/>
    </row>
    <row r="42" spans="1:15">
      <c r="A42" t="s">
        <v>28</v>
      </c>
      <c r="C42" s="12">
        <f>C34+C40-C43</f>
        <v>71191</v>
      </c>
      <c r="E42" s="12">
        <f>E34+E40-E43</f>
        <v>71586</v>
      </c>
      <c r="G42" s="12">
        <f>G34+G40-G43</f>
        <v>86493</v>
      </c>
      <c r="I42" s="12">
        <f>C42-E42</f>
        <v>-395</v>
      </c>
      <c r="J42" s="12">
        <f>E42-G42</f>
        <v>-14907</v>
      </c>
      <c r="L42" s="10"/>
      <c r="M42" s="10"/>
      <c r="N42" s="10"/>
      <c r="O42" s="31"/>
    </row>
    <row r="43" spans="1:15">
      <c r="A43" t="s">
        <v>29</v>
      </c>
      <c r="C43" s="12">
        <f>ROUND(C8*$C$20,0)</f>
        <v>73220</v>
      </c>
      <c r="E43" s="12">
        <f>ROUND(E8*$E$20,0)</f>
        <v>73008</v>
      </c>
      <c r="G43" s="12">
        <f>ROUND(G8*$G$20,0)</f>
        <v>81207</v>
      </c>
      <c r="I43" s="12">
        <f>C43-E43</f>
        <v>212</v>
      </c>
      <c r="J43" s="12">
        <f>E43-G43</f>
        <v>-8199</v>
      </c>
      <c r="L43" s="32"/>
      <c r="M43" s="32"/>
      <c r="N43" s="32"/>
      <c r="O43" s="32"/>
    </row>
    <row r="44" spans="1:15">
      <c r="A44" t="s">
        <v>30</v>
      </c>
      <c r="C44" s="13">
        <f>SUM(C42:C43)</f>
        <v>144411</v>
      </c>
      <c r="E44" s="13">
        <f>SUM(E42:E43)</f>
        <v>144594</v>
      </c>
      <c r="G44" s="13">
        <f>SUM(G42:G43)</f>
        <v>167700</v>
      </c>
      <c r="I44" s="13">
        <f>SUM(I42:I43)</f>
        <v>-183</v>
      </c>
      <c r="J44" s="13">
        <f>SUM(J42:J43)</f>
        <v>-23106</v>
      </c>
      <c r="L44" s="32"/>
      <c r="M44" s="32"/>
      <c r="N44" s="32"/>
      <c r="O44" s="32"/>
    </row>
    <row r="45" spans="1:15">
      <c r="O45" s="19"/>
    </row>
    <row r="46" spans="1:15">
      <c r="A46" t="s">
        <v>31</v>
      </c>
      <c r="C46" s="12">
        <f>C40-C44</f>
        <v>-98891</v>
      </c>
      <c r="E46" s="12">
        <f>E40-E44</f>
        <v>-99205</v>
      </c>
      <c r="G46" s="12">
        <f>G40-G44</f>
        <v>-79145</v>
      </c>
      <c r="I46" s="12">
        <f>I40-I44</f>
        <v>314</v>
      </c>
      <c r="J46" s="12">
        <f>J40-J44</f>
        <v>-20060</v>
      </c>
    </row>
  </sheetData>
  <printOptions horizontalCentered="1"/>
  <pageMargins left="0.7" right="0.7" top="0.5" bottom="0.75" header="0.3" footer="0.3"/>
  <pageSetup scale="75" orientation="landscape" r:id="rId1"/>
  <colBreaks count="1" manualBreakCount="1">
    <brk id="10" max="4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26"/>
  <sheetViews>
    <sheetView workbookViewId="0">
      <selection activeCell="D15" sqref="D15"/>
    </sheetView>
  </sheetViews>
  <sheetFormatPr defaultRowHeight="15"/>
  <cols>
    <col min="1" max="1" width="7.85546875" customWidth="1"/>
    <col min="2" max="2" width="20.5703125" customWidth="1"/>
    <col min="3" max="3" width="13.28515625" bestFit="1" customWidth="1"/>
    <col min="4" max="4" width="14.5703125" customWidth="1"/>
    <col min="5" max="5" width="9.5703125" customWidth="1"/>
    <col min="6" max="6" width="12.85546875" customWidth="1"/>
    <col min="7" max="7" width="11.85546875" customWidth="1"/>
    <col min="8" max="8" width="2.7109375" customWidth="1"/>
  </cols>
  <sheetData>
    <row r="1" spans="1:15">
      <c r="A1" t="s">
        <v>34</v>
      </c>
    </row>
    <row r="2" spans="1:15">
      <c r="A2" t="s">
        <v>48</v>
      </c>
    </row>
    <row r="3" spans="1:15">
      <c r="A3" t="s">
        <v>112</v>
      </c>
    </row>
    <row r="6" spans="1:15">
      <c r="A6" t="s">
        <v>72</v>
      </c>
    </row>
    <row r="8" spans="1:15">
      <c r="A8" s="16" t="s">
        <v>41</v>
      </c>
      <c r="B8" t="s">
        <v>42</v>
      </c>
    </row>
    <row r="9" spans="1:15" ht="33" customHeight="1">
      <c r="A9" s="67" t="s">
        <v>55</v>
      </c>
      <c r="B9" s="67"/>
      <c r="C9" s="67"/>
      <c r="D9" s="67"/>
      <c r="E9" s="67"/>
      <c r="F9" s="67"/>
      <c r="G9" s="67"/>
      <c r="H9" s="67"/>
    </row>
    <row r="10" spans="1:15" ht="14.45" customHeight="1">
      <c r="A10" s="14"/>
      <c r="B10" s="14"/>
      <c r="C10" s="14"/>
      <c r="D10" s="14"/>
      <c r="E10" s="14"/>
      <c r="F10" s="14"/>
      <c r="G10" s="14"/>
      <c r="H10" s="14"/>
    </row>
    <row r="11" spans="1:15" ht="15" customHeight="1">
      <c r="A11" s="16" t="s">
        <v>43</v>
      </c>
      <c r="B11" s="17" t="s">
        <v>44</v>
      </c>
      <c r="C11" s="14"/>
      <c r="D11" s="14"/>
      <c r="E11" s="14"/>
      <c r="F11" s="14"/>
      <c r="G11" s="14"/>
      <c r="H11" s="14"/>
    </row>
    <row r="12" spans="1:15" ht="31.5" customHeight="1">
      <c r="A12" s="67" t="s">
        <v>45</v>
      </c>
      <c r="B12" s="67"/>
      <c r="C12" s="67"/>
      <c r="D12" s="67"/>
      <c r="E12" s="67"/>
      <c r="F12" s="67"/>
      <c r="G12" s="67"/>
      <c r="H12" s="67"/>
      <c r="O12" s="28"/>
    </row>
    <row r="13" spans="1:15" ht="21.6" customHeight="1">
      <c r="B13" s="11" t="s">
        <v>54</v>
      </c>
      <c r="C13" s="11"/>
      <c r="D13" s="11" t="s">
        <v>38</v>
      </c>
      <c r="E13" s="11"/>
      <c r="F13" s="11" t="s">
        <v>39</v>
      </c>
    </row>
    <row r="14" spans="1:15">
      <c r="B14" t="s">
        <v>35</v>
      </c>
      <c r="C14" s="11"/>
      <c r="D14" s="8">
        <v>0</v>
      </c>
      <c r="E14" s="11"/>
      <c r="F14" s="8">
        <v>0</v>
      </c>
    </row>
    <row r="15" spans="1:15">
      <c r="D15" s="3"/>
    </row>
    <row r="16" spans="1:15">
      <c r="A16" s="16" t="s">
        <v>47</v>
      </c>
      <c r="B16" t="s">
        <v>46</v>
      </c>
      <c r="D16" s="3"/>
    </row>
    <row r="17" spans="1:8" ht="68.25" customHeight="1">
      <c r="A17" s="67" t="s">
        <v>74</v>
      </c>
      <c r="B17" s="67"/>
      <c r="C17" s="67"/>
      <c r="D17" s="67"/>
      <c r="E17" s="67"/>
      <c r="F17" s="67"/>
      <c r="G17" s="67"/>
      <c r="H17" s="67"/>
    </row>
    <row r="18" spans="1:8" ht="7.15" customHeight="1"/>
    <row r="19" spans="1:8" ht="28.9" customHeight="1">
      <c r="A19" s="67" t="s">
        <v>40</v>
      </c>
      <c r="B19" s="67"/>
      <c r="C19" s="67"/>
      <c r="D19" s="67"/>
      <c r="E19" s="67"/>
      <c r="F19" s="67"/>
      <c r="G19" s="67"/>
      <c r="H19" s="67"/>
    </row>
    <row r="21" spans="1:8">
      <c r="A21" s="16" t="s">
        <v>105</v>
      </c>
      <c r="B21" t="s">
        <v>106</v>
      </c>
    </row>
    <row r="22" spans="1:8" ht="114.75" customHeight="1">
      <c r="A22" s="67" t="s">
        <v>109</v>
      </c>
      <c r="B22" s="67"/>
      <c r="C22" s="67"/>
      <c r="D22" s="67"/>
      <c r="E22" s="67"/>
      <c r="F22" s="67"/>
      <c r="G22" s="67"/>
    </row>
    <row r="23" spans="1:8">
      <c r="B23" t="s">
        <v>113</v>
      </c>
      <c r="D23" s="55" t="s">
        <v>38</v>
      </c>
      <c r="E23" s="55"/>
      <c r="F23" s="55" t="s">
        <v>39</v>
      </c>
    </row>
    <row r="24" spans="1:8">
      <c r="B24" t="s">
        <v>107</v>
      </c>
      <c r="D24" s="57">
        <v>-202451</v>
      </c>
      <c r="E24" s="55"/>
      <c r="F24" s="57">
        <v>-46862</v>
      </c>
    </row>
    <row r="25" spans="1:8">
      <c r="B25" t="s">
        <v>108</v>
      </c>
      <c r="D25" s="57">
        <v>-372813</v>
      </c>
      <c r="F25" s="57">
        <v>-213018</v>
      </c>
    </row>
    <row r="26" spans="1:8">
      <c r="B26" t="s">
        <v>71</v>
      </c>
      <c r="D26" s="56">
        <f>D24+D25</f>
        <v>-575264</v>
      </c>
      <c r="F26" s="56">
        <f>F24+F25</f>
        <v>-259880</v>
      </c>
    </row>
  </sheetData>
  <mergeCells count="5">
    <mergeCell ref="A17:H17"/>
    <mergeCell ref="A9:H9"/>
    <mergeCell ref="A19:H19"/>
    <mergeCell ref="A12:H12"/>
    <mergeCell ref="A22:G2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52"/>
  <sheetViews>
    <sheetView topLeftCell="A22" zoomScaleNormal="100" workbookViewId="0">
      <selection activeCell="A18" sqref="A18"/>
    </sheetView>
  </sheetViews>
  <sheetFormatPr defaultRowHeight="15" outlineLevelRow="1"/>
  <cols>
    <col min="1" max="1" width="5.28515625" customWidth="1"/>
    <col min="2" max="2" width="21.7109375" customWidth="1"/>
    <col min="4" max="4" width="15.28515625" customWidth="1"/>
    <col min="5" max="6" width="13.7109375" customWidth="1"/>
    <col min="7" max="7" width="12.85546875" customWidth="1"/>
    <col min="9" max="9" width="9.42578125" customWidth="1"/>
    <col min="10" max="10" width="3.85546875" customWidth="1"/>
    <col min="11" max="11" width="16.7109375" customWidth="1"/>
    <col min="12" max="12" width="14.7109375" customWidth="1"/>
    <col min="13" max="13" width="12.7109375" customWidth="1"/>
    <col min="14" max="14" width="16.5703125" customWidth="1"/>
    <col min="15" max="15" width="22.140625" customWidth="1"/>
    <col min="16" max="16" width="18.5703125" customWidth="1"/>
    <col min="17" max="17" width="18.7109375" customWidth="1"/>
    <col min="18" max="18" width="13.85546875" customWidth="1"/>
    <col min="19" max="19" width="13.28515625" customWidth="1"/>
  </cols>
  <sheetData>
    <row r="1" spans="1:14">
      <c r="B1" s="71" t="s">
        <v>56</v>
      </c>
      <c r="C1" s="71"/>
      <c r="D1" s="71"/>
      <c r="E1" s="71"/>
      <c r="F1" s="71"/>
      <c r="G1" s="71"/>
      <c r="I1" s="69" t="s">
        <v>76</v>
      </c>
      <c r="J1" s="69"/>
      <c r="K1" s="69"/>
      <c r="L1" s="69"/>
      <c r="M1" s="69"/>
      <c r="N1" s="69"/>
    </row>
    <row r="2" spans="1:14">
      <c r="B2" s="71" t="s">
        <v>73</v>
      </c>
      <c r="C2" s="71"/>
      <c r="D2" s="71"/>
      <c r="E2" s="71"/>
      <c r="F2" s="71"/>
      <c r="G2" s="71"/>
      <c r="I2" s="69" t="s">
        <v>88</v>
      </c>
      <c r="J2" s="69"/>
      <c r="K2" s="69"/>
      <c r="L2" s="69"/>
      <c r="M2" s="69"/>
      <c r="N2" s="69"/>
    </row>
    <row r="3" spans="1:14">
      <c r="B3" s="36"/>
      <c r="C3" s="36"/>
      <c r="D3" s="36" t="s">
        <v>81</v>
      </c>
      <c r="E3" s="36"/>
      <c r="F3" s="36"/>
      <c r="G3" s="36"/>
      <c r="I3" s="69" t="s">
        <v>81</v>
      </c>
      <c r="J3" s="69"/>
      <c r="K3" s="69"/>
      <c r="L3" s="69"/>
      <c r="M3" s="69"/>
      <c r="N3" s="69"/>
    </row>
    <row r="4" spans="1:14">
      <c r="B4" s="71" t="s">
        <v>114</v>
      </c>
      <c r="C4" s="71"/>
      <c r="D4" s="71"/>
      <c r="E4" s="71"/>
      <c r="F4" s="71"/>
      <c r="G4" s="71"/>
      <c r="I4" s="69" t="s">
        <v>116</v>
      </c>
      <c r="J4" s="69"/>
      <c r="K4" s="69"/>
      <c r="L4" s="69"/>
      <c r="M4" s="69"/>
      <c r="N4" s="69"/>
    </row>
    <row r="5" spans="1:14">
      <c r="I5" s="38"/>
      <c r="J5" s="38"/>
      <c r="K5" s="38"/>
      <c r="L5" s="38"/>
      <c r="M5" s="39"/>
    </row>
    <row r="6" spans="1:14">
      <c r="B6" s="70" t="s">
        <v>119</v>
      </c>
      <c r="C6" s="70"/>
      <c r="D6" s="70"/>
      <c r="E6" s="70"/>
      <c r="F6" s="70"/>
      <c r="G6" s="70"/>
      <c r="I6" s="40" t="s">
        <v>89</v>
      </c>
      <c r="J6" s="40"/>
      <c r="K6" s="40"/>
      <c r="L6" s="40"/>
      <c r="M6" s="41" t="s">
        <v>101</v>
      </c>
      <c r="N6" s="41" t="s">
        <v>102</v>
      </c>
    </row>
    <row r="7" spans="1:14">
      <c r="I7" s="42" t="s">
        <v>90</v>
      </c>
      <c r="J7" s="40"/>
      <c r="K7" s="42" t="s">
        <v>91</v>
      </c>
      <c r="L7" s="43"/>
      <c r="M7" s="44" t="s">
        <v>92</v>
      </c>
      <c r="N7" s="44" t="s">
        <v>92</v>
      </c>
    </row>
    <row r="8" spans="1:14">
      <c r="A8" t="s">
        <v>84</v>
      </c>
      <c r="D8" s="11" t="s">
        <v>38</v>
      </c>
      <c r="E8" s="11"/>
      <c r="F8" s="11" t="s">
        <v>39</v>
      </c>
      <c r="G8" s="11"/>
      <c r="I8" s="38"/>
      <c r="J8" s="38"/>
      <c r="K8" s="38"/>
      <c r="L8" s="38"/>
      <c r="M8" s="39"/>
      <c r="N8" s="2"/>
    </row>
    <row r="9" spans="1:14">
      <c r="I9" s="45">
        <v>1</v>
      </c>
      <c r="J9" s="38"/>
      <c r="K9" s="46" t="s">
        <v>93</v>
      </c>
      <c r="L9" s="38"/>
      <c r="M9" s="54">
        <v>1</v>
      </c>
      <c r="N9" s="54">
        <v>1</v>
      </c>
    </row>
    <row r="10" spans="1:14">
      <c r="A10" s="37">
        <v>1</v>
      </c>
      <c r="B10" t="s">
        <v>57</v>
      </c>
      <c r="D10" s="66">
        <v>1700977</v>
      </c>
      <c r="F10" s="66">
        <v>410952</v>
      </c>
      <c r="G10" s="19"/>
      <c r="I10" s="45"/>
      <c r="J10" s="38"/>
      <c r="K10" s="38"/>
      <c r="L10" s="38"/>
      <c r="M10" s="54"/>
      <c r="N10" s="54"/>
    </row>
    <row r="11" spans="1:14">
      <c r="A11" s="37"/>
      <c r="I11" s="45"/>
      <c r="J11" s="38"/>
      <c r="K11" s="47" t="s">
        <v>94</v>
      </c>
      <c r="L11" s="48"/>
      <c r="M11" s="54"/>
      <c r="N11" s="54"/>
    </row>
    <row r="12" spans="1:14">
      <c r="A12" s="37">
        <v>2</v>
      </c>
      <c r="B12" t="s">
        <v>58</v>
      </c>
      <c r="D12" s="66">
        <v>108650</v>
      </c>
      <c r="F12" s="66">
        <v>24969</v>
      </c>
      <c r="G12" s="19"/>
      <c r="I12" s="45">
        <v>2</v>
      </c>
      <c r="J12" s="38"/>
      <c r="K12" s="48" t="s">
        <v>95</v>
      </c>
      <c r="L12" s="48"/>
      <c r="M12" s="54">
        <v>2.3317705013422706E-3</v>
      </c>
      <c r="N12" s="54">
        <v>2.332116775066275E-3</v>
      </c>
    </row>
    <row r="13" spans="1:14">
      <c r="A13" s="37"/>
      <c r="D13" s="19"/>
      <c r="I13" s="45"/>
      <c r="J13" s="38"/>
      <c r="K13" s="48"/>
      <c r="L13" s="48"/>
      <c r="M13" s="54"/>
      <c r="N13" s="54"/>
    </row>
    <row r="14" spans="1:14">
      <c r="A14" s="37">
        <v>3</v>
      </c>
      <c r="B14" t="s">
        <v>59</v>
      </c>
      <c r="D14" s="20">
        <f>D12/D10</f>
        <v>6.3875055335845227E-2</v>
      </c>
      <c r="F14" s="20">
        <f>F12/F10</f>
        <v>6.0758920749868599E-2</v>
      </c>
      <c r="G14" s="20"/>
      <c r="I14" s="45">
        <v>3</v>
      </c>
      <c r="J14" s="38"/>
      <c r="K14" s="48" t="s">
        <v>96</v>
      </c>
      <c r="L14" s="48"/>
      <c r="M14" s="54">
        <v>2E-3</v>
      </c>
      <c r="N14" s="54">
        <v>2E-3</v>
      </c>
    </row>
    <row r="15" spans="1:14">
      <c r="A15" s="37">
        <v>4</v>
      </c>
      <c r="B15" t="s">
        <v>60</v>
      </c>
      <c r="D15" s="20">
        <v>7.2099999999999997E-2</v>
      </c>
      <c r="F15" s="20">
        <v>7.2099999999999997E-2</v>
      </c>
      <c r="G15" s="20"/>
      <c r="I15" s="45"/>
      <c r="J15" s="38"/>
      <c r="K15" s="48"/>
      <c r="L15" s="48"/>
      <c r="M15" s="54"/>
      <c r="N15" s="54"/>
    </row>
    <row r="16" spans="1:14">
      <c r="A16" s="37">
        <v>5</v>
      </c>
      <c r="B16" t="s">
        <v>61</v>
      </c>
      <c r="D16" s="21">
        <f>D14-D15</f>
        <v>-8.2249446641547708E-3</v>
      </c>
      <c r="F16" s="21">
        <f>F14-F15</f>
        <v>-1.1341079250131399E-2</v>
      </c>
      <c r="G16" s="21"/>
      <c r="I16" s="45">
        <v>4</v>
      </c>
      <c r="J16" s="38"/>
      <c r="K16" s="48" t="s">
        <v>97</v>
      </c>
      <c r="L16" s="48"/>
      <c r="M16" s="54">
        <v>3.8643681201401006E-2</v>
      </c>
      <c r="N16" s="54">
        <v>3.8430166861824447E-2</v>
      </c>
    </row>
    <row r="17" spans="1:14">
      <c r="A17" s="37"/>
      <c r="I17" s="45"/>
      <c r="J17" s="38"/>
      <c r="K17" s="48"/>
      <c r="L17" s="48"/>
      <c r="M17" s="61"/>
      <c r="N17" s="61"/>
    </row>
    <row r="18" spans="1:14">
      <c r="A18" s="37">
        <v>6</v>
      </c>
      <c r="B18" t="s">
        <v>62</v>
      </c>
      <c r="D18" s="19">
        <f>IF(D16&gt;0,D10*D16,0)</f>
        <v>0</v>
      </c>
      <c r="E18" s="19">
        <f>D16*D10</f>
        <v>-13990.44169999999</v>
      </c>
      <c r="F18" s="19">
        <f>IF(F16&gt;0,F10*F16,0)</f>
        <v>0</v>
      </c>
      <c r="G18" s="19">
        <f>F16*F10</f>
        <v>-4660.6391999999987</v>
      </c>
      <c r="I18" s="45">
        <v>5</v>
      </c>
      <c r="J18" s="38"/>
      <c r="K18" s="48" t="s">
        <v>98</v>
      </c>
      <c r="L18" s="48"/>
      <c r="M18" s="62">
        <f>SUM(M12:M17)</f>
        <v>4.2975451702743278E-2</v>
      </c>
      <c r="N18" s="62">
        <f>SUM(N12:N17)</f>
        <v>4.2762283636890719E-2</v>
      </c>
    </row>
    <row r="19" spans="1:14">
      <c r="A19" s="37">
        <v>7</v>
      </c>
      <c r="B19" t="s">
        <v>63</v>
      </c>
      <c r="D19" s="22">
        <f>M24</f>
        <v>0.75605</v>
      </c>
      <c r="F19" s="22">
        <f>N24</f>
        <v>0.75621799999999995</v>
      </c>
      <c r="I19" s="38"/>
      <c r="J19" s="38"/>
      <c r="K19" s="48"/>
      <c r="L19" s="48"/>
      <c r="M19" s="63"/>
      <c r="N19" s="63"/>
    </row>
    <row r="20" spans="1:14">
      <c r="A20" s="37">
        <v>8</v>
      </c>
      <c r="B20" t="s">
        <v>64</v>
      </c>
      <c r="D20" s="19">
        <f>D18/D19</f>
        <v>0</v>
      </c>
      <c r="E20" s="3">
        <f>E18/D19</f>
        <v>-18504.651411943643</v>
      </c>
      <c r="F20" s="19">
        <f>F18/F19</f>
        <v>0</v>
      </c>
      <c r="G20" s="3">
        <f>G18/F19</f>
        <v>-6163.0894794887172</v>
      </c>
      <c r="H20" s="19"/>
      <c r="I20" s="45">
        <v>6</v>
      </c>
      <c r="J20" s="38"/>
      <c r="K20" s="48" t="s">
        <v>99</v>
      </c>
      <c r="L20" s="48"/>
      <c r="M20" s="63">
        <f>M9-M18</f>
        <v>0.95702454829725669</v>
      </c>
      <c r="N20" s="63">
        <f>N9-N18</f>
        <v>0.95723771636310928</v>
      </c>
    </row>
    <row r="21" spans="1:14">
      <c r="A21" s="37">
        <v>9</v>
      </c>
      <c r="B21" t="s">
        <v>65</v>
      </c>
      <c r="D21" s="23">
        <v>0.5</v>
      </c>
      <c r="F21" s="23">
        <v>0.5</v>
      </c>
      <c r="G21" s="23"/>
      <c r="I21" s="38"/>
      <c r="J21" s="38"/>
      <c r="K21" s="48"/>
      <c r="L21" s="48"/>
      <c r="M21" s="63"/>
      <c r="N21" s="63"/>
    </row>
    <row r="22" spans="1:14">
      <c r="A22" s="37">
        <v>10</v>
      </c>
      <c r="B22" t="s">
        <v>82</v>
      </c>
      <c r="D22" s="25">
        <f>D20*D21</f>
        <v>0</v>
      </c>
      <c r="E22" s="30"/>
      <c r="F22" s="25">
        <f>F20*F21</f>
        <v>0</v>
      </c>
      <c r="G22" s="25"/>
      <c r="I22" s="45">
        <v>7</v>
      </c>
      <c r="J22" s="38"/>
      <c r="K22" s="48" t="s">
        <v>104</v>
      </c>
      <c r="L22" s="49"/>
      <c r="M22" s="64">
        <f>ROUND(M20*0.21,6)</f>
        <v>0.20097499999999999</v>
      </c>
      <c r="N22" s="64">
        <f>ROUND(N20*0.21,6)</f>
        <v>0.20102</v>
      </c>
    </row>
    <row r="23" spans="1:14">
      <c r="A23" s="37"/>
      <c r="I23" s="38"/>
      <c r="J23" s="38"/>
      <c r="K23" s="48"/>
      <c r="L23" s="48"/>
      <c r="M23" s="63"/>
      <c r="N23" s="63"/>
    </row>
    <row r="24" spans="1:14" ht="15.75" outlineLevel="1" thickBot="1">
      <c r="A24" s="37"/>
      <c r="B24" s="70" t="s">
        <v>118</v>
      </c>
      <c r="C24" s="70"/>
      <c r="D24" s="70"/>
      <c r="E24" s="70"/>
      <c r="F24" s="70"/>
      <c r="G24" s="70"/>
      <c r="I24" s="45">
        <v>8</v>
      </c>
      <c r="J24" s="38"/>
      <c r="K24" s="47" t="s">
        <v>100</v>
      </c>
      <c r="L24" s="48"/>
      <c r="M24" s="65">
        <f>ROUND(M20-M22,6)</f>
        <v>0.75605</v>
      </c>
      <c r="N24" s="50">
        <f>ROUND(N20-N22,6)</f>
        <v>0.75621799999999995</v>
      </c>
    </row>
    <row r="25" spans="1:14" ht="15.75" outlineLevel="1" thickTop="1">
      <c r="A25" s="37"/>
    </row>
    <row r="26" spans="1:14" outlineLevel="1">
      <c r="A26" s="37">
        <v>11</v>
      </c>
      <c r="B26" t="s">
        <v>66</v>
      </c>
      <c r="D26" s="60">
        <v>239238066</v>
      </c>
      <c r="E26" s="20">
        <f>D26/D30</f>
        <v>0.51734546718506036</v>
      </c>
      <c r="F26" s="60">
        <v>123149739</v>
      </c>
      <c r="G26" s="20">
        <f>F26/F30</f>
        <v>0.78387525028285931</v>
      </c>
    </row>
    <row r="27" spans="1:14" outlineLevel="1">
      <c r="A27" s="37"/>
      <c r="D27" s="2"/>
      <c r="F27" s="2"/>
      <c r="H27" s="20"/>
    </row>
    <row r="28" spans="1:14" outlineLevel="1">
      <c r="A28" s="37">
        <v>12</v>
      </c>
      <c r="B28" t="s">
        <v>67</v>
      </c>
      <c r="D28" s="60">
        <v>223195803</v>
      </c>
      <c r="E28" s="20">
        <f>D28/D30</f>
        <v>0.48265453281493964</v>
      </c>
      <c r="F28" s="60">
        <v>33954008</v>
      </c>
      <c r="G28" s="20">
        <f>F28/F30</f>
        <v>0.21612474971714074</v>
      </c>
      <c r="H28" s="35"/>
      <c r="I28" s="34"/>
    </row>
    <row r="29" spans="1:14" outlineLevel="1">
      <c r="A29" s="37"/>
      <c r="H29" s="20"/>
      <c r="I29" s="34"/>
    </row>
    <row r="30" spans="1:14" outlineLevel="1">
      <c r="A30" s="37">
        <v>13</v>
      </c>
      <c r="B30" t="s">
        <v>68</v>
      </c>
      <c r="D30" s="19">
        <f>D26+D28</f>
        <v>462433869</v>
      </c>
      <c r="E30" s="21">
        <f>E26+E28</f>
        <v>1</v>
      </c>
      <c r="F30" s="19">
        <f>F26+F28</f>
        <v>157103747</v>
      </c>
      <c r="G30" s="21">
        <f>G26+G28</f>
        <v>1</v>
      </c>
      <c r="H30" s="21"/>
      <c r="I30" s="34"/>
    </row>
    <row r="31" spans="1:14" outlineLevel="1">
      <c r="A31" s="37"/>
    </row>
    <row r="32" spans="1:14" ht="61.15" customHeight="1" outlineLevel="1">
      <c r="A32" s="37"/>
      <c r="B32" s="1" t="s">
        <v>85</v>
      </c>
      <c r="D32" s="29" t="s">
        <v>86</v>
      </c>
      <c r="E32" s="29" t="s">
        <v>87</v>
      </c>
      <c r="F32" s="29" t="s">
        <v>86</v>
      </c>
      <c r="G32" s="29" t="s">
        <v>87</v>
      </c>
      <c r="H32" s="35"/>
      <c r="I32" s="34"/>
    </row>
    <row r="33" spans="1:7" outlineLevel="1">
      <c r="A33" s="37">
        <v>14</v>
      </c>
      <c r="B33" t="s">
        <v>69</v>
      </c>
      <c r="D33" s="19">
        <f>D22*E26</f>
        <v>0</v>
      </c>
      <c r="E33" s="19">
        <f>ROUND(D33*$M$20,0)</f>
        <v>0</v>
      </c>
      <c r="F33" s="19">
        <f>F22*G26</f>
        <v>0</v>
      </c>
      <c r="G33" s="19">
        <f>ROUND(F33*$N$20,0)</f>
        <v>0</v>
      </c>
    </row>
    <row r="34" spans="1:7" ht="15.75" outlineLevel="1" thickBot="1">
      <c r="A34" s="37">
        <v>15</v>
      </c>
      <c r="B34" t="s">
        <v>70</v>
      </c>
      <c r="D34" s="19">
        <f>D22*E28</f>
        <v>0</v>
      </c>
      <c r="E34" s="19">
        <f>ROUND(D34*$M$20,0)</f>
        <v>0</v>
      </c>
      <c r="F34" s="19">
        <f>F22*G28</f>
        <v>0</v>
      </c>
      <c r="G34" s="19">
        <f>ROUND(F34*$N$20,0)</f>
        <v>0</v>
      </c>
    </row>
    <row r="35" spans="1:7" ht="16.5" outlineLevel="1" thickTop="1" thickBot="1">
      <c r="A35" s="37">
        <v>16</v>
      </c>
      <c r="B35" t="s">
        <v>71</v>
      </c>
      <c r="D35" s="51">
        <f>SUM(D33:D34)</f>
        <v>0</v>
      </c>
      <c r="E35" s="24">
        <f>SUM(E33:E34)</f>
        <v>0</v>
      </c>
      <c r="F35" s="51">
        <f>SUM(F33:F34)</f>
        <v>0</v>
      </c>
      <c r="G35" s="24">
        <f>SUM(G33:G34)</f>
        <v>0</v>
      </c>
    </row>
    <row r="36" spans="1:7" ht="15.75" thickTop="1">
      <c r="A36" s="37"/>
    </row>
    <row r="37" spans="1:7">
      <c r="A37" s="37">
        <v>17</v>
      </c>
      <c r="B37" t="s">
        <v>103</v>
      </c>
      <c r="E37" s="3">
        <v>0</v>
      </c>
      <c r="F37" s="3"/>
      <c r="G37" s="3">
        <v>0</v>
      </c>
    </row>
    <row r="38" spans="1:7" ht="15.75" thickBot="1">
      <c r="A38" s="52">
        <v>18</v>
      </c>
      <c r="B38" s="53" t="s">
        <v>120</v>
      </c>
      <c r="E38" s="3">
        <v>0</v>
      </c>
      <c r="F38" s="3"/>
      <c r="G38" s="3">
        <v>0</v>
      </c>
    </row>
    <row r="39" spans="1:7" ht="16.5" thickTop="1" thickBot="1">
      <c r="A39" s="37">
        <v>18</v>
      </c>
      <c r="B39" s="1" t="s">
        <v>110</v>
      </c>
      <c r="E39" s="24">
        <f>E35-E37-E38</f>
        <v>0</v>
      </c>
      <c r="F39" s="1"/>
      <c r="G39" s="24">
        <f>G35-G37-G38</f>
        <v>0</v>
      </c>
    </row>
    <row r="40" spans="1:7" ht="15.75" thickTop="1">
      <c r="D40" s="3"/>
      <c r="F40" s="3"/>
    </row>
    <row r="42" spans="1:7" ht="30.6" customHeight="1">
      <c r="B42" s="68" t="s">
        <v>115</v>
      </c>
      <c r="C42" s="68"/>
      <c r="D42" s="68"/>
      <c r="E42" s="68"/>
      <c r="F42" s="68"/>
      <c r="G42" s="68"/>
    </row>
    <row r="43" spans="1:7">
      <c r="D43" s="26"/>
      <c r="F43" s="26"/>
    </row>
    <row r="44" spans="1:7">
      <c r="D44" s="26"/>
      <c r="F44" s="26"/>
    </row>
    <row r="47" spans="1:7">
      <c r="D47" s="26"/>
      <c r="F47" s="26"/>
    </row>
    <row r="48" spans="1:7" ht="9" customHeight="1">
      <c r="D48" s="26"/>
      <c r="F48" s="26"/>
    </row>
    <row r="50" spans="4:6" ht="14.45" customHeight="1"/>
    <row r="51" spans="4:6">
      <c r="D51" s="26"/>
      <c r="F51" s="26"/>
    </row>
    <row r="52" spans="4:6">
      <c r="D52" s="26"/>
      <c r="F52" s="26"/>
    </row>
  </sheetData>
  <mergeCells count="10">
    <mergeCell ref="B42:G42"/>
    <mergeCell ref="I1:N1"/>
    <mergeCell ref="I2:N2"/>
    <mergeCell ref="I3:N3"/>
    <mergeCell ref="I4:N4"/>
    <mergeCell ref="B24:G24"/>
    <mergeCell ref="B1:G1"/>
    <mergeCell ref="B2:G2"/>
    <mergeCell ref="B4:G4"/>
    <mergeCell ref="B6:G6"/>
  </mergeCells>
  <printOptions horizontalCentered="1"/>
  <pageMargins left="0.7" right="0.7" top="0.71" bottom="0.75" header="0.3" footer="0.3"/>
  <pageSetup scale="98" orientation="portrait" r:id="rId1"/>
  <headerFooter>
    <oddFooter>&amp;L&amp;F /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A2205C63B94AE449311544B3965B0C3" ma:contentTypeVersion="44" ma:contentTypeDescription="" ma:contentTypeScope="" ma:versionID="d167d02713486550635e9c36da98f00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2021-05-26T07:00:00+00:00</OpenedDate>
    <SignificantOrder xmlns="dc463f71-b30c-4ab2-9473-d307f9d35888">false</SignificantOrder>
    <Date1 xmlns="dc463f71-b30c-4ab2-9473-d307f9d35888">2021-05-26T07:00:00+00:00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210379</DocketNumber>
    <DelegatedOrder xmlns="dc463f71-b30c-4ab2-9473-d307f9d35888">false</DelegatedOrder>
  </documentManagement>
</p:properties>
</file>

<file path=customXml/itemProps1.xml><?xml version="1.0" encoding="utf-8"?>
<ds:datastoreItem xmlns:ds="http://schemas.openxmlformats.org/officeDocument/2006/customXml" ds:itemID="{C97ED4CC-B1BB-430B-A266-94B1DBAA6F57}"/>
</file>

<file path=customXml/itemProps2.xml><?xml version="1.0" encoding="utf-8"?>
<ds:datastoreItem xmlns:ds="http://schemas.openxmlformats.org/officeDocument/2006/customXml" ds:itemID="{9C7263A4-86C1-4A83-BE95-8B73C6B246FB}"/>
</file>

<file path=customXml/itemProps3.xml><?xml version="1.0" encoding="utf-8"?>
<ds:datastoreItem xmlns:ds="http://schemas.openxmlformats.org/officeDocument/2006/customXml" ds:itemID="{C40D5D17-0B26-47F7-99FA-9A8B58DF39A4}"/>
</file>

<file path=customXml/itemProps4.xml><?xml version="1.0" encoding="utf-8"?>
<ds:datastoreItem xmlns:ds="http://schemas.openxmlformats.org/officeDocument/2006/customXml" ds:itemID="{5CD8DCA7-EA5B-4CCD-A2E3-61A57C34DE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Power Supply Normalization</vt:lpstr>
      <vt:lpstr>Earnings Test Differences</vt:lpstr>
      <vt:lpstr>Earnings Test Calculation</vt:lpstr>
      <vt:lpstr>'Earnings Test Calculation'!Print_Area</vt:lpstr>
      <vt:lpstr>'Power Supply Normalization'!Print_Area</vt:lpstr>
      <vt:lpstr>'Power Supply Normalization'!Print_Titles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2021-05-17T21:07:05Z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0x0101006E56B4D1795A2E4DB2F0B01679ED314A00CA2205C63B94AE449311544B3965B0C3</vt:lpwstr>
  </property>
  <property fmtid="{D5CDD505-2E9C-101B-9397-08002B2CF9AE}" pid="3" name="_docset_NoMedatataSyncRequired">
    <vt:lpwstr>False</vt:lpwstr>
  </property>
  <property fmtid="{D5CDD505-2E9C-101B-9397-08002B2CF9AE}" pid="4" name="IsEFSEC">
    <vt:bool>false</vt:bool>
  </property>
</Properties>
</file>