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Regulatory_Affairs\Accounting - Regulatory\Earnings Test &amp; CBR Models\2020\FINAL\FILING\Washington\"/>
    </mc:Choice>
  </mc:AlternateContent>
  <xr:revisionPtr revIDLastSave="0" documentId="13_ncr:1_{21C1BA54-746C-49D3-A207-055738CD2844}" xr6:coauthVersionLast="36" xr6:coauthVersionMax="36" xr10:uidLastSave="{00000000-0000-0000-0000-000000000000}"/>
  <bookViews>
    <workbookView xWindow="11910" yWindow="-60" windowWidth="15990" windowHeight="13400" tabRatio="866" firstSheet="11" activeTab="16" xr2:uid="{00000000-000D-0000-FFFF-FFFF00000000}"/>
  </bookViews>
  <sheets>
    <sheet name="Not filed" sheetId="1" state="hidden" r:id="rId1"/>
    <sheet name="Executive Summary" sheetId="41" state="hidden" r:id="rId2"/>
    <sheet name="Adj Narrative" sheetId="39" state="hidden" r:id="rId3"/>
    <sheet name="Sheet1" sheetId="43" state="hidden" r:id="rId4"/>
    <sheet name="Page 1" sheetId="21" r:id="rId5"/>
    <sheet name="Taxes" sheetId="23" r:id="rId6"/>
    <sheet name="DIT Rate Base" sheetId="44" r:id="rId7"/>
    <sheet name="Rate Base" sheetId="38" r:id="rId8"/>
    <sheet name="Cost of Cap" sheetId="25" r:id="rId9"/>
    <sheet name="Adjustments" sheetId="26" r:id="rId10"/>
    <sheet name="a Rev &amp; Cost" sheetId="37" r:id="rId11"/>
    <sheet name="b Misc Revenues" sheetId="40" r:id="rId12"/>
    <sheet name="c Bonuses" sheetId="30" r:id="rId13"/>
    <sheet name="d Uncollectibles" sheetId="10" r:id="rId14"/>
    <sheet name="e Working Cap" sheetId="11" r:id="rId15"/>
    <sheet name=" f Sales &amp; Mktg" sheetId="13" r:id="rId16"/>
    <sheet name="g Claims" sheetId="17" r:id="rId17"/>
    <sheet name="h Clearing" sheetId="6" r:id="rId18"/>
    <sheet name="Factors" sheetId="22" r:id="rId19"/>
    <sheet name="Other Rev, Dep &amp; Other Tax" sheetId="35" r:id="rId20"/>
  </sheets>
  <externalReferences>
    <externalReference r:id="rId21"/>
    <externalReference r:id="rId22"/>
    <externalReference r:id="rId23"/>
  </externalReferences>
  <definedNames>
    <definedName name="_PG3">#N/A</definedName>
    <definedName name="casepg1">#N/A</definedName>
    <definedName name="dots" localSheetId="6">#REF!</definedName>
    <definedName name="dots">#REF!</definedName>
    <definedName name="EMonth">[1]Data!$G$4:$H$4,[1]Data!$R$4</definedName>
    <definedName name="EssbaseMonth">[2]Essbase!$D$6</definedName>
    <definedName name="EssLatest">"Beg Bal"</definedName>
    <definedName name="EssOptions">"A3100000000111000000011100010_01000"</definedName>
    <definedName name="EYTD">[1]Data!$I$4:$J$4,[1]Data!$Q$4</definedName>
    <definedName name="GITTY" localSheetId="6">#REF!</definedName>
    <definedName name="GITTY">#REF!</definedName>
    <definedName name="I">"a1..m50"</definedName>
    <definedName name="NORMALIZE" localSheetId="6">#REF!</definedName>
    <definedName name="NORMALIZE" localSheetId="1">#REF!</definedName>
    <definedName name="NORMALIZE">#REF!</definedName>
    <definedName name="ONCOR_ELECTRIC_DELIVERY_COMPANY" localSheetId="6">#REF!</definedName>
    <definedName name="ONCOR_ELECTRIC_DELIVERY_COMPANY" localSheetId="1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15">' f Sales &amp; Mktg'!$A$1:$E$23</definedName>
    <definedName name="_xlnm.Print_Area" localSheetId="9">Adjustments!$A$1:$M$49</definedName>
    <definedName name="_xlnm.Print_Area" localSheetId="11">'b Misc Revenues'!$A$1:$H$33</definedName>
    <definedName name="_xlnm.Print_Area" localSheetId="8">'Cost of Cap'!$A$1:$G$52</definedName>
    <definedName name="_xlnm.Print_Area" localSheetId="13">'d Uncollectibles'!$A$1:$G$49</definedName>
    <definedName name="_xlnm.Print_Area" localSheetId="6">'DIT Rate Base'!$A$1:$K$43</definedName>
    <definedName name="_xlnm.Print_Area" localSheetId="14">'e Working Cap'!$A$1:$E$63</definedName>
    <definedName name="_xlnm.Print_Area" localSheetId="1">'Executive Summary'!$A$1:$E$53</definedName>
    <definedName name="_xlnm.Print_Area" localSheetId="18">Factors!$A$1:$E$128</definedName>
    <definedName name="_xlnm.Print_Area" localSheetId="16">'g Claims'!$A$1:$E$23</definedName>
    <definedName name="_xlnm.Print_Area" localSheetId="17">'h Clearing'!$A$1:$D$26</definedName>
    <definedName name="_xlnm.Print_Area" localSheetId="19">'Other Rev, Dep &amp; Other Tax'!$A$1:$E$46</definedName>
    <definedName name="_xlnm.Print_Area" localSheetId="4">'Page 1'!$A$1:$E$46</definedName>
    <definedName name="_xlnm.Print_Area" localSheetId="7">'Rate Base'!$A$2:$P$167</definedName>
    <definedName name="_xlnm.Print_Area" localSheetId="5">Taxes!$A$1:$E$27</definedName>
    <definedName name="_xlnm.Print_Titles" localSheetId="18">Factors!$1:$3</definedName>
    <definedName name="_xlnm.Print_Titles" localSheetId="7">'Rate Base'!$1:$5</definedName>
    <definedName name="ror_1">#N/A</definedName>
    <definedName name="ror_2">#N/A</definedName>
    <definedName name="SECACCUMCOMPRINCOME">'[3]LAW RETAIN EARN'!$B$23</definedName>
    <definedName name="SECAIRCRAFT">'[3]LAW OTHER INV'!$B$45</definedName>
    <definedName name="SECARTRADE1">'[3]LAW CASH'!$B$96</definedName>
    <definedName name="SECARTRADE2">'[3]LAW ACCT REC'!$B$42</definedName>
    <definedName name="SECCUSTADV">'[3]LAW OTHER LIABILITIES'!$B$76</definedName>
    <definedName name="SECDEFINCTAXLIAB">'[3]LAW DEF TAXES INV CREDIT'!$B$34</definedName>
    <definedName name="SECINCTAXASSET">'[3]LAW DEF REG AND OTHER'!$B$159</definedName>
    <definedName name="SECINTRECNNGFC">'[3]LAW INV IN SUBS'!$B$26</definedName>
    <definedName name="SECINTRECNWENERGY">'[3]LAW INV IN SUBS'!$B$24</definedName>
    <definedName name="SECINVESTLIFEINS">'[3]LAW DEF REG AND OTHER'!$B$165</definedName>
    <definedName name="SECLOSSDERIV">'[3]LAW DEF REG AND OTHER'!$B$161</definedName>
    <definedName name="SECNNGFC">'[3]LAW INV IN SUBS'!$B$22</definedName>
    <definedName name="SECNONUTDEPR">'[3]LAW NON UTIL PROP'!$B$44</definedName>
    <definedName name="SECNONUTILPROP">'[3]LAW NON UTIL PROP'!$B$42</definedName>
    <definedName name="SECNWENERGY">'[3]LAW INV IN SUBS'!$B$20</definedName>
    <definedName name="SECOTHCURRLIAB">'[3]LAW CUST DEPOS'!$B$17</definedName>
    <definedName name="SECOTHCURRLIAB2">'[3]LAW DIVIDENDS DECLARED'!$B$15</definedName>
    <definedName name="SECOTHERASSETS">'[3]LAW DEF REG AND OTHER'!$B$167</definedName>
    <definedName name="SECOTHERASSETS1">'[3]LAW UNAMT DEBT DISC'!$B$46</definedName>
    <definedName name="SECOTHERINV">'[3]LAW OTHER INV'!$B$47</definedName>
    <definedName name="SECUNAMORTLOSSDEBTRED">'[3]LAW DEF REG AND OTHER'!$B$163</definedName>
    <definedName name="SECUNEARNEDCOMP">'[3]LAW RETAIN EARN'!$B$25</definedName>
    <definedName name="SECUTILPLANT">'[3]LAW GAS STORED'!$B$23</definedName>
    <definedName name="sue">#N/A</definedName>
    <definedName name="SUMMARY" localSheetId="6">#REF!</definedName>
    <definedName name="SUMMARY">#REF!</definedName>
    <definedName name="TAX" localSheetId="6">#REF!</definedName>
    <definedName name="TAX">#REF!</definedName>
    <definedName name="WS3A2">#N/A</definedName>
    <definedName name="Year">[3]CONTROL!$F$7</definedName>
  </definedNames>
  <calcPr calcId="191029" iterate="1"/>
</workbook>
</file>

<file path=xl/calcChain.xml><?xml version="1.0" encoding="utf-8"?>
<calcChain xmlns="http://schemas.openxmlformats.org/spreadsheetml/2006/main">
  <c r="A40" i="44" l="1"/>
  <c r="A41" i="44"/>
  <c r="A42" i="44" s="1"/>
  <c r="A43" i="44" s="1"/>
  <c r="A44" i="44" s="1"/>
  <c r="F124" i="26" l="1"/>
  <c r="H124" i="26"/>
  <c r="I124" i="26"/>
  <c r="J124" i="26"/>
  <c r="K124" i="26"/>
  <c r="C105" i="22" l="1"/>
  <c r="D105" i="22"/>
  <c r="C106" i="22"/>
  <c r="D106" i="22"/>
  <c r="C107" i="22"/>
  <c r="D107" i="22"/>
  <c r="C108" i="22"/>
  <c r="D108" i="22"/>
  <c r="C109" i="22"/>
  <c r="D109" i="22"/>
  <c r="C110" i="22"/>
  <c r="D110" i="22"/>
  <c r="C111" i="22"/>
  <c r="D111" i="22"/>
  <c r="C112" i="22"/>
  <c r="D112" i="22"/>
  <c r="C113" i="22"/>
  <c r="D113" i="22"/>
  <c r="D114" i="22"/>
  <c r="C114" i="22" s="1"/>
  <c r="C115" i="22"/>
  <c r="D115" i="22"/>
  <c r="C116" i="22"/>
  <c r="D116" i="22"/>
  <c r="C117" i="22"/>
  <c r="D117" i="22"/>
  <c r="D118" i="22"/>
  <c r="D119" i="22"/>
  <c r="D120" i="22"/>
  <c r="D121" i="22"/>
  <c r="D122" i="22"/>
  <c r="D123" i="22"/>
  <c r="D124" i="22"/>
  <c r="C125" i="22"/>
  <c r="D125" i="22"/>
  <c r="C25" i="23" l="1"/>
  <c r="I41" i="44" l="1"/>
  <c r="D126" i="22" l="1"/>
  <c r="D127" i="22"/>
  <c r="D129" i="22"/>
  <c r="D130" i="22"/>
  <c r="D131" i="22"/>
  <c r="I42" i="44" l="1"/>
  <c r="J15" i="44" l="1"/>
  <c r="Q79" i="38" l="1"/>
  <c r="Q103" i="38"/>
  <c r="Q23" i="38"/>
  <c r="Q107" i="38"/>
  <c r="C18" i="21" l="1"/>
  <c r="B26" i="35" l="1"/>
  <c r="K12" i="40" l="1"/>
  <c r="Q11" i="38" l="1"/>
  <c r="Q21" i="38"/>
  <c r="Q19" i="38"/>
  <c r="Q18" i="38"/>
  <c r="Q16" i="38"/>
  <c r="Q15" i="38"/>
  <c r="Q14" i="38"/>
  <c r="Q13" i="38"/>
  <c r="Q12" i="38"/>
  <c r="Q27" i="38"/>
  <c r="D23" i="38" l="1"/>
  <c r="D116" i="38" l="1"/>
  <c r="D79" i="38"/>
  <c r="D38" i="38"/>
  <c r="D155" i="38" l="1"/>
  <c r="D64" i="38" l="1"/>
  <c r="D103" i="38" l="1"/>
  <c r="D21" i="13" l="1"/>
  <c r="C43" i="10" l="1"/>
  <c r="P38" i="38" l="1"/>
  <c r="C26" i="22" l="1"/>
  <c r="L14" i="23" l="1"/>
  <c r="E12" i="40" l="1"/>
  <c r="B48" i="17" l="1"/>
  <c r="B47" i="17" s="1"/>
  <c r="F51" i="37" l="1"/>
  <c r="H51" i="37"/>
  <c r="D51" i="37"/>
  <c r="H34" i="37" l="1"/>
  <c r="D34" i="37"/>
  <c r="E34" i="37"/>
  <c r="F34" i="37"/>
  <c r="C34" i="37"/>
  <c r="D26" i="37"/>
  <c r="D36" i="37" s="1"/>
  <c r="E26" i="37"/>
  <c r="E36" i="37" s="1"/>
  <c r="F26" i="37"/>
  <c r="F36" i="37" s="1"/>
  <c r="D20" i="37"/>
  <c r="E20" i="37"/>
  <c r="F20" i="37"/>
  <c r="H20" i="37"/>
  <c r="H26" i="37" s="1"/>
  <c r="H36" i="37" s="1"/>
  <c r="C20" i="37"/>
  <c r="C26" i="37" s="1"/>
  <c r="C36" i="37" l="1"/>
  <c r="D40" i="38"/>
  <c r="D12" i="11" l="1"/>
  <c r="D50" i="17" l="1"/>
  <c r="D15" i="17" s="1"/>
  <c r="E23" i="38" l="1"/>
  <c r="F23" i="38"/>
  <c r="G23" i="38"/>
  <c r="H23" i="38"/>
  <c r="I23" i="38"/>
  <c r="J23" i="38"/>
  <c r="K23" i="38"/>
  <c r="L23" i="38"/>
  <c r="M23" i="38"/>
  <c r="N23" i="38"/>
  <c r="O23" i="38"/>
  <c r="P23" i="38"/>
  <c r="E38" i="38"/>
  <c r="F38" i="38"/>
  <c r="G38" i="38"/>
  <c r="H38" i="38"/>
  <c r="I38" i="38"/>
  <c r="J38" i="38"/>
  <c r="K38" i="38"/>
  <c r="L38" i="38"/>
  <c r="M38" i="38"/>
  <c r="N38" i="38"/>
  <c r="O38" i="38"/>
  <c r="E64" i="38"/>
  <c r="F64" i="38"/>
  <c r="G64" i="38"/>
  <c r="H64" i="38"/>
  <c r="I64" i="38"/>
  <c r="J64" i="38"/>
  <c r="K64" i="38"/>
  <c r="L64" i="38"/>
  <c r="M64" i="38"/>
  <c r="N64" i="38"/>
  <c r="O64" i="38"/>
  <c r="P64" i="38"/>
  <c r="D141" i="38" s="1"/>
  <c r="E79" i="38"/>
  <c r="F79" i="38"/>
  <c r="G79" i="38"/>
  <c r="H79" i="38"/>
  <c r="I79" i="38"/>
  <c r="J79" i="38"/>
  <c r="K79" i="38"/>
  <c r="L79" i="38"/>
  <c r="M79" i="38"/>
  <c r="N79" i="38"/>
  <c r="O79" i="38"/>
  <c r="P79" i="38"/>
  <c r="Q68" i="38" l="1"/>
  <c r="Q69" i="38"/>
  <c r="Q70" i="38"/>
  <c r="Q71" i="38"/>
  <c r="Q72" i="38"/>
  <c r="Q74" i="38"/>
  <c r="Q75" i="38"/>
  <c r="Q77" i="38"/>
  <c r="D132" i="38" l="1"/>
  <c r="E8" i="10"/>
  <c r="F8" i="10" s="1"/>
  <c r="L10" i="40"/>
  <c r="M10" i="40" s="1"/>
  <c r="E5" i="38"/>
  <c r="H5" i="38" s="1"/>
  <c r="O5" i="38" l="1"/>
  <c r="K5" i="38"/>
  <c r="G5" i="38"/>
  <c r="N5" i="38"/>
  <c r="J5" i="38"/>
  <c r="F5" i="38"/>
  <c r="M5" i="38"/>
  <c r="I5" i="38"/>
  <c r="P5" i="38"/>
  <c r="L5" i="38"/>
  <c r="D37" i="35" l="1"/>
  <c r="D38" i="35"/>
  <c r="D39" i="35"/>
  <c r="D40" i="35"/>
  <c r="D41" i="35"/>
  <c r="D36" i="35"/>
  <c r="E20" i="40" l="1"/>
  <c r="E21" i="40"/>
  <c r="K21" i="40" s="1"/>
  <c r="C46" i="35"/>
  <c r="B46" i="35"/>
  <c r="D17" i="35"/>
  <c r="D18" i="35"/>
  <c r="D19" i="35"/>
  <c r="D46" i="35" s="1"/>
  <c r="K20" i="40" l="1"/>
  <c r="J20" i="40" s="1"/>
  <c r="G20" i="40"/>
  <c r="C22" i="21"/>
  <c r="D12" i="26" l="1"/>
  <c r="H31" i="30" l="1"/>
  <c r="D19" i="26" l="1"/>
  <c r="L19" i="26" s="1"/>
  <c r="D13" i="26"/>
  <c r="C16" i="21"/>
  <c r="C11" i="21"/>
  <c r="C10" i="21"/>
  <c r="A54" i="21" l="1"/>
  <c r="A55" i="21" s="1"/>
  <c r="A56" i="21" s="1"/>
  <c r="A57" i="21" s="1"/>
  <c r="A58" i="21" s="1"/>
  <c r="A59" i="21" s="1"/>
  <c r="A63" i="21"/>
  <c r="A64" i="21" s="1"/>
  <c r="A66" i="21" s="1"/>
  <c r="A3" i="44" l="1"/>
  <c r="F35" i="44"/>
  <c r="E35" i="44"/>
  <c r="G33" i="44"/>
  <c r="J33" i="44" s="1"/>
  <c r="G31" i="44"/>
  <c r="J31" i="44" s="1"/>
  <c r="G29" i="44"/>
  <c r="J29" i="44" s="1"/>
  <c r="F21" i="44"/>
  <c r="E21" i="44"/>
  <c r="G19" i="44"/>
  <c r="G17" i="44"/>
  <c r="J17" i="44" s="1"/>
  <c r="G15" i="44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G21" i="44" l="1"/>
  <c r="G35" i="44"/>
  <c r="A33" i="44"/>
  <c r="A34" i="44" s="1"/>
  <c r="A35" i="44" s="1"/>
  <c r="A36" i="44" s="1"/>
  <c r="A37" i="44" s="1"/>
  <c r="A38" i="44" s="1"/>
  <c r="A39" i="44" s="1"/>
  <c r="A31" i="44"/>
  <c r="A32" i="44" s="1"/>
  <c r="L23" i="40" l="1"/>
  <c r="P41" i="38" l="1"/>
  <c r="O41" i="38"/>
  <c r="N41" i="38"/>
  <c r="M41" i="38"/>
  <c r="L41" i="38"/>
  <c r="K41" i="38"/>
  <c r="J41" i="38"/>
  <c r="I41" i="38"/>
  <c r="H41" i="38"/>
  <c r="G41" i="38"/>
  <c r="F41" i="38"/>
  <c r="E41" i="38"/>
  <c r="D41" i="38"/>
  <c r="Q36" i="38"/>
  <c r="Q62" i="38"/>
  <c r="E40" i="43" l="1"/>
  <c r="E39" i="43"/>
  <c r="C41" i="43"/>
  <c r="E38" i="43"/>
  <c r="M11" i="43"/>
  <c r="E41" i="43" l="1"/>
  <c r="F10" i="43"/>
  <c r="C18" i="43" l="1"/>
  <c r="D9" i="43"/>
  <c r="H13" i="43" s="1"/>
  <c r="I13" i="43" s="1"/>
  <c r="D8" i="43"/>
  <c r="I12" i="43" s="1"/>
  <c r="I28" i="43"/>
  <c r="H28" i="43"/>
  <c r="G28" i="43"/>
  <c r="I27" i="43"/>
  <c r="H27" i="43"/>
  <c r="G27" i="43"/>
  <c r="I26" i="43"/>
  <c r="H26" i="43"/>
  <c r="G26" i="43"/>
  <c r="D27" i="43"/>
  <c r="D26" i="43"/>
  <c r="B28" i="43"/>
  <c r="B27" i="43"/>
  <c r="B26" i="43"/>
  <c r="C22" i="43"/>
  <c r="G22" i="43"/>
  <c r="D11" i="43"/>
  <c r="D10" i="43"/>
  <c r="B3" i="43"/>
  <c r="G29" i="43" l="1"/>
  <c r="I29" i="43"/>
  <c r="I14" i="43"/>
  <c r="D10" i="35" l="1"/>
  <c r="D11" i="35"/>
  <c r="D12" i="35"/>
  <c r="D13" i="35"/>
  <c r="D14" i="35"/>
  <c r="D15" i="35"/>
  <c r="D16" i="35"/>
  <c r="B20" i="35"/>
  <c r="C20" i="35"/>
  <c r="D24" i="35"/>
  <c r="D25" i="35"/>
  <c r="D26" i="35"/>
  <c r="D27" i="35"/>
  <c r="D28" i="35"/>
  <c r="D29" i="35"/>
  <c r="D30" i="35"/>
  <c r="B31" i="35"/>
  <c r="C31" i="35"/>
  <c r="B42" i="35"/>
  <c r="C42" i="35"/>
  <c r="B45" i="35"/>
  <c r="C45" i="35"/>
  <c r="C23" i="21" l="1"/>
  <c r="D45" i="35"/>
  <c r="D42" i="35"/>
  <c r="D31" i="35"/>
  <c r="B32" i="35" s="1"/>
  <c r="C127" i="22" s="1"/>
  <c r="D20" i="35"/>
  <c r="Q114" i="38" l="1"/>
  <c r="Q113" i="38"/>
  <c r="Q111" i="38"/>
  <c r="Q110" i="38"/>
  <c r="Q109" i="38"/>
  <c r="Q116" i="38" s="1"/>
  <c r="Q101" i="38"/>
  <c r="Q100" i="38"/>
  <c r="Q98" i="38"/>
  <c r="Q97" i="38"/>
  <c r="Q96" i="38"/>
  <c r="Q95" i="38"/>
  <c r="Q94" i="38"/>
  <c r="Q93" i="38"/>
  <c r="Q60" i="38"/>
  <c r="Q59" i="38"/>
  <c r="Q57" i="38"/>
  <c r="Q56" i="38"/>
  <c r="Q55" i="38"/>
  <c r="Q54" i="38"/>
  <c r="Q53" i="38"/>
  <c r="Q52" i="38"/>
  <c r="Q34" i="38"/>
  <c r="Q33" i="38"/>
  <c r="Q31" i="38"/>
  <c r="Q30" i="38"/>
  <c r="Q29" i="38"/>
  <c r="Q28" i="38"/>
  <c r="Q64" i="38" l="1"/>
  <c r="D151" i="38" l="1"/>
  <c r="E151" i="38"/>
  <c r="Q38" i="38" l="1"/>
  <c r="J21" i="40" l="1"/>
  <c r="A11" i="21" l="1"/>
  <c r="A12" i="21" s="1"/>
  <c r="A13" i="21" s="1"/>
  <c r="A16" i="21" s="1"/>
  <c r="A17" i="21" s="1"/>
  <c r="A18" i="21" s="1"/>
  <c r="A19" i="21" s="1"/>
  <c r="A21" i="21" s="1"/>
  <c r="A22" i="21" s="1"/>
  <c r="A23" i="21" s="1"/>
  <c r="A24" i="21" s="1"/>
  <c r="A26" i="21" s="1"/>
  <c r="A28" i="21" s="1"/>
  <c r="A31" i="21" s="1"/>
  <c r="A32" i="21" s="1"/>
  <c r="A33" i="21" s="1"/>
  <c r="A35" i="21" s="1"/>
  <c r="A36" i="21" s="1"/>
  <c r="A37" i="21" s="1"/>
  <c r="A38" i="21" s="1"/>
  <c r="L41" i="26"/>
  <c r="D35" i="21" s="1"/>
  <c r="A13" i="26"/>
  <c r="A14" i="26" s="1"/>
  <c r="A16" i="26" s="1"/>
  <c r="A19" i="26" s="1"/>
  <c r="A20" i="26" s="1"/>
  <c r="A21" i="26" s="1"/>
  <c r="A23" i="26" s="1"/>
  <c r="A26" i="26" s="1"/>
  <c r="A27" i="26" s="1"/>
  <c r="A28" i="26" s="1"/>
  <c r="A29" i="26" s="1"/>
  <c r="A31" i="26" s="1"/>
  <c r="A33" i="26" s="1"/>
  <c r="A36" i="26" s="1"/>
  <c r="A37" i="26" s="1"/>
  <c r="A39" i="26" s="1"/>
  <c r="A41" i="26" s="1"/>
  <c r="A42" i="26" s="1"/>
  <c r="A43" i="26" s="1"/>
  <c r="A44" i="26" l="1"/>
  <c r="A45" i="26" s="1"/>
  <c r="A47" i="26" s="1"/>
  <c r="A49" i="26" s="1"/>
  <c r="A39" i="21"/>
  <c r="A41" i="21" s="1"/>
  <c r="A43" i="21" s="1"/>
  <c r="A45" i="21" s="1"/>
  <c r="D48" i="41" l="1"/>
  <c r="D47" i="41"/>
  <c r="D46" i="41"/>
  <c r="G19" i="41"/>
  <c r="G20" i="41" s="1"/>
  <c r="G21" i="41" s="1"/>
  <c r="G22" i="41" s="1"/>
  <c r="G23" i="41" s="1"/>
  <c r="G24" i="41" s="1"/>
  <c r="G13" i="30" l="1"/>
  <c r="G18" i="30"/>
  <c r="G23" i="30"/>
  <c r="G28" i="30"/>
  <c r="G17" i="25" l="1"/>
  <c r="A9" i="41" l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46" i="41" s="1"/>
  <c r="A47" i="41" s="1"/>
  <c r="A48" i="41" s="1"/>
  <c r="A49" i="41" s="1"/>
  <c r="A50" i="41" s="1"/>
  <c r="A51" i="41" s="1"/>
  <c r="A52" i="41" s="1"/>
  <c r="A53" i="41" s="1"/>
  <c r="A3" i="41"/>
  <c r="A1" i="41"/>
  <c r="D28" i="30" l="1"/>
  <c r="C28" i="30"/>
  <c r="D23" i="30"/>
  <c r="C23" i="30"/>
  <c r="D18" i="30"/>
  <c r="C18" i="30"/>
  <c r="D13" i="30"/>
  <c r="C13" i="30"/>
  <c r="P103" i="38"/>
  <c r="O103" i="38"/>
  <c r="N103" i="38"/>
  <c r="M103" i="38"/>
  <c r="L103" i="38"/>
  <c r="K103" i="38"/>
  <c r="J103" i="38"/>
  <c r="I103" i="38"/>
  <c r="H103" i="38"/>
  <c r="G103" i="38"/>
  <c r="F103" i="38"/>
  <c r="E103" i="38"/>
  <c r="D16" i="10"/>
  <c r="E16" i="10"/>
  <c r="F16" i="10"/>
  <c r="D23" i="10"/>
  <c r="E23" i="10"/>
  <c r="F23" i="10"/>
  <c r="D26" i="10"/>
  <c r="E26" i="10"/>
  <c r="F26" i="10"/>
  <c r="D27" i="10"/>
  <c r="E27" i="10"/>
  <c r="F27" i="10"/>
  <c r="D28" i="10"/>
  <c r="E28" i="10"/>
  <c r="F28" i="10"/>
  <c r="D29" i="10"/>
  <c r="E29" i="10"/>
  <c r="F29" i="10"/>
  <c r="F30" i="10" l="1"/>
  <c r="D30" i="10"/>
  <c r="E30" i="10"/>
  <c r="E10" i="13"/>
  <c r="E12" i="13"/>
  <c r="E15" i="13"/>
  <c r="E17" i="13"/>
  <c r="E19" i="13"/>
  <c r="E21" i="13"/>
  <c r="L12" i="26"/>
  <c r="D10" i="21" s="1"/>
  <c r="E10" i="21" s="1"/>
  <c r="L13" i="26"/>
  <c r="D11" i="21" s="1"/>
  <c r="D16" i="21"/>
  <c r="E64" i="26"/>
  <c r="E39" i="26"/>
  <c r="E47" i="26" s="1"/>
  <c r="E95" i="26"/>
  <c r="E94" i="26"/>
  <c r="E12" i="1"/>
  <c r="C13" i="26"/>
  <c r="A12" i="40"/>
  <c r="A13" i="40" s="1"/>
  <c r="A14" i="40" s="1"/>
  <c r="A15" i="40" s="1"/>
  <c r="A16" i="40" s="1"/>
  <c r="A17" i="40" s="1"/>
  <c r="A18" i="40" s="1"/>
  <c r="E13" i="40"/>
  <c r="E14" i="40"/>
  <c r="E15" i="40"/>
  <c r="E16" i="40"/>
  <c r="E17" i="40"/>
  <c r="E18" i="40"/>
  <c r="E19" i="40"/>
  <c r="A4" i="26"/>
  <c r="A3" i="40" s="1"/>
  <c r="A1" i="40"/>
  <c r="P119" i="38"/>
  <c r="O119" i="38"/>
  <c r="N119" i="38"/>
  <c r="M119" i="38"/>
  <c r="L119" i="38"/>
  <c r="K119" i="38"/>
  <c r="J119" i="38"/>
  <c r="I119" i="38"/>
  <c r="H119" i="38"/>
  <c r="G119" i="38"/>
  <c r="F119" i="38"/>
  <c r="E119" i="38"/>
  <c r="D119" i="38"/>
  <c r="L45" i="26"/>
  <c r="D39" i="21" s="1"/>
  <c r="L44" i="26"/>
  <c r="D38" i="21" s="1"/>
  <c r="L43" i="26"/>
  <c r="D37" i="21" s="1"/>
  <c r="L42" i="26"/>
  <c r="D36" i="21" s="1"/>
  <c r="L37" i="26"/>
  <c r="D32" i="21" s="1"/>
  <c r="L29" i="26"/>
  <c r="D24" i="21" s="1"/>
  <c r="L27" i="26"/>
  <c r="D22" i="21" s="1"/>
  <c r="F16" i="26"/>
  <c r="F64" i="26"/>
  <c r="D94" i="26"/>
  <c r="D95" i="26"/>
  <c r="E98" i="26" s="1"/>
  <c r="H16" i="26"/>
  <c r="H62" i="26" s="1"/>
  <c r="H23" i="26"/>
  <c r="H63" i="26" s="1"/>
  <c r="H64" i="26"/>
  <c r="J16" i="26"/>
  <c r="J64" i="26"/>
  <c r="K16" i="26"/>
  <c r="K62" i="26" s="1"/>
  <c r="K64" i="26"/>
  <c r="D64" i="26"/>
  <c r="D39" i="26"/>
  <c r="D47" i="26" s="1"/>
  <c r="G16" i="26"/>
  <c r="G62" i="26" s="1"/>
  <c r="G64" i="26"/>
  <c r="G39" i="26"/>
  <c r="G47" i="26" s="1"/>
  <c r="I16" i="26"/>
  <c r="I64" i="26"/>
  <c r="I39" i="26"/>
  <c r="I47" i="26" s="1"/>
  <c r="A15" i="13"/>
  <c r="A17" i="13" s="1"/>
  <c r="A19" i="13" s="1"/>
  <c r="A21" i="13" s="1"/>
  <c r="A23" i="13" s="1"/>
  <c r="E16" i="17"/>
  <c r="E18" i="17" s="1"/>
  <c r="D10" i="22"/>
  <c r="C8" i="22"/>
  <c r="C9" i="22"/>
  <c r="D16" i="17"/>
  <c r="D18" i="17" s="1"/>
  <c r="C19" i="10"/>
  <c r="C12" i="10"/>
  <c r="C20" i="10"/>
  <c r="C13" i="10"/>
  <c r="C21" i="10"/>
  <c r="C14" i="10"/>
  <c r="C22" i="10"/>
  <c r="C15" i="10"/>
  <c r="D16" i="22"/>
  <c r="C14" i="22"/>
  <c r="C15" i="22"/>
  <c r="C52" i="22"/>
  <c r="D53" i="22" s="1"/>
  <c r="C55" i="22"/>
  <c r="D56" i="22" s="1"/>
  <c r="C58" i="22"/>
  <c r="D59" i="22" s="1"/>
  <c r="F151" i="38"/>
  <c r="E40" i="38"/>
  <c r="F40" i="38"/>
  <c r="G40" i="38"/>
  <c r="H40" i="38"/>
  <c r="I40" i="38"/>
  <c r="J40" i="38"/>
  <c r="K40" i="38"/>
  <c r="L40" i="38"/>
  <c r="M40" i="38"/>
  <c r="N40" i="38"/>
  <c r="O40" i="38"/>
  <c r="P40" i="38"/>
  <c r="C12" i="21"/>
  <c r="E19" i="1"/>
  <c r="C27" i="26"/>
  <c r="C24" i="21"/>
  <c r="C21" i="23"/>
  <c r="F11" i="30"/>
  <c r="H11" i="30" s="1"/>
  <c r="F12" i="30"/>
  <c r="H12" i="30" s="1"/>
  <c r="F21" i="30"/>
  <c r="F22" i="30"/>
  <c r="F16" i="30"/>
  <c r="H16" i="30" s="1"/>
  <c r="F17" i="30"/>
  <c r="H17" i="30" s="1"/>
  <c r="F26" i="30"/>
  <c r="F27" i="30"/>
  <c r="A3" i="39"/>
  <c r="A2" i="21"/>
  <c r="A1" i="39"/>
  <c r="C21" i="26"/>
  <c r="E141" i="38"/>
  <c r="F141" i="38" s="1"/>
  <c r="E142" i="38" s="1"/>
  <c r="D142" i="38" s="1"/>
  <c r="P116" i="38"/>
  <c r="O116" i="38"/>
  <c r="N116" i="38"/>
  <c r="M116" i="38"/>
  <c r="L116" i="38"/>
  <c r="K116" i="38"/>
  <c r="J116" i="38"/>
  <c r="I116" i="38"/>
  <c r="H116" i="38"/>
  <c r="G116" i="38"/>
  <c r="F116" i="38"/>
  <c r="E116" i="38"/>
  <c r="D91" i="38"/>
  <c r="E91" i="38" s="1"/>
  <c r="F91" i="38" s="1"/>
  <c r="G91" i="38" s="1"/>
  <c r="H91" i="38" s="1"/>
  <c r="I91" i="38" s="1"/>
  <c r="J91" i="38" s="1"/>
  <c r="K91" i="38" s="1"/>
  <c r="L91" i="38" s="1"/>
  <c r="M91" i="38" s="1"/>
  <c r="N91" i="38" s="1"/>
  <c r="O91" i="38" s="1"/>
  <c r="P91" i="38" s="1"/>
  <c r="Q91" i="38" s="1"/>
  <c r="Q90" i="38"/>
  <c r="Q89" i="38"/>
  <c r="P90" i="38"/>
  <c r="O90" i="38"/>
  <c r="N90" i="38"/>
  <c r="M90" i="38"/>
  <c r="L90" i="38"/>
  <c r="K90" i="38"/>
  <c r="J90" i="38"/>
  <c r="I90" i="38"/>
  <c r="H90" i="38"/>
  <c r="G90" i="38"/>
  <c r="F90" i="38"/>
  <c r="E90" i="38"/>
  <c r="E89" i="38"/>
  <c r="D90" i="38"/>
  <c r="D89" i="38"/>
  <c r="D50" i="38"/>
  <c r="E50" i="38" s="1"/>
  <c r="F50" i="38" s="1"/>
  <c r="G50" i="38" s="1"/>
  <c r="H50" i="38" s="1"/>
  <c r="I50" i="38" s="1"/>
  <c r="J50" i="38" s="1"/>
  <c r="K50" i="38" s="1"/>
  <c r="L50" i="38" s="1"/>
  <c r="M50" i="38" s="1"/>
  <c r="N50" i="38" s="1"/>
  <c r="O50" i="38" s="1"/>
  <c r="P50" i="38" s="1"/>
  <c r="Q50" i="38" s="1"/>
  <c r="Q49" i="38"/>
  <c r="Q48" i="38"/>
  <c r="P49" i="38"/>
  <c r="O49" i="38"/>
  <c r="N49" i="38"/>
  <c r="M49" i="38"/>
  <c r="L49" i="38"/>
  <c r="K49" i="38"/>
  <c r="J49" i="38"/>
  <c r="I49" i="38"/>
  <c r="H49" i="38"/>
  <c r="G49" i="38"/>
  <c r="F49" i="38"/>
  <c r="E49" i="38"/>
  <c r="E48" i="38"/>
  <c r="D49" i="38"/>
  <c r="D48" i="38"/>
  <c r="E67" i="22"/>
  <c r="A25" i="23"/>
  <c r="A27" i="23" s="1"/>
  <c r="D46" i="22"/>
  <c r="E46" i="22"/>
  <c r="D40" i="22"/>
  <c r="E40" i="22"/>
  <c r="D34" i="22"/>
  <c r="E34" i="22"/>
  <c r="D22" i="22"/>
  <c r="C20" i="22"/>
  <c r="C21" i="22"/>
  <c r="L87" i="26"/>
  <c r="L86" i="26"/>
  <c r="L85" i="26"/>
  <c r="L81" i="26"/>
  <c r="L76" i="26"/>
  <c r="L75" i="26"/>
  <c r="L71" i="26"/>
  <c r="L66" i="26"/>
  <c r="A3" i="26"/>
  <c r="C34" i="17"/>
  <c r="A1" i="30"/>
  <c r="E28" i="30"/>
  <c r="E23" i="30"/>
  <c r="E18" i="30"/>
  <c r="E13" i="30"/>
  <c r="A1" i="17"/>
  <c r="A1" i="6"/>
  <c r="A3" i="23"/>
  <c r="A13" i="25"/>
  <c r="A14" i="25" s="1"/>
  <c r="A15" i="25" s="1"/>
  <c r="A17" i="25" s="1"/>
  <c r="A21" i="25" s="1"/>
  <c r="A22" i="25" s="1"/>
  <c r="A23" i="25" s="1"/>
  <c r="A25" i="25" s="1"/>
  <c r="A27" i="25" s="1"/>
  <c r="A28" i="25" s="1"/>
  <c r="A29" i="25" s="1"/>
  <c r="A30" i="25" s="1"/>
  <c r="A32" i="25" s="1"/>
  <c r="A33" i="25" s="1"/>
  <c r="A35" i="25" s="1"/>
  <c r="A36" i="25" s="1"/>
  <c r="A38" i="25" s="1"/>
  <c r="A40" i="25" s="1"/>
  <c r="A42" i="25" s="1"/>
  <c r="A45" i="25" s="1"/>
  <c r="A47" i="25" s="1"/>
  <c r="A50" i="25" s="1"/>
  <c r="A51" i="25" s="1"/>
  <c r="A52" i="25" s="1"/>
  <c r="A1" i="25"/>
  <c r="C45" i="22"/>
  <c r="B21" i="22"/>
  <c r="B27" i="22" s="1"/>
  <c r="B33" i="22" s="1"/>
  <c r="B39" i="22" s="1"/>
  <c r="B45" i="22" s="1"/>
  <c r="C44" i="22"/>
  <c r="B44" i="22"/>
  <c r="C39" i="22"/>
  <c r="C38" i="22"/>
  <c r="B38" i="22"/>
  <c r="C33" i="22"/>
  <c r="C32" i="22"/>
  <c r="B32" i="22"/>
  <c r="B26" i="22"/>
  <c r="E22" i="22"/>
  <c r="B20" i="22"/>
  <c r="E16" i="22"/>
  <c r="B15" i="22"/>
  <c r="B14" i="22"/>
  <c r="E10" i="22"/>
  <c r="A1" i="13"/>
  <c r="A3" i="1"/>
  <c r="C16" i="1"/>
  <c r="C23" i="1"/>
  <c r="C32" i="1" s="1"/>
  <c r="C36" i="1"/>
  <c r="E21" i="1"/>
  <c r="A3" i="35"/>
  <c r="A1" i="35"/>
  <c r="A1" i="10"/>
  <c r="A1" i="11"/>
  <c r="K18" i="40" l="1"/>
  <c r="J18" i="40" s="1"/>
  <c r="K14" i="40"/>
  <c r="J14" i="40" s="1"/>
  <c r="K17" i="40"/>
  <c r="J17" i="40" s="1"/>
  <c r="K13" i="40"/>
  <c r="J13" i="40" s="1"/>
  <c r="K16" i="40"/>
  <c r="J16" i="40" s="1"/>
  <c r="K19" i="40"/>
  <c r="J19" i="40" s="1"/>
  <c r="F19" i="40" s="1"/>
  <c r="K15" i="40"/>
  <c r="J15" i="40" s="1"/>
  <c r="E118" i="38"/>
  <c r="E81" i="38" s="1"/>
  <c r="E56" i="22"/>
  <c r="A2" i="23"/>
  <c r="A2" i="44"/>
  <c r="M27" i="26"/>
  <c r="A19" i="40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2" i="13"/>
  <c r="A2" i="30"/>
  <c r="E13" i="1"/>
  <c r="C12" i="26"/>
  <c r="M12" i="26" s="1"/>
  <c r="L64" i="26"/>
  <c r="C10" i="22"/>
  <c r="D11" i="22" s="1"/>
  <c r="C27" i="22"/>
  <c r="D28" i="22"/>
  <c r="F23" i="30"/>
  <c r="H23" i="30" s="1"/>
  <c r="A3" i="13"/>
  <c r="A3" i="6" s="1"/>
  <c r="A2" i="41"/>
  <c r="C27" i="10"/>
  <c r="C34" i="10" s="1"/>
  <c r="C80" i="22"/>
  <c r="C79" i="22"/>
  <c r="D129" i="38"/>
  <c r="C86" i="22"/>
  <c r="C85" i="22"/>
  <c r="C84" i="22"/>
  <c r="I42" i="38"/>
  <c r="I44" i="38" s="1"/>
  <c r="O82" i="38"/>
  <c r="K82" i="38"/>
  <c r="G82" i="38"/>
  <c r="M13" i="26"/>
  <c r="F13" i="40"/>
  <c r="G13" i="40" s="1"/>
  <c r="C28" i="10"/>
  <c r="C35" i="10" s="1"/>
  <c r="C26" i="10"/>
  <c r="C33" i="10" s="1"/>
  <c r="M82" i="38"/>
  <c r="M42" i="38"/>
  <c r="M44" i="38" s="1"/>
  <c r="E42" i="38"/>
  <c r="E44" i="38" s="1"/>
  <c r="O42" i="38"/>
  <c r="O44" i="38" s="1"/>
  <c r="K42" i="38"/>
  <c r="K44" i="38" s="1"/>
  <c r="G42" i="38"/>
  <c r="G44" i="38" s="1"/>
  <c r="I82" i="38"/>
  <c r="E82" i="38"/>
  <c r="C31" i="21"/>
  <c r="E28" i="1"/>
  <c r="C23" i="10"/>
  <c r="E28" i="22"/>
  <c r="E91" i="22"/>
  <c r="A3" i="10"/>
  <c r="A3" i="17" s="1"/>
  <c r="A3" i="30"/>
  <c r="C77" i="22"/>
  <c r="C46" i="22"/>
  <c r="D47" i="22" s="1"/>
  <c r="F28" i="30"/>
  <c r="H28" i="30" s="1"/>
  <c r="E93" i="22"/>
  <c r="E92" i="22"/>
  <c r="A3" i="25"/>
  <c r="F18" i="30"/>
  <c r="A54" i="26"/>
  <c r="P82" i="38"/>
  <c r="D94" i="22"/>
  <c r="D93" i="22"/>
  <c r="D92" i="22"/>
  <c r="D91" i="22"/>
  <c r="G151" i="38"/>
  <c r="F89" i="38"/>
  <c r="F48" i="38"/>
  <c r="A2" i="11"/>
  <c r="A2" i="10"/>
  <c r="A2" i="35"/>
  <c r="C34" i="1"/>
  <c r="A2" i="25"/>
  <c r="A2" i="6"/>
  <c r="A2" i="17"/>
  <c r="F13" i="30"/>
  <c r="A2" i="26"/>
  <c r="Q40" i="38"/>
  <c r="C16" i="10"/>
  <c r="P42" i="38"/>
  <c r="P44" i="38" s="1"/>
  <c r="N42" i="38"/>
  <c r="N44" i="38" s="1"/>
  <c r="L42" i="38"/>
  <c r="L44" i="38" s="1"/>
  <c r="J42" i="38"/>
  <c r="J44" i="38" s="1"/>
  <c r="H42" i="38"/>
  <c r="H44" i="38" s="1"/>
  <c r="F42" i="38"/>
  <c r="F44" i="38" s="1"/>
  <c r="D42" i="38"/>
  <c r="D44" i="38" s="1"/>
  <c r="E97" i="26"/>
  <c r="D97" i="26"/>
  <c r="C40" i="22"/>
  <c r="D41" i="22" s="1"/>
  <c r="D82" i="38"/>
  <c r="N82" i="38"/>
  <c r="L82" i="38"/>
  <c r="J82" i="38"/>
  <c r="H82" i="38"/>
  <c r="H18" i="30"/>
  <c r="H13" i="30"/>
  <c r="D16" i="26"/>
  <c r="D62" i="26" s="1"/>
  <c r="E23" i="13"/>
  <c r="I21" i="26" s="1"/>
  <c r="I23" i="26" s="1"/>
  <c r="I63" i="26" s="1"/>
  <c r="C19" i="26"/>
  <c r="M19" i="26" s="1"/>
  <c r="E16" i="21"/>
  <c r="E53" i="22"/>
  <c r="H118" i="38"/>
  <c r="H81" i="38" s="1"/>
  <c r="I118" i="38"/>
  <c r="I81" i="38" s="1"/>
  <c r="J118" i="38"/>
  <c r="J81" i="38" s="1"/>
  <c r="K118" i="38"/>
  <c r="K81" i="38" s="1"/>
  <c r="L118" i="38"/>
  <c r="L81" i="38" s="1"/>
  <c r="M118" i="38"/>
  <c r="M81" i="38" s="1"/>
  <c r="N118" i="38"/>
  <c r="N81" i="38" s="1"/>
  <c r="O118" i="38"/>
  <c r="O81" i="38" s="1"/>
  <c r="P118" i="38"/>
  <c r="P81" i="38" s="1"/>
  <c r="C34" i="22"/>
  <c r="D35" i="22" s="1"/>
  <c r="C16" i="22"/>
  <c r="D17" i="22" s="1"/>
  <c r="E11" i="21"/>
  <c r="F82" i="38"/>
  <c r="Q41" i="38"/>
  <c r="Q119" i="38"/>
  <c r="C87" i="22"/>
  <c r="C78" i="22"/>
  <c r="E94" i="22"/>
  <c r="C29" i="10"/>
  <c r="C36" i="10" s="1"/>
  <c r="E59" i="22"/>
  <c r="G118" i="38"/>
  <c r="G81" i="38" s="1"/>
  <c r="F118" i="38"/>
  <c r="F81" i="38" s="1"/>
  <c r="D118" i="38"/>
  <c r="C22" i="22"/>
  <c r="D23" i="22" s="1"/>
  <c r="E22" i="21"/>
  <c r="C29" i="26"/>
  <c r="M29" i="26" s="1"/>
  <c r="E24" i="21"/>
  <c r="E30" i="1"/>
  <c r="C13" i="21"/>
  <c r="E14" i="1"/>
  <c r="C14" i="26"/>
  <c r="C39" i="1"/>
  <c r="D98" i="26"/>
  <c r="A2" i="39"/>
  <c r="A2" i="40"/>
  <c r="I62" i="26"/>
  <c r="J62" i="26"/>
  <c r="F62" i="26"/>
  <c r="E23" i="40"/>
  <c r="D81" i="38" l="1"/>
  <c r="Q81" i="38" s="1"/>
  <c r="K23" i="40"/>
  <c r="J12" i="40"/>
  <c r="F12" i="40" s="1"/>
  <c r="C32" i="21"/>
  <c r="C37" i="26" s="1"/>
  <c r="C28" i="22"/>
  <c r="D29" i="22" s="1"/>
  <c r="C39" i="10"/>
  <c r="E16" i="1"/>
  <c r="E138" i="38"/>
  <c r="C37" i="21"/>
  <c r="C36" i="26"/>
  <c r="F17" i="40"/>
  <c r="G17" i="40" s="1"/>
  <c r="F14" i="40"/>
  <c r="G14" i="40" s="1"/>
  <c r="F16" i="40"/>
  <c r="G16" i="40" s="1"/>
  <c r="F15" i="40"/>
  <c r="G15" i="40" s="1"/>
  <c r="G19" i="40"/>
  <c r="F18" i="40"/>
  <c r="G18" i="40" s="1"/>
  <c r="D68" i="22"/>
  <c r="E68" i="22" s="1"/>
  <c r="E11" i="22"/>
  <c r="H30" i="30"/>
  <c r="H32" i="30" s="1"/>
  <c r="F21" i="26" s="1"/>
  <c r="F23" i="26" s="1"/>
  <c r="E129" i="38"/>
  <c r="F129" i="38" s="1"/>
  <c r="E130" i="38" s="1"/>
  <c r="H34" i="30"/>
  <c r="D28" i="26"/>
  <c r="M23" i="40"/>
  <c r="C30" i="10"/>
  <c r="C49" i="10" s="1"/>
  <c r="C52" i="25" s="1"/>
  <c r="E20" i="26" s="1"/>
  <c r="E23" i="26" s="1"/>
  <c r="C37" i="10"/>
  <c r="C91" i="22"/>
  <c r="C92" i="22"/>
  <c r="C93" i="22"/>
  <c r="E47" i="22"/>
  <c r="D96" i="22"/>
  <c r="E96" i="22"/>
  <c r="A4" i="11"/>
  <c r="E35" i="22"/>
  <c r="C94" i="22"/>
  <c r="Q82" i="38"/>
  <c r="D138" i="38" s="1"/>
  <c r="Q42" i="38"/>
  <c r="Q44" i="38" s="1"/>
  <c r="C16" i="26"/>
  <c r="E10" i="41"/>
  <c r="C47" i="39"/>
  <c r="E41" i="22"/>
  <c r="H151" i="38"/>
  <c r="G89" i="38"/>
  <c r="G48" i="38"/>
  <c r="E23" i="22"/>
  <c r="E17" i="22"/>
  <c r="E132" i="38"/>
  <c r="F132" i="38" s="1"/>
  <c r="E133" i="38" s="1"/>
  <c r="G8" i="44" s="1"/>
  <c r="Q118" i="38"/>
  <c r="C33" i="21" l="1"/>
  <c r="E32" i="21"/>
  <c r="E29" i="22"/>
  <c r="J19" i="44"/>
  <c r="C41" i="10"/>
  <c r="F138" i="38"/>
  <c r="E139" i="38" s="1"/>
  <c r="D139" i="38" s="1"/>
  <c r="C43" i="26"/>
  <c r="M43" i="26" s="1"/>
  <c r="E37" i="21"/>
  <c r="F21" i="40"/>
  <c r="G21" i="40" s="1"/>
  <c r="D17" i="23"/>
  <c r="C17" i="23" s="1"/>
  <c r="C36" i="21"/>
  <c r="J23" i="40"/>
  <c r="D133" i="38"/>
  <c r="D20" i="26"/>
  <c r="D23" i="26" s="1"/>
  <c r="D63" i="26" s="1"/>
  <c r="C27" i="25"/>
  <c r="C96" i="22"/>
  <c r="D97" i="22" s="1"/>
  <c r="D66" i="22" s="1"/>
  <c r="D130" i="38"/>
  <c r="I151" i="38"/>
  <c r="H89" i="38"/>
  <c r="H48" i="38"/>
  <c r="C39" i="26"/>
  <c r="M37" i="26"/>
  <c r="G12" i="40"/>
  <c r="F63" i="26"/>
  <c r="D55" i="21" l="1"/>
  <c r="I35" i="44"/>
  <c r="J35" i="44"/>
  <c r="J39" i="44" s="1"/>
  <c r="I21" i="44"/>
  <c r="J21" i="44"/>
  <c r="F23" i="40"/>
  <c r="G23" i="40"/>
  <c r="E14" i="26" s="1"/>
  <c r="E16" i="26" s="1"/>
  <c r="C42" i="26"/>
  <c r="M42" i="26" s="1"/>
  <c r="E36" i="21"/>
  <c r="E97" i="22"/>
  <c r="D70" i="22"/>
  <c r="J151" i="38"/>
  <c r="I89" i="38"/>
  <c r="I48" i="38"/>
  <c r="I39" i="44" l="1"/>
  <c r="H35" i="30"/>
  <c r="H36" i="30" s="1"/>
  <c r="F36" i="26" s="1"/>
  <c r="F39" i="26" s="1"/>
  <c r="F47" i="26" s="1"/>
  <c r="D19" i="39" s="1"/>
  <c r="L14" i="26"/>
  <c r="L16" i="26" s="1"/>
  <c r="K36" i="26"/>
  <c r="K39" i="26" s="1"/>
  <c r="K47" i="26" s="1"/>
  <c r="E66" i="22"/>
  <c r="E70" i="22" s="1"/>
  <c r="E21" i="17"/>
  <c r="E23" i="17" s="1"/>
  <c r="J36" i="26" s="1"/>
  <c r="J39" i="26" s="1"/>
  <c r="J47" i="26" s="1"/>
  <c r="K151" i="38"/>
  <c r="J89" i="38"/>
  <c r="J48" i="38"/>
  <c r="D21" i="17"/>
  <c r="D23" i="17" s="1"/>
  <c r="J21" i="26" s="1"/>
  <c r="K21" i="26"/>
  <c r="K23" i="26" s="1"/>
  <c r="E28" i="26"/>
  <c r="E62" i="26"/>
  <c r="C39" i="21" l="1"/>
  <c r="E39" i="21" s="1"/>
  <c r="E155" i="38"/>
  <c r="E120" i="38" s="1"/>
  <c r="M155" i="38"/>
  <c r="M120" i="38" s="1"/>
  <c r="F155" i="38"/>
  <c r="F120" i="38" s="1"/>
  <c r="N155" i="38"/>
  <c r="N120" i="38" s="1"/>
  <c r="N83" i="38" s="1"/>
  <c r="N85" i="38" s="1"/>
  <c r="L155" i="38"/>
  <c r="L120" i="38" s="1"/>
  <c r="L122" i="38" s="1"/>
  <c r="G155" i="38"/>
  <c r="G120" i="38" s="1"/>
  <c r="G122" i="38" s="1"/>
  <c r="O120" i="38"/>
  <c r="O122" i="38" s="1"/>
  <c r="K155" i="38"/>
  <c r="K120" i="38" s="1"/>
  <c r="K83" i="38" s="1"/>
  <c r="K85" i="38" s="1"/>
  <c r="H155" i="38"/>
  <c r="H120" i="38" s="1"/>
  <c r="P120" i="38"/>
  <c r="P83" i="38" s="1"/>
  <c r="P85" i="38" s="1"/>
  <c r="J155" i="38"/>
  <c r="J120" i="38" s="1"/>
  <c r="I155" i="38"/>
  <c r="I120" i="38" s="1"/>
  <c r="I122" i="38" s="1"/>
  <c r="D120" i="38"/>
  <c r="D122" i="38" s="1"/>
  <c r="K86" i="38"/>
  <c r="Q45" i="38"/>
  <c r="Q46" i="38" s="1"/>
  <c r="L86" i="38"/>
  <c r="M86" i="38"/>
  <c r="E86" i="38"/>
  <c r="F86" i="38"/>
  <c r="N86" i="38"/>
  <c r="P86" i="38"/>
  <c r="I86" i="38"/>
  <c r="J86" i="38"/>
  <c r="G86" i="38"/>
  <c r="O86" i="38"/>
  <c r="H86" i="38"/>
  <c r="D86" i="38"/>
  <c r="H45" i="38"/>
  <c r="H46" i="38" s="1"/>
  <c r="L45" i="38"/>
  <c r="L46" i="38" s="1"/>
  <c r="P45" i="38"/>
  <c r="P46" i="38" s="1"/>
  <c r="J45" i="38"/>
  <c r="J46" i="38" s="1"/>
  <c r="N45" i="38"/>
  <c r="N46" i="38" s="1"/>
  <c r="K45" i="38"/>
  <c r="K46" i="38" s="1"/>
  <c r="E45" i="38"/>
  <c r="E46" i="38" s="1"/>
  <c r="I45" i="38"/>
  <c r="I46" i="38" s="1"/>
  <c r="M45" i="38"/>
  <c r="M46" i="38" s="1"/>
  <c r="D45" i="38"/>
  <c r="D46" i="38" s="1"/>
  <c r="F45" i="38"/>
  <c r="F46" i="38" s="1"/>
  <c r="G45" i="38"/>
  <c r="G46" i="38" s="1"/>
  <c r="O45" i="38"/>
  <c r="O46" i="38" s="1"/>
  <c r="D123" i="38"/>
  <c r="Q123" i="38"/>
  <c r="F123" i="38"/>
  <c r="J123" i="38"/>
  <c r="N123" i="38"/>
  <c r="G123" i="38"/>
  <c r="K123" i="38"/>
  <c r="O123" i="38"/>
  <c r="H123" i="38"/>
  <c r="L123" i="38"/>
  <c r="P123" i="38"/>
  <c r="I123" i="38"/>
  <c r="M123" i="38"/>
  <c r="E123" i="38"/>
  <c r="M14" i="26"/>
  <c r="D12" i="21"/>
  <c r="E12" i="21" s="1"/>
  <c r="D34" i="39"/>
  <c r="L151" i="38"/>
  <c r="K89" i="38"/>
  <c r="K48" i="38"/>
  <c r="H122" i="38"/>
  <c r="H124" i="38" s="1"/>
  <c r="H83" i="38"/>
  <c r="H85" i="38" s="1"/>
  <c r="P122" i="38"/>
  <c r="F122" i="38"/>
  <c r="F83" i="38"/>
  <c r="F85" i="38" s="1"/>
  <c r="J23" i="26"/>
  <c r="L21" i="26"/>
  <c r="D18" i="21" s="1"/>
  <c r="M16" i="26"/>
  <c r="L62" i="26"/>
  <c r="E63" i="26"/>
  <c r="L28" i="26"/>
  <c r="E122" i="38"/>
  <c r="E83" i="38"/>
  <c r="E85" i="38" s="1"/>
  <c r="M122" i="38"/>
  <c r="M83" i="38"/>
  <c r="M85" i="38" s="1"/>
  <c r="J122" i="38"/>
  <c r="J83" i="38"/>
  <c r="J85" i="38" s="1"/>
  <c r="K63" i="26"/>
  <c r="K87" i="38" l="1"/>
  <c r="N122" i="38"/>
  <c r="N124" i="38" s="1"/>
  <c r="M124" i="38"/>
  <c r="D83" i="38"/>
  <c r="F124" i="38"/>
  <c r="Q120" i="38"/>
  <c r="E135" i="38" s="1"/>
  <c r="K122" i="38"/>
  <c r="K124" i="38" s="1"/>
  <c r="O83" i="38"/>
  <c r="O85" i="38" s="1"/>
  <c r="O87" i="38" s="1"/>
  <c r="L83" i="38"/>
  <c r="L85" i="38" s="1"/>
  <c r="L87" i="38" s="1"/>
  <c r="I83" i="38"/>
  <c r="I85" i="38" s="1"/>
  <c r="I87" i="38" s="1"/>
  <c r="G83" i="38"/>
  <c r="G85" i="38" s="1"/>
  <c r="G87" i="38" s="1"/>
  <c r="D124" i="38"/>
  <c r="Q86" i="38"/>
  <c r="P124" i="38"/>
  <c r="M87" i="38"/>
  <c r="J87" i="38"/>
  <c r="P87" i="38"/>
  <c r="E124" i="38"/>
  <c r="L124" i="38"/>
  <c r="G124" i="38"/>
  <c r="O124" i="38"/>
  <c r="H87" i="38"/>
  <c r="J124" i="38"/>
  <c r="I124" i="38"/>
  <c r="N87" i="38"/>
  <c r="E87" i="38"/>
  <c r="F87" i="38"/>
  <c r="C45" i="26"/>
  <c r="M45" i="26" s="1"/>
  <c r="D13" i="21"/>
  <c r="M151" i="38"/>
  <c r="L89" i="38"/>
  <c r="L48" i="38"/>
  <c r="J63" i="26"/>
  <c r="E13" i="21"/>
  <c r="E14" i="21" s="1"/>
  <c r="D85" i="38"/>
  <c r="D23" i="21"/>
  <c r="M21" i="26"/>
  <c r="C28" i="26"/>
  <c r="M28" i="26" s="1"/>
  <c r="E29" i="1"/>
  <c r="C38" i="21" l="1"/>
  <c r="C44" i="26" s="1"/>
  <c r="M44" i="26" s="1"/>
  <c r="Q122" i="38"/>
  <c r="Q124" i="38" s="1"/>
  <c r="E144" i="38" s="1"/>
  <c r="Q83" i="38"/>
  <c r="D135" i="38" s="1"/>
  <c r="F135" i="38" s="1"/>
  <c r="E136" i="38" s="1"/>
  <c r="D136" i="38" s="1"/>
  <c r="D87" i="38"/>
  <c r="Q85" i="38"/>
  <c r="E23" i="21"/>
  <c r="M89" i="38"/>
  <c r="M48" i="38"/>
  <c r="E18" i="21"/>
  <c r="C21" i="25"/>
  <c r="C22" i="25"/>
  <c r="C23" i="25"/>
  <c r="E38" i="21" l="1"/>
  <c r="Q87" i="38"/>
  <c r="D144" i="38" s="1"/>
  <c r="F144" i="38" s="1"/>
  <c r="E145" i="38" s="1"/>
  <c r="N89" i="38"/>
  <c r="N48" i="38"/>
  <c r="N151" i="38"/>
  <c r="C25" i="25"/>
  <c r="C32" i="25" s="1"/>
  <c r="C33" i="25" s="1"/>
  <c r="C35" i="25" s="1"/>
  <c r="C36" i="25" s="1"/>
  <c r="C128" i="22" l="1"/>
  <c r="D128" i="22" s="1"/>
  <c r="D16" i="11"/>
  <c r="C35" i="21" s="1"/>
  <c r="O151" i="38"/>
  <c r="O48" i="38"/>
  <c r="O89" i="38"/>
  <c r="C38" i="25"/>
  <c r="C40" i="25" s="1"/>
  <c r="D145" i="38"/>
  <c r="P151" i="38" l="1"/>
  <c r="P48" i="38"/>
  <c r="P89" i="38"/>
  <c r="C42" i="25"/>
  <c r="C45" i="25" s="1"/>
  <c r="H39" i="26" l="1"/>
  <c r="H47" i="26" s="1"/>
  <c r="L36" i="26"/>
  <c r="D31" i="21" s="1"/>
  <c r="M36" i="26" l="1"/>
  <c r="L39" i="26"/>
  <c r="L47" i="26" s="1"/>
  <c r="D26" i="39"/>
  <c r="D40" i="39" s="1"/>
  <c r="D33" i="21" l="1"/>
  <c r="D41" i="21" s="1"/>
  <c r="E31" i="21"/>
  <c r="M39" i="26"/>
  <c r="D44" i="39"/>
  <c r="E33" i="21" l="1"/>
  <c r="E30" i="41"/>
  <c r="C67" i="39"/>
  <c r="E35" i="21" l="1"/>
  <c r="C41" i="21"/>
  <c r="C41" i="26"/>
  <c r="E41" i="21" l="1"/>
  <c r="M41" i="26"/>
  <c r="C47" i="26"/>
  <c r="M47" i="26" s="1"/>
  <c r="E36" i="1"/>
  <c r="E29" i="41"/>
  <c r="E32" i="41" s="1"/>
  <c r="C66" i="39"/>
  <c r="C69" i="39" s="1"/>
  <c r="C9" i="43" l="1"/>
  <c r="C47" i="41" l="1"/>
  <c r="C27" i="43"/>
  <c r="E9" i="43"/>
  <c r="G13" i="43"/>
  <c r="C26" i="43" l="1"/>
  <c r="C46" i="41"/>
  <c r="C17" i="25"/>
  <c r="C48" i="41"/>
  <c r="E48" i="41"/>
  <c r="E27" i="43"/>
  <c r="E47" i="41"/>
  <c r="C47" i="25" l="1"/>
  <c r="C41" i="1"/>
  <c r="E46" i="41"/>
  <c r="E51" i="41" s="1"/>
  <c r="E26" i="43"/>
  <c r="E17" i="25"/>
  <c r="C28" i="43"/>
  <c r="E28" i="43" s="1"/>
  <c r="C49" i="41"/>
  <c r="C51" i="41" s="1"/>
  <c r="D62" i="21" l="1"/>
  <c r="C29" i="43"/>
  <c r="I49" i="26"/>
  <c r="I65" i="26" s="1"/>
  <c r="I68" i="26" s="1"/>
  <c r="K49" i="26"/>
  <c r="K65" i="26" s="1"/>
  <c r="K68" i="26" s="1"/>
  <c r="H49" i="26"/>
  <c r="H65" i="26" s="1"/>
  <c r="H68" i="26" s="1"/>
  <c r="G49" i="26"/>
  <c r="G65" i="26" s="1"/>
  <c r="D49" i="26"/>
  <c r="J49" i="26"/>
  <c r="J65" i="26" s="1"/>
  <c r="J68" i="26" s="1"/>
  <c r="F49" i="26"/>
  <c r="F65" i="26" s="1"/>
  <c r="F68" i="26" s="1"/>
  <c r="E49" i="26"/>
  <c r="E65" i="26" s="1"/>
  <c r="E68" i="26" s="1"/>
  <c r="C13" i="23"/>
  <c r="D54" i="21"/>
  <c r="E29" i="43"/>
  <c r="J70" i="26" l="1"/>
  <c r="J73" i="26" s="1"/>
  <c r="J91" i="26" s="1"/>
  <c r="K70" i="26"/>
  <c r="K73" i="26" s="1"/>
  <c r="K91" i="26" s="1"/>
  <c r="D65" i="26"/>
  <c r="L49" i="26"/>
  <c r="M49" i="26" s="1"/>
  <c r="I70" i="26"/>
  <c r="I73" i="26" s="1"/>
  <c r="I91" i="26" s="1"/>
  <c r="E70" i="26"/>
  <c r="E73" i="26" s="1"/>
  <c r="E91" i="26" s="1"/>
  <c r="F70" i="26"/>
  <c r="F73" i="26" s="1"/>
  <c r="F91" i="26" s="1"/>
  <c r="H70" i="26"/>
  <c r="H73" i="26" s="1"/>
  <c r="H91" i="26" s="1"/>
  <c r="H78" i="26" l="1"/>
  <c r="H80" i="26" s="1"/>
  <c r="H83" i="26" s="1"/>
  <c r="H89" i="26" s="1"/>
  <c r="H26" i="26" s="1"/>
  <c r="H31" i="26" s="1"/>
  <c r="H33" i="26" s="1"/>
  <c r="J78" i="26"/>
  <c r="J80" i="26" s="1"/>
  <c r="J83" i="26" s="1"/>
  <c r="J89" i="26" s="1"/>
  <c r="J26" i="26" s="1"/>
  <c r="J31" i="26" s="1"/>
  <c r="J33" i="26" s="1"/>
  <c r="I78" i="26"/>
  <c r="I80" i="26" s="1"/>
  <c r="I83" i="26" s="1"/>
  <c r="I89" i="26" s="1"/>
  <c r="I26" i="26" s="1"/>
  <c r="F78" i="26"/>
  <c r="F80" i="26" s="1"/>
  <c r="F83" i="26" s="1"/>
  <c r="F89" i="26" s="1"/>
  <c r="F26" i="26" s="1"/>
  <c r="E78" i="26"/>
  <c r="E80" i="26" s="1"/>
  <c r="E83" i="26" s="1"/>
  <c r="E89" i="26" s="1"/>
  <c r="E26" i="26" s="1"/>
  <c r="D68" i="26"/>
  <c r="L65" i="26"/>
  <c r="K78" i="26"/>
  <c r="K80" i="26" s="1"/>
  <c r="K83" i="26" s="1"/>
  <c r="K89" i="26" s="1"/>
  <c r="K26" i="26" s="1"/>
  <c r="H123" i="26" l="1"/>
  <c r="J123" i="26"/>
  <c r="E22" i="41"/>
  <c r="H122" i="26"/>
  <c r="C26" i="39"/>
  <c r="F31" i="26"/>
  <c r="F33" i="26" s="1"/>
  <c r="F123" i="26"/>
  <c r="C34" i="39"/>
  <c r="J122" i="26"/>
  <c r="E24" i="41"/>
  <c r="I31" i="26"/>
  <c r="I33" i="26" s="1"/>
  <c r="I123" i="26"/>
  <c r="K123" i="26"/>
  <c r="K31" i="26"/>
  <c r="K33" i="26" s="1"/>
  <c r="K122" i="26" s="1"/>
  <c r="D70" i="26"/>
  <c r="E31" i="26"/>
  <c r="E33" i="26" s="1"/>
  <c r="E123" i="26"/>
  <c r="J125" i="26" l="1"/>
  <c r="H125" i="26"/>
  <c r="E23" i="41"/>
  <c r="C29" i="39"/>
  <c r="I122" i="26"/>
  <c r="I125" i="26" s="1"/>
  <c r="F122" i="26"/>
  <c r="F125" i="26" s="1"/>
  <c r="E20" i="41"/>
  <c r="C19" i="39"/>
  <c r="D73" i="26"/>
  <c r="K125" i="26"/>
  <c r="C15" i="39"/>
  <c r="E122" i="26"/>
  <c r="E19" i="41"/>
  <c r="E124" i="26" l="1"/>
  <c r="E125" i="26" s="1"/>
  <c r="D91" i="26"/>
  <c r="D78" i="26"/>
  <c r="D80" i="26" s="1"/>
  <c r="D83" i="26" l="1"/>
  <c r="D89" i="26" s="1"/>
  <c r="D26" i="26" s="1"/>
  <c r="D123" i="26" l="1"/>
  <c r="D31" i="26"/>
  <c r="D33" i="26" s="1"/>
  <c r="E18" i="41" l="1"/>
  <c r="D122" i="26"/>
  <c r="C11" i="39"/>
  <c r="D124" i="26" l="1"/>
  <c r="D125" i="26" s="1"/>
  <c r="C16" i="43"/>
  <c r="C13" i="43"/>
  <c r="L13" i="43" s="1"/>
  <c r="C17" i="43"/>
  <c r="C19" i="43" l="1"/>
  <c r="C49" i="39" l="1"/>
  <c r="C20" i="26"/>
  <c r="C45" i="10"/>
  <c r="G20" i="26" s="1"/>
  <c r="E12" i="41"/>
  <c r="E20" i="1"/>
  <c r="E23" i="1"/>
  <c r="C19" i="21"/>
  <c r="C23" i="26" s="1"/>
  <c r="C11" i="23" l="1"/>
  <c r="C15" i="23" s="1"/>
  <c r="C19" i="23" s="1"/>
  <c r="C23" i="23" s="1"/>
  <c r="C27" i="23" s="1"/>
  <c r="C21" i="21" s="1"/>
  <c r="C50" i="39" s="1"/>
  <c r="C52" i="39" s="1"/>
  <c r="C64" i="39" s="1"/>
  <c r="G23" i="26"/>
  <c r="L20" i="26"/>
  <c r="E13" i="41" l="1"/>
  <c r="E15" i="41" s="1"/>
  <c r="C26" i="21"/>
  <c r="C31" i="26" s="1"/>
  <c r="C26" i="26"/>
  <c r="E26" i="1"/>
  <c r="E32" i="1" s="1"/>
  <c r="E34" i="1" s="1"/>
  <c r="E39" i="1" s="1"/>
  <c r="E41" i="1" s="1"/>
  <c r="M20" i="26"/>
  <c r="L23" i="26"/>
  <c r="D17" i="21"/>
  <c r="G63" i="26"/>
  <c r="C28" i="21" l="1"/>
  <c r="C43" i="21" s="1"/>
  <c r="M23" i="26"/>
  <c r="L63" i="26"/>
  <c r="L68" i="26" s="1"/>
  <c r="G68" i="26"/>
  <c r="D19" i="21"/>
  <c r="E17" i="21"/>
  <c r="C33" i="26" l="1"/>
  <c r="E19" i="21"/>
  <c r="C45" i="21"/>
  <c r="G70" i="26"/>
  <c r="L70" i="26" l="1"/>
  <c r="L73" i="26" s="1"/>
  <c r="G73" i="26"/>
  <c r="L91" i="26" l="1"/>
  <c r="L78" i="26"/>
  <c r="G91" i="26"/>
  <c r="G78" i="26"/>
  <c r="G80" i="26" s="1"/>
  <c r="L80" i="26" l="1"/>
  <c r="L83" i="26" s="1"/>
  <c r="L89" i="26" s="1"/>
  <c r="G83" i="26"/>
  <c r="G89" i="26" s="1"/>
  <c r="G26" i="26" s="1"/>
  <c r="G123" i="26" l="1"/>
  <c r="L26" i="26"/>
  <c r="G31" i="26"/>
  <c r="G33" i="26" s="1"/>
  <c r="G122" i="26" l="1"/>
  <c r="G124" i="26" s="1"/>
  <c r="E21" i="41"/>
  <c r="E27" i="41" s="1"/>
  <c r="E34" i="41" s="1"/>
  <c r="E36" i="41" s="1"/>
  <c r="C23" i="39"/>
  <c r="C40" i="39" s="1"/>
  <c r="M26" i="26"/>
  <c r="D21" i="21"/>
  <c r="L31" i="26"/>
  <c r="G125" i="26"/>
  <c r="E21" i="21" l="1"/>
  <c r="D26" i="21"/>
  <c r="D28" i="21" s="1"/>
  <c r="M31" i="26"/>
  <c r="L33" i="26"/>
  <c r="M33" i="26" s="1"/>
  <c r="H27" i="41" s="1"/>
  <c r="E26" i="21" l="1"/>
  <c r="C44" i="39"/>
  <c r="E28" i="21" l="1"/>
  <c r="D63" i="21" l="1"/>
  <c r="D64" i="21" s="1"/>
  <c r="C8" i="43"/>
  <c r="E43" i="21"/>
  <c r="E45" i="21" s="1"/>
  <c r="C10" i="43" l="1"/>
  <c r="E10" i="43" s="1"/>
  <c r="E8" i="43"/>
  <c r="G12" i="43"/>
  <c r="G14" i="43" l="1"/>
  <c r="H12" i="43"/>
  <c r="H14" i="43" s="1"/>
  <c r="I15" i="43" s="1"/>
  <c r="C11" i="43"/>
  <c r="D58" i="21"/>
  <c r="G15" i="43" l="1"/>
  <c r="H16" i="43" s="1"/>
  <c r="L11" i="43"/>
  <c r="E11" i="43"/>
  <c r="D53" i="21" l="1"/>
  <c r="D56" i="21" s="1"/>
  <c r="D57" i="21" s="1"/>
  <c r="D59" i="21" s="1"/>
  <c r="D66" i="21"/>
</calcChain>
</file>

<file path=xl/sharedStrings.xml><?xml version="1.0" encoding="utf-8"?>
<sst xmlns="http://schemas.openxmlformats.org/spreadsheetml/2006/main" count="1130" uniqueCount="568">
  <si>
    <t>NW Natural</t>
  </si>
  <si>
    <t>Page 1</t>
  </si>
  <si>
    <t>Northwest Natural Gas Company</t>
  </si>
  <si>
    <t>Worksheet d</t>
  </si>
  <si>
    <t>Worksheet g</t>
  </si>
  <si>
    <t>State Allocation Factors</t>
  </si>
  <si>
    <t>Proforma Cost of Capital and Input Assumptions</t>
  </si>
  <si>
    <t>Bonus Adjustment</t>
  </si>
  <si>
    <t>Uncollectible Accounts Adjustments</t>
  </si>
  <si>
    <t>Claims Expense Adjustment</t>
  </si>
  <si>
    <t>System</t>
  </si>
  <si>
    <t>Washington</t>
  </si>
  <si>
    <t>Oregon</t>
  </si>
  <si>
    <t>($000)</t>
  </si>
  <si>
    <t>Test Year</t>
  </si>
  <si>
    <t>Customers</t>
  </si>
  <si>
    <t>Weather</t>
  </si>
  <si>
    <t>Line</t>
  </si>
  <si>
    <t>Results</t>
  </si>
  <si>
    <t>Rate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</si>
  <si>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</si>
  <si>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</si>
  <si>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</si>
  <si>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</si>
  <si>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</si>
  <si>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</si>
  <si>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</si>
  <si>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</si>
  <si>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</si>
  <si>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</si>
  <si>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</si>
  <si>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</si>
  <si>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Line </t>
  </si>
  <si>
    <t>Percent of</t>
  </si>
  <si>
    <t>Weighted</t>
  </si>
  <si>
    <t xml:space="preserve">Normalized </t>
  </si>
  <si>
    <t>Payroll</t>
  </si>
  <si>
    <t>Uncollect.</t>
  </si>
  <si>
    <t>Working</t>
  </si>
  <si>
    <t>Marketing and</t>
  </si>
  <si>
    <t>Commercial</t>
  </si>
  <si>
    <t>Net</t>
  </si>
  <si>
    <t>Adjustment</t>
  </si>
  <si>
    <t>Three Year</t>
  </si>
  <si>
    <t>Disallowance</t>
  </si>
  <si>
    <t>Disallowed</t>
  </si>
  <si>
    <t>No.</t>
  </si>
  <si>
    <t>Adjustments</t>
  </si>
  <si>
    <t>Adjusted</t>
  </si>
  <si>
    <t>Total Customers</t>
  </si>
  <si>
    <t>Gross Plant</t>
  </si>
  <si>
    <t>1998</t>
  </si>
  <si>
    <t>1999</t>
  </si>
  <si>
    <t>Average</t>
  </si>
  <si>
    <t xml:space="preserve"> No.</t>
  </si>
  <si>
    <t>Total Capital</t>
  </si>
  <si>
    <t>Average Cost</t>
  </si>
  <si>
    <t>Cost</t>
  </si>
  <si>
    <t xml:space="preserve">Gas Sales </t>
  </si>
  <si>
    <t>Bonus</t>
  </si>
  <si>
    <t>Accounts</t>
  </si>
  <si>
    <t>Capital</t>
  </si>
  <si>
    <t>Advertising</t>
  </si>
  <si>
    <t>Claims</t>
  </si>
  <si>
    <t xml:space="preserve">Total </t>
  </si>
  <si>
    <t>Normalized</t>
  </si>
  <si>
    <t>Normalizing</t>
  </si>
  <si>
    <t>Allocation</t>
  </si>
  <si>
    <t>Accrual</t>
  </si>
  <si>
    <t>Amount</t>
  </si>
  <si>
    <t>1997</t>
  </si>
  <si>
    <t>Percent</t>
  </si>
  <si>
    <t>Customers-all</t>
  </si>
  <si>
    <t>3-Factor</t>
  </si>
  <si>
    <t>O&amp;M Expense</t>
  </si>
  <si>
    <t>Construction</t>
  </si>
  <si>
    <t>(a)</t>
  </si>
  <si>
    <t>(b)</t>
  </si>
  <si>
    <t>(c)</t>
  </si>
  <si>
    <t>(d)</t>
  </si>
  <si>
    <t>(e)</t>
  </si>
  <si>
    <t>&amp; Purchases</t>
  </si>
  <si>
    <t>Therms</t>
  </si>
  <si>
    <t>Revenue</t>
  </si>
  <si>
    <t>Revenues</t>
  </si>
  <si>
    <t>Effect</t>
  </si>
  <si>
    <t>Total</t>
  </si>
  <si>
    <t>Actual</t>
  </si>
  <si>
    <t>Cost of Capital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</si>
  <si>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</si>
  <si>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</si>
  <si>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</si>
  <si>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</si>
  <si>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</si>
  <si>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</si>
  <si>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</si>
  <si>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</si>
  <si>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</si>
  <si>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</si>
  <si>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</si>
  <si>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Performance Bonus - O &amp; M</t>
  </si>
  <si>
    <t>Operating Revenues</t>
  </si>
  <si>
    <t xml:space="preserve">   Average</t>
  </si>
  <si>
    <t>Gas Revenues</t>
  </si>
  <si>
    <t xml:space="preserve">   Sale of Gas                                                     </t>
  </si>
  <si>
    <t xml:space="preserve">      % of System</t>
  </si>
  <si>
    <t>Utility Income before Interest and Taxes</t>
  </si>
  <si>
    <t xml:space="preserve">   Long Term Debt</t>
  </si>
  <si>
    <t>Residential</t>
  </si>
  <si>
    <t xml:space="preserve">    Residential </t>
  </si>
  <si>
    <t>Expensed during Test period</t>
  </si>
  <si>
    <t xml:space="preserve">   Transportation                                                </t>
  </si>
  <si>
    <t xml:space="preserve">   Short Term Debt</t>
  </si>
  <si>
    <t xml:space="preserve">   Sale of Gas</t>
  </si>
  <si>
    <t xml:space="preserve">    Commercial</t>
  </si>
  <si>
    <t xml:space="preserve">   Miscellaneous Revenues</t>
  </si>
  <si>
    <t>Residential Customers</t>
  </si>
  <si>
    <t>Interest on Historic Average Rate Base</t>
  </si>
  <si>
    <t xml:space="preserve">   Preferred Stock</t>
  </si>
  <si>
    <t xml:space="preserve">   Transportation</t>
  </si>
  <si>
    <t>Industrial Firm</t>
  </si>
  <si>
    <t xml:space="preserve">    Industrial</t>
  </si>
  <si>
    <t>Normalized Expenses</t>
  </si>
  <si>
    <t>Accumulated Depreciation</t>
  </si>
  <si>
    <t xml:space="preserve">   Common Stock</t>
  </si>
  <si>
    <t>Interruptible</t>
  </si>
  <si>
    <t xml:space="preserve">      Total</t>
  </si>
  <si>
    <t xml:space="preserve">    Interruptible</t>
  </si>
  <si>
    <t xml:space="preserve">   Actual Claims - Ordinary </t>
  </si>
  <si>
    <t xml:space="preserve">      Total Operating Revenues</t>
  </si>
  <si>
    <t>Pre-Tax Net Income</t>
  </si>
  <si>
    <t xml:space="preserve">       Total </t>
  </si>
  <si>
    <t xml:space="preserve">   3-Year Average Claims - Extraordinary</t>
  </si>
  <si>
    <t>Firm Sales</t>
  </si>
  <si>
    <t xml:space="preserve">      Total </t>
  </si>
  <si>
    <t>Performance Bonus - Construction</t>
  </si>
  <si>
    <t>3-factor</t>
  </si>
  <si>
    <t xml:space="preserve">      Subtotal</t>
  </si>
  <si>
    <t>Operating Revenue Deductions</t>
  </si>
  <si>
    <t xml:space="preserve">   % of System</t>
  </si>
  <si>
    <t>Less:  Permanent Differences</t>
  </si>
  <si>
    <t>Total Sales</t>
  </si>
  <si>
    <t>Net Write-Offs</t>
  </si>
  <si>
    <t xml:space="preserve">   Gas Purchased</t>
  </si>
  <si>
    <t>Customer Advances</t>
  </si>
  <si>
    <t>Direct</t>
  </si>
  <si>
    <t>Revenue Sensitive Costs</t>
  </si>
  <si>
    <t>Adjustment - System (line 4 - line 1)</t>
  </si>
  <si>
    <t xml:space="preserve">   Uncollectible Accrual for Gas Sales </t>
  </si>
  <si>
    <t>Commercial Customers</t>
  </si>
  <si>
    <t>Taxable Income</t>
  </si>
  <si>
    <t xml:space="preserve">   Other Operating &amp; Maintenance Expenses   </t>
  </si>
  <si>
    <t xml:space="preserve">   Gas Sales </t>
  </si>
  <si>
    <t xml:space="preserve">   Uncollectible Accrual</t>
  </si>
  <si>
    <t xml:space="preserve">Allocation to Washington </t>
  </si>
  <si>
    <t xml:space="preserve">Tax Rate </t>
  </si>
  <si>
    <t xml:space="preserve">   Other Operating &amp; Maintenance Expenses</t>
  </si>
  <si>
    <t>Unaccounted For Gas</t>
  </si>
  <si>
    <t xml:space="preserve">   (O&amp;M on 3-factor, const on gross plant)</t>
  </si>
  <si>
    <t xml:space="preserve">      Total Operating &amp; Maintenance Expense</t>
  </si>
  <si>
    <t>Leasehold Improvements</t>
  </si>
  <si>
    <t xml:space="preserve">   Other</t>
  </si>
  <si>
    <t>Federal Income Tax</t>
  </si>
  <si>
    <t>Key Goals Bonus - O &amp; M</t>
  </si>
  <si>
    <t>Write-Off % - 3-Year Average</t>
  </si>
  <si>
    <t xml:space="preserve">   Federal Income Tax</t>
  </si>
  <si>
    <t>Industrial Customers</t>
  </si>
  <si>
    <t xml:space="preserve">   Property Taxes</t>
  </si>
  <si>
    <t xml:space="preserve">   O &amp; M - Uncollectible </t>
  </si>
  <si>
    <t/>
  </si>
  <si>
    <t xml:space="preserve">   Oregon Excise Tax</t>
  </si>
  <si>
    <t xml:space="preserve">   Other Taxes</t>
  </si>
  <si>
    <t>Total Rate Base</t>
  </si>
  <si>
    <t xml:space="preserve">   Franchise Taxes </t>
  </si>
  <si>
    <t xml:space="preserve">   Depreciation &amp; Amortization</t>
  </si>
  <si>
    <t xml:space="preserve">   WA Utility Tax</t>
  </si>
  <si>
    <t xml:space="preserve">   WUTC Fee</t>
  </si>
  <si>
    <t xml:space="preserve">       Weighted Total [1]</t>
  </si>
  <si>
    <t xml:space="preserve">      Total Operating Revenue Deductions</t>
  </si>
  <si>
    <t>Average Rate Base</t>
  </si>
  <si>
    <t>Key Goals Bonus - Construction</t>
  </si>
  <si>
    <t xml:space="preserve">The Dalles </t>
  </si>
  <si>
    <t xml:space="preserve">   State Taxable Income</t>
  </si>
  <si>
    <t xml:space="preserve">Normalized Uncollectible </t>
  </si>
  <si>
    <t xml:space="preserve">        Net Operating Revenues</t>
  </si>
  <si>
    <t xml:space="preserve">   State Income Tax </t>
  </si>
  <si>
    <t xml:space="preserve">      Net Operating Revenues</t>
  </si>
  <si>
    <t xml:space="preserve">      Total Rate Base</t>
  </si>
  <si>
    <t xml:space="preserve">   Federal Taxable Income</t>
  </si>
  <si>
    <t>Other Charges</t>
  </si>
  <si>
    <t>Washington Allocation Factor</t>
  </si>
  <si>
    <t xml:space="preserve">   Utility Plant in Service</t>
  </si>
  <si>
    <t xml:space="preserve">   Rate of Return</t>
  </si>
  <si>
    <t>Portland / Vancouver</t>
  </si>
  <si>
    <t xml:space="preserve">   Total Income Taxes </t>
  </si>
  <si>
    <t xml:space="preserve">   Accumulated Depreciation</t>
  </si>
  <si>
    <t>Allocation Factor</t>
  </si>
  <si>
    <t>Customers - All</t>
  </si>
  <si>
    <t xml:space="preserve">   Return on Common Equity</t>
  </si>
  <si>
    <t xml:space="preserve">   Total Revenue Sensitive Costs</t>
  </si>
  <si>
    <t xml:space="preserve">      Net Utility Plant</t>
  </si>
  <si>
    <t>Employee Cost</t>
  </si>
  <si>
    <t>Washington Normalized Amount (X 1000)</t>
  </si>
  <si>
    <t xml:space="preserve">   Utility Operating Income </t>
  </si>
  <si>
    <t xml:space="preserve">   Storage Gas</t>
  </si>
  <si>
    <t>Washington Allocation of Accrued Amount</t>
  </si>
  <si>
    <t>Tax Check</t>
  </si>
  <si>
    <t>Portland / Vancouver Commercial</t>
  </si>
  <si>
    <t>Extraordinary Claims</t>
  </si>
  <si>
    <t xml:space="preserve">   Net-to-gross factor</t>
  </si>
  <si>
    <t xml:space="preserve">   Leasehold Improvements </t>
  </si>
  <si>
    <t>Cost of Gas</t>
  </si>
  <si>
    <t xml:space="preserve">     Adjustment (Normalized less Accrued)</t>
  </si>
  <si>
    <t>Pre-tax Net Income</t>
  </si>
  <si>
    <t xml:space="preserve">   Accumulated Deferred Income Taxes</t>
  </si>
  <si>
    <t>Interest on Rate Base</t>
  </si>
  <si>
    <t xml:space="preserve">   Interest Coordination Factor</t>
  </si>
  <si>
    <t>Costs</t>
  </si>
  <si>
    <t>Permanent Differences</t>
  </si>
  <si>
    <t>IBIT</t>
  </si>
  <si>
    <t xml:space="preserve"> [1] Weighted uncollectible rate of</t>
  </si>
  <si>
    <t xml:space="preserve"> is used on page 1, column (b)</t>
  </si>
  <si>
    <t xml:space="preserve">   Federal tax rate </t>
  </si>
  <si>
    <t xml:space="preserve">   Interest Coordination</t>
  </si>
  <si>
    <t>Tax from Page 1</t>
  </si>
  <si>
    <t xml:space="preserve">   State tax rate  </t>
  </si>
  <si>
    <t>Adjustment takes expense from test period accrual to 3 year paid average</t>
  </si>
  <si>
    <t xml:space="preserve">   Variance</t>
  </si>
  <si>
    <t xml:space="preserve">   Uncollectible Accounts</t>
  </si>
  <si>
    <t>Total Cost of Gas</t>
  </si>
  <si>
    <t>Revenue Requirement</t>
  </si>
  <si>
    <t>Rate Base at allowable ROR</t>
  </si>
  <si>
    <t>Incremental Net Operating Revenue</t>
  </si>
  <si>
    <t>Sales Volumes</t>
  </si>
  <si>
    <t>Grossed up for Revenue Sensitive</t>
  </si>
  <si>
    <t>Calculated ROR after applied Revenue Requirement</t>
  </si>
  <si>
    <t>Sendout Volumes</t>
  </si>
  <si>
    <t>Other Taxes</t>
  </si>
  <si>
    <t>3-factor formula (simple average)</t>
  </si>
  <si>
    <t>Gross Plant Directly Assigned</t>
  </si>
  <si>
    <t>Income Tax Calculations</t>
  </si>
  <si>
    <t>Number of Employees Directly Assigned</t>
  </si>
  <si>
    <t>(q)</t>
  </si>
  <si>
    <t>Number of Customers</t>
  </si>
  <si>
    <t xml:space="preserve">   Book Revenues</t>
  </si>
  <si>
    <t xml:space="preserve">   Average </t>
  </si>
  <si>
    <t xml:space="preserve">   State Tax Depreciation</t>
  </si>
  <si>
    <t xml:space="preserve">   Interest Expense (Income)</t>
  </si>
  <si>
    <t>Derivation of factor for 3-factor - Gross Plant Directly Assigned</t>
  </si>
  <si>
    <t xml:space="preserve">   Book/Tax Differences (Sched. M)</t>
  </si>
  <si>
    <t>Rate Base</t>
  </si>
  <si>
    <t>Intangible - Other</t>
  </si>
  <si>
    <t xml:space="preserve">   State Excise Tax  [1]</t>
  </si>
  <si>
    <t>Production</t>
  </si>
  <si>
    <t xml:space="preserve">   State Tax Credit</t>
  </si>
  <si>
    <t>Transmission</t>
  </si>
  <si>
    <t>Distribution</t>
  </si>
  <si>
    <t xml:space="preserve">   Net State Income Tax</t>
  </si>
  <si>
    <t xml:space="preserve">   Excess Book(Tax) Deprec. </t>
  </si>
  <si>
    <t xml:space="preserve">   Other Sched. M Differences</t>
  </si>
  <si>
    <t>Intangible</t>
  </si>
  <si>
    <t xml:space="preserve">   Federal Income Tax  [2]</t>
  </si>
  <si>
    <t xml:space="preserve">   ITC</t>
  </si>
  <si>
    <t xml:space="preserve">   Current Federal Tax</t>
  </si>
  <si>
    <t xml:space="preserve">   Deferred Income Tax - Federal</t>
  </si>
  <si>
    <t xml:space="preserve">   Deferred Income Tax - State</t>
  </si>
  <si>
    <t xml:space="preserve">   ITC Restored (Deferred)</t>
  </si>
  <si>
    <t xml:space="preserve">      Total Federal Tax</t>
  </si>
  <si>
    <t xml:space="preserve">      Total State Tax  </t>
  </si>
  <si>
    <t>[1]  Statutory State Excise Tax Rate:</t>
  </si>
  <si>
    <t>[2]  Statutory Federal Income Tax Rate:</t>
  </si>
  <si>
    <t>Customers-The Dalles</t>
  </si>
  <si>
    <t>sales volumes</t>
  </si>
  <si>
    <t>sendout volumes</t>
  </si>
  <si>
    <t>sales/sendout volumes</t>
  </si>
  <si>
    <t>General</t>
  </si>
  <si>
    <t>Regulatory</t>
  </si>
  <si>
    <t>CNG and LNG</t>
  </si>
  <si>
    <t>Telemetering</t>
  </si>
  <si>
    <t>Direct-Wa</t>
  </si>
  <si>
    <t>Direct-Or</t>
  </si>
  <si>
    <t>Gross plant direct assign</t>
  </si>
  <si>
    <t>Depreciation</t>
  </si>
  <si>
    <t>Storage Gas</t>
  </si>
  <si>
    <t>(r)</t>
  </si>
  <si>
    <t>Pre-tax less interest</t>
  </si>
  <si>
    <t>tax calculated</t>
  </si>
  <si>
    <t>tax on line 1</t>
  </si>
  <si>
    <t>variance</t>
  </si>
  <si>
    <t>Elimination of Clearing Account Balances</t>
  </si>
  <si>
    <t>Adjustment to O&amp;M</t>
  </si>
  <si>
    <t>Adjustment to Construction</t>
  </si>
  <si>
    <t>Depreciation Factor</t>
  </si>
  <si>
    <t xml:space="preserve">   Officers/Exempt</t>
  </si>
  <si>
    <t xml:space="preserve">   Clerical/Hourly</t>
  </si>
  <si>
    <t>Allocation Method</t>
  </si>
  <si>
    <t>Software</t>
  </si>
  <si>
    <t>Other</t>
  </si>
  <si>
    <t>Storage and storage transmission</t>
  </si>
  <si>
    <t>Firm Delivered Volumes</t>
  </si>
  <si>
    <t>Direct &amp; 3-Factor</t>
  </si>
  <si>
    <t>2000</t>
  </si>
  <si>
    <t>Test Period</t>
  </si>
  <si>
    <t>Sales in</t>
  </si>
  <si>
    <t>Total Sales Sendout</t>
  </si>
  <si>
    <t>Clearing</t>
  </si>
  <si>
    <t>Worksheet b</t>
  </si>
  <si>
    <t>Worksheet f</t>
  </si>
  <si>
    <t>Investor Supplied Working Capital</t>
  </si>
  <si>
    <t>Balance</t>
  </si>
  <si>
    <t>Deferred Income Taxes</t>
  </si>
  <si>
    <t>Worksheet e</t>
  </si>
  <si>
    <t>Adjustments to Test Period</t>
  </si>
  <si>
    <t>Gross Plant Average Factor</t>
  </si>
  <si>
    <t>Accumulated Deprec Average Factor</t>
  </si>
  <si>
    <t>Leasehold Improvement Average Factor</t>
  </si>
  <si>
    <t>Customer Advance Average Factor</t>
  </si>
  <si>
    <t>Allocation to Washington (Gross Plant)</t>
  </si>
  <si>
    <t>Allocation to Washington (3-Factor)</t>
  </si>
  <si>
    <t>12 mo end dec</t>
  </si>
  <si>
    <t>2001</t>
  </si>
  <si>
    <t>Other Operating Revenues</t>
  </si>
  <si>
    <t>Follows Plant Split</t>
  </si>
  <si>
    <t>3-factor on non-Oregon</t>
  </si>
  <si>
    <t>Reconnect Charges / Field Coll</t>
  </si>
  <si>
    <t>Gross Plant Growth Factor</t>
  </si>
  <si>
    <t>Extracts from Balance Sheet</t>
  </si>
  <si>
    <t>System Leasehold Improvements</t>
  </si>
  <si>
    <t>2002</t>
  </si>
  <si>
    <t xml:space="preserve">   Book Expenses before Deprec. &amp; Interest</t>
  </si>
  <si>
    <t>Total Adjusted Construction (line 6 + line 12)</t>
  </si>
  <si>
    <t>Total Adjusted O &amp; M (line 3 + line 9)</t>
  </si>
  <si>
    <t xml:space="preserve">     Adjustment to Washington - Rate Base</t>
  </si>
  <si>
    <t xml:space="preserve">     Adjustment to Washington - O&amp;M</t>
  </si>
  <si>
    <t>Sales</t>
  </si>
  <si>
    <t>Tax Calculated (include ITC)</t>
  </si>
  <si>
    <t>Allocation Factors - Summary</t>
  </si>
  <si>
    <t>Depreciation Expense</t>
  </si>
  <si>
    <t>2003</t>
  </si>
  <si>
    <t>3-Factor &amp; Direct</t>
  </si>
  <si>
    <t>Tax Adjustment</t>
  </si>
  <si>
    <t>Washington Annual Commission Basis Report</t>
  </si>
  <si>
    <t>Transportation</t>
  </si>
  <si>
    <t>Total Transportation</t>
  </si>
  <si>
    <t>State Allocation of Other Revenues, Depreciation Expense and Other Taxes</t>
  </si>
  <si>
    <t>2004</t>
  </si>
  <si>
    <t>Reconnect Charges</t>
  </si>
  <si>
    <t>Late Payment Charges</t>
  </si>
  <si>
    <t>Automated Payment Charge</t>
  </si>
  <si>
    <t>Returned Check</t>
  </si>
  <si>
    <t>Field Collection</t>
  </si>
  <si>
    <t>Meter Rentals</t>
  </si>
  <si>
    <t>Utility Property Rental</t>
  </si>
  <si>
    <t>Miscellaneous</t>
  </si>
  <si>
    <t>Total Other Op Revenues</t>
  </si>
  <si>
    <t>Production Plant</t>
  </si>
  <si>
    <t>Total Depreciation Expense</t>
  </si>
  <si>
    <t>Property</t>
  </si>
  <si>
    <t>Franchise</t>
  </si>
  <si>
    <t>Regulatory Fee</t>
  </si>
  <si>
    <t>Department of Energy</t>
  </si>
  <si>
    <t>Worksheet c</t>
  </si>
  <si>
    <t>Firm Transportation</t>
  </si>
  <si>
    <t>Interuptible Transportation</t>
  </si>
  <si>
    <t>2005</t>
  </si>
  <si>
    <t>2006</t>
  </si>
  <si>
    <t>Total Tax</t>
  </si>
  <si>
    <t>Customers-Residential</t>
  </si>
  <si>
    <t>Customers-Commercial</t>
  </si>
  <si>
    <t>Customers-Industrial</t>
  </si>
  <si>
    <t>Customers Portland/Vancouver</t>
  </si>
  <si>
    <t>Customers Portland/Vancouver 80%</t>
  </si>
  <si>
    <t>Customers Portland/Vancouver Commercial</t>
  </si>
  <si>
    <t>Admin Transfer</t>
  </si>
  <si>
    <t>SYSTEM</t>
  </si>
  <si>
    <t>OREGON</t>
  </si>
  <si>
    <t>WASHINGTON</t>
  </si>
  <si>
    <t>Dec</t>
  </si>
  <si>
    <t>Jan</t>
  </si>
  <si>
    <t>Feb</t>
  </si>
  <si>
    <t>Mar</t>
  </si>
  <si>
    <t>Apr</t>
  </si>
  <si>
    <t>Gas in Storage Extract</t>
  </si>
  <si>
    <t>WA Leasehold Improvements (direct+3-factor on the rest)</t>
  </si>
  <si>
    <t>Rate Base Average Allocation Factors</t>
  </si>
  <si>
    <t>OR</t>
  </si>
  <si>
    <t>WA</t>
  </si>
  <si>
    <t>Average Total Rate Base</t>
  </si>
  <si>
    <t>2007</t>
  </si>
  <si>
    <t>Weather Normalized Gas Sales and Purchases Adjustment</t>
  </si>
  <si>
    <t>Unbilled amounts</t>
  </si>
  <si>
    <t>Special Contracts</t>
  </si>
  <si>
    <t>Demand Incurred &amp; Deferred</t>
  </si>
  <si>
    <t>Commodity Incurred &amp; Deferred</t>
  </si>
  <si>
    <t>($000's, except Washington amounts at lines 22-24)</t>
  </si>
  <si>
    <t>Column A</t>
  </si>
  <si>
    <t>Column C</t>
  </si>
  <si>
    <t>Rate of Return</t>
  </si>
  <si>
    <t>Return on Common Equity</t>
  </si>
  <si>
    <t>Narrative of Adjustments</t>
  </si>
  <si>
    <t>Net Revenue</t>
  </si>
  <si>
    <t>Net Rate Base</t>
  </si>
  <si>
    <t>Schedule</t>
  </si>
  <si>
    <t>Impact</t>
  </si>
  <si>
    <t>Description</t>
  </si>
  <si>
    <t>2a</t>
  </si>
  <si>
    <t>Weather Normalization &amp; Gas Costs</t>
  </si>
  <si>
    <t>Residential and commercial volumes are adjusted for normal weather.</t>
  </si>
  <si>
    <t>These normalized volumes are repriced at applicable rates to derive revenue and Cost of Gas adjustment</t>
  </si>
  <si>
    <t>2b</t>
  </si>
  <si>
    <t>2c</t>
  </si>
  <si>
    <t>Advertising &amp; Promotional</t>
  </si>
  <si>
    <t>2d</t>
  </si>
  <si>
    <t>2e</t>
  </si>
  <si>
    <t>2f</t>
  </si>
  <si>
    <t>Uncollectible Amounts</t>
  </si>
  <si>
    <t>Adjusts accrued amount to 3 year average</t>
  </si>
  <si>
    <t>Bonuses</t>
  </si>
  <si>
    <t>GRAND TOTAL ALL ADJUSTMENTS</t>
  </si>
  <si>
    <t>Working Capital Adjustment</t>
  </si>
  <si>
    <t>Claims Adjustment</t>
  </si>
  <si>
    <t>Adjusts actual bonuses to 3 year average</t>
  </si>
  <si>
    <t>Replaces accrued expenses with actual claims paid;</t>
  </si>
  <si>
    <t>Consistent with prior rate cases, provides a return on investments in storage gas inventory and other assets</t>
  </si>
  <si>
    <t>ok</t>
  </si>
  <si>
    <t>Curtailment Unauthorized Take</t>
  </si>
  <si>
    <t>2008</t>
  </si>
  <si>
    <t>Worksheet a</t>
  </si>
  <si>
    <t>13 month average</t>
  </si>
  <si>
    <t>Sales &amp; Marketing and Customer Communication Adjustment</t>
  </si>
  <si>
    <t>Expenses Coded to Account 5075</t>
  </si>
  <si>
    <t>FERC Account 911 Supervision</t>
  </si>
  <si>
    <t>FERC Account 912 Demonstration &amp; Selling</t>
  </si>
  <si>
    <t>FERC Account 913 Advertising</t>
  </si>
  <si>
    <t>FERC Account 909 Advertising</t>
  </si>
  <si>
    <t>Expenses Coded to Category 2966 and 2666</t>
  </si>
  <si>
    <t xml:space="preserve">   Total Disallowance - O&amp;M</t>
  </si>
  <si>
    <t>Sales, Marketing</t>
  </si>
  <si>
    <t xml:space="preserve">&amp; Customer </t>
  </si>
  <si>
    <t>Communications</t>
  </si>
  <si>
    <t>2009</t>
  </si>
  <si>
    <t>(g)=(e)-(f)</t>
  </si>
  <si>
    <t>Consistent with 2008 rate case, removes certain marketing and advertising costs</t>
  </si>
  <si>
    <t>Other Miscellaneous Revenues</t>
  </si>
  <si>
    <t>Adjustment to Miscellaneous Revenue</t>
  </si>
  <si>
    <t>3 yr avg</t>
  </si>
  <si>
    <t>Technical Adjustments &amp; Amortizations</t>
  </si>
  <si>
    <t>Notes:</t>
  </si>
  <si>
    <t>[1]  Normalized to 3-year average</t>
  </si>
  <si>
    <t>[1]</t>
  </si>
  <si>
    <t>Worksheet h</t>
  </si>
  <si>
    <t>2g</t>
  </si>
  <si>
    <t>Miscellaneous Revenue</t>
  </si>
  <si>
    <t>(excluding Category 2966/2666 &amp; FERC accts 911,912,913)</t>
  </si>
  <si>
    <t>Clearing accounts are completely allocated by year end closing.</t>
  </si>
  <si>
    <t>Removes O&amp;M expenses charged to Category 2966 &amp; 2666, "Non-recoverable expenses"</t>
  </si>
  <si>
    <t>Adjusts miscellaneous revenues to 3 year average</t>
  </si>
  <si>
    <t>adjusts extraordinary claims to 3 year average</t>
  </si>
  <si>
    <t>2010</t>
  </si>
  <si>
    <t>Total Operating Revenues</t>
  </si>
  <si>
    <t>Total Operating &amp; Maintenance</t>
  </si>
  <si>
    <t>Total Taxes &amp; Other</t>
  </si>
  <si>
    <t>Net Operating Revenues</t>
  </si>
  <si>
    <t>Net Income Adjustments</t>
  </si>
  <si>
    <t>Weather Normalization</t>
  </si>
  <si>
    <t>Uncollectible Expense</t>
  </si>
  <si>
    <t>Net Operating Revenues as Adjusted</t>
  </si>
  <si>
    <t>Advertising &amp; Mktg Adjustment</t>
  </si>
  <si>
    <t>Washington Rate Base as Adjusted</t>
  </si>
  <si>
    <t>EXECUTIVE SUMMARY</t>
  </si>
  <si>
    <t>WASHINGTON RESULTS OF OPERATIONS</t>
  </si>
  <si>
    <t>Total Operating &amp; Maintenance and Gas Costs</t>
  </si>
  <si>
    <t>2011</t>
  </si>
  <si>
    <t>3-year avg</t>
  </si>
  <si>
    <t>Utility Plant in Service</t>
  </si>
  <si>
    <t>Accumulated Deferred Income Taxes</t>
  </si>
  <si>
    <t>Twelve Months Ended December 31, 2012</t>
  </si>
  <si>
    <t>2012</t>
  </si>
  <si>
    <t>Working Capital</t>
  </si>
  <si>
    <t xml:space="preserve">   Customer Advances</t>
  </si>
  <si>
    <t xml:space="preserve">   Working Capital</t>
  </si>
  <si>
    <t>Curtailment Unuathorized Take</t>
  </si>
  <si>
    <t>Revenue &amp; Technical Adjs</t>
  </si>
  <si>
    <t>cap structure %s</t>
  </si>
  <si>
    <t>entire wacc</t>
  </si>
  <si>
    <t>cost of debt all</t>
  </si>
  <si>
    <t>cost of debt LTD</t>
  </si>
  <si>
    <t>cost of debt Short</t>
  </si>
  <si>
    <t>2012 CBR</t>
  </si>
  <si>
    <t>UG-080546</t>
  </si>
  <si>
    <t>Pretax Over Earning</t>
  </si>
  <si>
    <t>($millions)</t>
  </si>
  <si>
    <t>Over earning due to WACC</t>
  </si>
  <si>
    <t>Change</t>
  </si>
  <si>
    <t>OI</t>
  </si>
  <si>
    <t>Due to LTD rate</t>
  </si>
  <si>
    <t>Due to STD rate</t>
  </si>
  <si>
    <t>Due to Capital %s</t>
  </si>
  <si>
    <t>2011 CBR</t>
  </si>
  <si>
    <t xml:space="preserve">   Net Utility Plant</t>
  </si>
  <si>
    <t>ROE to be reported</t>
  </si>
  <si>
    <t>Pretax Earnings vs Authorized</t>
  </si>
  <si>
    <t>Washington CBR Results</t>
  </si>
  <si>
    <t>Customer Advances and Deposits</t>
  </si>
  <si>
    <t>Leasehold Improvement</t>
  </si>
  <si>
    <t>System Contributions</t>
  </si>
  <si>
    <t>System Deposits</t>
  </si>
  <si>
    <t>Total Rate Base Excluding ADIT and WC</t>
  </si>
  <si>
    <t>2013</t>
  </si>
  <si>
    <t>Allocation factor: Accumulated Depreciation</t>
  </si>
  <si>
    <t>SYS</t>
  </si>
  <si>
    <t>Federal</t>
  </si>
  <si>
    <t>State</t>
  </si>
  <si>
    <t>Accumulated Deferred Income Tax - Depreciation</t>
  </si>
  <si>
    <t>Accumulated Deferred Income Tax - Encana</t>
  </si>
  <si>
    <t>Accumulated Deferred Income Tax - Other</t>
  </si>
  <si>
    <t>Commodity and Demand Amortizations</t>
  </si>
  <si>
    <t xml:space="preserve">      Margin</t>
  </si>
  <si>
    <t>Total Deliveries / Revenues</t>
  </si>
  <si>
    <t>Permanent M-1s</t>
  </si>
  <si>
    <t>Meals &amp; Entertainment</t>
  </si>
  <si>
    <t>Pre-1981 Depreciation</t>
  </si>
  <si>
    <t>Pre-1981 Removal Costs</t>
  </si>
  <si>
    <t>Employee Stock Purchase Plan</t>
  </si>
  <si>
    <t xml:space="preserve">   TOTAL</t>
  </si>
  <si>
    <t>2017 paid</t>
  </si>
  <si>
    <t>in 2018</t>
  </si>
  <si>
    <t>Parking and Transit</t>
  </si>
  <si>
    <t>Gas Reserves</t>
  </si>
  <si>
    <t xml:space="preserve">   Total Gross Plant (less Gas Reserves)</t>
  </si>
  <si>
    <t xml:space="preserve">   Total Accumulated Depreciation (less Gas Reserves)</t>
  </si>
  <si>
    <t xml:space="preserve">   Less: ADIT</t>
  </si>
  <si>
    <t>Total Rate Base Excluding WC</t>
  </si>
  <si>
    <t>Firm Sales Delivered</t>
  </si>
  <si>
    <t>firm sales volumes</t>
  </si>
  <si>
    <t>Current Working Capital Assets</t>
  </si>
  <si>
    <t>Current Working Capital Liabilities</t>
  </si>
  <si>
    <t xml:space="preserve">   Net Working Capital</t>
  </si>
  <si>
    <t>Total WA Working Capital</t>
  </si>
  <si>
    <t>WA Allocation of Total Investments</t>
  </si>
  <si>
    <t>2019 December Balances:</t>
  </si>
  <si>
    <t>2019 Balances</t>
  </si>
  <si>
    <t>December 2019</t>
  </si>
  <si>
    <t>December 31, 2019</t>
  </si>
  <si>
    <t>2018 paid</t>
  </si>
  <si>
    <t>in 2019</t>
  </si>
  <si>
    <t>Credits and EDIT Amortization</t>
  </si>
  <si>
    <t>EDIT Amortization</t>
  </si>
  <si>
    <t>Twelve Months Ended December 31, 2020</t>
  </si>
  <si>
    <t>2020 December Balances:</t>
  </si>
  <si>
    <t>2020 Balances</t>
  </si>
  <si>
    <t>Test Year Based on Twelve Months Ended December 31, 2020</t>
  </si>
  <si>
    <t>Dec 19 - Dec 20</t>
  </si>
  <si>
    <t>2019 paid</t>
  </si>
  <si>
    <t>in 2020</t>
  </si>
  <si>
    <t>2020-2018</t>
  </si>
  <si>
    <t>December 2020</t>
  </si>
  <si>
    <t>Volumes - 12 Months Ended 12/31/20</t>
  </si>
  <si>
    <t>December 31, 2020</t>
  </si>
  <si>
    <t>Updated for year ended 2020 data</t>
  </si>
  <si>
    <t>EDIT Rate Base - 13 AMA</t>
  </si>
  <si>
    <t>Total DIT Rate Base</t>
  </si>
  <si>
    <t>Washington Contributions</t>
  </si>
  <si>
    <t xml:space="preserve">   Short Term Debt [1]</t>
  </si>
  <si>
    <t xml:space="preserve">[1] Short-term Debt does not include debt associated with COVID-19 </t>
  </si>
  <si>
    <t>Perimeter</t>
  </si>
  <si>
    <t>Environmental Admin Costs</t>
  </si>
  <si>
    <r>
      <t xml:space="preserve">Simple Average December Balances </t>
    </r>
    <r>
      <rPr>
        <sz val="10"/>
        <rFont val="Tahoma"/>
        <family val="2"/>
      </rPr>
      <t>(use for Rate Base)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</si>
</sst>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%"/>
    <numFmt numFmtId="166" formatCode="0.0%"/>
    <numFmt numFmtId="167" formatCode="General_)"/>
    <numFmt numFmtId="168" formatCode="_(* #,##0_);_(* \(#,##0\);_(* &quot;-&quot;??_);_(@_)"/>
    <numFmt numFmtId="169" formatCode="&quot;$&quot;#,##0.00000_);\(&quot;$&quot;#,##0.00000\)"/>
    <numFmt numFmtId="170" formatCode="dd\-mmm\-yy_)"/>
    <numFmt numFmtId="171" formatCode="_(* #,##0.00000_);_(* \(#,##0.00000\);_(* &quot;-&quot;??_);_(@_)"/>
    <numFmt numFmtId="172" formatCode="_(&quot;$&quot;* #,##0.00000_);_(&quot;$&quot;* \(#,##0.00000\);_(&quot;$&quot;* &quot;-&quot;??_);_(@_)"/>
    <numFmt numFmtId="173" formatCode="&quot;$&quot;#,##0.000000_);\(&quot;$&quot;#,##0.000000\)"/>
    <numFmt numFmtId="174" formatCode="&quot;$&quot;#,##0.00000_);[Red]\(&quot;$&quot;#,##0.00000\)"/>
    <numFmt numFmtId="175" formatCode="&quot;$&quot;#,##0"/>
    <numFmt numFmtId="176" formatCode="_(&quot;$&quot;* #,##0_);_(&quot;$&quot;* \(#,##0\);_(&quot;$&quot;* &quot;-&quot;??_);_(@_)"/>
    <numFmt numFmtId="177" formatCode="_(* #,##0.0_);_(* \(#,##0.0\);_(* &quot;-&quot;??_);_(@_)"/>
    <numFmt numFmtId="178" formatCode="[$-409]mmm\-yy;@"/>
    <numFmt numFmtId="179" formatCode="&quot;$&quot;#,##0.0_);\(&quot;$&quot;#,##0.0\)"/>
    <numFmt numFmtId="180" formatCode="mm/dd/yy"/>
    <numFmt numFmtId="181" formatCode="_-* #,##0.00\ _D_M_-;\-* #,##0.00\ _D_M_-;_-* &quot;-&quot;??\ _D_M_-;_-@_-"/>
    <numFmt numFmtId="182" formatCode="#,##0.0"/>
    <numFmt numFmtId="183" formatCode="_-* #,##0.00\ &quot;DM&quot;_-;\-* #,##0.00\ &quot;DM&quot;_-;_-* &quot;-&quot;??\ &quot;DM&quot;_-;_-@_-"/>
    <numFmt numFmtId="184" formatCode="#,##0_);\-#,##0_);\-_)"/>
    <numFmt numFmtId="185" formatCode="#,##0.00_);\-#,##0.00_);\-_)"/>
    <numFmt numFmtId="186" formatCode="#,##0.0_);\-#,##0.0_);\-_)"/>
    <numFmt numFmtId="187" formatCode="0.00000"/>
    <numFmt numFmtId="188" formatCode="#,##0.000"/>
  </numFmts>
  <fonts count="112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2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sz val="10"/>
      <color indexed="12"/>
      <name val="Tahoma"/>
      <family val="2"/>
    </font>
    <font>
      <sz val="10"/>
      <name val="Tahoma"/>
      <family val="2"/>
    </font>
    <font>
      <b/>
      <sz val="10"/>
      <color indexed="12"/>
      <name val="Tahoma"/>
      <family val="2"/>
    </font>
    <font>
      <u/>
      <sz val="10"/>
      <name val="Tahoma"/>
      <family val="2"/>
    </font>
    <font>
      <b/>
      <u/>
      <sz val="10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9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b/>
      <sz val="10"/>
      <color theme="1"/>
      <name val="Tahoma"/>
      <family val="2"/>
    </font>
    <font>
      <sz val="11"/>
      <name val="MS Sans Serif"/>
      <family val="2"/>
    </font>
    <font>
      <sz val="11"/>
      <color indexed="60"/>
      <name val="Calibri"/>
      <family val="2"/>
    </font>
    <font>
      <sz val="10"/>
      <name val="Helv"/>
    </font>
    <font>
      <b/>
      <sz val="9"/>
      <name val="Tahoma"/>
      <family val="2"/>
    </font>
    <font>
      <u/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9"/>
      <color indexed="18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b/>
      <sz val="14"/>
      <color indexed="8"/>
      <name val="Arial"/>
      <family val="2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i/>
      <sz val="11"/>
      <color indexed="18"/>
      <name val="Calibri"/>
      <family val="2"/>
    </font>
    <font>
      <i/>
      <sz val="11"/>
      <color indexed="23"/>
      <name val="Calibri"/>
      <family val="2"/>
    </font>
    <font>
      <sz val="11"/>
      <color indexed="21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8"/>
      <color indexed="18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4"/>
      <name val="Calibri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i/>
      <sz val="10"/>
      <name val="Tahoma"/>
      <family val="2"/>
    </font>
    <font>
      <sz val="10"/>
      <color theme="0"/>
      <name val="Tahoma"/>
      <family val="2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006100"/>
      <name val="Tahoma"/>
      <family val="2"/>
    </font>
    <font>
      <sz val="10"/>
      <color rgb="FF9C0006"/>
      <name val="Tahoma"/>
      <family val="2"/>
    </font>
    <font>
      <sz val="10"/>
      <color rgb="FF9C6500"/>
      <name val="Tahoma"/>
      <family val="2"/>
    </font>
    <font>
      <sz val="10"/>
      <color rgb="FF3F3F76"/>
      <name val="Tahoma"/>
      <family val="2"/>
    </font>
    <font>
      <b/>
      <sz val="10"/>
      <color rgb="FF3F3F3F"/>
      <name val="Tahoma"/>
      <family val="2"/>
    </font>
    <font>
      <b/>
      <sz val="10"/>
      <color rgb="FFFA7D00"/>
      <name val="Tahoma"/>
      <family val="2"/>
    </font>
    <font>
      <sz val="10"/>
      <color rgb="FFFA7D00"/>
      <name val="Tahoma"/>
      <family val="2"/>
    </font>
    <font>
      <b/>
      <sz val="10"/>
      <color theme="0"/>
      <name val="Tahoma"/>
      <family val="2"/>
    </font>
    <font>
      <i/>
      <sz val="10"/>
      <color rgb="FF7F7F7F"/>
      <name val="Tahoma"/>
      <family val="2"/>
    </font>
    <font>
      <sz val="12"/>
      <name val="Arial"/>
      <family val="2"/>
    </font>
    <font>
      <sz val="10"/>
      <name val="Courier"/>
      <family val="3"/>
    </font>
    <font>
      <sz val="11"/>
      <name val="Calibri"/>
      <family val="2"/>
      <scheme val="minor"/>
    </font>
  </fonts>
  <fills count="14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42"/>
      </patternFill>
    </fill>
    <fill>
      <patternFill patternType="solid">
        <f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24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</patternFill>
    </fill>
    <fill>
      <patternFill patternType="solid">
        <fgColor indexed="58"/>
        <bgColor indexed="64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14"/>
      </patternFill>
    </fill>
    <fill>
      <patternFill patternType="solid">
        <fgColor indexed="25"/>
        <bgColor indexed="25"/>
      </patternFill>
    </fill>
    <fill>
      <patternFill patternType="solid">
        <fgColor indexed="25"/>
        <bgColor indexed="64"/>
      </patternFill>
    </fill>
    <fill>
      <patternFill patternType="solid">
        <fgColor indexed="60"/>
        <bgColor indexed="60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18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3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20"/>
      </patternFill>
    </fill>
    <fill>
      <patternFill patternType="solid">
        <fgColor indexed="20"/>
        <bgColor indexed="64"/>
      </patternFill>
    </fill>
  </fills>
  <borders count="69">
    <border>
      <left/>
      <right/>
      <top/>
      <bottom/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9488">
    <xf numFmtId="0" fontId="0" fillId="0" borderId="0">
      <alignment vertical="top"/>
    </xf>
    <xf numFmtId="0" fontId="6" fillId="0" borderId="0">
      <alignment vertical="top"/>
    </xf>
    <xf numFmtId="4" fontId="21" fillId="0" borderId="0" applyFont="0" applyFill="0" applyBorder="0" applyAlignment="0" applyProtection="0">
      <alignment vertical="top"/>
    </xf>
    <xf numFmtId="4" fontId="6" fillId="0" borderId="0" applyFill="0" applyBorder="0" applyProtection="0">
      <alignment horizontal="right" vertical="top"/>
    </xf>
    <xf numFmtId="4" fontId="6" fillId="0" borderId="0" applyFont="0" applyFill="0" applyBorder="0" applyAlignment="0" applyProtection="0">
      <alignment vertical="top"/>
    </xf>
    <xf numFmtId="3" fontId="21" fillId="0" borderId="0" applyFont="0" applyFill="0" applyBorder="0" applyAlignment="0" applyProtection="0">
      <alignment vertical="top"/>
    </xf>
    <xf numFmtId="0" fontId="6" fillId="0" borderId="0" applyFont="0" applyFill="0" applyBorder="0" applyAlignment="0" applyProtection="0">
      <alignment vertical="top"/>
    </xf>
    <xf numFmtId="7" fontId="21" fillId="0" borderId="0" applyFont="0" applyFill="0" applyBorder="0" applyAlignment="0" applyProtection="0">
      <alignment vertical="top"/>
    </xf>
    <xf numFmtId="5" fontId="6" fillId="0" borderId="0">
      <alignment vertical="top"/>
    </xf>
    <xf numFmtId="5" fontId="21" fillId="0" borderId="0" applyFont="0" applyFill="0" applyBorder="0" applyAlignment="0" applyProtection="0">
      <alignment vertical="top"/>
    </xf>
    <xf numFmtId="0" fontId="6" fillId="0" borderId="0">
      <alignment vertical="top"/>
    </xf>
    <xf numFmtId="0" fontId="21" fillId="0" borderId="0" applyFont="0" applyFill="0" applyBorder="0" applyAlignment="0" applyProtection="0">
      <alignment vertical="top"/>
    </xf>
    <xf numFmtId="2" fontId="6" fillId="0" borderId="0" applyFon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>
      <alignment horizontal="right" vertical="top"/>
    </xf>
    <xf numFmtId="0" fontId="5" fillId="0" borderId="0">
      <alignment vertical="top"/>
    </xf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3" fontId="5" fillId="0" borderId="1">
      <alignment vertical="top"/>
    </xf>
    <xf numFmtId="10" fontId="21" fillId="0" borderId="0" applyFont="0" applyFill="0" applyBorder="0" applyAlignment="0" applyProtection="0">
      <alignment vertical="top"/>
    </xf>
    <xf numFmtId="10" fontId="21" fillId="0" borderId="0" applyFont="0" applyFill="0" applyBorder="0" applyAlignment="0" applyProtection="0">
      <alignment vertical="top"/>
    </xf>
    <xf numFmtId="0" fontId="6" fillId="0" borderId="0" applyFont="0" applyFill="0" applyBorder="0" applyAlignment="0" applyProtection="0">
      <alignment vertical="top"/>
    </xf>
    <xf numFmtId="0" fontId="6" fillId="0" borderId="2" applyNumberFormat="0" applyFont="0" applyFill="0" applyAlignment="0" applyProtection="0">
      <alignment vertical="top"/>
    </xf>
    <xf numFmtId="9" fontId="4" fillId="0" borderId="0" applyFill="0" applyBorder="0" applyAlignment="0" applyProtection="0">
      <alignment vertical="top"/>
    </xf>
    <xf numFmtId="43" fontId="24" fillId="0" borderId="0" applyFont="0" applyFill="0" applyBorder="0" applyAlignment="0" applyProtection="0"/>
    <xf numFmtId="5" fontId="7" fillId="0" borderId="0" applyFont="0" applyFill="0" applyBorder="0" applyAlignment="0" applyProtection="0">
      <alignment vertical="top"/>
    </xf>
    <xf numFmtId="0" fontId="25" fillId="4" borderId="0" applyNumberFormat="0" applyBorder="0" applyAlignment="0" applyProtection="0"/>
    <xf numFmtId="37" fontId="26" fillId="0" borderId="0"/>
    <xf numFmtId="0" fontId="3" fillId="39" borderId="0" applyNumberFormat="0" applyBorder="0" applyAlignment="0" applyProtection="0"/>
    <xf numFmtId="0" fontId="3" fillId="16" borderId="0" applyNumberFormat="0" applyBorder="0" applyAlignment="0" applyProtection="0"/>
    <xf numFmtId="0" fontId="42" fillId="4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2" borderId="0" applyNumberFormat="0" applyBorder="0" applyAlignment="0" applyProtection="0"/>
    <xf numFmtId="0" fontId="3" fillId="20" borderId="0" applyNumberFormat="0" applyBorder="0" applyAlignment="0" applyProtection="0"/>
    <xf numFmtId="0" fontId="42" fillId="43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4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24" borderId="0" applyNumberFormat="0" applyBorder="0" applyAlignment="0" applyProtection="0"/>
    <xf numFmtId="0" fontId="42" fillId="46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28" borderId="0" applyNumberFormat="0" applyBorder="0" applyAlignment="0" applyProtection="0"/>
    <xf numFmtId="0" fontId="42" fillId="49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39" borderId="0" applyNumberFormat="0" applyBorder="0" applyAlignment="0" applyProtection="0"/>
    <xf numFmtId="0" fontId="3" fillId="32" borderId="0" applyNumberFormat="0" applyBorder="0" applyAlignment="0" applyProtection="0"/>
    <xf numFmtId="0" fontId="42" fillId="4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51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42" fillId="52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54" borderId="0" applyNumberFormat="0" applyBorder="0" applyAlignment="0" applyProtection="0"/>
    <xf numFmtId="0" fontId="3" fillId="17" borderId="0" applyNumberFormat="0" applyBorder="0" applyAlignment="0" applyProtection="0"/>
    <xf numFmtId="0" fontId="42" fillId="55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6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42" borderId="0" applyNumberFormat="0" applyBorder="0" applyAlignment="0" applyProtection="0"/>
    <xf numFmtId="0" fontId="3" fillId="21" borderId="0" applyNumberFormat="0" applyBorder="0" applyAlignment="0" applyProtection="0"/>
    <xf numFmtId="0" fontId="42" fillId="43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57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58" borderId="0" applyNumberFormat="0" applyBorder="0" applyAlignment="0" applyProtection="0"/>
    <xf numFmtId="0" fontId="3" fillId="25" borderId="0" applyNumberFormat="0" applyBorder="0" applyAlignment="0" applyProtection="0"/>
    <xf numFmtId="0" fontId="42" fillId="59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60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61" borderId="0" applyNumberFormat="0" applyBorder="0" applyAlignment="0" applyProtection="0"/>
    <xf numFmtId="0" fontId="3" fillId="29" borderId="0" applyNumberFormat="0" applyBorder="0" applyAlignment="0" applyProtection="0"/>
    <xf numFmtId="0" fontId="42" fillId="62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50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3" borderId="0" applyNumberFormat="0" applyBorder="0" applyAlignment="0" applyProtection="0"/>
    <xf numFmtId="0" fontId="3" fillId="33" borderId="0" applyNumberFormat="0" applyBorder="0" applyAlignment="0" applyProtection="0"/>
    <xf numFmtId="0" fontId="42" fillId="64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56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63" borderId="0" applyNumberFormat="0" applyBorder="0" applyAlignment="0" applyProtection="0"/>
    <xf numFmtId="0" fontId="3" fillId="53" borderId="0" applyNumberFormat="0" applyBorder="0" applyAlignment="0" applyProtection="0"/>
    <xf numFmtId="0" fontId="3" fillId="37" borderId="0" applyNumberFormat="0" applyBorder="0" applyAlignment="0" applyProtection="0"/>
    <xf numFmtId="0" fontId="42" fillId="65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6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43" fillId="67" borderId="0" applyNumberFormat="0" applyBorder="0" applyAlignment="0" applyProtection="0"/>
    <xf numFmtId="0" fontId="41" fillId="68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9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3" fillId="43" borderId="0" applyNumberFormat="0" applyBorder="0" applyAlignment="0" applyProtection="0"/>
    <xf numFmtId="0" fontId="41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57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3" fillId="59" borderId="0" applyNumberFormat="0" applyBorder="0" applyAlignment="0" applyProtection="0"/>
    <xf numFmtId="0" fontId="41" fillId="58" borderId="0" applyNumberFormat="0" applyBorder="0" applyAlignment="0" applyProtection="0"/>
    <xf numFmtId="0" fontId="43" fillId="59" borderId="0" applyNumberFormat="0" applyBorder="0" applyAlignment="0" applyProtection="0"/>
    <xf numFmtId="0" fontId="43" fillId="59" borderId="0" applyNumberFormat="0" applyBorder="0" applyAlignment="0" applyProtection="0"/>
    <xf numFmtId="0" fontId="43" fillId="60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3" fillId="62" borderId="0" applyNumberFormat="0" applyBorder="0" applyAlignment="0" applyProtection="0"/>
    <xf numFmtId="0" fontId="41" fillId="61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70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61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3" fillId="67" borderId="0" applyNumberFormat="0" applyBorder="0" applyAlignment="0" applyProtection="0"/>
    <xf numFmtId="0" fontId="41" fillId="68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71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3" fillId="72" borderId="0" applyNumberFormat="0" applyBorder="0" applyAlignment="0" applyProtection="0"/>
    <xf numFmtId="0" fontId="41" fillId="66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3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66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5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4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55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67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80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3" fillId="81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3" fillId="81" borderId="0" applyNumberFormat="0" applyBorder="0" applyAlignment="0" applyProtection="0"/>
    <xf numFmtId="0" fontId="41" fillId="15" borderId="0" applyNumberFormat="0" applyBorder="0" applyAlignment="0" applyProtection="0"/>
    <xf numFmtId="0" fontId="43" fillId="81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3" fillId="81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3" fillId="81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3" fillId="81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4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43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8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9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90" borderId="0" applyNumberFormat="0" applyBorder="0" applyAlignment="0" applyProtection="0"/>
    <xf numFmtId="0" fontId="43" fillId="91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3" fillId="91" borderId="0" applyNumberFormat="0" applyBorder="0" applyAlignment="0" applyProtection="0"/>
    <xf numFmtId="0" fontId="41" fillId="90" borderId="0" applyNumberFormat="0" applyBorder="0" applyAlignment="0" applyProtection="0"/>
    <xf numFmtId="0" fontId="43" fillId="91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3" fillId="91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3" fillId="91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3" fillId="91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90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4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7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46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77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3" fillId="98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3" fillId="99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3" fillId="99" borderId="0" applyNumberFormat="0" applyBorder="0" applyAlignment="0" applyProtection="0"/>
    <xf numFmtId="0" fontId="41" fillId="23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1" fillId="23" borderId="0" applyNumberFormat="0" applyBorder="0" applyAlignment="0" applyProtection="0"/>
    <xf numFmtId="0" fontId="43" fillId="99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3" fillId="99" borderId="0" applyNumberFormat="0" applyBorder="0" applyAlignment="0" applyProtection="0"/>
    <xf numFmtId="0" fontId="41" fillId="23" borderId="0" applyNumberFormat="0" applyBorder="0" applyAlignment="0" applyProtection="0"/>
    <xf numFmtId="0" fontId="43" fillId="89" borderId="0" applyNumberFormat="0" applyBorder="0" applyAlignment="0" applyProtection="0"/>
    <xf numFmtId="0" fontId="43" fillId="8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89" borderId="0" applyNumberFormat="0" applyBorder="0" applyAlignment="0" applyProtection="0"/>
    <xf numFmtId="0" fontId="43" fillId="89" borderId="0" applyNumberFormat="0" applyBorder="0" applyAlignment="0" applyProtection="0"/>
    <xf numFmtId="0" fontId="43" fillId="89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3" fillId="99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3" fillId="99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3" fillId="99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3" fillId="99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3" fillId="99" borderId="0" applyNumberFormat="0" applyBorder="0" applyAlignment="0" applyProtection="0"/>
    <xf numFmtId="0" fontId="43" fillId="59" borderId="0" applyNumberFormat="0" applyBorder="0" applyAlignment="0" applyProtection="0"/>
    <xf numFmtId="0" fontId="43" fillId="59" borderId="0" applyNumberFormat="0" applyBorder="0" applyAlignment="0" applyProtection="0"/>
    <xf numFmtId="0" fontId="43" fillId="59" borderId="0" applyNumberFormat="0" applyBorder="0" applyAlignment="0" applyProtection="0"/>
    <xf numFmtId="0" fontId="43" fillId="99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3" fillId="99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4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100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2" fillId="89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43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77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3" fillId="102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3" fillId="102" borderId="0" applyNumberFormat="0" applyBorder="0" applyAlignment="0" applyProtection="0"/>
    <xf numFmtId="0" fontId="41" fillId="27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1" fillId="101" borderId="0" applyNumberFormat="0" applyBorder="0" applyAlignment="0" applyProtection="0"/>
    <xf numFmtId="0" fontId="43" fillId="102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3" fillId="102" borderId="0" applyNumberFormat="0" applyBorder="0" applyAlignment="0" applyProtection="0"/>
    <xf numFmtId="0" fontId="41" fillId="101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3" fillId="102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3" fillId="102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3" fillId="102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3" fillId="102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3" fillId="102" borderId="0" applyNumberFormat="0" applyBorder="0" applyAlignment="0" applyProtection="0"/>
    <xf numFmtId="0" fontId="43" fillId="104" borderId="0" applyNumberFormat="0" applyBorder="0" applyAlignment="0" applyProtection="0"/>
    <xf numFmtId="0" fontId="43" fillId="104" borderId="0" applyNumberFormat="0" applyBorder="0" applyAlignment="0" applyProtection="0"/>
    <xf numFmtId="0" fontId="43" fillId="104" borderId="0" applyNumberFormat="0" applyBorder="0" applyAlignment="0" applyProtection="0"/>
    <xf numFmtId="0" fontId="43" fillId="102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1" fillId="101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3" fillId="102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40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76" borderId="0" applyNumberFormat="0" applyBorder="0" applyAlignment="0" applyProtection="0"/>
    <xf numFmtId="0" fontId="42" fillId="76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64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67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3" fillId="79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3" fillId="79" borderId="0" applyNumberFormat="0" applyBorder="0" applyAlignment="0" applyProtection="0"/>
    <xf numFmtId="0" fontId="4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1" fillId="68" borderId="0" applyNumberFormat="0" applyBorder="0" applyAlignment="0" applyProtection="0"/>
    <xf numFmtId="0" fontId="43" fillId="79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3" fillId="79" borderId="0" applyNumberFormat="0" applyBorder="0" applyAlignment="0" applyProtection="0"/>
    <xf numFmtId="0" fontId="41" fillId="68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3" fillId="79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3" fillId="79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3" fillId="79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3" fillId="79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79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6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3" fillId="79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7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6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65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2" fillId="108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72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8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3" fillId="110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3" fillId="110" borderId="0" applyNumberFormat="0" applyBorder="0" applyAlignment="0" applyProtection="0"/>
    <xf numFmtId="0" fontId="41" fillId="35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1" fillId="35" borderId="0" applyNumberFormat="0" applyBorder="0" applyAlignment="0" applyProtection="0"/>
    <xf numFmtId="0" fontId="43" fillId="110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3" fillId="110" borderId="0" applyNumberFormat="0" applyBorder="0" applyAlignment="0" applyProtection="0"/>
    <xf numFmtId="0" fontId="41" fillId="35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3" fillId="110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3" fillId="110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3" fillId="110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3" fillId="110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3" fillId="110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0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3" fillId="110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45" fillId="106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45" fillId="106" borderId="0" applyNumberFormat="0" applyBorder="0" applyAlignment="0" applyProtection="0"/>
    <xf numFmtId="0" fontId="32" fillId="9" borderId="0" applyNumberFormat="0" applyBorder="0" applyAlignment="0" applyProtection="0"/>
    <xf numFmtId="0" fontId="45" fillId="106" borderId="0" applyNumberFormat="0" applyBorder="0" applyAlignment="0" applyProtection="0"/>
    <xf numFmtId="0" fontId="45" fillId="106" borderId="0" applyNumberFormat="0" applyBorder="0" applyAlignment="0" applyProtection="0"/>
    <xf numFmtId="0" fontId="45" fillId="106" borderId="0" applyNumberFormat="0" applyBorder="0" applyAlignment="0" applyProtection="0"/>
    <xf numFmtId="0" fontId="45" fillId="106" borderId="0" applyNumberFormat="0" applyBorder="0" applyAlignment="0" applyProtection="0"/>
    <xf numFmtId="0" fontId="45" fillId="106" borderId="0" applyNumberFormat="0" applyBorder="0" applyAlignment="0" applyProtection="0"/>
    <xf numFmtId="0" fontId="45" fillId="106" borderId="0" applyNumberFormat="0" applyBorder="0" applyAlignment="0" applyProtection="0"/>
    <xf numFmtId="0" fontId="45" fillId="106" borderId="0" applyNumberFormat="0" applyBorder="0" applyAlignment="0" applyProtection="0"/>
    <xf numFmtId="0" fontId="45" fillId="106" borderId="0" applyNumberFormat="0" applyBorder="0" applyAlignment="0" applyProtection="0"/>
    <xf numFmtId="0" fontId="44" fillId="113" borderId="0" applyNumberFormat="0" applyBorder="0" applyAlignment="0" applyProtection="0"/>
    <xf numFmtId="0" fontId="45" fillId="106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5" fillId="106" borderId="0" applyNumberFormat="0" applyBorder="0" applyAlignment="0" applyProtection="0"/>
    <xf numFmtId="0" fontId="44" fillId="113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5" fillId="106" borderId="0" applyNumberFormat="0" applyBorder="0" applyAlignment="0" applyProtection="0"/>
    <xf numFmtId="0" fontId="45" fillId="106" borderId="0" applyNumberFormat="0" applyBorder="0" applyAlignment="0" applyProtection="0"/>
    <xf numFmtId="0" fontId="45" fillId="106" borderId="0" applyNumberFormat="0" applyBorder="0" applyAlignment="0" applyProtection="0"/>
    <xf numFmtId="0" fontId="45" fillId="10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5" fillId="106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5" fillId="106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5" fillId="106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5" fillId="106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5" fillId="106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6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44" fillId="113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45" fillId="106" borderId="0" applyNumberFormat="0" applyBorder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47" fillId="114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47" fillId="114" borderId="40" applyNumberFormat="0" applyAlignment="0" applyProtection="0"/>
    <xf numFmtId="0" fontId="36" fillId="12" borderId="34" applyNumberFormat="0" applyAlignment="0" applyProtection="0"/>
    <xf numFmtId="0" fontId="47" fillId="114" borderId="40" applyNumberFormat="0" applyAlignment="0" applyProtection="0"/>
    <xf numFmtId="0" fontId="47" fillId="114" borderId="40" applyNumberFormat="0" applyAlignment="0" applyProtection="0"/>
    <xf numFmtId="0" fontId="47" fillId="114" borderId="40" applyNumberFormat="0" applyAlignment="0" applyProtection="0"/>
    <xf numFmtId="0" fontId="47" fillId="114" borderId="40" applyNumberFormat="0" applyAlignment="0" applyProtection="0"/>
    <xf numFmtId="0" fontId="47" fillId="114" borderId="40" applyNumberFormat="0" applyAlignment="0" applyProtection="0"/>
    <xf numFmtId="0" fontId="47" fillId="114" borderId="40" applyNumberFormat="0" applyAlignment="0" applyProtection="0"/>
    <xf numFmtId="0" fontId="47" fillId="114" borderId="40" applyNumberFormat="0" applyAlignment="0" applyProtection="0"/>
    <xf numFmtId="0" fontId="47" fillId="114" borderId="40" applyNumberFormat="0" applyAlignment="0" applyProtection="0"/>
    <xf numFmtId="0" fontId="47" fillId="48" borderId="40" applyNumberFormat="0" applyAlignment="0" applyProtection="0"/>
    <xf numFmtId="0" fontId="48" fillId="115" borderId="41" applyNumberFormat="0" applyAlignment="0" applyProtection="0"/>
    <xf numFmtId="0" fontId="47" fillId="114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114" borderId="40" applyNumberFormat="0" applyAlignment="0" applyProtection="0"/>
    <xf numFmtId="0" fontId="47" fillId="48" borderId="40" applyNumberFormat="0" applyAlignment="0" applyProtection="0"/>
    <xf numFmtId="0" fontId="48" fillId="115" borderId="41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114" borderId="40" applyNumberFormat="0" applyAlignment="0" applyProtection="0"/>
    <xf numFmtId="0" fontId="47" fillId="114" borderId="40" applyNumberFormat="0" applyAlignment="0" applyProtection="0"/>
    <xf numFmtId="0" fontId="47" fillId="114" borderId="40" applyNumberFormat="0" applyAlignment="0" applyProtection="0"/>
    <xf numFmtId="0" fontId="47" fillId="114" borderId="40" applyNumberFormat="0" applyAlignment="0" applyProtection="0"/>
    <xf numFmtId="0" fontId="48" fillId="115" borderId="41" applyNumberFormat="0" applyAlignment="0" applyProtection="0"/>
    <xf numFmtId="0" fontId="48" fillId="115" borderId="41" applyNumberFormat="0" applyAlignment="0" applyProtection="0"/>
    <xf numFmtId="0" fontId="48" fillId="115" borderId="41" applyNumberFormat="0" applyAlignment="0" applyProtection="0"/>
    <xf numFmtId="0" fontId="47" fillId="48" borderId="40" applyNumberFormat="0" applyAlignment="0" applyProtection="0"/>
    <xf numFmtId="0" fontId="47" fillId="114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114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114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114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114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9" borderId="40" applyNumberFormat="0" applyAlignment="0" applyProtection="0"/>
    <xf numFmtId="0" fontId="47" fillId="49" borderId="40" applyNumberFormat="0" applyAlignment="0" applyProtection="0"/>
    <xf numFmtId="0" fontId="47" fillId="49" borderId="40" applyNumberFormat="0" applyAlignment="0" applyProtection="0"/>
    <xf numFmtId="0" fontId="47" fillId="114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47" fillId="48" borderId="40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47" fillId="114" borderId="40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38" fillId="13" borderId="37" applyNumberFormat="0" applyAlignment="0" applyProtection="0"/>
    <xf numFmtId="0" fontId="38" fillId="13" borderId="37" applyNumberFormat="0" applyAlignment="0" applyProtection="0"/>
    <xf numFmtId="0" fontId="38" fillId="13" borderId="37" applyNumberFormat="0" applyAlignment="0" applyProtection="0"/>
    <xf numFmtId="0" fontId="38" fillId="13" borderId="37" applyNumberFormat="0" applyAlignment="0" applyProtection="0"/>
    <xf numFmtId="0" fontId="38" fillId="13" borderId="37" applyNumberFormat="0" applyAlignment="0" applyProtection="0"/>
    <xf numFmtId="0" fontId="49" fillId="102" borderId="42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38" fillId="13" borderId="37" applyNumberFormat="0" applyAlignment="0" applyProtection="0"/>
    <xf numFmtId="0" fontId="38" fillId="13" borderId="37" applyNumberFormat="0" applyAlignment="0" applyProtection="0"/>
    <xf numFmtId="0" fontId="38" fillId="13" borderId="37" applyNumberFormat="0" applyAlignment="0" applyProtection="0"/>
    <xf numFmtId="0" fontId="38" fillId="13" borderId="37" applyNumberFormat="0" applyAlignment="0" applyProtection="0"/>
    <xf numFmtId="0" fontId="38" fillId="13" borderId="37" applyNumberFormat="0" applyAlignment="0" applyProtection="0"/>
    <xf numFmtId="0" fontId="49" fillId="102" borderId="42" applyNumberFormat="0" applyAlignment="0" applyProtection="0"/>
    <xf numFmtId="0" fontId="38" fillId="13" borderId="37" applyNumberFormat="0" applyAlignment="0" applyProtection="0"/>
    <xf numFmtId="0" fontId="49" fillId="102" borderId="42" applyNumberFormat="0" applyAlignment="0" applyProtection="0"/>
    <xf numFmtId="0" fontId="49" fillId="102" borderId="42" applyNumberFormat="0" applyAlignment="0" applyProtection="0"/>
    <xf numFmtId="0" fontId="49" fillId="102" borderId="42" applyNumberFormat="0" applyAlignment="0" applyProtection="0"/>
    <xf numFmtId="0" fontId="49" fillId="102" borderId="42" applyNumberFormat="0" applyAlignment="0" applyProtection="0"/>
    <xf numFmtId="0" fontId="49" fillId="102" borderId="42" applyNumberFormat="0" applyAlignment="0" applyProtection="0"/>
    <xf numFmtId="0" fontId="49" fillId="102" borderId="42" applyNumberFormat="0" applyAlignment="0" applyProtection="0"/>
    <xf numFmtId="0" fontId="49" fillId="102" borderId="42" applyNumberFormat="0" applyAlignment="0" applyProtection="0"/>
    <xf numFmtId="0" fontId="49" fillId="102" borderId="42" applyNumberFormat="0" applyAlignment="0" applyProtection="0"/>
    <xf numFmtId="0" fontId="38" fillId="42" borderId="37" applyNumberFormat="0" applyAlignment="0" applyProtection="0"/>
    <xf numFmtId="0" fontId="49" fillId="102" borderId="42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49" fillId="102" borderId="42" applyNumberFormat="0" applyAlignment="0" applyProtection="0"/>
    <xf numFmtId="0" fontId="38" fillId="42" borderId="37" applyNumberFormat="0" applyAlignment="0" applyProtection="0"/>
    <xf numFmtId="0" fontId="49" fillId="89" borderId="42" applyNumberFormat="0" applyAlignment="0" applyProtection="0"/>
    <xf numFmtId="0" fontId="49" fillId="89" borderId="42" applyNumberFormat="0" applyAlignment="0" applyProtection="0"/>
    <xf numFmtId="0" fontId="49" fillId="102" borderId="42" applyNumberFormat="0" applyAlignment="0" applyProtection="0"/>
    <xf numFmtId="0" fontId="49" fillId="102" borderId="42" applyNumberFormat="0" applyAlignment="0" applyProtection="0"/>
    <xf numFmtId="0" fontId="49" fillId="102" borderId="42" applyNumberFormat="0" applyAlignment="0" applyProtection="0"/>
    <xf numFmtId="0" fontId="49" fillId="102" borderId="42" applyNumberFormat="0" applyAlignment="0" applyProtection="0"/>
    <xf numFmtId="0" fontId="49" fillId="89" borderId="42" applyNumberFormat="0" applyAlignment="0" applyProtection="0"/>
    <xf numFmtId="0" fontId="49" fillId="89" borderId="42" applyNumberFormat="0" applyAlignment="0" applyProtection="0"/>
    <xf numFmtId="0" fontId="49" fillId="89" borderId="42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49" fillId="102" borderId="42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49" fillId="102" borderId="42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49" fillId="102" borderId="42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49" fillId="102" borderId="42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49" fillId="102" borderId="42" applyNumberFormat="0" applyAlignment="0" applyProtection="0"/>
    <xf numFmtId="0" fontId="49" fillId="104" borderId="42" applyNumberFormat="0" applyAlignment="0" applyProtection="0"/>
    <xf numFmtId="0" fontId="49" fillId="104" borderId="42" applyNumberFormat="0" applyAlignment="0" applyProtection="0"/>
    <xf numFmtId="0" fontId="49" fillId="104" borderId="42" applyNumberFormat="0" applyAlignment="0" applyProtection="0"/>
    <xf numFmtId="0" fontId="49" fillId="102" borderId="42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38" fillId="42" borderId="37" applyNumberFormat="0" applyAlignment="0" applyProtection="0"/>
    <xf numFmtId="0" fontId="38" fillId="13" borderId="37" applyNumberFormat="0" applyAlignment="0" applyProtection="0"/>
    <xf numFmtId="0" fontId="38" fillId="13" borderId="37" applyNumberFormat="0" applyAlignment="0" applyProtection="0"/>
    <xf numFmtId="0" fontId="38" fillId="13" borderId="37" applyNumberFormat="0" applyAlignment="0" applyProtection="0"/>
    <xf numFmtId="0" fontId="38" fillId="13" borderId="37" applyNumberFormat="0" applyAlignment="0" applyProtection="0"/>
    <xf numFmtId="0" fontId="38" fillId="13" borderId="37" applyNumberFormat="0" applyAlignment="0" applyProtection="0"/>
    <xf numFmtId="0" fontId="49" fillId="102" borderId="42" applyNumberFormat="0" applyAlignment="0" applyProtection="0"/>
    <xf numFmtId="1" fontId="50" fillId="0" borderId="43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182" fontId="53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2" fillId="0" borderId="0" applyFont="0" applyFill="0" applyBorder="0" applyAlignment="0" applyProtection="0"/>
    <xf numFmtId="18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7" fillId="0" borderId="0" applyFont="0" applyFill="0" applyBorder="0" applyAlignment="0" applyProtection="0">
      <alignment vertical="top"/>
    </xf>
    <xf numFmtId="5" fontId="7" fillId="0" borderId="0" applyFont="0" applyFill="0" applyBorder="0" applyAlignment="0" applyProtection="0">
      <alignment vertical="top"/>
    </xf>
    <xf numFmtId="5" fontId="7" fillId="0" borderId="0" applyFont="0" applyFill="0" applyBorder="0" applyAlignment="0" applyProtection="0">
      <alignment vertical="top"/>
    </xf>
    <xf numFmtId="5" fontId="7" fillId="0" borderId="0" applyFont="0" applyFill="0" applyBorder="0" applyAlignment="0" applyProtection="0">
      <alignment vertical="top"/>
    </xf>
    <xf numFmtId="5" fontId="7" fillId="0" borderId="0" applyFont="0" applyFill="0" applyBorder="0" applyAlignment="0" applyProtection="0">
      <alignment vertical="top"/>
    </xf>
    <xf numFmtId="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0" fontId="54" fillId="0" borderId="0">
      <protection locked="0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15" fontId="7" fillId="0" borderId="0" applyFont="0" applyFill="0" applyBorder="0" applyAlignment="0" applyProtection="0">
      <alignment vertical="top"/>
    </xf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7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6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9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18" borderId="0" applyNumberFormat="0" applyBorder="0" applyAlignment="0" applyProtection="0"/>
    <xf numFmtId="0" fontId="55" fillId="120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42" fillId="96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42" fillId="96" borderId="0" applyNumberFormat="0" applyBorder="0" applyAlignment="0" applyProtection="0"/>
    <xf numFmtId="0" fontId="31" fillId="8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58" fillId="45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58" fillId="45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59" fillId="121" borderId="0" applyNumberFormat="0" applyBorder="0" applyAlignment="0" applyProtection="0"/>
    <xf numFmtId="0" fontId="59" fillId="121" borderId="0" applyNumberFormat="0" applyBorder="0" applyAlignment="0" applyProtection="0"/>
    <xf numFmtId="0" fontId="58" fillId="45" borderId="0" applyNumberFormat="0" applyBorder="0" applyAlignment="0" applyProtection="0"/>
    <xf numFmtId="0" fontId="42" fillId="96" borderId="0" applyNumberFormat="0" applyBorder="0" applyAlignment="0" applyProtection="0"/>
    <xf numFmtId="0" fontId="58" fillId="45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59" fillId="121" borderId="0" applyNumberFormat="0" applyBorder="0" applyAlignment="0" applyProtection="0"/>
    <xf numFmtId="0" fontId="59" fillId="121" borderId="0" applyNumberFormat="0" applyBorder="0" applyAlignment="0" applyProtection="0"/>
    <xf numFmtId="0" fontId="59" fillId="121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42" fillId="96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42" fillId="96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42" fillId="96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42" fillId="96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42" fillId="96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6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42" fillId="96" borderId="0" applyNumberFormat="0" applyBorder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1" fillId="0" borderId="44" applyNumberFormat="0" applyFill="0" applyAlignment="0" applyProtection="0"/>
    <xf numFmtId="0" fontId="61" fillId="0" borderId="44" applyNumberFormat="0" applyFill="0" applyAlignment="0" applyProtection="0"/>
    <xf numFmtId="0" fontId="61" fillId="0" borderId="44" applyNumberFormat="0" applyFill="0" applyAlignment="0" applyProtection="0"/>
    <xf numFmtId="0" fontId="61" fillId="0" borderId="44" applyNumberFormat="0" applyFill="0" applyAlignment="0" applyProtection="0"/>
    <xf numFmtId="0" fontId="61" fillId="0" borderId="44" applyNumberFormat="0" applyFill="0" applyAlignment="0" applyProtection="0"/>
    <xf numFmtId="0" fontId="61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2" fillId="0" borderId="45" applyNumberFormat="0" applyFill="0" applyAlignment="0" applyProtection="0"/>
    <xf numFmtId="0" fontId="60" fillId="0" borderId="44" applyNumberFormat="0" applyFill="0" applyAlignment="0" applyProtection="0"/>
    <xf numFmtId="0" fontId="62" fillId="0" borderId="45" applyNumberFormat="0" applyFill="0" applyAlignment="0" applyProtection="0"/>
    <xf numFmtId="0" fontId="60" fillId="0" borderId="44" applyNumberFormat="0" applyFill="0" applyAlignment="0" applyProtection="0"/>
    <xf numFmtId="0" fontId="62" fillId="0" borderId="45" applyNumberFormat="0" applyFill="0" applyAlignment="0" applyProtection="0"/>
    <xf numFmtId="0" fontId="62" fillId="0" borderId="45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2" fillId="0" borderId="45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2" fillId="0" borderId="45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2" fillId="0" borderId="45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1" fillId="0" borderId="44" applyNumberFormat="0" applyFill="0" applyAlignment="0" applyProtection="0"/>
    <xf numFmtId="0" fontId="61" fillId="0" borderId="44" applyNumberFormat="0" applyFill="0" applyAlignment="0" applyProtection="0"/>
    <xf numFmtId="0" fontId="61" fillId="0" borderId="44" applyNumberFormat="0" applyFill="0" applyAlignment="0" applyProtection="0"/>
    <xf numFmtId="0" fontId="61" fillId="0" borderId="44" applyNumberFormat="0" applyFill="0" applyAlignment="0" applyProtection="0"/>
    <xf numFmtId="0" fontId="61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0" fillId="0" borderId="44" applyNumberFormat="0" applyFill="0" applyAlignment="0" applyProtection="0"/>
    <xf numFmtId="0" fontId="61" fillId="0" borderId="44" applyNumberFormat="0" applyFill="0" applyAlignment="0" applyProtection="0"/>
    <xf numFmtId="0" fontId="61" fillId="0" borderId="44" applyNumberFormat="0" applyFill="0" applyAlignment="0" applyProtection="0"/>
    <xf numFmtId="0" fontId="61" fillId="0" borderId="44" applyNumberFormat="0" applyFill="0" applyAlignment="0" applyProtection="0"/>
    <xf numFmtId="0" fontId="61" fillId="0" borderId="44" applyNumberFormat="0" applyFill="0" applyAlignment="0" applyProtection="0"/>
    <xf numFmtId="0" fontId="61" fillId="0" borderId="44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4" fillId="0" borderId="46" applyNumberFormat="0" applyFill="0" applyAlignment="0" applyProtection="0"/>
    <xf numFmtId="0" fontId="64" fillId="0" borderId="46" applyNumberFormat="0" applyFill="0" applyAlignment="0" applyProtection="0"/>
    <xf numFmtId="0" fontId="64" fillId="0" borderId="46" applyNumberFormat="0" applyFill="0" applyAlignment="0" applyProtection="0"/>
    <xf numFmtId="0" fontId="64" fillId="0" borderId="46" applyNumberFormat="0" applyFill="0" applyAlignment="0" applyProtection="0"/>
    <xf numFmtId="0" fontId="64" fillId="0" borderId="46" applyNumberFormat="0" applyFill="0" applyAlignment="0" applyProtection="0"/>
    <xf numFmtId="0" fontId="65" fillId="0" borderId="47" applyNumberFormat="0" applyFill="0" applyAlignment="0" applyProtection="0"/>
    <xf numFmtId="0" fontId="64" fillId="0" borderId="46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5" fillId="0" borderId="47" applyNumberFormat="0" applyFill="0" applyAlignment="0" applyProtection="0"/>
    <xf numFmtId="0" fontId="63" fillId="0" borderId="46" applyNumberFormat="0" applyFill="0" applyAlignment="0" applyProtection="0"/>
    <xf numFmtId="0" fontId="65" fillId="0" borderId="47" applyNumberFormat="0" applyFill="0" applyAlignment="0" applyProtection="0"/>
    <xf numFmtId="0" fontId="63" fillId="0" borderId="46" applyNumberFormat="0" applyFill="0" applyAlignment="0" applyProtection="0"/>
    <xf numFmtId="0" fontId="65" fillId="0" borderId="48" applyNumberFormat="0" applyFill="0" applyAlignment="0" applyProtection="0"/>
    <xf numFmtId="0" fontId="65" fillId="0" borderId="48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5" fillId="0" borderId="48" applyNumberFormat="0" applyFill="0" applyAlignment="0" applyProtection="0"/>
    <xf numFmtId="0" fontId="65" fillId="0" borderId="48" applyNumberFormat="0" applyFill="0" applyAlignment="0" applyProtection="0"/>
    <xf numFmtId="0" fontId="65" fillId="0" borderId="48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5" fillId="0" borderId="47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5" fillId="0" borderId="47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5" fillId="0" borderId="47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5" fillId="0" borderId="47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5" fillId="0" borderId="47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4" fillId="0" borderId="46" applyNumberFormat="0" applyFill="0" applyAlignment="0" applyProtection="0"/>
    <xf numFmtId="0" fontId="64" fillId="0" borderId="46" applyNumberFormat="0" applyFill="0" applyAlignment="0" applyProtection="0"/>
    <xf numFmtId="0" fontId="64" fillId="0" borderId="46" applyNumberFormat="0" applyFill="0" applyAlignment="0" applyProtection="0"/>
    <xf numFmtId="0" fontId="64" fillId="0" borderId="46" applyNumberFormat="0" applyFill="0" applyAlignment="0" applyProtection="0"/>
    <xf numFmtId="0" fontId="64" fillId="0" borderId="46" applyNumberFormat="0" applyFill="0" applyAlignment="0" applyProtection="0"/>
    <xf numFmtId="0" fontId="65" fillId="0" borderId="47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3" fillId="0" borderId="46" applyNumberFormat="0" applyFill="0" applyAlignment="0" applyProtection="0"/>
    <xf numFmtId="0" fontId="64" fillId="0" borderId="46" applyNumberFormat="0" applyFill="0" applyAlignment="0" applyProtection="0"/>
    <xf numFmtId="0" fontId="64" fillId="0" borderId="46" applyNumberFormat="0" applyFill="0" applyAlignment="0" applyProtection="0"/>
    <xf numFmtId="0" fontId="64" fillId="0" borderId="46" applyNumberFormat="0" applyFill="0" applyAlignment="0" applyProtection="0"/>
    <xf numFmtId="0" fontId="64" fillId="0" borderId="46" applyNumberFormat="0" applyFill="0" applyAlignment="0" applyProtection="0"/>
    <xf numFmtId="0" fontId="64" fillId="0" borderId="46" applyNumberFormat="0" applyFill="0" applyAlignment="0" applyProtection="0"/>
    <xf numFmtId="0" fontId="65" fillId="0" borderId="47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50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50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50" applyNumberFormat="0" applyFill="0" applyAlignment="0" applyProtection="0"/>
    <xf numFmtId="0" fontId="66" fillId="0" borderId="50" applyNumberFormat="0" applyFill="0" applyAlignment="0" applyProtection="0"/>
    <xf numFmtId="0" fontId="66" fillId="0" borderId="50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7" fillId="0" borderId="0">
      <protection locked="0"/>
    </xf>
    <xf numFmtId="0" fontId="67" fillId="0" borderId="0">
      <protection locked="0"/>
    </xf>
    <xf numFmtId="0" fontId="34" fillId="11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34" fillId="11" borderId="34" applyNumberFormat="0" applyAlignment="0" applyProtection="0"/>
    <xf numFmtId="0" fontId="34" fillId="11" borderId="34" applyNumberFormat="0" applyAlignment="0" applyProtection="0"/>
    <xf numFmtId="0" fontId="34" fillId="11" borderId="34" applyNumberFormat="0" applyAlignment="0" applyProtection="0"/>
    <xf numFmtId="0" fontId="34" fillId="11" borderId="34" applyNumberFormat="0" applyAlignment="0" applyProtection="0"/>
    <xf numFmtId="0" fontId="34" fillId="11" borderId="34" applyNumberFormat="0" applyAlignment="0" applyProtection="0"/>
    <xf numFmtId="0" fontId="68" fillId="108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34" fillId="11" borderId="34" applyNumberFormat="0" applyAlignment="0" applyProtection="0"/>
    <xf numFmtId="0" fontId="34" fillId="11" borderId="34" applyNumberFormat="0" applyAlignment="0" applyProtection="0"/>
    <xf numFmtId="0" fontId="34" fillId="11" borderId="34" applyNumberFormat="0" applyAlignment="0" applyProtection="0"/>
    <xf numFmtId="0" fontId="34" fillId="11" borderId="34" applyNumberFormat="0" applyAlignment="0" applyProtection="0"/>
    <xf numFmtId="0" fontId="34" fillId="11" borderId="34" applyNumberFormat="0" applyAlignment="0" applyProtection="0"/>
    <xf numFmtId="0" fontId="68" fillId="108" borderId="40" applyNumberFormat="0" applyAlignment="0" applyProtection="0"/>
    <xf numFmtId="0" fontId="34" fillId="11" borderId="34" applyNumberFormat="0" applyAlignment="0" applyProtection="0"/>
    <xf numFmtId="0" fontId="68" fillId="108" borderId="40" applyNumberFormat="0" applyAlignment="0" applyProtection="0"/>
    <xf numFmtId="0" fontId="68" fillId="108" borderId="40" applyNumberFormat="0" applyAlignment="0" applyProtection="0"/>
    <xf numFmtId="0" fontId="68" fillId="108" borderId="40" applyNumberFormat="0" applyAlignment="0" applyProtection="0"/>
    <xf numFmtId="0" fontId="68" fillId="108" borderId="40" applyNumberFormat="0" applyAlignment="0" applyProtection="0"/>
    <xf numFmtId="0" fontId="68" fillId="108" borderId="40" applyNumberFormat="0" applyAlignment="0" applyProtection="0"/>
    <xf numFmtId="0" fontId="68" fillId="108" borderId="40" applyNumberFormat="0" applyAlignment="0" applyProtection="0"/>
    <xf numFmtId="0" fontId="68" fillId="108" borderId="40" applyNumberFormat="0" applyAlignment="0" applyProtection="0"/>
    <xf numFmtId="0" fontId="68" fillId="108" borderId="40" applyNumberFormat="0" applyAlignment="0" applyProtection="0"/>
    <xf numFmtId="0" fontId="34" fillId="11" borderId="40" applyNumberFormat="0" applyAlignment="0" applyProtection="0"/>
    <xf numFmtId="0" fontId="68" fillId="108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68" fillId="108" borderId="40" applyNumberFormat="0" applyAlignment="0" applyProtection="0"/>
    <xf numFmtId="0" fontId="34" fillId="11" borderId="40" applyNumberFormat="0" applyAlignment="0" applyProtection="0"/>
    <xf numFmtId="0" fontId="68" fillId="108" borderId="41" applyNumberFormat="0" applyAlignment="0" applyProtection="0"/>
    <xf numFmtId="0" fontId="68" fillId="108" borderId="41" applyNumberFormat="0" applyAlignment="0" applyProtection="0"/>
    <xf numFmtId="0" fontId="68" fillId="108" borderId="40" applyNumberFormat="0" applyAlignment="0" applyProtection="0"/>
    <xf numFmtId="0" fontId="68" fillId="108" borderId="40" applyNumberFormat="0" applyAlignment="0" applyProtection="0"/>
    <xf numFmtId="0" fontId="68" fillId="108" borderId="40" applyNumberFormat="0" applyAlignment="0" applyProtection="0"/>
    <xf numFmtId="0" fontId="68" fillId="108" borderId="40" applyNumberFormat="0" applyAlignment="0" applyProtection="0"/>
    <xf numFmtId="0" fontId="68" fillId="108" borderId="41" applyNumberFormat="0" applyAlignment="0" applyProtection="0"/>
    <xf numFmtId="0" fontId="68" fillId="108" borderId="41" applyNumberFormat="0" applyAlignment="0" applyProtection="0"/>
    <xf numFmtId="0" fontId="68" fillId="108" borderId="41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68" fillId="108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68" fillId="108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68" fillId="108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68" fillId="108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68" fillId="108" borderId="40" applyNumberFormat="0" applyAlignment="0" applyProtection="0"/>
    <xf numFmtId="0" fontId="68" fillId="65" borderId="40" applyNumberFormat="0" applyAlignment="0" applyProtection="0"/>
    <xf numFmtId="0" fontId="68" fillId="65" borderId="40" applyNumberFormat="0" applyAlignment="0" applyProtection="0"/>
    <xf numFmtId="0" fontId="68" fillId="65" borderId="40" applyNumberFormat="0" applyAlignment="0" applyProtection="0"/>
    <xf numFmtId="0" fontId="68" fillId="108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34" fillId="11" borderId="40" applyNumberFormat="0" applyAlignment="0" applyProtection="0"/>
    <xf numFmtId="0" fontId="34" fillId="11" borderId="34" applyNumberFormat="0" applyAlignment="0" applyProtection="0"/>
    <xf numFmtId="0" fontId="34" fillId="11" borderId="34" applyNumberFormat="0" applyAlignment="0" applyProtection="0"/>
    <xf numFmtId="0" fontId="34" fillId="11" borderId="34" applyNumberFormat="0" applyAlignment="0" applyProtection="0"/>
    <xf numFmtId="0" fontId="34" fillId="11" borderId="34" applyNumberFormat="0" applyAlignment="0" applyProtection="0"/>
    <xf numFmtId="0" fontId="34" fillId="11" borderId="34" applyNumberFormat="0" applyAlignment="0" applyProtection="0"/>
    <xf numFmtId="0" fontId="68" fillId="108" borderId="40" applyNumberFormat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69" fillId="0" borderId="52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69" fillId="0" borderId="52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52" applyNumberFormat="0" applyFill="0" applyAlignment="0" applyProtection="0"/>
    <xf numFmtId="0" fontId="69" fillId="0" borderId="52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59" fillId="0" borderId="51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59" fillId="108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59" fillId="108" borderId="0" applyNumberFormat="0" applyBorder="0" applyAlignment="0" applyProtection="0"/>
    <xf numFmtId="0" fontId="33" fillId="10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25" fillId="108" borderId="0" applyNumberFormat="0" applyBorder="0" applyAlignment="0" applyProtection="0"/>
    <xf numFmtId="0" fontId="59" fillId="108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59" fillId="108" borderId="0" applyNumberFormat="0" applyBorder="0" applyAlignment="0" applyProtection="0"/>
    <xf numFmtId="0" fontId="45" fillId="66" borderId="0" applyNumberFormat="0" applyBorder="0" applyAlignment="0" applyProtection="0"/>
    <xf numFmtId="0" fontId="25" fillId="108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59" fillId="108" borderId="0" applyNumberFormat="0" applyBorder="0" applyAlignment="0" applyProtection="0"/>
    <xf numFmtId="0" fontId="25" fillId="108" borderId="0" applyNumberFormat="0" applyBorder="0" applyAlignment="0" applyProtection="0"/>
    <xf numFmtId="0" fontId="25" fillId="108" borderId="0" applyNumberFormat="0" applyBorder="0" applyAlignment="0" applyProtection="0"/>
    <xf numFmtId="0" fontId="25" fillId="108" borderId="0" applyNumberFormat="0" applyBorder="0" applyAlignment="0" applyProtection="0"/>
    <xf numFmtId="0" fontId="45" fillId="66" borderId="0" applyNumberFormat="0" applyBorder="0" applyAlignment="0" applyProtection="0"/>
    <xf numFmtId="0" fontId="59" fillId="108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59" fillId="108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59" fillId="108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59" fillId="108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59" fillId="108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59" fillId="65" borderId="0" applyNumberFormat="0" applyBorder="0" applyAlignment="0" applyProtection="0"/>
    <xf numFmtId="0" fontId="59" fillId="65" borderId="0" applyNumberFormat="0" applyBorder="0" applyAlignment="0" applyProtection="0"/>
    <xf numFmtId="0" fontId="59" fillId="65" borderId="0" applyNumberFormat="0" applyBorder="0" applyAlignment="0" applyProtection="0"/>
    <xf numFmtId="0" fontId="59" fillId="108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59" fillId="108" borderId="0" applyNumberFormat="0" applyBorder="0" applyAlignment="0" applyProtection="0"/>
    <xf numFmtId="184" fontId="19" fillId="0" borderId="0"/>
    <xf numFmtId="184" fontId="19" fillId="0" borderId="0"/>
    <xf numFmtId="184" fontId="19" fillId="0" borderId="0"/>
    <xf numFmtId="184" fontId="19" fillId="0" borderId="0"/>
    <xf numFmtId="184" fontId="19" fillId="0" borderId="0"/>
    <xf numFmtId="184" fontId="19" fillId="0" borderId="0"/>
    <xf numFmtId="184" fontId="19" fillId="0" borderId="0"/>
    <xf numFmtId="185" fontId="19" fillId="0" borderId="0"/>
    <xf numFmtId="185" fontId="19" fillId="0" borderId="0"/>
    <xf numFmtId="185" fontId="19" fillId="0" borderId="0"/>
    <xf numFmtId="185" fontId="19" fillId="0" borderId="0"/>
    <xf numFmtId="185" fontId="19" fillId="0" borderId="0"/>
    <xf numFmtId="185" fontId="19" fillId="0" borderId="0"/>
    <xf numFmtId="185" fontId="19" fillId="0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22" borderId="0"/>
    <xf numFmtId="0" fontId="19" fillId="122" borderId="0"/>
    <xf numFmtId="0" fontId="52" fillId="0" borderId="0"/>
    <xf numFmtId="0" fontId="3" fillId="0" borderId="0"/>
    <xf numFmtId="0" fontId="19" fillId="122" borderId="0"/>
    <xf numFmtId="0" fontId="7" fillId="0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3" fillId="0" borderId="0"/>
    <xf numFmtId="0" fontId="19" fillId="122" borderId="0"/>
    <xf numFmtId="0" fontId="3" fillId="0" borderId="0"/>
    <xf numFmtId="0" fontId="3" fillId="0" borderId="0"/>
    <xf numFmtId="0" fontId="52" fillId="0" borderId="0"/>
    <xf numFmtId="0" fontId="7" fillId="0" borderId="0"/>
    <xf numFmtId="0" fontId="19" fillId="122" borderId="0"/>
    <xf numFmtId="0" fontId="19" fillId="122" borderId="0"/>
    <xf numFmtId="0" fontId="19" fillId="122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22" borderId="0"/>
    <xf numFmtId="0" fontId="19" fillId="122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22" borderId="0"/>
    <xf numFmtId="0" fontId="7" fillId="0" borderId="0"/>
    <xf numFmtId="0" fontId="3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22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22" borderId="0"/>
    <xf numFmtId="0" fontId="7" fillId="0" borderId="0"/>
    <xf numFmtId="0" fontId="19" fillId="122" borderId="0"/>
    <xf numFmtId="0" fontId="7" fillId="0" borderId="0"/>
    <xf numFmtId="0" fontId="7" fillId="0" borderId="0"/>
    <xf numFmtId="0" fontId="19" fillId="122" borderId="0"/>
    <xf numFmtId="0" fontId="7" fillId="0" borderId="0"/>
    <xf numFmtId="0" fontId="7" fillId="0" borderId="0"/>
    <xf numFmtId="0" fontId="19" fillId="122" borderId="0"/>
    <xf numFmtId="0" fontId="7" fillId="0" borderId="0"/>
    <xf numFmtId="0" fontId="7" fillId="0" borderId="0"/>
    <xf numFmtId="0" fontId="19" fillId="122" borderId="0"/>
    <xf numFmtId="0" fontId="7" fillId="0" borderId="0"/>
    <xf numFmtId="0" fontId="7" fillId="0" borderId="0"/>
    <xf numFmtId="0" fontId="19" fillId="122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7" fillId="0" borderId="0"/>
    <xf numFmtId="0" fontId="7" fillId="0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19" fillId="122" borderId="0"/>
    <xf numFmtId="0" fontId="7" fillId="0" borderId="0"/>
    <xf numFmtId="0" fontId="7" fillId="0" borderId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42" fillId="14" borderId="53" applyNumberFormat="0" applyFont="0" applyAlignment="0" applyProtection="0"/>
    <xf numFmtId="0" fontId="19" fillId="106" borderId="40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19" fillId="106" borderId="40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7" borderId="40" applyNumberFormat="0" applyFont="0" applyAlignment="0" applyProtection="0"/>
    <xf numFmtId="0" fontId="19" fillId="107" borderId="40" applyNumberFormat="0" applyFont="0" applyAlignment="0" applyProtection="0"/>
    <xf numFmtId="0" fontId="19" fillId="107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38" applyNumberFormat="0" applyFont="0" applyAlignment="0" applyProtection="0"/>
    <xf numFmtId="0" fontId="42" fillId="14" borderId="38" applyNumberFormat="0" applyFont="0" applyAlignment="0" applyProtection="0"/>
    <xf numFmtId="0" fontId="42" fillId="14" borderId="38" applyNumberFormat="0" applyFont="0" applyAlignment="0" applyProtection="0"/>
    <xf numFmtId="0" fontId="42" fillId="14" borderId="38" applyNumberFormat="0" applyFont="0" applyAlignment="0" applyProtection="0"/>
    <xf numFmtId="0" fontId="42" fillId="14" borderId="38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7" fillId="106" borderId="54" applyNumberFormat="0" applyFont="0" applyAlignment="0" applyProtection="0"/>
    <xf numFmtId="0" fontId="7" fillId="106" borderId="54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38" applyNumberFormat="0" applyFont="0" applyAlignment="0" applyProtection="0"/>
    <xf numFmtId="0" fontId="42" fillId="14" borderId="38" applyNumberFormat="0" applyFont="0" applyAlignment="0" applyProtection="0"/>
    <xf numFmtId="0" fontId="42" fillId="14" borderId="38" applyNumberFormat="0" applyFont="0" applyAlignment="0" applyProtection="0"/>
    <xf numFmtId="0" fontId="42" fillId="14" borderId="38" applyNumberFormat="0" applyFont="0" applyAlignment="0" applyProtection="0"/>
    <xf numFmtId="0" fontId="42" fillId="14" borderId="38" applyNumberFormat="0" applyFont="0" applyAlignment="0" applyProtection="0"/>
    <xf numFmtId="0" fontId="19" fillId="106" borderId="40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38" applyNumberFormat="0" applyFont="0" applyAlignment="0" applyProtection="0"/>
    <xf numFmtId="0" fontId="42" fillId="14" borderId="38" applyNumberFormat="0" applyFont="0" applyAlignment="0" applyProtection="0"/>
    <xf numFmtId="0" fontId="42" fillId="14" borderId="38" applyNumberFormat="0" applyFont="0" applyAlignment="0" applyProtection="0"/>
    <xf numFmtId="0" fontId="42" fillId="14" borderId="38" applyNumberFormat="0" applyFont="0" applyAlignment="0" applyProtection="0"/>
    <xf numFmtId="0" fontId="42" fillId="14" borderId="38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7" fillId="106" borderId="54" applyNumberFormat="0" applyFont="0" applyAlignment="0" applyProtection="0"/>
    <xf numFmtId="0" fontId="7" fillId="106" borderId="54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7" fillId="106" borderId="54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3" fillId="14" borderId="38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42" fillId="14" borderId="53" applyNumberFormat="0" applyFont="0" applyAlignment="0" applyProtection="0"/>
    <xf numFmtId="0" fontId="19" fillId="106" borderId="40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19" fillId="106" borderId="40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19" fillId="106" borderId="40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19" fillId="106" borderId="40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42" fillId="14" borderId="53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19" fillId="106" borderId="40" applyNumberFormat="0" applyFon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35" fillId="12" borderId="35" applyNumberFormat="0" applyAlignment="0" applyProtection="0"/>
    <xf numFmtId="0" fontId="35" fillId="12" borderId="35" applyNumberFormat="0" applyAlignment="0" applyProtection="0"/>
    <xf numFmtId="0" fontId="35" fillId="12" borderId="35" applyNumberFormat="0" applyAlignment="0" applyProtection="0"/>
    <xf numFmtId="0" fontId="35" fillId="12" borderId="35" applyNumberFormat="0" applyAlignment="0" applyProtection="0"/>
    <xf numFmtId="0" fontId="35" fillId="12" borderId="35" applyNumberFormat="0" applyAlignment="0" applyProtection="0"/>
    <xf numFmtId="0" fontId="70" fillId="114" borderId="5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35" fillId="12" borderId="35" applyNumberFormat="0" applyAlignment="0" applyProtection="0"/>
    <xf numFmtId="0" fontId="35" fillId="12" borderId="35" applyNumberFormat="0" applyAlignment="0" applyProtection="0"/>
    <xf numFmtId="0" fontId="35" fillId="12" borderId="35" applyNumberFormat="0" applyAlignment="0" applyProtection="0"/>
    <xf numFmtId="0" fontId="35" fillId="12" borderId="35" applyNumberFormat="0" applyAlignment="0" applyProtection="0"/>
    <xf numFmtId="0" fontId="35" fillId="12" borderId="35" applyNumberFormat="0" applyAlignment="0" applyProtection="0"/>
    <xf numFmtId="0" fontId="70" fillId="114" borderId="55" applyNumberFormat="0" applyAlignment="0" applyProtection="0"/>
    <xf numFmtId="0" fontId="35" fillId="12" borderId="35" applyNumberFormat="0" applyAlignment="0" applyProtection="0"/>
    <xf numFmtId="0" fontId="70" fillId="114" borderId="55" applyNumberFormat="0" applyAlignment="0" applyProtection="0"/>
    <xf numFmtId="0" fontId="70" fillId="114" borderId="55" applyNumberFormat="0" applyAlignment="0" applyProtection="0"/>
    <xf numFmtId="0" fontId="70" fillId="114" borderId="55" applyNumberFormat="0" applyAlignment="0" applyProtection="0"/>
    <xf numFmtId="0" fontId="70" fillId="114" borderId="55" applyNumberFormat="0" applyAlignment="0" applyProtection="0"/>
    <xf numFmtId="0" fontId="70" fillId="114" borderId="55" applyNumberFormat="0" applyAlignment="0" applyProtection="0"/>
    <xf numFmtId="0" fontId="70" fillId="114" borderId="55" applyNumberFormat="0" applyAlignment="0" applyProtection="0"/>
    <xf numFmtId="0" fontId="70" fillId="114" borderId="55" applyNumberFormat="0" applyAlignment="0" applyProtection="0"/>
    <xf numFmtId="0" fontId="70" fillId="114" borderId="55" applyNumberFormat="0" applyAlignment="0" applyProtection="0"/>
    <xf numFmtId="0" fontId="35" fillId="48" borderId="35" applyNumberFormat="0" applyAlignment="0" applyProtection="0"/>
    <xf numFmtId="0" fontId="70" fillId="114" borderId="5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70" fillId="114" borderId="55" applyNumberFormat="0" applyAlignment="0" applyProtection="0"/>
    <xf numFmtId="0" fontId="35" fillId="48" borderId="35" applyNumberFormat="0" applyAlignment="0" applyProtection="0"/>
    <xf numFmtId="0" fontId="70" fillId="115" borderId="55" applyNumberFormat="0" applyAlignment="0" applyProtection="0"/>
    <xf numFmtId="0" fontId="70" fillId="115" borderId="55" applyNumberFormat="0" applyAlignment="0" applyProtection="0"/>
    <xf numFmtId="0" fontId="70" fillId="114" borderId="55" applyNumberFormat="0" applyAlignment="0" applyProtection="0"/>
    <xf numFmtId="0" fontId="70" fillId="114" borderId="55" applyNumberFormat="0" applyAlignment="0" applyProtection="0"/>
    <xf numFmtId="0" fontId="70" fillId="114" borderId="55" applyNumberFormat="0" applyAlignment="0" applyProtection="0"/>
    <xf numFmtId="0" fontId="70" fillId="114" borderId="55" applyNumberFormat="0" applyAlignment="0" applyProtection="0"/>
    <xf numFmtId="0" fontId="70" fillId="115" borderId="55" applyNumberFormat="0" applyAlignment="0" applyProtection="0"/>
    <xf numFmtId="0" fontId="70" fillId="115" borderId="55" applyNumberFormat="0" applyAlignment="0" applyProtection="0"/>
    <xf numFmtId="0" fontId="70" fillId="115" borderId="5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70" fillId="114" borderId="5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70" fillId="114" borderId="5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70" fillId="114" borderId="5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70" fillId="114" borderId="5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70" fillId="114" borderId="55" applyNumberFormat="0" applyAlignment="0" applyProtection="0"/>
    <xf numFmtId="0" fontId="70" fillId="49" borderId="55" applyNumberFormat="0" applyAlignment="0" applyProtection="0"/>
    <xf numFmtId="0" fontId="70" fillId="49" borderId="55" applyNumberFormat="0" applyAlignment="0" applyProtection="0"/>
    <xf numFmtId="0" fontId="70" fillId="49" borderId="55" applyNumberFormat="0" applyAlignment="0" applyProtection="0"/>
    <xf numFmtId="0" fontId="70" fillId="114" borderId="5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35" fillId="48" borderId="35" applyNumberFormat="0" applyAlignment="0" applyProtection="0"/>
    <xf numFmtId="0" fontId="35" fillId="12" borderId="35" applyNumberFormat="0" applyAlignment="0" applyProtection="0"/>
    <xf numFmtId="0" fontId="35" fillId="12" borderId="35" applyNumberFormat="0" applyAlignment="0" applyProtection="0"/>
    <xf numFmtId="0" fontId="35" fillId="12" borderId="35" applyNumberFormat="0" applyAlignment="0" applyProtection="0"/>
    <xf numFmtId="0" fontId="35" fillId="12" borderId="35" applyNumberFormat="0" applyAlignment="0" applyProtection="0"/>
    <xf numFmtId="0" fontId="35" fillId="12" borderId="35" applyNumberFormat="0" applyAlignment="0" applyProtection="0"/>
    <xf numFmtId="0" fontId="70" fillId="114" borderId="55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86" fontId="71" fillId="0" borderId="0"/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72" fillId="4" borderId="56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2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19" fillId="4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4" fillId="4" borderId="56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73" fillId="2" borderId="40" applyNumberFormat="0" applyProtection="0">
      <alignment vertical="center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72" fillId="4" borderId="56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4" fontId="19" fillId="2" borderId="40" applyNumberFormat="0" applyProtection="0">
      <alignment horizontal="left" vertical="center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2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2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0" fontId="75" fillId="4" borderId="56" applyNumberFormat="0" applyProtection="0">
      <alignment horizontal="left" vertical="top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72" fillId="42" borderId="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123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76" fillId="44" borderId="56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88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4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76" fillId="57" borderId="56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5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4" borderId="40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76" fillId="126" borderId="56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7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126" borderId="57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76" fillId="66" borderId="56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72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66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76" fillId="73" borderId="56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128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73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76" fillId="129" borderId="56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12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129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76" fillId="58" borderId="56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9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58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76" fillId="45" borderId="56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6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45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76" fillId="60" borderId="56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97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60" borderId="40" applyNumberFormat="0" applyProtection="0">
      <alignment horizontal="right" vertical="center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72" fillId="130" borderId="58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19" fillId="130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4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4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6" fillId="39" borderId="0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4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4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7" fillId="63" borderId="0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7" fillId="63" borderId="57" applyNumberFormat="0" applyProtection="0">
      <alignment horizontal="left" vertical="center" indent="1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76" fillId="42" borderId="56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3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42" borderId="40" applyNumberFormat="0" applyProtection="0">
      <alignment horizontal="right" vertical="center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76" fillId="39" borderId="0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76" fillId="39" borderId="0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76" fillId="39" borderId="0" applyNumberFormat="0" applyProtection="0">
      <alignment horizontal="left" vertical="center" indent="1"/>
    </xf>
    <xf numFmtId="4" fontId="76" fillId="39" borderId="0" applyNumberFormat="0" applyProtection="0">
      <alignment horizontal="left" vertical="center" indent="1"/>
    </xf>
    <xf numFmtId="4" fontId="76" fillId="39" borderId="0" applyNumberFormat="0" applyProtection="0">
      <alignment horizontal="left" vertical="center" indent="1"/>
    </xf>
    <xf numFmtId="4" fontId="76" fillId="39" borderId="0" applyNumberFormat="0" applyProtection="0">
      <alignment horizontal="left" vertical="center" indent="1"/>
    </xf>
    <xf numFmtId="4" fontId="76" fillId="39" borderId="0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76" fillId="39" borderId="0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76" fillId="39" borderId="0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76" fillId="39" borderId="0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76" fillId="39" borderId="0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76" fillId="39" borderId="0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76" fillId="39" borderId="0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76" fillId="39" borderId="0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76" fillId="39" borderId="0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40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39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76" fillId="42" borderId="0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76" fillId="42" borderId="0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76" fillId="42" borderId="0" applyNumberFormat="0" applyProtection="0">
      <alignment horizontal="left" vertical="center" indent="1"/>
    </xf>
    <xf numFmtId="4" fontId="76" fillId="42" borderId="0" applyNumberFormat="0" applyProtection="0">
      <alignment horizontal="left" vertical="center" indent="1"/>
    </xf>
    <xf numFmtId="4" fontId="76" fillId="42" borderId="0" applyNumberFormat="0" applyProtection="0">
      <alignment horizontal="left" vertical="center" indent="1"/>
    </xf>
    <xf numFmtId="4" fontId="76" fillId="42" borderId="0" applyNumberFormat="0" applyProtection="0">
      <alignment horizontal="left" vertical="center" indent="1"/>
    </xf>
    <xf numFmtId="4" fontId="76" fillId="42" borderId="0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76" fillId="42" borderId="0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76" fillId="42" borderId="0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76" fillId="42" borderId="0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76" fillId="42" borderId="0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76" fillId="42" borderId="0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76" fillId="42" borderId="0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76" fillId="42" borderId="0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76" fillId="42" borderId="0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3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4" fontId="19" fillId="42" borderId="57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7" fillId="63" borderId="56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5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54" borderId="40" applyNumberFormat="0" applyProtection="0">
      <alignment horizontal="left" vertical="center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4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7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63" borderId="56" applyNumberFormat="0" applyProtection="0">
      <alignment horizontal="left" vertical="top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7" fillId="42" borderId="56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2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131" borderId="40" applyNumberFormat="0" applyProtection="0">
      <alignment horizontal="left" vertical="center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3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7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42" borderId="56" applyNumberFormat="0" applyProtection="0">
      <alignment horizontal="left" vertical="top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7" fillId="56" borderId="56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133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40" applyNumberFormat="0" applyProtection="0">
      <alignment horizontal="left" vertical="center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133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7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56" borderId="56" applyNumberFormat="0" applyProtection="0">
      <alignment horizontal="left" vertical="top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7" fillId="39" borderId="56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40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40" applyNumberFormat="0" applyProtection="0">
      <alignment horizontal="left" vertical="center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40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7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39" borderId="56" applyNumberFormat="0" applyProtection="0">
      <alignment horizontal="left" vertical="top" indent="1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5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7" fillId="134" borderId="60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7" fillId="134" borderId="60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19" fillId="134" borderId="59" applyNumberFormat="0">
      <protection locked="0"/>
    </xf>
    <xf numFmtId="0" fontId="78" fillId="63" borderId="61" applyBorder="0"/>
    <xf numFmtId="0" fontId="78" fillId="64" borderId="61" applyBorder="0"/>
    <xf numFmtId="0" fontId="78" fillId="63" borderId="61" applyBorder="0"/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07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6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9" fillId="136" borderId="56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80" fillId="136" borderId="56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3" fillId="107" borderId="60" applyNumberFormat="0" applyProtection="0">
      <alignment vertical="center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5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6" fillId="136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4" fontId="79" fillId="54" borderId="56" applyNumberFormat="0" applyProtection="0">
      <alignment horizontal="left" vertical="center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07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6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0" fontId="79" fillId="136" borderId="56" applyNumberFormat="0" applyProtection="0">
      <alignment horizontal="left" vertical="top" indent="1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76" fillId="39" borderId="56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19" fillId="0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80" fillId="39" borderId="56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73" fillId="135" borderId="40" applyNumberFormat="0" applyProtection="0">
      <alignment horizontal="right" vertical="center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76" fillId="42" borderId="56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123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4" fontId="19" fillId="71" borderId="40" applyNumberFormat="0" applyProtection="0">
      <alignment horizontal="left" vertical="center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3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6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0" fontId="79" fillId="42" borderId="56" applyNumberFormat="0" applyProtection="0">
      <alignment horizontal="left" vertical="top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8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2" fillId="137" borderId="0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4" fontId="81" fillId="137" borderId="57" applyNumberFormat="0" applyProtection="0">
      <alignment horizontal="left" vertical="center" indent="1"/>
    </xf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40" borderId="60"/>
    <xf numFmtId="0" fontId="19" fillId="140" borderId="60"/>
    <xf numFmtId="0" fontId="19" fillId="140" borderId="60"/>
    <xf numFmtId="0" fontId="19" fillId="140" borderId="60"/>
    <xf numFmtId="0" fontId="19" fillId="140" borderId="60"/>
    <xf numFmtId="0" fontId="19" fillId="140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0" fontId="19" fillId="139" borderId="60"/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5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4" fillId="39" borderId="56" applyNumberFormat="0" applyProtection="0">
      <alignment horizontal="right" vertical="center"/>
    </xf>
    <xf numFmtId="4" fontId="84" fillId="39" borderId="56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4" fontId="83" fillId="134" borderId="40" applyNumberFormat="0" applyProtection="0">
      <alignment horizontal="right" vertical="center"/>
    </xf>
    <xf numFmtId="0" fontId="85" fillId="0" borderId="0" applyNumberFormat="0" applyFill="0" applyBorder="0" applyAlignment="0" applyProtection="0"/>
    <xf numFmtId="186" fontId="86" fillId="0" borderId="0"/>
    <xf numFmtId="182" fontId="87" fillId="0" borderId="0"/>
    <xf numFmtId="186" fontId="88" fillId="92" borderId="0" applyFont="0" applyBorder="0" applyAlignment="0">
      <alignment vertical="top" wrapText="1"/>
    </xf>
    <xf numFmtId="186" fontId="89" fillId="92" borderId="62" applyBorder="0">
      <alignment horizontal="right" vertical="top" wrapText="1"/>
    </xf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182" fontId="90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55" fillId="0" borderId="64" applyNumberFormat="0" applyFill="0" applyAlignment="0" applyProtection="0"/>
    <xf numFmtId="0" fontId="91" fillId="0" borderId="63" applyNumberFormat="0" applyFill="0" applyAlignment="0" applyProtection="0"/>
    <xf numFmtId="0" fontId="55" fillId="0" borderId="64" applyNumberFormat="0" applyFill="0" applyAlignment="0" applyProtection="0"/>
    <xf numFmtId="0" fontId="91" fillId="0" borderId="63" applyNumberFormat="0" applyFill="0" applyAlignment="0" applyProtection="0"/>
    <xf numFmtId="0" fontId="55" fillId="0" borderId="64" applyNumberFormat="0" applyFill="0" applyAlignment="0" applyProtection="0"/>
    <xf numFmtId="0" fontId="55" fillId="0" borderId="64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55" fillId="0" borderId="64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55" fillId="0" borderId="64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55" fillId="0" borderId="64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0" fontId="91" fillId="0" borderId="63" applyNumberFormat="0" applyFill="0" applyAlignment="0" applyProtection="0"/>
    <xf numFmtId="186" fontId="50" fillId="0" borderId="65" applyAlignment="0">
      <alignment horizontal="right"/>
    </xf>
    <xf numFmtId="184" fontId="50" fillId="0" borderId="65" applyAlignment="0"/>
    <xf numFmtId="185" fontId="50" fillId="0" borderId="65" applyAlignment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4" fillId="0" borderId="65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3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2" fillId="9" borderId="0" applyNumberFormat="0" applyBorder="0" applyAlignment="0" applyProtection="0"/>
    <xf numFmtId="0" fontId="33" fillId="10" borderId="0" applyNumberFormat="0" applyBorder="0" applyAlignment="0" applyProtection="0"/>
    <xf numFmtId="0" fontId="34" fillId="11" borderId="34" applyNumberFormat="0" applyAlignment="0" applyProtection="0"/>
    <xf numFmtId="0" fontId="35" fillId="12" borderId="35" applyNumberFormat="0" applyAlignment="0" applyProtection="0"/>
    <xf numFmtId="0" fontId="36" fillId="12" borderId="34" applyNumberFormat="0" applyAlignment="0" applyProtection="0"/>
    <xf numFmtId="0" fontId="37" fillId="0" borderId="36" applyNumberFormat="0" applyFill="0" applyAlignment="0" applyProtection="0"/>
    <xf numFmtId="0" fontId="38" fillId="13" borderId="37" applyNumberFormat="0" applyAlignment="0" applyProtection="0"/>
    <xf numFmtId="0" fontId="39" fillId="0" borderId="0" applyNumberFormat="0" applyFill="0" applyBorder="0" applyAlignment="0" applyProtection="0"/>
    <xf numFmtId="0" fontId="4" fillId="14" borderId="38" applyNumberFormat="0" applyFont="0" applyAlignment="0" applyProtection="0"/>
    <xf numFmtId="0" fontId="40" fillId="0" borderId="0" applyNumberFormat="0" applyFill="0" applyBorder="0" applyAlignment="0" applyProtection="0"/>
    <xf numFmtId="0" fontId="4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41" fillId="38" borderId="0" applyNumberFormat="0" applyBorder="0" applyAlignment="0" applyProtection="0"/>
    <xf numFmtId="0" fontId="4" fillId="0" borderId="0">
      <alignment vertical="top"/>
    </xf>
    <xf numFmtId="4" fontId="4" fillId="0" borderId="0" applyFill="0" applyBorder="0" applyProtection="0">
      <alignment horizontal="right" vertical="top"/>
    </xf>
    <xf numFmtId="3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5" fontId="4" fillId="0" borderId="0">
      <alignment vertical="top"/>
    </xf>
    <xf numFmtId="5" fontId="4" fillId="0" borderId="0" applyFont="0" applyFill="0" applyBorder="0" applyAlignment="0" applyProtection="0">
      <alignment vertical="top"/>
    </xf>
    <xf numFmtId="0" fontId="4" fillId="0" borderId="0">
      <alignment vertical="top"/>
    </xf>
    <xf numFmtId="15" fontId="4" fillId="0" borderId="0" applyFont="0" applyFill="0" applyBorder="0" applyAlignment="0" applyProtection="0">
      <alignment vertical="top"/>
    </xf>
    <xf numFmtId="2" fontId="4" fillId="0" borderId="0" applyFon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>
      <alignment horizontal="right" vertical="top"/>
    </xf>
    <xf numFmtId="0" fontId="4" fillId="0" borderId="0">
      <alignment vertical="top"/>
    </xf>
    <xf numFmtId="0" fontId="7" fillId="0" borderId="0">
      <alignment vertical="top"/>
    </xf>
    <xf numFmtId="3" fontId="4" fillId="0" borderId="1">
      <alignment vertical="top"/>
    </xf>
    <xf numFmtId="10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0" fontId="4" fillId="0" borderId="2" applyNumberFormat="0" applyFont="0" applyFill="0" applyAlignment="0" applyProtection="0">
      <alignment vertical="top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39" borderId="0" applyNumberFormat="0" applyBorder="0" applyAlignment="0" applyProtection="0"/>
    <xf numFmtId="0" fontId="2" fillId="16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2" borderId="0" applyNumberFormat="0" applyBorder="0" applyAlignment="0" applyProtection="0"/>
    <xf numFmtId="0" fontId="2" fillId="20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24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2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39" borderId="0" applyNumberFormat="0" applyBorder="0" applyAlignment="0" applyProtection="0"/>
    <xf numFmtId="0" fontId="2" fillId="3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54" borderId="0" applyNumberFormat="0" applyBorder="0" applyAlignment="0" applyProtection="0"/>
    <xf numFmtId="0" fontId="2" fillId="1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58" borderId="0" applyNumberFormat="0" applyBorder="0" applyAlignment="0" applyProtection="0"/>
    <xf numFmtId="0" fontId="2" fillId="25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61" borderId="0" applyNumberFormat="0" applyBorder="0" applyAlignment="0" applyProtection="0"/>
    <xf numFmtId="0" fontId="2" fillId="29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3" borderId="0" applyNumberFormat="0" applyBorder="0" applyAlignment="0" applyProtection="0"/>
    <xf numFmtId="0" fontId="2" fillId="3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53" borderId="0" applyNumberFormat="0" applyBorder="0" applyAlignment="0" applyProtection="0"/>
    <xf numFmtId="0" fontId="2" fillId="37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9" fontId="9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9" fontId="4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0" fontId="96" fillId="35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0" fontId="9" fillId="0" borderId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0" fontId="4" fillId="0" borderId="0"/>
    <xf numFmtId="43" fontId="9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0" fontId="2" fillId="0" borderId="0"/>
    <xf numFmtId="7" fontId="4" fillId="0" borderId="0" applyFont="0" applyFill="0" applyBorder="0" applyAlignment="0" applyProtection="0">
      <alignment vertical="top"/>
    </xf>
    <xf numFmtId="0" fontId="2" fillId="0" borderId="0"/>
    <xf numFmtId="0" fontId="4" fillId="0" borderId="0"/>
    <xf numFmtId="0" fontId="98" fillId="0" borderId="46" applyNumberFormat="0" applyFill="0" applyAlignment="0" applyProtection="0"/>
    <xf numFmtId="0" fontId="4" fillId="17" borderId="0" applyNumberFormat="0" applyBorder="0" applyAlignment="0" applyProtection="0"/>
    <xf numFmtId="0" fontId="96" fillId="18" borderId="0" applyNumberFormat="0" applyBorder="0" applyAlignment="0" applyProtection="0"/>
    <xf numFmtId="0" fontId="96" fillId="19" borderId="0" applyNumberFormat="0" applyBorder="0" applyAlignment="0" applyProtection="0"/>
    <xf numFmtId="0" fontId="4" fillId="20" borderId="0" applyNumberFormat="0" applyBorder="0" applyAlignment="0" applyProtection="0"/>
    <xf numFmtId="0" fontId="96" fillId="26" borderId="0" applyNumberFormat="0" applyBorder="0" applyAlignment="0" applyProtection="0"/>
    <xf numFmtId="0" fontId="96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" fillId="0" borderId="0"/>
    <xf numFmtId="0" fontId="7" fillId="0" borderId="0">
      <alignment vertical="top"/>
    </xf>
    <xf numFmtId="4" fontId="7" fillId="0" borderId="0" applyFill="0" applyBorder="0" applyProtection="0">
      <alignment horizontal="right" vertical="top"/>
    </xf>
    <xf numFmtId="0" fontId="7" fillId="0" borderId="0" applyFont="0" applyFill="0" applyBorder="0" applyAlignment="0" applyProtection="0">
      <alignment vertical="top"/>
    </xf>
    <xf numFmtId="5" fontId="7" fillId="0" borderId="0">
      <alignment vertical="top"/>
    </xf>
    <xf numFmtId="0" fontId="109" fillId="0" borderId="0">
      <alignment vertical="top"/>
    </xf>
    <xf numFmtId="9" fontId="7" fillId="0" borderId="0" applyFill="0" applyBorder="0" applyAlignment="0" applyProtection="0">
      <alignment vertical="top"/>
    </xf>
    <xf numFmtId="10" fontId="7" fillId="0" borderId="0" applyFont="0" applyFill="0" applyBorder="0" applyAlignment="0" applyProtection="0">
      <alignment vertical="top"/>
    </xf>
    <xf numFmtId="0" fontId="7" fillId="0" borderId="0" applyFont="0" applyFill="0" applyBorder="0" applyAlignment="0" applyProtection="0">
      <alignment vertical="top"/>
    </xf>
    <xf numFmtId="0" fontId="12" fillId="0" borderId="0"/>
    <xf numFmtId="9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10" fillId="0" borderId="0"/>
    <xf numFmtId="0" fontId="2" fillId="0" borderId="0"/>
    <xf numFmtId="9" fontId="110" fillId="0" borderId="0" applyFont="0" applyFill="0" applyBorder="0" applyAlignment="0" applyProtection="0"/>
    <xf numFmtId="0" fontId="2" fillId="0" borderId="0"/>
    <xf numFmtId="9" fontId="52" fillId="0" borderId="0" applyFont="0" applyFill="0" applyBorder="0" applyAlignment="0" applyProtection="0"/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10" fillId="0" borderId="0"/>
    <xf numFmtId="167" fontId="110" fillId="0" borderId="0"/>
    <xf numFmtId="167" fontId="110" fillId="0" borderId="0"/>
    <xf numFmtId="167" fontId="1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 applyNumberFormat="0" applyFill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1" fillId="30" borderId="0" applyNumberFormat="0" applyBorder="0" applyAlignment="0" applyProtection="0"/>
    <xf numFmtId="0" fontId="96" fillId="15" borderId="0" applyNumberFormat="0" applyBorder="0" applyAlignment="0" applyProtection="0"/>
    <xf numFmtId="0" fontId="96" fillId="19" borderId="0" applyNumberFormat="0" applyBorder="0" applyAlignment="0" applyProtection="0"/>
    <xf numFmtId="0" fontId="96" fillId="27" borderId="0" applyNumberFormat="0" applyBorder="0" applyAlignment="0" applyProtection="0"/>
    <xf numFmtId="0" fontId="96" fillId="31" borderId="0" applyNumberFormat="0" applyBorder="0" applyAlignment="0" applyProtection="0"/>
    <xf numFmtId="0" fontId="96" fillId="35" borderId="0" applyNumberFormat="0" applyBorder="0" applyAlignment="0" applyProtection="0"/>
    <xf numFmtId="0" fontId="96" fillId="27" borderId="0" applyNumberFormat="0" applyBorder="0" applyAlignment="0" applyProtection="0"/>
    <xf numFmtId="4" fontId="4" fillId="0" borderId="0" applyFill="0" applyBorder="0" applyProtection="0">
      <alignment horizontal="right" vertical="top"/>
    </xf>
    <xf numFmtId="43" fontId="4" fillId="0" borderId="0" applyFont="0" applyFill="0" applyBorder="0" applyAlignment="0" applyProtection="0"/>
    <xf numFmtId="0" fontId="96" fillId="23" borderId="0" applyNumberFormat="0" applyBorder="0" applyAlignment="0" applyProtection="0"/>
    <xf numFmtId="0" fontId="4" fillId="0" borderId="0"/>
    <xf numFmtId="0" fontId="7" fillId="0" borderId="0" applyFont="0" applyFill="0" applyBorder="0" applyAlignment="0" applyProtection="0">
      <alignment vertical="top"/>
    </xf>
    <xf numFmtId="0" fontId="9" fillId="0" borderId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4" borderId="38" applyNumberFormat="0" applyFont="0" applyAlignment="0" applyProtection="0"/>
    <xf numFmtId="9" fontId="2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0" fontId="36" fillId="12" borderId="34" applyNumberFormat="0" applyAlignment="0" applyProtection="0"/>
    <xf numFmtId="0" fontId="105" fillId="12" borderId="34" applyNumberFormat="0" applyAlignment="0" applyProtection="0"/>
    <xf numFmtId="0" fontId="7" fillId="0" borderId="0">
      <alignment horizontal="right" vertical="top"/>
    </xf>
    <xf numFmtId="0" fontId="99" fillId="0" borderId="0" applyNumberFormat="0" applyFill="0" applyBorder="0" applyAlignment="0" applyProtection="0"/>
    <xf numFmtId="0" fontId="2" fillId="0" borderId="0"/>
    <xf numFmtId="0" fontId="2" fillId="0" borderId="0"/>
    <xf numFmtId="0" fontId="2" fillId="33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0" fontId="32" fillId="9" borderId="0" applyNumberFormat="0" applyBorder="0" applyAlignment="0" applyProtection="0"/>
    <xf numFmtId="0" fontId="2" fillId="37" borderId="0" applyNumberFormat="0" applyBorder="0" applyAlignment="0" applyProtection="0"/>
    <xf numFmtId="0" fontId="4" fillId="33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61" fillId="0" borderId="44" applyNumberFormat="0" applyFill="0" applyAlignment="0" applyProtection="0"/>
    <xf numFmtId="0" fontId="100" fillId="8" borderId="0" applyNumberFormat="0" applyBorder="0" applyAlignment="0" applyProtection="0"/>
    <xf numFmtId="0" fontId="4" fillId="37" borderId="0" applyNumberFormat="0" applyBorder="0" applyAlignment="0" applyProtection="0"/>
    <xf numFmtId="0" fontId="2" fillId="0" borderId="0"/>
    <xf numFmtId="7" fontId="4" fillId="0" borderId="0" applyFont="0" applyFill="0" applyBorder="0" applyAlignment="0" applyProtection="0">
      <alignment vertical="top"/>
    </xf>
    <xf numFmtId="0" fontId="9" fillId="0" borderId="0"/>
    <xf numFmtId="44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16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96" fillId="15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0" fontId="2" fillId="14" borderId="38" applyNumberFormat="0" applyFont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0" fontId="96" fillId="35" borderId="0" applyNumberFormat="0" applyBorder="0" applyAlignment="0" applyProtection="0"/>
    <xf numFmtId="0" fontId="96" fillId="15" borderId="0" applyNumberFormat="0" applyBorder="0" applyAlignment="0" applyProtection="0"/>
    <xf numFmtId="0" fontId="4" fillId="0" borderId="0"/>
    <xf numFmtId="0" fontId="96" fillId="19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0" fontId="96" fillId="31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33" fillId="10" borderId="0" applyNumberFormat="0" applyBorder="0" applyAlignment="0" applyProtection="0"/>
    <xf numFmtId="0" fontId="34" fillId="11" borderId="34" applyNumberFormat="0" applyAlignment="0" applyProtection="0"/>
    <xf numFmtId="0" fontId="35" fillId="12" borderId="35" applyNumberFormat="0" applyAlignment="0" applyProtection="0"/>
    <xf numFmtId="0" fontId="37" fillId="0" borderId="36" applyNumberFormat="0" applyFill="0" applyAlignment="0" applyProtection="0"/>
    <xf numFmtId="0" fontId="38" fillId="13" borderId="37" applyNumberFormat="0" applyAlignment="0" applyProtection="0"/>
    <xf numFmtId="0" fontId="39" fillId="0" borderId="0" applyNumberFormat="0" applyFill="0" applyBorder="0" applyAlignment="0" applyProtection="0"/>
    <xf numFmtId="0" fontId="2" fillId="14" borderId="38" applyNumberFormat="0" applyFont="0" applyAlignment="0" applyProtection="0"/>
    <xf numFmtId="0" fontId="40" fillId="0" borderId="0" applyNumberFormat="0" applyFill="0" applyBorder="0" applyAlignment="0" applyProtection="0"/>
    <xf numFmtId="0" fontId="4" fillId="0" borderId="0"/>
    <xf numFmtId="0" fontId="2" fillId="32" borderId="0" applyNumberFormat="0" applyBorder="0" applyAlignment="0" applyProtection="0"/>
    <xf numFmtId="0" fontId="41" fillId="34" borderId="0" applyNumberFormat="0" applyBorder="0" applyAlignment="0" applyProtection="0"/>
    <xf numFmtId="0" fontId="2" fillId="0" borderId="0"/>
    <xf numFmtId="0" fontId="41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30" fillId="0" borderId="33" applyNumberFormat="0" applyFill="0" applyAlignment="0" applyProtection="0"/>
    <xf numFmtId="7" fontId="4" fillId="0" borderId="0" applyFont="0" applyFill="0" applyBorder="0" applyAlignment="0" applyProtection="0">
      <alignment vertical="top"/>
    </xf>
    <xf numFmtId="0" fontId="96" fillId="30" borderId="0" applyNumberFormat="0" applyBorder="0" applyAlignment="0" applyProtection="0"/>
    <xf numFmtId="0" fontId="101" fillId="9" borderId="0" applyNumberFormat="0" applyBorder="0" applyAlignment="0" applyProtection="0"/>
    <xf numFmtId="0" fontId="102" fillId="10" borderId="0" applyNumberFormat="0" applyBorder="0" applyAlignment="0" applyProtection="0"/>
    <xf numFmtId="0" fontId="103" fillId="11" borderId="34" applyNumberFormat="0" applyAlignment="0" applyProtection="0"/>
    <xf numFmtId="0" fontId="104" fillId="12" borderId="35" applyNumberFormat="0" applyAlignment="0" applyProtection="0"/>
    <xf numFmtId="0" fontId="106" fillId="0" borderId="36" applyNumberFormat="0" applyFill="0" applyAlignment="0" applyProtection="0"/>
    <xf numFmtId="0" fontId="107" fillId="13" borderId="37" applyNumberFormat="0" applyAlignment="0" applyProtection="0"/>
    <xf numFmtId="0" fontId="22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96" fillId="31" borderId="0" applyNumberFormat="0" applyBorder="0" applyAlignment="0" applyProtection="0"/>
    <xf numFmtId="0" fontId="4" fillId="32" borderId="0" applyNumberFormat="0" applyBorder="0" applyAlignment="0" applyProtection="0"/>
    <xf numFmtId="0" fontId="96" fillId="34" borderId="0" applyNumberFormat="0" applyBorder="0" applyAlignment="0" applyProtection="0"/>
    <xf numFmtId="0" fontId="41" fillId="31" borderId="0" applyNumberFormat="0" applyBorder="0" applyAlignment="0" applyProtection="0"/>
    <xf numFmtId="0" fontId="96" fillId="23" borderId="0" applyNumberFormat="0" applyBorder="0" applyAlignment="0" applyProtection="0"/>
    <xf numFmtId="0" fontId="23" fillId="0" borderId="63" applyNumberFormat="0" applyFill="0" applyAlignment="0" applyProtection="0"/>
    <xf numFmtId="0" fontId="4" fillId="21" borderId="0" applyNumberFormat="0" applyBorder="0" applyAlignment="0" applyProtection="0"/>
    <xf numFmtId="0" fontId="96" fillId="23" borderId="0" applyNumberFormat="0" applyBorder="0" applyAlignment="0" applyProtection="0"/>
    <xf numFmtId="0" fontId="4" fillId="24" borderId="0" applyNumberFormat="0" applyBorder="0" applyAlignment="0" applyProtection="0"/>
    <xf numFmtId="0" fontId="96" fillId="22" borderId="0" applyNumberFormat="0" applyBorder="0" applyAlignment="0" applyProtection="0"/>
    <xf numFmtId="0" fontId="97" fillId="0" borderId="44" applyNumberFormat="0" applyFill="0" applyAlignment="0" applyProtection="0"/>
    <xf numFmtId="7" fontId="4" fillId="0" borderId="0" applyFont="0" applyFill="0" applyBorder="0" applyAlignment="0" applyProtection="0">
      <alignment vertical="top"/>
    </xf>
    <xf numFmtId="0" fontId="2" fillId="0" borderId="0"/>
    <xf numFmtId="7" fontId="4" fillId="0" borderId="0" applyFont="0" applyFill="0" applyBorder="0" applyAlignment="0" applyProtection="0">
      <alignment vertical="top"/>
    </xf>
    <xf numFmtId="0" fontId="4" fillId="25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7" fontId="4" fillId="0" borderId="0" applyFont="0" applyFill="0" applyBorder="0" applyAlignment="0" applyProtection="0">
      <alignment vertical="top"/>
    </xf>
    <xf numFmtId="0" fontId="2" fillId="0" borderId="0"/>
    <xf numFmtId="3" fontId="109" fillId="0" borderId="1">
      <alignment vertical="top"/>
    </xf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14" borderId="38" applyNumberFormat="0" applyFon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2" fillId="0" borderId="0"/>
    <xf numFmtId="0" fontId="4" fillId="0" borderId="0">
      <alignment vertical="top"/>
    </xf>
    <xf numFmtId="4" fontId="4" fillId="0" borderId="0" applyFill="0" applyBorder="0" applyProtection="0">
      <alignment horizontal="right" vertical="top"/>
    </xf>
    <xf numFmtId="9" fontId="4" fillId="0" borderId="0" applyFill="0" applyBorder="0" applyAlignment="0" applyProtection="0">
      <alignment vertical="top"/>
    </xf>
    <xf numFmtId="0" fontId="2" fillId="0" borderId="0"/>
    <xf numFmtId="178" fontId="4" fillId="0" borderId="0" applyFont="0" applyFill="0" applyBorder="0" applyAlignment="0" applyProtection="0">
      <alignment vertical="top"/>
    </xf>
    <xf numFmtId="178" fontId="4" fillId="0" borderId="0">
      <alignment vertical="top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41" fillId="38" borderId="0" applyNumberFormat="0" applyBorder="0" applyAlignment="0" applyProtection="0"/>
    <xf numFmtId="0" fontId="2" fillId="0" borderId="0"/>
    <xf numFmtId="0" fontId="31" fillId="8" borderId="0" applyNumberFormat="0" applyBorder="0" applyAlignment="0" applyProtection="0"/>
    <xf numFmtId="7" fontId="4" fillId="0" borderId="0" applyFont="0" applyFill="0" applyBorder="0" applyAlignment="0" applyProtection="0">
      <alignment vertical="top"/>
    </xf>
    <xf numFmtId="0" fontId="64" fillId="0" borderId="46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41" fillId="26" borderId="0" applyNumberFormat="0" applyBorder="0" applyAlignment="0" applyProtection="0"/>
    <xf numFmtId="0" fontId="2" fillId="0" borderId="0"/>
    <xf numFmtId="0" fontId="4" fillId="16" borderId="0" applyNumberFormat="0" applyBorder="0" applyAlignment="0" applyProtection="0"/>
    <xf numFmtId="0" fontId="96" fillId="38" borderId="0" applyNumberFormat="0" applyBorder="0" applyAlignment="0" applyProtection="0"/>
    <xf numFmtId="43" fontId="4" fillId="0" borderId="0" applyFont="0" applyFill="0" applyBorder="0" applyAlignment="0" applyProtection="0"/>
    <xf numFmtId="2" fontId="7" fillId="0" borderId="0" applyFont="0" applyFill="0" applyBorder="0" applyAlignment="0" applyProtection="0">
      <alignment vertical="top"/>
    </xf>
    <xf numFmtId="0" fontId="7" fillId="0" borderId="0">
      <alignment vertical="top"/>
    </xf>
    <xf numFmtId="0" fontId="4" fillId="36" borderId="0" applyNumberFormat="0" applyBorder="0" applyAlignment="0" applyProtection="0"/>
    <xf numFmtId="0" fontId="99" fillId="0" borderId="33" applyNumberFormat="0" applyFill="0" applyAlignment="0" applyProtection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7" fontId="4" fillId="0" borderId="0" applyFont="0" applyFill="0" applyBorder="0" applyAlignment="0" applyProtection="0">
      <alignment vertical="top"/>
    </xf>
    <xf numFmtId="4" fontId="4" fillId="0" borderId="0" applyFill="0" applyBorder="0" applyProtection="0">
      <alignment horizontal="right" vertical="top"/>
    </xf>
    <xf numFmtId="44" fontId="9" fillId="0" borderId="0" applyFont="0" applyFill="0" applyBorder="0" applyAlignment="0" applyProtection="0"/>
    <xf numFmtId="4" fontId="4" fillId="0" borderId="0" applyFill="0" applyBorder="0" applyProtection="0">
      <alignment horizontal="right" vertical="top"/>
    </xf>
    <xf numFmtId="7" fontId="4" fillId="0" borderId="0" applyFont="0" applyFill="0" applyBorder="0" applyAlignment="0" applyProtection="0">
      <alignment vertical="top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2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2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3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54" borderId="0" applyNumberFormat="0" applyBorder="0" applyAlignment="0" applyProtection="0"/>
    <xf numFmtId="0" fontId="1" fillId="17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58" borderId="0" applyNumberFormat="0" applyBorder="0" applyAlignment="0" applyProtection="0"/>
    <xf numFmtId="0" fontId="1" fillId="25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61" borderId="0" applyNumberFormat="0" applyBorder="0" applyAlignment="0" applyProtection="0"/>
    <xf numFmtId="0" fontId="1" fillId="29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3" borderId="0" applyNumberFormat="0" applyBorder="0" applyAlignment="0" applyProtection="0"/>
    <xf numFmtId="0" fontId="1" fillId="3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53" borderId="0" applyNumberFormat="0" applyBorder="0" applyAlignment="0" applyProtection="0"/>
    <xf numFmtId="0" fontId="1" fillId="37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38" applyNumberFormat="0" applyFont="0" applyAlignment="0" applyProtection="0"/>
    <xf numFmtId="9" fontId="1" fillId="0" borderId="0" applyFont="0" applyFill="0" applyBorder="0" applyAlignment="0" applyProtection="0"/>
    <xf numFmtId="0" fontId="1" fillId="14" borderId="38" applyNumberFormat="0" applyFont="0" applyAlignment="0" applyProtection="0"/>
    <xf numFmtId="0" fontId="1" fillId="14" borderId="38" applyNumberFormat="0" applyFont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4" borderId="38" applyNumberFormat="0" applyFont="0" applyAlignment="0" applyProtection="0"/>
    <xf numFmtId="0" fontId="1" fillId="14" borderId="38" applyNumberFormat="0" applyFont="0" applyAlignment="0" applyProtection="0"/>
    <xf numFmtId="0" fontId="7" fillId="0" borderId="0"/>
    <xf numFmtId="0" fontId="7" fillId="0" borderId="0"/>
    <xf numFmtId="7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4" fontId="4" fillId="0" borderId="0" applyFill="0" applyBorder="0" applyProtection="0">
      <alignment horizontal="right" vertical="top"/>
    </xf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14" borderId="38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10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4" fontId="4" fillId="0" borderId="0" applyFont="0" applyFill="0" applyBorder="0" applyAlignment="0" applyProtection="0">
      <alignment vertical="top"/>
    </xf>
    <xf numFmtId="7" fontId="4" fillId="0" borderId="0" applyFont="0" applyFill="0" applyBorder="0" applyAlignment="0" applyProtection="0">
      <alignment vertical="top"/>
    </xf>
    <xf numFmtId="4" fontId="4" fillId="0" borderId="0" applyFill="0" applyBorder="0" applyProtection="0">
      <alignment horizontal="right" vertical="top"/>
    </xf>
    <xf numFmtId="4" fontId="4" fillId="0" borderId="0" applyFill="0" applyBorder="0" applyProtection="0">
      <alignment horizontal="right" vertical="top"/>
    </xf>
  </cellStyleXfs>
  <cellXfs count="559">
    <xf numFmtId="3" fontId="0" fillId="0" borderId="0" xfId="0" applyNumberFormat="1">
      <alignment vertical="top"/>
    </xf>
    <xf numFmtId="3" fontId="8" fillId="0" borderId="0" xfId="0" applyNumberFormat="1" applyFont="1">
      <alignment vertical="top"/>
    </xf>
    <xf numFmtId="3" fontId="9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3" fontId="8" fillId="0" borderId="0" xfId="0" quotePrefix="1" applyNumberFormat="1" applyFont="1" applyAlignment="1">
      <alignment horizontal="left" vertical="top"/>
    </xf>
    <xf numFmtId="37" fontId="9" fillId="0" borderId="0" xfId="0" applyNumberFormat="1" applyFont="1">
      <alignment vertical="top"/>
    </xf>
    <xf numFmtId="37" fontId="9" fillId="0" borderId="0" xfId="5" applyNumberFormat="1" applyFont="1">
      <alignment vertical="top"/>
    </xf>
    <xf numFmtId="3" fontId="8" fillId="0" borderId="0" xfId="0" applyNumberFormat="1" applyFont="1" applyAlignment="1">
      <alignment horizontal="center" vertical="top"/>
    </xf>
    <xf numFmtId="5" fontId="9" fillId="0" borderId="0" xfId="0" applyNumberFormat="1" applyFont="1">
      <alignment vertical="top"/>
    </xf>
    <xf numFmtId="3" fontId="8" fillId="0" borderId="3" xfId="0" applyNumberFormat="1" applyFont="1" applyBorder="1" applyAlignment="1">
      <alignment horizontal="center" vertical="top"/>
    </xf>
    <xf numFmtId="10" fontId="9" fillId="0" borderId="0" xfId="0" applyNumberFormat="1" applyFont="1">
      <alignment vertical="top"/>
    </xf>
    <xf numFmtId="37" fontId="10" fillId="0" borderId="0" xfId="5" applyNumberFormat="1" applyFont="1">
      <alignment vertical="top"/>
    </xf>
    <xf numFmtId="37" fontId="10" fillId="0" borderId="3" xfId="5" applyNumberFormat="1" applyFont="1" applyBorder="1">
      <alignment vertical="top"/>
    </xf>
    <xf numFmtId="3" fontId="8" fillId="0" borderId="4" xfId="0" applyNumberFormat="1" applyFont="1" applyBorder="1">
      <alignment vertical="top"/>
    </xf>
    <xf numFmtId="5" fontId="8" fillId="0" borderId="0" xfId="0" applyNumberFormat="1" applyFont="1">
      <alignment vertical="top"/>
    </xf>
    <xf numFmtId="37" fontId="9" fillId="0" borderId="3" xfId="5" applyNumberFormat="1" applyFont="1" applyBorder="1">
      <alignment vertical="top"/>
    </xf>
    <xf numFmtId="5" fontId="9" fillId="0" borderId="5" xfId="9" applyNumberFormat="1" applyFont="1" applyBorder="1">
      <alignment vertical="top"/>
    </xf>
    <xf numFmtId="5" fontId="9" fillId="0" borderId="0" xfId="9" applyNumberFormat="1" applyFont="1">
      <alignment vertical="top"/>
    </xf>
    <xf numFmtId="10" fontId="9" fillId="0" borderId="5" xfId="0" applyNumberFormat="1" applyFont="1" applyBorder="1">
      <alignment vertical="top"/>
    </xf>
    <xf numFmtId="37" fontId="9" fillId="0" borderId="0" xfId="0" applyNumberFormat="1" applyFont="1" applyBorder="1">
      <alignment vertical="top"/>
    </xf>
    <xf numFmtId="5" fontId="10" fillId="0" borderId="0" xfId="0" applyNumberFormat="1" applyFont="1">
      <alignment vertical="top"/>
    </xf>
    <xf numFmtId="3" fontId="9" fillId="0" borderId="0" xfId="0" applyNumberFormat="1" applyFont="1" applyProtection="1">
      <alignment vertical="top"/>
      <protection locked="0"/>
    </xf>
    <xf numFmtId="5" fontId="9" fillId="0" borderId="0" xfId="0" applyNumberFormat="1" applyFont="1" applyBorder="1">
      <alignment vertical="top"/>
    </xf>
    <xf numFmtId="3" fontId="9" fillId="0" borderId="0" xfId="0" applyNumberFormat="1" applyFont="1" applyBorder="1">
      <alignment vertical="top"/>
    </xf>
    <xf numFmtId="3" fontId="11" fillId="0" borderId="0" xfId="0" applyNumberFormat="1" applyFont="1">
      <alignment vertical="top"/>
    </xf>
    <xf numFmtId="10" fontId="11" fillId="0" borderId="0" xfId="0" applyNumberFormat="1" applyFont="1">
      <alignment vertical="top"/>
    </xf>
    <xf numFmtId="3" fontId="11" fillId="0" borderId="0" xfId="0" applyNumberFormat="1" applyFont="1" applyAlignment="1">
      <alignment horizontal="center" vertical="top"/>
    </xf>
    <xf numFmtId="3" fontId="11" fillId="0" borderId="3" xfId="0" applyNumberFormat="1" applyFont="1" applyBorder="1">
      <alignment vertical="top"/>
    </xf>
    <xf numFmtId="3" fontId="11" fillId="0" borderId="3" xfId="0" applyNumberFormat="1" applyFont="1" applyBorder="1" applyAlignment="1">
      <alignment horizontal="center" vertical="top"/>
    </xf>
    <xf numFmtId="3" fontId="12" fillId="0" borderId="0" xfId="0" applyNumberFormat="1" applyFont="1" applyAlignment="1">
      <alignment horizontal="center" vertical="top"/>
    </xf>
    <xf numFmtId="3" fontId="12" fillId="0" borderId="0" xfId="0" applyNumberFormat="1" applyFont="1">
      <alignment vertical="top"/>
    </xf>
    <xf numFmtId="10" fontId="12" fillId="0" borderId="0" xfId="0" applyNumberFormat="1" applyFont="1">
      <alignment vertical="top"/>
    </xf>
    <xf numFmtId="10" fontId="12" fillId="0" borderId="0" xfId="22" applyFont="1">
      <alignment vertical="top"/>
    </xf>
    <xf numFmtId="164" fontId="12" fillId="0" borderId="0" xfId="22" applyNumberFormat="1" applyFont="1">
      <alignment vertical="top"/>
    </xf>
    <xf numFmtId="10" fontId="12" fillId="0" borderId="3" xfId="22" applyFont="1" applyBorder="1">
      <alignment vertical="top"/>
    </xf>
    <xf numFmtId="10" fontId="12" fillId="0" borderId="0" xfId="22" applyFont="1" applyBorder="1">
      <alignment vertical="top"/>
    </xf>
    <xf numFmtId="10" fontId="12" fillId="0" borderId="5" xfId="22" applyFont="1" applyBorder="1">
      <alignment vertical="top"/>
    </xf>
    <xf numFmtId="10" fontId="12" fillId="0" borderId="0" xfId="0" applyNumberFormat="1" applyFont="1" applyBorder="1">
      <alignment vertical="top"/>
    </xf>
    <xf numFmtId="3" fontId="12" fillId="0" borderId="0" xfId="0" applyNumberFormat="1" applyFont="1" applyBorder="1">
      <alignment vertical="top"/>
    </xf>
    <xf numFmtId="0" fontId="12" fillId="0" borderId="0" xfId="0" applyNumberFormat="1" applyFont="1">
      <alignment vertical="top"/>
    </xf>
    <xf numFmtId="10" fontId="12" fillId="0" borderId="3" xfId="0" applyNumberFormat="1" applyFont="1" applyBorder="1">
      <alignment vertical="top"/>
    </xf>
    <xf numFmtId="5" fontId="12" fillId="0" borderId="0" xfId="0" applyNumberFormat="1" applyFont="1">
      <alignment vertical="top"/>
    </xf>
    <xf numFmtId="164" fontId="12" fillId="0" borderId="3" xfId="22" applyNumberFormat="1" applyFont="1" applyBorder="1">
      <alignment vertical="top"/>
    </xf>
    <xf numFmtId="10" fontId="12" fillId="0" borderId="5" xfId="0" applyNumberFormat="1" applyFont="1" applyBorder="1">
      <alignment vertical="top"/>
    </xf>
    <xf numFmtId="0" fontId="11" fillId="0" borderId="0" xfId="0" applyFont="1">
      <alignment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>
      <alignment vertical="top"/>
    </xf>
    <xf numFmtId="3" fontId="12" fillId="0" borderId="0" xfId="5" applyFont="1" applyBorder="1" applyAlignment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3" xfId="0" applyFont="1" applyBorder="1" applyAlignment="1">
      <alignment horizontal="center" vertical="top"/>
    </xf>
    <xf numFmtId="0" fontId="11" fillId="0" borderId="0" xfId="0" applyFont="1" applyAlignment="1">
      <alignment horizontal="left" vertical="top"/>
    </xf>
    <xf numFmtId="3" fontId="11" fillId="0" borderId="0" xfId="5" applyFont="1">
      <alignment vertical="top"/>
    </xf>
    <xf numFmtId="3" fontId="12" fillId="0" borderId="0" xfId="5" applyFont="1">
      <alignment vertical="top"/>
    </xf>
    <xf numFmtId="3" fontId="11" fillId="0" borderId="3" xfId="5" applyFont="1" applyBorder="1" applyAlignment="1">
      <alignment horizontal="center" vertical="top"/>
    </xf>
    <xf numFmtId="3" fontId="11" fillId="0" borderId="0" xfId="5" quotePrefix="1" applyFont="1" applyAlignment="1">
      <alignment horizontal="left" vertical="top"/>
    </xf>
    <xf numFmtId="0" fontId="11" fillId="0" borderId="3" xfId="0" quotePrefix="1" applyFont="1" applyBorder="1" applyAlignment="1">
      <alignment horizontal="left" vertical="top"/>
    </xf>
    <xf numFmtId="0" fontId="11" fillId="0" borderId="3" xfId="0" applyFont="1" applyBorder="1">
      <alignment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1" fillId="0" borderId="0" xfId="0" applyFont="1" applyAlignment="1">
      <alignment horizontal="center" vertical="top"/>
    </xf>
    <xf numFmtId="0" fontId="12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Alignment="1">
      <alignment horizontal="center" vertical="top"/>
    </xf>
    <xf numFmtId="0" fontId="11" fillId="0" borderId="0" xfId="0" applyNumberFormat="1" applyFont="1">
      <alignment vertical="top"/>
    </xf>
    <xf numFmtId="0" fontId="11" fillId="0" borderId="0" xfId="0" applyFont="1" applyBorder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quotePrefix="1" applyFont="1" applyBorder="1" applyAlignment="1">
      <alignment horizontal="left" vertical="top"/>
    </xf>
    <xf numFmtId="3" fontId="11" fillId="0" borderId="0" xfId="5" applyFont="1" applyBorder="1">
      <alignment vertical="top"/>
    </xf>
    <xf numFmtId="3" fontId="12" fillId="0" borderId="0" xfId="0" applyNumberFormat="1" applyFont="1" applyBorder="1" applyAlignment="1">
      <alignment horizontal="center" vertical="top"/>
    </xf>
    <xf numFmtId="3" fontId="11" fillId="0" borderId="0" xfId="5" quotePrefix="1" applyFont="1" applyBorder="1" applyAlignment="1">
      <alignment horizontal="left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3" fontId="11" fillId="0" borderId="0" xfId="0" quotePrefix="1" applyNumberFormat="1" applyFont="1" applyAlignment="1">
      <alignment horizontal="left" vertical="top"/>
    </xf>
    <xf numFmtId="3" fontId="11" fillId="0" borderId="0" xfId="2" applyNumberFormat="1" applyFont="1">
      <alignment vertical="top"/>
    </xf>
    <xf numFmtId="3" fontId="11" fillId="0" borderId="0" xfId="0" applyNumberFormat="1" applyFont="1" applyBorder="1">
      <alignment vertical="top"/>
    </xf>
    <xf numFmtId="3" fontId="11" fillId="0" borderId="0" xfId="0" applyNumberFormat="1" applyFont="1" applyBorder="1" applyAlignment="1">
      <alignment horizontal="center" vertical="top"/>
    </xf>
    <xf numFmtId="3" fontId="11" fillId="0" borderId="4" xfId="0" applyNumberFormat="1" applyFont="1" applyBorder="1" applyAlignment="1">
      <alignment horizontal="center" vertical="top"/>
    </xf>
    <xf numFmtId="3" fontId="12" fillId="0" borderId="0" xfId="0" applyNumberFormat="1" applyFont="1" applyProtection="1">
      <alignment vertical="top"/>
      <protection locked="0"/>
    </xf>
    <xf numFmtId="5" fontId="12" fillId="0" borderId="0" xfId="0" applyNumberFormat="1" applyFont="1" applyFill="1">
      <alignment vertical="top"/>
    </xf>
    <xf numFmtId="5" fontId="12" fillId="0" borderId="0" xfId="0" applyNumberFormat="1" applyFont="1" applyBorder="1">
      <alignment vertical="top"/>
    </xf>
    <xf numFmtId="37" fontId="12" fillId="0" borderId="0" xfId="2" applyNumberFormat="1" applyFont="1">
      <alignment vertical="top"/>
    </xf>
    <xf numFmtId="37" fontId="12" fillId="0" borderId="0" xfId="5" applyNumberFormat="1" applyFont="1">
      <alignment vertical="top"/>
    </xf>
    <xf numFmtId="37" fontId="12" fillId="0" borderId="3" xfId="5" applyNumberFormat="1" applyFont="1" applyBorder="1">
      <alignment vertical="top"/>
    </xf>
    <xf numFmtId="5" fontId="11" fillId="0" borderId="0" xfId="0" applyNumberFormat="1" applyFont="1">
      <alignment vertical="top"/>
    </xf>
    <xf numFmtId="3" fontId="14" fillId="0" borderId="0" xfId="0" applyNumberFormat="1" applyFont="1">
      <alignment vertical="top"/>
    </xf>
    <xf numFmtId="3" fontId="14" fillId="0" borderId="0" xfId="0" applyNumberFormat="1" applyFont="1" applyAlignment="1">
      <alignment horizontal="center" vertical="top"/>
    </xf>
    <xf numFmtId="5" fontId="12" fillId="0" borderId="5" xfId="9" applyFont="1" applyBorder="1">
      <alignment vertical="top"/>
    </xf>
    <xf numFmtId="5" fontId="12" fillId="0" borderId="0" xfId="9" applyFont="1" applyBorder="1">
      <alignment vertical="top"/>
    </xf>
    <xf numFmtId="39" fontId="12" fillId="0" borderId="0" xfId="2" applyNumberFormat="1" applyFont="1">
      <alignment vertical="top"/>
    </xf>
    <xf numFmtId="39" fontId="12" fillId="0" borderId="4" xfId="2" applyNumberFormat="1" applyFont="1" applyBorder="1">
      <alignment vertical="top"/>
    </xf>
    <xf numFmtId="5" fontId="11" fillId="0" borderId="0" xfId="0" applyNumberFormat="1" applyFont="1" applyAlignment="1">
      <alignment horizontal="center" vertical="top"/>
    </xf>
    <xf numFmtId="3" fontId="12" fillId="0" borderId="3" xfId="0" applyNumberFormat="1" applyFont="1" applyBorder="1">
      <alignment vertical="top"/>
    </xf>
    <xf numFmtId="3" fontId="12" fillId="0" borderId="0" xfId="0" quotePrefix="1" applyNumberFormat="1" applyFont="1" applyAlignment="1">
      <alignment horizontal="left" vertical="top"/>
    </xf>
    <xf numFmtId="41" fontId="12" fillId="0" borderId="0" xfId="5" applyNumberFormat="1" applyFont="1" applyBorder="1">
      <alignment vertical="top"/>
    </xf>
    <xf numFmtId="3" fontId="11" fillId="0" borderId="0" xfId="0" applyNumberFormat="1" applyFont="1" applyAlignment="1">
      <alignment horizontal="left" vertical="top"/>
    </xf>
    <xf numFmtId="37" fontId="12" fillId="0" borderId="0" xfId="0" applyNumberFormat="1" applyFont="1">
      <alignment vertical="top"/>
    </xf>
    <xf numFmtId="37" fontId="12" fillId="0" borderId="3" xfId="0" applyNumberFormat="1" applyFont="1" applyBorder="1">
      <alignment vertical="top"/>
    </xf>
    <xf numFmtId="37" fontId="12" fillId="0" borderId="5" xfId="0" applyNumberFormat="1" applyFont="1" applyBorder="1">
      <alignment vertical="top"/>
    </xf>
    <xf numFmtId="37" fontId="11" fillId="0" borderId="0" xfId="0" applyNumberFormat="1" applyFont="1">
      <alignment vertical="top"/>
    </xf>
    <xf numFmtId="3" fontId="11" fillId="0" borderId="7" xfId="0" applyNumberFormat="1" applyFont="1" applyBorder="1">
      <alignment vertical="top"/>
    </xf>
    <xf numFmtId="3" fontId="12" fillId="0" borderId="8" xfId="0" applyNumberFormat="1" applyFont="1" applyBorder="1">
      <alignment vertical="top"/>
    </xf>
    <xf numFmtId="3" fontId="12" fillId="0" borderId="9" xfId="0" applyNumberFormat="1" applyFont="1" applyBorder="1">
      <alignment vertical="top"/>
    </xf>
    <xf numFmtId="37" fontId="12" fillId="0" borderId="0" xfId="0" applyNumberFormat="1" applyFont="1" applyBorder="1">
      <alignment vertical="top"/>
    </xf>
    <xf numFmtId="37" fontId="12" fillId="0" borderId="0" xfId="2" applyNumberFormat="1" applyFont="1" applyAlignment="1"/>
    <xf numFmtId="3" fontId="11" fillId="0" borderId="4" xfId="0" applyNumberFormat="1" applyFont="1" applyBorder="1">
      <alignment vertical="top"/>
    </xf>
    <xf numFmtId="37" fontId="12" fillId="0" borderId="0" xfId="0" applyNumberFormat="1" applyFont="1" applyFill="1">
      <alignment vertical="top"/>
    </xf>
    <xf numFmtId="37" fontId="12" fillId="0" borderId="3" xfId="0" applyNumberFormat="1" applyFont="1" applyFill="1" applyBorder="1">
      <alignment vertical="top"/>
    </xf>
    <xf numFmtId="3" fontId="11" fillId="0" borderId="3" xfId="3" applyNumberFormat="1" applyFont="1" applyBorder="1" applyAlignment="1">
      <alignment horizontal="center" vertical="top"/>
    </xf>
    <xf numFmtId="3" fontId="11" fillId="0" borderId="0" xfId="3" applyNumberFormat="1" applyFont="1" applyAlignment="1">
      <alignment vertical="top"/>
    </xf>
    <xf numFmtId="43" fontId="12" fillId="0" borderId="0" xfId="0" applyNumberFormat="1" applyFont="1">
      <alignment vertical="top"/>
    </xf>
    <xf numFmtId="3" fontId="11" fillId="0" borderId="0" xfId="0" applyNumberFormat="1" applyFont="1" applyAlignment="1">
      <alignment horizontal="left" vertical="top" indent="1"/>
    </xf>
    <xf numFmtId="3" fontId="11" fillId="0" borderId="0" xfId="2" applyNumberFormat="1" applyFont="1" applyAlignment="1">
      <alignment horizontal="left" vertical="top" indent="2"/>
    </xf>
    <xf numFmtId="3" fontId="11" fillId="0" borderId="0" xfId="0" applyNumberFormat="1" applyFont="1" applyBorder="1" applyAlignment="1">
      <alignment horizontal="left" vertical="top" indent="1"/>
    </xf>
    <xf numFmtId="5" fontId="12" fillId="0" borderId="0" xfId="9" applyNumberFormat="1" applyFont="1">
      <alignment vertical="top"/>
    </xf>
    <xf numFmtId="41" fontId="12" fillId="0" borderId="0" xfId="5" applyNumberFormat="1" applyFont="1" applyAlignment="1">
      <alignment horizontal="right" vertical="top"/>
    </xf>
    <xf numFmtId="5" fontId="12" fillId="0" borderId="0" xfId="9" applyFont="1" applyAlignment="1">
      <alignment horizontal="right" vertical="top"/>
    </xf>
    <xf numFmtId="41" fontId="12" fillId="0" borderId="3" xfId="5" applyNumberFormat="1" applyFont="1" applyBorder="1" applyAlignment="1">
      <alignment horizontal="right" vertical="top"/>
    </xf>
    <xf numFmtId="5" fontId="12" fillId="0" borderId="3" xfId="0" applyNumberFormat="1" applyFont="1" applyBorder="1">
      <alignment vertical="top"/>
    </xf>
    <xf numFmtId="5" fontId="12" fillId="0" borderId="5" xfId="0" applyNumberFormat="1" applyFont="1" applyBorder="1">
      <alignment vertical="top"/>
    </xf>
    <xf numFmtId="3" fontId="11" fillId="0" borderId="0" xfId="0" applyNumberFormat="1" applyFont="1" applyFill="1">
      <alignment vertical="top"/>
    </xf>
    <xf numFmtId="3" fontId="12" fillId="0" borderId="0" xfId="0" applyNumberFormat="1" applyFont="1" applyFill="1">
      <alignment vertical="top"/>
    </xf>
    <xf numFmtId="3" fontId="11" fillId="0" borderId="0" xfId="0" applyNumberFormat="1" applyFont="1" applyFill="1" applyAlignment="1">
      <alignment horizontal="center" vertical="top"/>
    </xf>
    <xf numFmtId="3" fontId="11" fillId="0" borderId="3" xfId="0" applyNumberFormat="1" applyFont="1" applyFill="1" applyBorder="1" applyAlignment="1">
      <alignment horizontal="center" vertical="top"/>
    </xf>
    <xf numFmtId="164" fontId="12" fillId="0" borderId="0" xfId="22" applyNumberFormat="1" applyFont="1" applyFill="1">
      <alignment vertical="top"/>
    </xf>
    <xf numFmtId="10" fontId="12" fillId="0" borderId="3" xfId="22" applyFont="1" applyFill="1" applyBorder="1">
      <alignment vertical="top"/>
    </xf>
    <xf numFmtId="5" fontId="12" fillId="0" borderId="5" xfId="7" applyNumberFormat="1" applyFont="1" applyBorder="1">
      <alignment vertical="top"/>
    </xf>
    <xf numFmtId="166" fontId="12" fillId="0" borderId="0" xfId="22" applyNumberFormat="1" applyFont="1" applyBorder="1">
      <alignment vertical="top"/>
    </xf>
    <xf numFmtId="3" fontId="12" fillId="0" borderId="8" xfId="0" applyNumberFormat="1" applyFont="1" applyBorder="1" applyAlignment="1">
      <alignment horizontal="center" vertical="top"/>
    </xf>
    <xf numFmtId="3" fontId="11" fillId="0" borderId="10" xfId="0" applyNumberFormat="1" applyFont="1" applyBorder="1">
      <alignment vertical="top"/>
    </xf>
    <xf numFmtId="3" fontId="11" fillId="0" borderId="10" xfId="0" quotePrefix="1" applyNumberFormat="1" applyFont="1" applyBorder="1" applyAlignment="1">
      <alignment horizontal="left" vertical="top"/>
    </xf>
    <xf numFmtId="3" fontId="11" fillId="0" borderId="10" xfId="0" quotePrefix="1" applyNumberFormat="1" applyFont="1" applyBorder="1">
      <alignment vertical="top"/>
    </xf>
    <xf numFmtId="3" fontId="11" fillId="0" borderId="12" xfId="0" applyNumberFormat="1" applyFont="1" applyBorder="1">
      <alignment vertical="top"/>
    </xf>
    <xf numFmtId="3" fontId="12" fillId="0" borderId="13" xfId="0" applyNumberFormat="1" applyFont="1" applyBorder="1">
      <alignment vertical="top"/>
    </xf>
    <xf numFmtId="10" fontId="12" fillId="0" borderId="0" xfId="22" applyNumberFormat="1" applyFont="1" applyBorder="1">
      <alignment vertical="top"/>
    </xf>
    <xf numFmtId="3" fontId="17" fillId="0" borderId="0" xfId="0" applyNumberFormat="1" applyFont="1">
      <alignment vertical="top"/>
    </xf>
    <xf numFmtId="3" fontId="12" fillId="0" borderId="10" xfId="0" applyNumberFormat="1" applyFont="1" applyBorder="1">
      <alignment vertical="top"/>
    </xf>
    <xf numFmtId="10" fontId="12" fillId="0" borderId="0" xfId="22" applyNumberFormat="1" applyFont="1">
      <alignment vertical="top"/>
    </xf>
    <xf numFmtId="5" fontId="12" fillId="0" borderId="5" xfId="0" applyNumberFormat="1" applyFont="1" applyFill="1" applyBorder="1">
      <alignment vertical="top"/>
    </xf>
    <xf numFmtId="3" fontId="11" fillId="0" borderId="0" xfId="5" applyFont="1" applyFill="1" applyBorder="1">
      <alignment vertical="top"/>
    </xf>
    <xf numFmtId="3" fontId="12" fillId="0" borderId="0" xfId="19" applyNumberFormat="1" applyFont="1" applyFill="1" applyBorder="1">
      <alignment vertical="top"/>
    </xf>
    <xf numFmtId="3" fontId="12" fillId="0" borderId="0" xfId="0" quotePrefix="1" applyNumberFormat="1" applyFont="1">
      <alignment vertical="top"/>
    </xf>
    <xf numFmtId="3" fontId="11" fillId="0" borderId="0" xfId="2" applyNumberFormat="1" applyFont="1" applyBorder="1" applyAlignment="1">
      <alignment horizontal="left" vertical="top" indent="2"/>
    </xf>
    <xf numFmtId="5" fontId="14" fillId="0" borderId="0" xfId="0" applyNumberFormat="1" applyFont="1">
      <alignment vertical="top"/>
    </xf>
    <xf numFmtId="3" fontId="14" fillId="0" borderId="3" xfId="0" applyNumberFormat="1" applyFont="1" applyBorder="1" applyAlignment="1">
      <alignment horizontal="center" vertical="top"/>
    </xf>
    <xf numFmtId="3" fontId="14" fillId="0" borderId="0" xfId="0" quotePrefix="1" applyNumberFormat="1" applyFont="1" applyAlignment="1">
      <alignment horizontal="center" vertical="top"/>
    </xf>
    <xf numFmtId="37" fontId="12" fillId="0" borderId="5" xfId="0" applyNumberFormat="1" applyFont="1" applyFill="1" applyBorder="1">
      <alignment vertical="top"/>
    </xf>
    <xf numFmtId="3" fontId="14" fillId="0" borderId="0" xfId="0" quotePrefix="1" applyNumberFormat="1" applyFont="1" applyAlignment="1">
      <alignment horizontal="left" vertical="top"/>
    </xf>
    <xf numFmtId="0" fontId="14" fillId="0" borderId="0" xfId="0" applyNumberFormat="1" applyFont="1">
      <alignment vertical="top"/>
    </xf>
    <xf numFmtId="3" fontId="12" fillId="0" borderId="14" xfId="0" applyNumberFormat="1" applyFont="1" applyBorder="1">
      <alignment vertical="top"/>
    </xf>
    <xf numFmtId="3" fontId="12" fillId="0" borderId="21" xfId="0" applyNumberFormat="1" applyFont="1" applyBorder="1">
      <alignment vertical="top"/>
    </xf>
    <xf numFmtId="5" fontId="11" fillId="0" borderId="21" xfId="0" applyNumberFormat="1" applyFont="1" applyBorder="1" applyAlignment="1">
      <alignment horizontal="center" vertical="top"/>
    </xf>
    <xf numFmtId="3" fontId="12" fillId="0" borderId="15" xfId="0" applyNumberFormat="1" applyFont="1" applyBorder="1">
      <alignment vertical="top"/>
    </xf>
    <xf numFmtId="3" fontId="11" fillId="0" borderId="22" xfId="0" applyNumberFormat="1" applyFont="1" applyBorder="1">
      <alignment vertical="top"/>
    </xf>
    <xf numFmtId="3" fontId="11" fillId="0" borderId="18" xfId="0" applyNumberFormat="1" applyFont="1" applyBorder="1">
      <alignment vertical="top"/>
    </xf>
    <xf numFmtId="5" fontId="11" fillId="0" borderId="18" xfId="0" applyNumberFormat="1" applyFont="1" applyBorder="1" applyAlignment="1">
      <alignment horizontal="center" vertical="top"/>
    </xf>
    <xf numFmtId="3" fontId="12" fillId="0" borderId="18" xfId="0" applyNumberFormat="1" applyFont="1" applyBorder="1">
      <alignment vertical="top"/>
    </xf>
    <xf numFmtId="3" fontId="12" fillId="0" borderId="23" xfId="0" applyNumberFormat="1" applyFont="1" applyBorder="1">
      <alignment vertical="top"/>
    </xf>
    <xf numFmtId="3" fontId="12" fillId="0" borderId="24" xfId="0" applyNumberFormat="1" applyFont="1" applyBorder="1">
      <alignment vertical="top"/>
    </xf>
    <xf numFmtId="3" fontId="12" fillId="0" borderId="25" xfId="0" applyNumberFormat="1" applyFont="1" applyBorder="1">
      <alignment vertical="top"/>
    </xf>
    <xf numFmtId="3" fontId="12" fillId="0" borderId="24" xfId="0" applyNumberFormat="1" applyFont="1" applyBorder="1" applyAlignment="1">
      <alignment horizontal="center" vertical="top"/>
    </xf>
    <xf numFmtId="5" fontId="13" fillId="0" borderId="0" xfId="0" applyNumberFormat="1" applyFont="1" applyBorder="1">
      <alignment vertical="top"/>
    </xf>
    <xf numFmtId="3" fontId="12" fillId="0" borderId="22" xfId="0" applyNumberFormat="1" applyFont="1" applyBorder="1">
      <alignment vertical="top"/>
    </xf>
    <xf numFmtId="5" fontId="12" fillId="0" borderId="18" xfId="0" applyNumberFormat="1" applyFont="1" applyBorder="1">
      <alignment vertical="top"/>
    </xf>
    <xf numFmtId="5" fontId="12" fillId="0" borderId="21" xfId="0" applyNumberFormat="1" applyFont="1" applyBorder="1">
      <alignment vertical="top"/>
    </xf>
    <xf numFmtId="3" fontId="11" fillId="0" borderId="24" xfId="0" applyNumberFormat="1" applyFont="1" applyBorder="1">
      <alignment vertical="top"/>
    </xf>
    <xf numFmtId="5" fontId="11" fillId="0" borderId="0" xfId="0" applyNumberFormat="1" applyFont="1" applyBorder="1">
      <alignment vertical="top"/>
    </xf>
    <xf numFmtId="3" fontId="12" fillId="0" borderId="0" xfId="0" applyNumberFormat="1" applyFont="1" applyFill="1" applyBorder="1">
      <alignment vertical="top"/>
    </xf>
    <xf numFmtId="3" fontId="12" fillId="0" borderId="25" xfId="0" applyNumberFormat="1" applyFont="1" applyBorder="1" applyAlignment="1">
      <alignment horizontal="center" vertical="top"/>
    </xf>
    <xf numFmtId="3" fontId="17" fillId="0" borderId="3" xfId="0" applyNumberFormat="1" applyFont="1" applyBorder="1">
      <alignment vertical="top"/>
    </xf>
    <xf numFmtId="3" fontId="11" fillId="0" borderId="6" xfId="0" applyNumberFormat="1" applyFont="1" applyBorder="1" applyAlignment="1">
      <alignment horizontal="centerContinuous" vertical="top"/>
    </xf>
    <xf numFmtId="3" fontId="11" fillId="0" borderId="0" xfId="2" applyNumberFormat="1" applyFont="1" applyBorder="1" applyAlignment="1">
      <alignment horizontal="center" vertical="top"/>
    </xf>
    <xf numFmtId="3" fontId="11" fillId="0" borderId="0" xfId="2" applyNumberFormat="1" applyFont="1" applyBorder="1">
      <alignment vertical="top"/>
    </xf>
    <xf numFmtId="0" fontId="20" fillId="0" borderId="0" xfId="0" applyFont="1" applyAlignment="1">
      <alignment horizontal="left" indent="1"/>
    </xf>
    <xf numFmtId="5" fontId="12" fillId="0" borderId="0" xfId="7" applyNumberFormat="1" applyFont="1" applyBorder="1">
      <alignment vertical="top"/>
    </xf>
    <xf numFmtId="166" fontId="11" fillId="0" borderId="0" xfId="22" applyNumberFormat="1" applyFont="1" applyBorder="1" applyAlignment="1">
      <alignment horizontal="center" vertical="top"/>
    </xf>
    <xf numFmtId="166" fontId="12" fillId="0" borderId="0" xfId="0" applyNumberFormat="1" applyFont="1">
      <alignment vertical="top"/>
    </xf>
    <xf numFmtId="37" fontId="12" fillId="0" borderId="0" xfId="9" applyNumberFormat="1" applyFont="1" applyBorder="1">
      <alignment vertical="top"/>
    </xf>
    <xf numFmtId="37" fontId="12" fillId="0" borderId="3" xfId="9" applyNumberFormat="1" applyFont="1" applyBorder="1">
      <alignment vertical="top"/>
    </xf>
    <xf numFmtId="3" fontId="17" fillId="0" borderId="0" xfId="0" applyNumberFormat="1" applyFont="1" applyAlignment="1">
      <alignment horizontal="left" vertical="top"/>
    </xf>
    <xf numFmtId="3" fontId="16" fillId="0" borderId="0" xfId="0" quotePrefix="1" applyNumberFormat="1" applyFont="1" applyAlignment="1">
      <alignment horizontal="center" vertical="top"/>
    </xf>
    <xf numFmtId="37" fontId="12" fillId="0" borderId="5" xfId="9" applyNumberFormat="1" applyFont="1" applyBorder="1" applyAlignment="1">
      <alignment horizontal="right" vertical="top"/>
    </xf>
    <xf numFmtId="10" fontId="11" fillId="0" borderId="0" xfId="23" applyFont="1" applyAlignment="1">
      <alignment horizontal="center" vertical="top"/>
    </xf>
    <xf numFmtId="37" fontId="11" fillId="0" borderId="0" xfId="0" applyNumberFormat="1" applyFont="1" applyAlignment="1">
      <alignment horizontal="center" vertical="top"/>
    </xf>
    <xf numFmtId="0" fontId="11" fillId="0" borderId="0" xfId="0" quotePrefix="1" applyFont="1" applyAlignment="1">
      <alignment horizontal="left" vertical="top" indent="2"/>
    </xf>
    <xf numFmtId="5" fontId="12" fillId="0" borderId="0" xfId="9" applyNumberFormat="1" applyFont="1" applyFill="1">
      <alignment vertical="top"/>
    </xf>
    <xf numFmtId="37" fontId="12" fillId="0" borderId="3" xfId="5" applyNumberFormat="1" applyFont="1" applyFill="1" applyBorder="1">
      <alignment vertical="top"/>
    </xf>
    <xf numFmtId="37" fontId="12" fillId="0" borderId="0" xfId="5" applyNumberFormat="1" applyFont="1" applyFill="1">
      <alignment vertical="top"/>
    </xf>
    <xf numFmtId="3" fontId="12" fillId="0" borderId="0" xfId="5" applyFont="1" applyFill="1">
      <alignment vertical="top"/>
    </xf>
    <xf numFmtId="3" fontId="11" fillId="0" borderId="0" xfId="5" applyFont="1" applyFill="1">
      <alignment vertical="top"/>
    </xf>
    <xf numFmtId="10" fontId="11" fillId="0" borderId="5" xfId="0" applyNumberFormat="1" applyFont="1" applyBorder="1">
      <alignment vertical="top"/>
    </xf>
    <xf numFmtId="5" fontId="12" fillId="0" borderId="0" xfId="0" applyNumberFormat="1" applyFont="1" applyBorder="1" applyAlignment="1">
      <alignment horizontal="center" vertical="top"/>
    </xf>
    <xf numFmtId="5" fontId="12" fillId="0" borderId="3" xfId="0" applyNumberFormat="1" applyFont="1" applyBorder="1" applyAlignment="1">
      <alignment horizontal="center" vertical="top"/>
    </xf>
    <xf numFmtId="5" fontId="12" fillId="0" borderId="6" xfId="0" applyNumberFormat="1" applyFont="1" applyBorder="1" applyAlignment="1">
      <alignment horizontal="centerContinuous" vertical="top"/>
    </xf>
    <xf numFmtId="3" fontId="12" fillId="0" borderId="6" xfId="0" applyNumberFormat="1" applyFont="1" applyBorder="1" applyAlignment="1">
      <alignment horizontal="centerContinuous" vertical="top"/>
    </xf>
    <xf numFmtId="3" fontId="12" fillId="0" borderId="7" xfId="0" applyNumberFormat="1" applyFont="1" applyBorder="1">
      <alignment vertical="top"/>
    </xf>
    <xf numFmtId="5" fontId="12" fillId="0" borderId="9" xfId="0" applyNumberFormat="1" applyFont="1" applyBorder="1">
      <alignment vertical="top"/>
    </xf>
    <xf numFmtId="5" fontId="12" fillId="0" borderId="11" xfId="0" applyNumberFormat="1" applyFont="1" applyBorder="1">
      <alignment vertical="top"/>
    </xf>
    <xf numFmtId="3" fontId="12" fillId="0" borderId="17" xfId="0" applyNumberFormat="1" applyFont="1" applyBorder="1" applyAlignment="1">
      <alignment horizontal="centerContinuous" vertical="top"/>
    </xf>
    <xf numFmtId="5" fontId="12" fillId="0" borderId="11" xfId="0" applyNumberFormat="1" applyFont="1" applyBorder="1" applyAlignment="1">
      <alignment horizontal="center" vertical="top"/>
    </xf>
    <xf numFmtId="5" fontId="12" fillId="0" borderId="13" xfId="0" applyNumberFormat="1" applyFont="1" applyBorder="1" applyAlignment="1">
      <alignment horizontal="center" vertical="top"/>
    </xf>
    <xf numFmtId="10" fontId="12" fillId="0" borderId="11" xfId="22" applyFont="1" applyBorder="1">
      <alignment vertical="top"/>
    </xf>
    <xf numFmtId="10" fontId="12" fillId="0" borderId="13" xfId="22" applyFont="1" applyBorder="1">
      <alignment vertical="top"/>
    </xf>
    <xf numFmtId="3" fontId="12" fillId="0" borderId="12" xfId="0" applyNumberFormat="1" applyFont="1" applyBorder="1">
      <alignment vertical="top"/>
    </xf>
    <xf numFmtId="5" fontId="12" fillId="0" borderId="13" xfId="0" applyNumberFormat="1" applyFont="1" applyBorder="1">
      <alignment vertical="top"/>
    </xf>
    <xf numFmtId="3" fontId="11" fillId="3" borderId="26" xfId="0" applyNumberFormat="1" applyFont="1" applyFill="1" applyBorder="1">
      <alignment vertical="top"/>
    </xf>
    <xf numFmtId="3" fontId="12" fillId="3" borderId="27" xfId="0" applyNumberFormat="1" applyFont="1" applyFill="1" applyBorder="1">
      <alignment vertical="top"/>
    </xf>
    <xf numFmtId="5" fontId="12" fillId="3" borderId="28" xfId="0" applyNumberFormat="1" applyFont="1" applyFill="1" applyBorder="1">
      <alignment vertical="top"/>
    </xf>
    <xf numFmtId="3" fontId="18" fillId="0" borderId="0" xfId="0" applyNumberFormat="1" applyFont="1" applyAlignment="1">
      <alignment horizontal="center" vertical="top"/>
    </xf>
    <xf numFmtId="37" fontId="11" fillId="0" borderId="5" xfId="0" applyNumberFormat="1" applyFont="1" applyBorder="1">
      <alignment vertical="top"/>
    </xf>
    <xf numFmtId="3" fontId="16" fillId="0" borderId="0" xfId="0" applyNumberFormat="1" applyFont="1" applyFill="1" applyAlignment="1">
      <alignment horizontal="center" vertical="top"/>
    </xf>
    <xf numFmtId="178" fontId="11" fillId="0" borderId="0" xfId="0" applyNumberFormat="1" applyFont="1" applyFill="1" applyAlignment="1">
      <alignment horizontal="center" vertical="top"/>
    </xf>
    <xf numFmtId="41" fontId="12" fillId="0" borderId="0" xfId="5" applyNumberFormat="1" applyFont="1" applyFill="1" applyAlignment="1">
      <alignment horizontal="right" vertical="top"/>
    </xf>
    <xf numFmtId="41" fontId="12" fillId="0" borderId="0" xfId="0" applyNumberFormat="1" applyFont="1" applyFill="1">
      <alignment vertical="top"/>
    </xf>
    <xf numFmtId="37" fontId="0" fillId="0" borderId="0" xfId="0" applyNumberFormat="1">
      <alignment vertical="top"/>
    </xf>
    <xf numFmtId="37" fontId="0" fillId="0" borderId="0" xfId="0" applyNumberFormat="1" applyAlignment="1">
      <alignment horizontal="center" vertical="top"/>
    </xf>
    <xf numFmtId="168" fontId="12" fillId="0" borderId="0" xfId="0" applyNumberFormat="1" applyFont="1" applyFill="1">
      <alignment vertical="top"/>
    </xf>
    <xf numFmtId="165" fontId="12" fillId="0" borderId="0" xfId="0" applyNumberFormat="1" applyFont="1" applyFill="1">
      <alignment vertical="top"/>
    </xf>
    <xf numFmtId="164" fontId="12" fillId="0" borderId="0" xfId="0" applyNumberFormat="1" applyFont="1" applyFill="1">
      <alignment vertical="top"/>
    </xf>
    <xf numFmtId="176" fontId="12" fillId="0" borderId="0" xfId="0" applyNumberFormat="1" applyFont="1" applyFill="1">
      <alignment vertical="top"/>
    </xf>
    <xf numFmtId="0" fontId="12" fillId="0" borderId="0" xfId="0" applyFont="1" applyFill="1">
      <alignment vertical="top"/>
    </xf>
    <xf numFmtId="3" fontId="12" fillId="0" borderId="0" xfId="2" applyNumberFormat="1" applyFont="1">
      <alignment vertical="top"/>
    </xf>
    <xf numFmtId="37" fontId="12" fillId="0" borderId="0" xfId="0" applyNumberFormat="1" applyFont="1" applyFill="1" applyBorder="1">
      <alignment vertical="top"/>
    </xf>
    <xf numFmtId="3" fontId="27" fillId="0" borderId="0" xfId="0" applyNumberFormat="1" applyFont="1" applyAlignment="1">
      <alignment horizontal="center" vertical="top"/>
    </xf>
    <xf numFmtId="164" fontId="12" fillId="0" borderId="0" xfId="22" applyNumberFormat="1" applyFont="1" applyFill="1" applyAlignment="1">
      <alignment horizontal="right" vertical="top"/>
    </xf>
    <xf numFmtId="164" fontId="13" fillId="0" borderId="0" xfId="22" applyNumberFormat="1" applyFont="1" applyFill="1">
      <alignment vertical="top"/>
    </xf>
    <xf numFmtId="10" fontId="13" fillId="0" borderId="0" xfId="22" applyFont="1" applyFill="1">
      <alignment vertical="top"/>
    </xf>
    <xf numFmtId="10" fontId="12" fillId="0" borderId="0" xfId="22" applyFont="1" applyFill="1" applyBorder="1">
      <alignment vertical="top"/>
    </xf>
    <xf numFmtId="10" fontId="12" fillId="0" borderId="0" xfId="0" applyNumberFormat="1" applyFont="1" applyFill="1" applyBorder="1">
      <alignment vertical="top"/>
    </xf>
    <xf numFmtId="41" fontId="12" fillId="0" borderId="0" xfId="5" quotePrefix="1" applyNumberFormat="1" applyFont="1" applyFill="1" applyAlignment="1">
      <alignment horizontal="left" vertical="top"/>
    </xf>
    <xf numFmtId="10" fontId="12" fillId="0" borderId="0" xfId="22" applyFont="1" applyFill="1">
      <alignment vertical="top"/>
    </xf>
    <xf numFmtId="10" fontId="12" fillId="5" borderId="0" xfId="0" applyNumberFormat="1" applyFont="1" applyFill="1">
      <alignment vertical="top"/>
    </xf>
    <xf numFmtId="3" fontId="12" fillId="5" borderId="0" xfId="0" applyNumberFormat="1" applyFont="1" applyFill="1">
      <alignment vertical="top"/>
    </xf>
    <xf numFmtId="37" fontId="12" fillId="0" borderId="0" xfId="2" quotePrefix="1" applyNumberFormat="1" applyFont="1">
      <alignment vertical="top"/>
    </xf>
    <xf numFmtId="37" fontId="11" fillId="0" borderId="0" xfId="0" quotePrefix="1" applyNumberFormat="1" applyFont="1" applyAlignment="1">
      <alignment horizontal="left" vertical="top"/>
    </xf>
    <xf numFmtId="37" fontId="15" fillId="0" borderId="0" xfId="0" applyNumberFormat="1" applyFont="1" applyAlignment="1">
      <alignment horizontal="left" vertical="top"/>
    </xf>
    <xf numFmtId="10" fontId="0" fillId="0" borderId="0" xfId="22" applyNumberFormat="1" applyFont="1">
      <alignment vertical="top"/>
    </xf>
    <xf numFmtId="3" fontId="12" fillId="0" borderId="3" xfId="0" applyNumberFormat="1" applyFont="1" applyBorder="1" applyAlignment="1">
      <alignment horizontal="center" vertical="top"/>
    </xf>
    <xf numFmtId="10" fontId="0" fillId="0" borderId="0" xfId="0" applyNumberFormat="1">
      <alignment vertical="top"/>
    </xf>
    <xf numFmtId="10" fontId="0" fillId="0" borderId="3" xfId="22" applyNumberFormat="1" applyFont="1" applyBorder="1">
      <alignment vertical="top"/>
    </xf>
    <xf numFmtId="179" fontId="0" fillId="0" borderId="0" xfId="0" applyNumberFormat="1">
      <alignment vertical="top"/>
    </xf>
    <xf numFmtId="37" fontId="28" fillId="0" borderId="0" xfId="0" applyNumberFormat="1" applyFont="1">
      <alignment vertical="top"/>
    </xf>
    <xf numFmtId="179" fontId="0" fillId="0" borderId="3" xfId="0" applyNumberFormat="1" applyBorder="1">
      <alignment vertical="top"/>
    </xf>
    <xf numFmtId="37" fontId="0" fillId="0" borderId="3" xfId="0" applyNumberFormat="1" applyBorder="1" applyAlignment="1">
      <alignment horizontal="center" vertical="top"/>
    </xf>
    <xf numFmtId="37" fontId="0" fillId="7" borderId="0" xfId="0" applyNumberFormat="1" applyFill="1" applyAlignment="1">
      <alignment horizontal="centerContinuous" vertical="top"/>
    </xf>
    <xf numFmtId="3" fontId="12" fillId="0" borderId="24" xfId="0" applyNumberFormat="1" applyFont="1" applyFill="1" applyBorder="1">
      <alignment vertical="top"/>
    </xf>
    <xf numFmtId="10" fontId="12" fillId="0" borderId="25" xfId="0" applyNumberFormat="1" applyFont="1" applyFill="1" applyBorder="1">
      <alignment vertical="top"/>
    </xf>
    <xf numFmtId="179" fontId="12" fillId="0" borderId="0" xfId="0" applyNumberFormat="1" applyFont="1" applyFill="1" applyBorder="1">
      <alignment vertical="top"/>
    </xf>
    <xf numFmtId="179" fontId="12" fillId="0" borderId="25" xfId="23" applyNumberFormat="1" applyFont="1" applyBorder="1">
      <alignment vertical="top"/>
    </xf>
    <xf numFmtId="3" fontId="12" fillId="0" borderId="22" xfId="0" applyNumberFormat="1" applyFont="1" applyFill="1" applyBorder="1">
      <alignment vertical="top"/>
    </xf>
    <xf numFmtId="179" fontId="12" fillId="0" borderId="18" xfId="0" applyNumberFormat="1" applyFont="1" applyFill="1" applyBorder="1">
      <alignment vertical="top"/>
    </xf>
    <xf numFmtId="179" fontId="12" fillId="0" borderId="23" xfId="23" applyNumberFormat="1" applyFont="1" applyBorder="1">
      <alignment vertical="top"/>
    </xf>
    <xf numFmtId="10" fontId="11" fillId="6" borderId="14" xfId="23" applyFont="1" applyFill="1" applyBorder="1">
      <alignment vertical="top"/>
    </xf>
    <xf numFmtId="0" fontId="17" fillId="6" borderId="21" xfId="23" applyNumberFormat="1" applyFont="1" applyFill="1" applyBorder="1" applyAlignment="1">
      <alignment horizontal="center" vertical="top"/>
    </xf>
    <xf numFmtId="0" fontId="17" fillId="6" borderId="15" xfId="23" applyNumberFormat="1" applyFont="1" applyFill="1" applyBorder="1" applyAlignment="1">
      <alignment horizontal="center" vertical="top"/>
    </xf>
    <xf numFmtId="164" fontId="12" fillId="0" borderId="3" xfId="22" applyNumberFormat="1" applyFont="1" applyFill="1" applyBorder="1">
      <alignment vertical="top"/>
    </xf>
    <xf numFmtId="39" fontId="0" fillId="0" borderId="0" xfId="0" applyNumberFormat="1">
      <alignment vertical="top"/>
    </xf>
    <xf numFmtId="37" fontId="23" fillId="0" borderId="3" xfId="0" applyNumberFormat="1" applyFont="1" applyBorder="1" applyAlignment="1">
      <alignment horizontal="center" vertical="top"/>
    </xf>
    <xf numFmtId="10" fontId="23" fillId="0" borderId="0" xfId="22" applyNumberFormat="1" applyFont="1">
      <alignment vertical="top"/>
    </xf>
    <xf numFmtId="37" fontId="0" fillId="0" borderId="14" xfId="0" applyNumberFormat="1" applyBorder="1">
      <alignment vertical="top"/>
    </xf>
    <xf numFmtId="37" fontId="0" fillId="7" borderId="21" xfId="0" applyNumberFormat="1" applyFill="1" applyBorder="1" applyAlignment="1">
      <alignment horizontal="centerContinuous" vertical="top"/>
    </xf>
    <xf numFmtId="37" fontId="0" fillId="7" borderId="15" xfId="0" applyNumberFormat="1" applyFill="1" applyBorder="1" applyAlignment="1">
      <alignment horizontal="centerContinuous" vertical="top"/>
    </xf>
    <xf numFmtId="37" fontId="0" fillId="0" borderId="24" xfId="0" applyNumberFormat="1" applyBorder="1">
      <alignment vertical="top"/>
    </xf>
    <xf numFmtId="3" fontId="12" fillId="0" borderId="29" xfId="0" applyNumberFormat="1" applyFont="1" applyBorder="1" applyAlignment="1">
      <alignment horizontal="centerContinuous" vertical="top"/>
    </xf>
    <xf numFmtId="3" fontId="12" fillId="0" borderId="30" xfId="0" applyNumberFormat="1" applyFont="1" applyBorder="1">
      <alignment vertical="top"/>
    </xf>
    <xf numFmtId="3" fontId="12" fillId="0" borderId="31" xfId="0" applyNumberFormat="1" applyFont="1" applyBorder="1" applyAlignment="1">
      <alignment horizontal="center" vertical="top"/>
    </xf>
    <xf numFmtId="10" fontId="0" fillId="0" borderId="0" xfId="22" applyNumberFormat="1" applyFont="1" applyBorder="1">
      <alignment vertical="top"/>
    </xf>
    <xf numFmtId="10" fontId="0" fillId="0" borderId="25" xfId="22" applyNumberFormat="1" applyFont="1" applyBorder="1">
      <alignment vertical="top"/>
    </xf>
    <xf numFmtId="10" fontId="0" fillId="0" borderId="31" xfId="22" applyNumberFormat="1" applyFont="1" applyBorder="1">
      <alignment vertical="top"/>
    </xf>
    <xf numFmtId="37" fontId="0" fillId="0" borderId="22" xfId="0" applyNumberFormat="1" applyBorder="1">
      <alignment vertical="top"/>
    </xf>
    <xf numFmtId="10" fontId="0" fillId="0" borderId="18" xfId="22" applyNumberFormat="1" applyFont="1" applyBorder="1">
      <alignment vertical="top"/>
    </xf>
    <xf numFmtId="10" fontId="0" fillId="0" borderId="23" xfId="22" applyNumberFormat="1" applyFont="1" applyBorder="1">
      <alignment vertical="top"/>
    </xf>
    <xf numFmtId="37" fontId="0" fillId="7" borderId="14" xfId="0" applyNumberFormat="1" applyFill="1" applyBorder="1" applyAlignment="1">
      <alignment horizontal="centerContinuous" vertical="top"/>
    </xf>
    <xf numFmtId="3" fontId="12" fillId="0" borderId="32" xfId="0" applyNumberFormat="1" applyFont="1" applyBorder="1" applyAlignment="1">
      <alignment horizontal="centerContinuous" vertical="top"/>
    </xf>
    <xf numFmtId="3" fontId="12" fillId="0" borderId="30" xfId="0" applyNumberFormat="1" applyFont="1" applyBorder="1" applyAlignment="1">
      <alignment horizontal="center" vertical="top"/>
    </xf>
    <xf numFmtId="10" fontId="0" fillId="0" borderId="24" xfId="22" applyNumberFormat="1" applyFont="1" applyBorder="1">
      <alignment vertical="top"/>
    </xf>
    <xf numFmtId="10" fontId="0" fillId="0" borderId="30" xfId="22" applyNumberFormat="1" applyFont="1" applyBorder="1">
      <alignment vertical="top"/>
    </xf>
    <xf numFmtId="10" fontId="0" fillId="0" borderId="22" xfId="22" applyNumberFormat="1" applyFont="1" applyBorder="1">
      <alignment vertical="top"/>
    </xf>
    <xf numFmtId="37" fontId="12" fillId="0" borderId="0" xfId="5" applyNumberFormat="1" applyFont="1" applyFill="1" applyBorder="1">
      <alignment vertical="top"/>
    </xf>
    <xf numFmtId="41" fontId="12" fillId="0" borderId="0" xfId="5" applyNumberFormat="1" applyFont="1" applyFill="1" applyBorder="1">
      <alignment vertical="top"/>
    </xf>
    <xf numFmtId="3" fontId="12" fillId="0" borderId="0" xfId="18" applyNumberFormat="1" applyFont="1" applyFill="1">
      <alignment vertical="top"/>
    </xf>
    <xf numFmtId="3" fontId="12" fillId="0" borderId="0" xfId="2" applyNumberFormat="1" applyFont="1" applyFill="1">
      <alignment vertical="top"/>
    </xf>
    <xf numFmtId="10" fontId="12" fillId="0" borderId="0" xfId="22" applyNumberFormat="1" applyFont="1" applyFill="1">
      <alignment vertical="top"/>
    </xf>
    <xf numFmtId="10" fontId="12" fillId="0" borderId="0" xfId="22" applyNumberFormat="1" applyFont="1" applyFill="1" applyBorder="1">
      <alignment vertical="top"/>
    </xf>
    <xf numFmtId="10" fontId="12" fillId="0" borderId="5" xfId="22" applyNumberFormat="1" applyFont="1" applyBorder="1">
      <alignment vertical="top"/>
    </xf>
    <xf numFmtId="3" fontId="12" fillId="0" borderId="0" xfId="2" applyNumberFormat="1" applyFont="1" applyBorder="1">
      <alignment vertical="top"/>
    </xf>
    <xf numFmtId="175" fontId="12" fillId="0" borderId="0" xfId="0" applyNumberFormat="1" applyFont="1" applyFill="1">
      <alignment vertical="top"/>
    </xf>
    <xf numFmtId="175" fontId="12" fillId="0" borderId="0" xfId="0" applyNumberFormat="1" applyFont="1">
      <alignment vertical="top"/>
    </xf>
    <xf numFmtId="175" fontId="11" fillId="0" borderId="0" xfId="0" applyNumberFormat="1" applyFont="1" applyBorder="1" applyAlignment="1">
      <alignment horizontal="center" vertical="top"/>
    </xf>
    <xf numFmtId="175" fontId="12" fillId="0" borderId="0" xfId="2" applyNumberFormat="1" applyFont="1" applyFill="1">
      <alignment vertical="top"/>
    </xf>
    <xf numFmtId="175" fontId="12" fillId="0" borderId="0" xfId="2" applyNumberFormat="1" applyFont="1">
      <alignment vertical="top"/>
    </xf>
    <xf numFmtId="175" fontId="12" fillId="0" borderId="3" xfId="2" applyNumberFormat="1" applyFont="1" applyBorder="1">
      <alignment vertical="top"/>
    </xf>
    <xf numFmtId="175" fontId="12" fillId="0" borderId="5" xfId="9" applyNumberFormat="1" applyFont="1" applyBorder="1">
      <alignment vertical="top"/>
    </xf>
    <xf numFmtId="175" fontId="12" fillId="0" borderId="0" xfId="9" applyNumberFormat="1" applyFont="1">
      <alignment vertical="top"/>
    </xf>
    <xf numFmtId="175" fontId="12" fillId="0" borderId="0" xfId="9" applyNumberFormat="1" applyFont="1" applyBorder="1">
      <alignment vertical="top"/>
    </xf>
    <xf numFmtId="3" fontId="12" fillId="0" borderId="3" xfId="2" applyNumberFormat="1" applyFont="1" applyFill="1" applyBorder="1">
      <alignment vertical="top"/>
    </xf>
    <xf numFmtId="3" fontId="12" fillId="0" borderId="3" xfId="2" applyNumberFormat="1" applyFont="1" applyBorder="1">
      <alignment vertical="top"/>
    </xf>
    <xf numFmtId="3" fontId="12" fillId="0" borderId="0" xfId="9" applyNumberFormat="1" applyFont="1">
      <alignment vertical="top"/>
    </xf>
    <xf numFmtId="175" fontId="12" fillId="0" borderId="0" xfId="2" applyNumberFormat="1" applyFont="1" applyBorder="1">
      <alignment vertical="top"/>
    </xf>
    <xf numFmtId="3" fontId="12" fillId="0" borderId="0" xfId="19" applyNumberFormat="1" applyFont="1" applyFill="1">
      <alignment vertical="top"/>
    </xf>
    <xf numFmtId="37" fontId="12" fillId="0" borderId="0" xfId="19" applyNumberFormat="1" applyFont="1" applyFill="1">
      <alignment vertical="top"/>
    </xf>
    <xf numFmtId="3" fontId="11" fillId="0" borderId="0" xfId="0" applyNumberFormat="1" applyFont="1">
      <alignment vertical="top"/>
    </xf>
    <xf numFmtId="3" fontId="12" fillId="0" borderId="0" xfId="0" applyNumberFormat="1" applyFont="1">
      <alignment vertical="top"/>
    </xf>
    <xf numFmtId="3" fontId="12" fillId="0" borderId="0" xfId="0" applyNumberFormat="1" applyFont="1" applyBorder="1">
      <alignment vertical="top"/>
    </xf>
    <xf numFmtId="3" fontId="12" fillId="0" borderId="0" xfId="0" applyNumberFormat="1" applyFont="1" applyFill="1">
      <alignment vertical="top"/>
    </xf>
    <xf numFmtId="3" fontId="12" fillId="0" borderId="11" xfId="0" applyNumberFormat="1" applyFont="1" applyBorder="1">
      <alignment vertical="top"/>
    </xf>
    <xf numFmtId="1" fontId="11" fillId="0" borderId="10" xfId="0" quotePrefix="1" applyNumberFormat="1" applyFont="1" applyBorder="1" applyAlignment="1">
      <alignment horizontal="left" vertical="top"/>
    </xf>
    <xf numFmtId="41" fontId="12" fillId="0" borderId="0" xfId="5" applyNumberFormat="1" applyFont="1" applyFill="1">
      <alignment vertical="top"/>
    </xf>
    <xf numFmtId="3" fontId="11" fillId="0" borderId="16" xfId="0" applyNumberFormat="1" applyFont="1" applyBorder="1">
      <alignment vertical="top"/>
    </xf>
    <xf numFmtId="3" fontId="11" fillId="0" borderId="6" xfId="0" applyNumberFormat="1" applyFont="1" applyBorder="1">
      <alignment vertical="top"/>
    </xf>
    <xf numFmtId="5" fontId="11" fillId="0" borderId="17" xfId="7" applyNumberFormat="1" applyFont="1" applyBorder="1">
      <alignment vertical="top"/>
    </xf>
    <xf numFmtId="3" fontId="11" fillId="0" borderId="17" xfId="0" applyNumberFormat="1" applyFont="1" applyBorder="1">
      <alignment vertical="top"/>
    </xf>
    <xf numFmtId="0" fontId="12" fillId="0" borderId="6" xfId="0" applyNumberFormat="1" applyFont="1" applyBorder="1" applyAlignment="1">
      <alignment horizontal="center" vertical="top"/>
    </xf>
    <xf numFmtId="1" fontId="11" fillId="0" borderId="0" xfId="0" applyNumberFormat="1" applyFont="1" applyAlignment="1">
      <alignment horizontal="center" vertical="top"/>
    </xf>
    <xf numFmtId="3" fontId="27" fillId="0" borderId="0" xfId="0" applyNumberFormat="1" applyFont="1" applyFill="1" applyAlignment="1">
      <alignment horizontal="center" vertical="top"/>
    </xf>
    <xf numFmtId="0" fontId="11" fillId="0" borderId="0" xfId="0" quotePrefix="1" applyFont="1" applyFill="1" applyAlignment="1">
      <alignment horizontal="left"/>
    </xf>
    <xf numFmtId="3" fontId="12" fillId="0" borderId="5" xfId="0" applyNumberFormat="1" applyFont="1" applyFill="1" applyBorder="1">
      <alignment vertical="top"/>
    </xf>
    <xf numFmtId="3" fontId="12" fillId="0" borderId="0" xfId="0" quotePrefix="1" applyNumberFormat="1" applyFont="1" applyFill="1">
      <alignment vertical="top"/>
    </xf>
    <xf numFmtId="165" fontId="12" fillId="0" borderId="0" xfId="22" applyNumberFormat="1" applyFont="1" applyFill="1" applyBorder="1">
      <alignment vertical="top"/>
    </xf>
    <xf numFmtId="3" fontId="11" fillId="0" borderId="0" xfId="0" quotePrefix="1" applyNumberFormat="1" applyFont="1" applyFill="1" applyAlignment="1">
      <alignment horizontal="left" vertical="top"/>
    </xf>
    <xf numFmtId="3" fontId="11" fillId="0" borderId="0" xfId="0" applyNumberFormat="1" applyFont="1" applyFill="1" applyAlignment="1">
      <alignment horizontal="left" vertical="top"/>
    </xf>
    <xf numFmtId="0" fontId="11" fillId="0" borderId="0" xfId="3434" applyFont="1" applyFill="1" applyAlignment="1">
      <alignment horizontal="center"/>
    </xf>
    <xf numFmtId="0" fontId="11" fillId="0" borderId="0" xfId="3434" applyFont="1" applyFill="1"/>
    <xf numFmtId="0" fontId="11" fillId="0" borderId="3" xfId="3434" applyFont="1" applyFill="1" applyBorder="1" applyAlignment="1">
      <alignment horizontal="center"/>
    </xf>
    <xf numFmtId="0" fontId="11" fillId="0" borderId="0" xfId="3434" applyFont="1" applyFill="1" applyBorder="1"/>
    <xf numFmtId="3" fontId="11" fillId="0" borderId="0" xfId="0" applyNumberFormat="1" applyFont="1" applyFill="1" applyBorder="1" applyAlignment="1">
      <alignment horizontal="center" vertical="top"/>
    </xf>
    <xf numFmtId="3" fontId="11" fillId="0" borderId="0" xfId="20" applyNumberFormat="1" applyFont="1" applyFill="1" applyAlignment="1">
      <alignment vertical="center"/>
    </xf>
    <xf numFmtId="0" fontId="12" fillId="0" borderId="0" xfId="20" applyFont="1" applyFill="1" applyAlignment="1">
      <alignment vertical="center"/>
    </xf>
    <xf numFmtId="3" fontId="11" fillId="0" borderId="0" xfId="20" quotePrefix="1" applyNumberFormat="1" applyFont="1" applyFill="1" applyAlignment="1">
      <alignment horizontal="left" vertical="center"/>
    </xf>
    <xf numFmtId="167" fontId="11" fillId="0" borderId="0" xfId="20" applyNumberFormat="1" applyFont="1" applyFill="1" applyAlignment="1" applyProtection="1">
      <alignment vertical="center"/>
    </xf>
    <xf numFmtId="169" fontId="12" fillId="0" borderId="0" xfId="20" applyNumberFormat="1" applyFont="1" applyFill="1" applyAlignment="1" applyProtection="1">
      <alignment vertical="center"/>
    </xf>
    <xf numFmtId="170" fontId="11" fillId="0" borderId="0" xfId="20" applyNumberFormat="1" applyFont="1" applyFill="1" applyAlignment="1" applyProtection="1">
      <alignment vertical="center"/>
    </xf>
    <xf numFmtId="0" fontId="11" fillId="0" borderId="0" xfId="20" applyFont="1" applyFill="1" applyAlignment="1">
      <alignment horizontal="center" vertical="center"/>
    </xf>
    <xf numFmtId="167" fontId="11" fillId="0" borderId="18" xfId="0" applyNumberFormat="1" applyFont="1" applyFill="1" applyBorder="1" applyAlignment="1" applyProtection="1">
      <alignment horizontal="left" vertical="center"/>
    </xf>
    <xf numFmtId="170" fontId="11" fillId="0" borderId="18" xfId="20" applyNumberFormat="1" applyFont="1" applyFill="1" applyBorder="1" applyAlignment="1" applyProtection="1">
      <alignment vertical="center"/>
    </xf>
    <xf numFmtId="0" fontId="12" fillId="0" borderId="18" xfId="20" applyFont="1" applyFill="1" applyBorder="1" applyAlignment="1">
      <alignment vertical="center"/>
    </xf>
    <xf numFmtId="169" fontId="12" fillId="0" borderId="18" xfId="20" applyNumberFormat="1" applyFont="1" applyFill="1" applyBorder="1" applyAlignment="1" applyProtection="1">
      <alignment vertical="center"/>
    </xf>
    <xf numFmtId="167" fontId="11" fillId="0" borderId="0" xfId="20" applyNumberFormat="1" applyFont="1" applyFill="1" applyAlignment="1" applyProtection="1">
      <alignment horizontal="center" vertical="center"/>
    </xf>
    <xf numFmtId="0" fontId="12" fillId="0" borderId="0" xfId="20" applyFont="1" applyFill="1" applyAlignment="1">
      <alignment horizontal="center" vertical="center"/>
    </xf>
    <xf numFmtId="4" fontId="12" fillId="0" borderId="0" xfId="4" applyFont="1" applyFill="1" applyAlignment="1">
      <alignment horizontal="center" vertical="center"/>
    </xf>
    <xf numFmtId="169" fontId="12" fillId="0" borderId="0" xfId="20" applyNumberFormat="1" applyFont="1" applyFill="1" applyAlignment="1" applyProtection="1">
      <alignment horizontal="center" vertical="center"/>
    </xf>
    <xf numFmtId="167" fontId="12" fillId="0" borderId="0" xfId="20" applyNumberFormat="1" applyFont="1" applyFill="1" applyAlignment="1" applyProtection="1">
      <alignment horizontal="left" vertical="center"/>
    </xf>
    <xf numFmtId="4" fontId="11" fillId="0" borderId="0" xfId="4" applyFont="1" applyFill="1" applyAlignment="1" applyProtection="1">
      <alignment horizontal="left" vertical="center"/>
    </xf>
    <xf numFmtId="171" fontId="11" fillId="0" borderId="0" xfId="4" applyNumberFormat="1" applyFont="1" applyFill="1" applyAlignment="1" applyProtection="1">
      <alignment horizontal="center" vertical="center"/>
    </xf>
    <xf numFmtId="169" fontId="11" fillId="0" borderId="0" xfId="20" applyNumberFormat="1" applyFont="1" applyFill="1" applyAlignment="1" applyProtection="1">
      <alignment horizontal="center" vertical="center"/>
    </xf>
    <xf numFmtId="167" fontId="11" fillId="0" borderId="0" xfId="0" applyNumberFormat="1" applyFont="1" applyFill="1" applyBorder="1" applyAlignment="1" applyProtection="1">
      <alignment horizontal="center" vertical="center"/>
    </xf>
    <xf numFmtId="167" fontId="12" fillId="0" borderId="19" xfId="20" applyNumberFormat="1" applyFont="1" applyFill="1" applyBorder="1" applyAlignment="1" applyProtection="1">
      <alignment vertical="center"/>
    </xf>
    <xf numFmtId="167" fontId="11" fillId="0" borderId="19" xfId="20" applyNumberFormat="1" applyFont="1" applyFill="1" applyBorder="1" applyAlignment="1" applyProtection="1">
      <alignment horizontal="center" vertical="center"/>
    </xf>
    <xf numFmtId="167" fontId="11" fillId="0" borderId="3" xfId="0" applyNumberFormat="1" applyFont="1" applyFill="1" applyBorder="1" applyAlignment="1" applyProtection="1">
      <alignment horizontal="center" vertical="center"/>
    </xf>
    <xf numFmtId="0" fontId="11" fillId="0" borderId="0" xfId="2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167" fontId="11" fillId="0" borderId="0" xfId="0" applyNumberFormat="1" applyFont="1" applyFill="1" applyAlignment="1" applyProtection="1">
      <alignment horizontal="left" vertical="center"/>
    </xf>
    <xf numFmtId="37" fontId="12" fillId="0" borderId="0" xfId="0" applyNumberFormat="1" applyFont="1" applyFill="1" applyAlignment="1" applyProtection="1">
      <alignment vertical="center"/>
    </xf>
    <xf numFmtId="167" fontId="11" fillId="0" borderId="20" xfId="0" applyNumberFormat="1" applyFont="1" applyFill="1" applyBorder="1" applyAlignment="1" applyProtection="1">
      <alignment vertical="center"/>
    </xf>
    <xf numFmtId="167" fontId="12" fillId="0" borderId="20" xfId="0" applyNumberFormat="1" applyFont="1" applyFill="1" applyBorder="1" applyAlignment="1" applyProtection="1">
      <alignment vertical="center"/>
    </xf>
    <xf numFmtId="167" fontId="11" fillId="0" borderId="0" xfId="0" applyNumberFormat="1" applyFont="1" applyFill="1" applyAlignment="1" applyProtection="1">
      <alignment vertical="center"/>
    </xf>
    <xf numFmtId="167" fontId="11" fillId="0" borderId="0" xfId="0" applyNumberFormat="1" applyFont="1" applyFill="1" applyBorder="1" applyAlignment="1" applyProtection="1">
      <alignment vertical="center"/>
    </xf>
    <xf numFmtId="167" fontId="17" fillId="0" borderId="0" xfId="0" applyNumberFormat="1" applyFont="1" applyFill="1" applyAlignment="1" applyProtection="1">
      <alignment horizontal="left" vertical="center"/>
    </xf>
    <xf numFmtId="5" fontId="12" fillId="0" borderId="0" xfId="0" applyNumberFormat="1" applyFont="1" applyFill="1" applyBorder="1" applyAlignment="1" applyProtection="1">
      <alignment vertical="center"/>
    </xf>
    <xf numFmtId="3" fontId="12" fillId="0" borderId="0" xfId="0" applyNumberFormat="1" applyFont="1" applyFill="1" applyBorder="1" applyAlignment="1">
      <alignment vertical="center"/>
    </xf>
    <xf numFmtId="5" fontId="12" fillId="0" borderId="0" xfId="7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3" fontId="12" fillId="0" borderId="66" xfId="0" applyNumberFormat="1" applyFont="1" applyFill="1" applyBorder="1" applyAlignment="1">
      <alignment vertical="center"/>
    </xf>
    <xf numFmtId="5" fontId="12" fillId="0" borderId="66" xfId="7" applyNumberFormat="1" applyFont="1" applyFill="1" applyBorder="1" applyAlignment="1">
      <alignment vertical="center"/>
    </xf>
    <xf numFmtId="6" fontId="12" fillId="0" borderId="0" xfId="0" applyNumberFormat="1" applyFont="1" applyFill="1" applyAlignment="1">
      <alignment vertical="center"/>
    </xf>
    <xf numFmtId="172" fontId="12" fillId="0" borderId="0" xfId="7" applyNumberFormat="1" applyFont="1" applyFill="1" applyAlignment="1">
      <alignment vertical="center"/>
    </xf>
    <xf numFmtId="177" fontId="12" fillId="0" borderId="0" xfId="2" applyNumberFormat="1" applyFont="1" applyFill="1" applyAlignment="1">
      <alignment vertical="center"/>
    </xf>
    <xf numFmtId="0" fontId="12" fillId="0" borderId="18" xfId="0" applyFont="1" applyFill="1" applyBorder="1" applyAlignment="1">
      <alignment vertical="center"/>
    </xf>
    <xf numFmtId="173" fontId="12" fillId="0" borderId="18" xfId="0" applyNumberFormat="1" applyFont="1" applyFill="1" applyBorder="1" applyAlignment="1" applyProtection="1">
      <alignment vertical="center"/>
    </xf>
    <xf numFmtId="37" fontId="12" fillId="0" borderId="18" xfId="0" applyNumberFormat="1" applyFont="1" applyFill="1" applyBorder="1" applyAlignment="1">
      <alignment vertical="center"/>
    </xf>
    <xf numFmtId="167" fontId="11" fillId="0" borderId="0" xfId="0" applyNumberFormat="1" applyFont="1" applyFill="1" applyAlignment="1" applyProtection="1">
      <alignment horizontal="center" vertical="center"/>
    </xf>
    <xf numFmtId="5" fontId="11" fillId="0" borderId="0" xfId="0" applyNumberFormat="1" applyFont="1" applyFill="1" applyAlignment="1" applyProtection="1">
      <alignment horizontal="center" vertical="center"/>
    </xf>
    <xf numFmtId="167" fontId="11" fillId="0" borderId="19" xfId="0" applyNumberFormat="1" applyFont="1" applyFill="1" applyBorder="1" applyAlignment="1" applyProtection="1">
      <alignment horizontal="center" vertical="center"/>
    </xf>
    <xf numFmtId="5" fontId="11" fillId="0" borderId="19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vertical="center"/>
    </xf>
    <xf numFmtId="167" fontId="12" fillId="0" borderId="0" xfId="0" applyNumberFormat="1" applyFont="1" applyFill="1" applyAlignment="1" applyProtection="1">
      <alignment vertical="center"/>
    </xf>
    <xf numFmtId="37" fontId="12" fillId="0" borderId="0" xfId="0" applyNumberFormat="1" applyFont="1" applyFill="1" applyBorder="1" applyAlignment="1" applyProtection="1">
      <alignment vertical="center"/>
    </xf>
    <xf numFmtId="169" fontId="12" fillId="0" borderId="0" xfId="0" applyNumberFormat="1" applyFont="1" applyFill="1" applyBorder="1" applyAlignment="1" applyProtection="1">
      <alignment vertical="center"/>
    </xf>
    <xf numFmtId="0" fontId="17" fillId="0" borderId="0" xfId="3434" applyFont="1" applyFill="1" applyBorder="1"/>
    <xf numFmtId="0" fontId="11" fillId="0" borderId="0" xfId="3434" applyFont="1" applyFill="1" applyBorder="1" applyAlignment="1">
      <alignment horizontal="left"/>
    </xf>
    <xf numFmtId="0" fontId="11" fillId="0" borderId="0" xfId="3434" quotePrefix="1" applyFont="1" applyFill="1" applyBorder="1" applyAlignment="1">
      <alignment horizontal="left"/>
    </xf>
    <xf numFmtId="176" fontId="12" fillId="0" borderId="0" xfId="7" applyNumberFormat="1" applyFont="1" applyFill="1" applyBorder="1" applyAlignment="1"/>
    <xf numFmtId="10" fontId="12" fillId="0" borderId="0" xfId="22" applyNumberFormat="1" applyFont="1" applyFill="1" applyBorder="1" applyAlignment="1"/>
    <xf numFmtId="10" fontId="111" fillId="0" borderId="0" xfId="22" applyNumberFormat="1" applyFont="1" applyFill="1" applyBorder="1" applyAlignment="1"/>
    <xf numFmtId="0" fontId="11" fillId="0" borderId="0" xfId="0" applyFont="1" applyFill="1" applyBorder="1">
      <alignment vertical="top"/>
    </xf>
    <xf numFmtId="37" fontId="12" fillId="0" borderId="0" xfId="2" applyNumberFormat="1" applyFont="1" applyFill="1" applyBorder="1">
      <alignment vertical="top"/>
    </xf>
    <xf numFmtId="176" fontId="12" fillId="0" borderId="68" xfId="7" applyNumberFormat="1" applyFont="1" applyFill="1" applyBorder="1" applyAlignment="1"/>
    <xf numFmtId="5" fontId="12" fillId="0" borderId="0" xfId="7" applyNumberFormat="1" applyFont="1" applyFill="1" applyAlignment="1" applyProtection="1">
      <alignment vertical="center"/>
    </xf>
    <xf numFmtId="10" fontId="12" fillId="0" borderId="0" xfId="22" applyFont="1" applyFill="1" applyAlignment="1">
      <alignment vertical="center"/>
    </xf>
    <xf numFmtId="174" fontId="12" fillId="0" borderId="0" xfId="0" applyNumberFormat="1" applyFont="1" applyFill="1" applyAlignment="1" applyProtection="1">
      <alignment vertical="center"/>
    </xf>
    <xf numFmtId="169" fontId="12" fillId="0" borderId="0" xfId="0" applyNumberFormat="1" applyFont="1" applyFill="1" applyAlignment="1" applyProtection="1">
      <alignment vertical="center"/>
    </xf>
    <xf numFmtId="5" fontId="12" fillId="0" borderId="0" xfId="0" applyNumberFormat="1" applyFont="1" applyFill="1" applyAlignment="1" applyProtection="1">
      <alignment vertical="center"/>
    </xf>
    <xf numFmtId="167" fontId="12" fillId="0" borderId="3" xfId="0" applyNumberFormat="1" applyFont="1" applyFill="1" applyBorder="1" applyAlignment="1" applyProtection="1">
      <alignment vertical="center"/>
    </xf>
    <xf numFmtId="5" fontId="12" fillId="0" borderId="5" xfId="7" applyNumberFormat="1" applyFont="1" applyFill="1" applyBorder="1" applyAlignment="1">
      <alignment vertical="center"/>
    </xf>
    <xf numFmtId="0" fontId="12" fillId="0" borderId="6" xfId="0" applyNumberFormat="1" applyFont="1" applyFill="1" applyBorder="1" applyAlignment="1">
      <alignment horizontal="center" vertical="top"/>
    </xf>
    <xf numFmtId="0" fontId="11" fillId="0" borderId="0" xfId="0" applyFont="1" applyFill="1">
      <alignment vertical="top"/>
    </xf>
    <xf numFmtId="3" fontId="11" fillId="0" borderId="0" xfId="0" applyNumberFormat="1" applyFont="1" applyFill="1" applyAlignment="1">
      <alignment horizontal="left" vertical="top" indent="1"/>
    </xf>
    <xf numFmtId="3" fontId="11" fillId="0" borderId="26" xfId="0" applyNumberFormat="1" applyFont="1" applyBorder="1">
      <alignment vertical="top"/>
    </xf>
    <xf numFmtId="3" fontId="11" fillId="0" borderId="27" xfId="0" applyNumberFormat="1" applyFont="1" applyBorder="1">
      <alignment vertical="top"/>
    </xf>
    <xf numFmtId="3" fontId="12" fillId="0" borderId="3" xfId="0" applyNumberFormat="1" applyFont="1" applyFill="1" applyBorder="1">
      <alignment vertical="top"/>
    </xf>
    <xf numFmtId="3" fontId="12" fillId="0" borderId="0" xfId="9" applyNumberFormat="1" applyFont="1" applyFill="1">
      <alignment vertical="top"/>
    </xf>
    <xf numFmtId="3" fontId="12" fillId="0" borderId="0" xfId="0" applyNumberFormat="1" applyFont="1" applyFill="1" applyProtection="1">
      <alignment vertical="top"/>
      <protection locked="0"/>
    </xf>
    <xf numFmtId="3" fontId="12" fillId="0" borderId="0" xfId="19" quotePrefix="1" applyNumberFormat="1" applyFont="1" applyFill="1">
      <alignment vertical="top"/>
    </xf>
    <xf numFmtId="37" fontId="12" fillId="0" borderId="0" xfId="19" quotePrefix="1" applyNumberFormat="1" applyFont="1" applyFill="1">
      <alignment vertical="top"/>
    </xf>
    <xf numFmtId="0" fontId="12" fillId="0" borderId="0" xfId="19" applyNumberFormat="1" applyFont="1" applyFill="1" applyAlignment="1">
      <alignment horizontal="center" vertical="top"/>
    </xf>
    <xf numFmtId="17" fontId="12" fillId="0" borderId="0" xfId="19" applyNumberFormat="1" applyFont="1" applyFill="1" applyAlignment="1">
      <alignment horizontal="center" vertical="top"/>
    </xf>
    <xf numFmtId="3" fontId="12" fillId="0" borderId="0" xfId="19" applyNumberFormat="1" applyFont="1" applyFill="1" applyAlignment="1">
      <alignment horizontal="center" vertical="top"/>
    </xf>
    <xf numFmtId="37" fontId="12" fillId="0" borderId="0" xfId="8297" applyNumberFormat="1" applyFont="1" applyFill="1">
      <alignment vertical="top"/>
    </xf>
    <xf numFmtId="37" fontId="11" fillId="0" borderId="68" xfId="5" applyNumberFormat="1" applyFont="1" applyFill="1" applyBorder="1">
      <alignment vertical="top"/>
    </xf>
    <xf numFmtId="3" fontId="12" fillId="0" borderId="18" xfId="19" applyNumberFormat="1" applyFont="1" applyFill="1" applyBorder="1">
      <alignment vertical="top"/>
    </xf>
    <xf numFmtId="3" fontId="95" fillId="0" borderId="0" xfId="0" applyNumberFormat="1" applyFont="1">
      <alignment vertical="top"/>
    </xf>
    <xf numFmtId="37" fontId="12" fillId="0" borderId="0" xfId="2" applyNumberFormat="1" applyFont="1" applyFill="1" applyAlignment="1"/>
    <xf numFmtId="3" fontId="12" fillId="0" borderId="0" xfId="8297" applyNumberFormat="1" applyFont="1" applyFill="1">
      <alignment vertical="top"/>
    </xf>
    <xf numFmtId="168" fontId="12" fillId="0" borderId="0" xfId="2" applyNumberFormat="1" applyFont="1" applyFill="1" applyAlignment="1"/>
    <xf numFmtId="3" fontId="11" fillId="0" borderId="0" xfId="17" applyNumberFormat="1" applyFont="1" applyFill="1" applyAlignment="1">
      <alignment horizontal="center"/>
    </xf>
    <xf numFmtId="17" fontId="12" fillId="0" borderId="0" xfId="17" applyNumberFormat="1" applyFont="1" applyFill="1" applyAlignment="1">
      <alignment horizontal="center"/>
    </xf>
    <xf numFmtId="37" fontId="95" fillId="0" borderId="0" xfId="0" applyNumberFormat="1" applyFont="1" applyFill="1" applyBorder="1">
      <alignment vertical="top"/>
    </xf>
    <xf numFmtId="3" fontId="11" fillId="0" borderId="0" xfId="2" applyNumberFormat="1" applyFont="1" applyFill="1">
      <alignment vertical="top"/>
    </xf>
    <xf numFmtId="166" fontId="12" fillId="0" borderId="0" xfId="22" applyNumberFormat="1" applyFont="1" applyFill="1" applyBorder="1">
      <alignment vertical="top"/>
    </xf>
    <xf numFmtId="3" fontId="12" fillId="0" borderId="0" xfId="2" applyNumberFormat="1" applyFont="1" applyBorder="1" applyAlignment="1">
      <alignment horizontal="center" vertical="top"/>
    </xf>
    <xf numFmtId="5" fontId="12" fillId="0" borderId="0" xfId="2" applyNumberFormat="1" applyFont="1" applyBorder="1">
      <alignment vertical="top"/>
    </xf>
    <xf numFmtId="37" fontId="12" fillId="0" borderId="0" xfId="2" applyNumberFormat="1" applyFont="1" applyBorder="1">
      <alignment vertical="top"/>
    </xf>
    <xf numFmtId="37" fontId="12" fillId="0" borderId="0" xfId="2" applyNumberFormat="1" applyFont="1" applyBorder="1" applyAlignment="1">
      <alignment horizontal="right" vertical="top"/>
    </xf>
    <xf numFmtId="3" fontId="12" fillId="0" borderId="0" xfId="2" applyNumberFormat="1" applyFont="1" applyFill="1" applyBorder="1">
      <alignment vertical="top"/>
    </xf>
    <xf numFmtId="3" fontId="12" fillId="0" borderId="0" xfId="2" applyNumberFormat="1" applyFont="1" applyBorder="1" applyAlignment="1">
      <alignment horizontal="right" vertical="top"/>
    </xf>
    <xf numFmtId="5" fontId="12" fillId="0" borderId="0" xfId="2" applyNumberFormat="1" applyFont="1" applyBorder="1" applyAlignment="1">
      <alignment horizontal="right" vertical="top"/>
    </xf>
    <xf numFmtId="0" fontId="11" fillId="0" borderId="0" xfId="0" quotePrefix="1" applyFont="1" applyFill="1" applyAlignment="1">
      <alignment horizontal="left" vertical="top" indent="2"/>
    </xf>
    <xf numFmtId="3" fontId="12" fillId="0" borderId="0" xfId="8286" applyFont="1" applyFill="1">
      <alignment vertical="top"/>
    </xf>
    <xf numFmtId="3" fontId="12" fillId="0" borderId="3" xfId="5" applyFont="1" applyBorder="1">
      <alignment vertical="top"/>
    </xf>
    <xf numFmtId="3" fontId="12" fillId="0" borderId="3" xfId="5" applyFont="1" applyFill="1" applyBorder="1">
      <alignment vertical="top"/>
    </xf>
    <xf numFmtId="3" fontId="12" fillId="0" borderId="0" xfId="5" applyFont="1" applyBorder="1">
      <alignment vertical="top"/>
    </xf>
    <xf numFmtId="3" fontId="12" fillId="0" borderId="0" xfId="0" applyNumberFormat="1" applyFont="1" applyFill="1" applyBorder="1" applyAlignment="1" applyProtection="1">
      <alignment vertical="top"/>
    </xf>
    <xf numFmtId="3" fontId="12" fillId="0" borderId="3" xfId="8286" applyFont="1" applyFill="1" applyBorder="1">
      <alignment vertical="top"/>
    </xf>
    <xf numFmtId="3" fontId="12" fillId="0" borderId="0" xfId="5" applyFont="1" applyFill="1" applyAlignment="1">
      <alignment horizontal="right" vertical="top"/>
    </xf>
    <xf numFmtId="3" fontId="12" fillId="0" borderId="0" xfId="5" applyFont="1" applyFill="1" applyAlignment="1">
      <alignment vertical="top"/>
    </xf>
    <xf numFmtId="3" fontId="12" fillId="0" borderId="0" xfId="8286" applyFont="1" applyFill="1" applyBorder="1">
      <alignment vertical="top"/>
    </xf>
    <xf numFmtId="0" fontId="11" fillId="0" borderId="0" xfId="0" quotePrefix="1" applyFont="1" applyAlignment="1">
      <alignment horizontal="left" vertical="top"/>
    </xf>
    <xf numFmtId="4" fontId="12" fillId="0" borderId="0" xfId="0" applyNumberFormat="1" applyFont="1" applyFill="1" applyBorder="1" applyAlignment="1" applyProtection="1">
      <alignment vertical="top"/>
    </xf>
    <xf numFmtId="3" fontId="12" fillId="0" borderId="0" xfId="5" applyFont="1" applyFill="1" applyBorder="1">
      <alignment vertical="top"/>
    </xf>
    <xf numFmtId="168" fontId="12" fillId="0" borderId="0" xfId="2" applyNumberFormat="1" applyFont="1" applyAlignment="1"/>
    <xf numFmtId="168" fontId="12" fillId="0" borderId="0" xfId="2" applyNumberFormat="1" applyFont="1" applyAlignment="1">
      <alignment horizontal="right" vertical="top"/>
    </xf>
    <xf numFmtId="0" fontId="12" fillId="0" borderId="0" xfId="0" applyFont="1" applyBorder="1">
      <alignment vertical="top"/>
    </xf>
    <xf numFmtId="10" fontId="12" fillId="0" borderId="0" xfId="0" applyNumberFormat="1" applyFont="1" applyFill="1">
      <alignment vertical="top"/>
    </xf>
    <xf numFmtId="10" fontId="12" fillId="0" borderId="3" xfId="0" applyNumberFormat="1" applyFont="1" applyFill="1" applyBorder="1">
      <alignment vertical="top"/>
    </xf>
    <xf numFmtId="10" fontId="12" fillId="0" borderId="3" xfId="22" applyNumberFormat="1" applyFont="1" applyFill="1" applyBorder="1">
      <alignment vertical="top"/>
    </xf>
    <xf numFmtId="3" fontId="12" fillId="0" borderId="0" xfId="8286" quotePrefix="1" applyFont="1" applyFill="1">
      <alignment vertical="top"/>
    </xf>
    <xf numFmtId="0" fontId="12" fillId="0" borderId="0" xfId="0" applyFont="1" applyAlignment="1">
      <alignment horizontal="center" vertical="top"/>
    </xf>
    <xf numFmtId="164" fontId="12" fillId="0" borderId="0" xfId="22" applyNumberFormat="1" applyFont="1" applyAlignment="1">
      <alignment horizontal="right" vertical="top"/>
    </xf>
    <xf numFmtId="10" fontId="12" fillId="0" borderId="0" xfId="22" applyFont="1" applyFill="1" applyBorder="1" applyAlignment="1" applyProtection="1">
      <alignment vertical="top"/>
    </xf>
    <xf numFmtId="10" fontId="12" fillId="0" borderId="0" xfId="22" applyNumberFormat="1" applyFont="1" applyAlignment="1">
      <alignment horizontal="right" vertical="top"/>
    </xf>
    <xf numFmtId="164" fontId="12" fillId="0" borderId="0" xfId="22" applyNumberFormat="1" applyFont="1" applyFill="1" applyBorder="1" applyAlignment="1" applyProtection="1">
      <alignment vertical="top"/>
    </xf>
    <xf numFmtId="5" fontId="12" fillId="0" borderId="11" xfId="7" applyNumberFormat="1" applyFont="1" applyFill="1" applyBorder="1">
      <alignment vertical="top"/>
    </xf>
    <xf numFmtId="3" fontId="11" fillId="0" borderId="28" xfId="0" applyNumberFormat="1" applyFont="1" applyFill="1" applyBorder="1">
      <alignment vertical="top"/>
    </xf>
    <xf numFmtId="37" fontId="11" fillId="0" borderId="0" xfId="0" applyNumberFormat="1" applyFont="1" applyFill="1">
      <alignment vertical="top"/>
    </xf>
    <xf numFmtId="3" fontId="18" fillId="0" borderId="0" xfId="0" applyNumberFormat="1" applyFont="1" applyFill="1" applyAlignment="1">
      <alignment horizontal="center"/>
    </xf>
    <xf numFmtId="37" fontId="12" fillId="0" borderId="26" xfId="0" applyNumberFormat="1" applyFont="1" applyFill="1" applyBorder="1">
      <alignment vertical="top"/>
    </xf>
    <xf numFmtId="37" fontId="12" fillId="0" borderId="27" xfId="0" applyNumberFormat="1" applyFont="1" applyFill="1" applyBorder="1">
      <alignment vertical="top"/>
    </xf>
    <xf numFmtId="10" fontId="12" fillId="0" borderId="28" xfId="26" applyNumberFormat="1" applyFont="1" applyFill="1" applyBorder="1">
      <alignment vertical="top"/>
    </xf>
    <xf numFmtId="10" fontId="12" fillId="0" borderId="0" xfId="26" applyNumberFormat="1" applyFont="1" applyFill="1" applyBorder="1">
      <alignment vertical="top"/>
    </xf>
    <xf numFmtId="37" fontId="11" fillId="0" borderId="3" xfId="0" applyNumberFormat="1" applyFont="1" applyFill="1" applyBorder="1">
      <alignment vertical="top"/>
    </xf>
    <xf numFmtId="37" fontId="12" fillId="0" borderId="0" xfId="0" applyNumberFormat="1" applyFont="1" applyFill="1" applyAlignment="1">
      <alignment horizontal="center" vertical="top"/>
    </xf>
    <xf numFmtId="37" fontId="11" fillId="0" borderId="0" xfId="0" quotePrefix="1" applyNumberFormat="1" applyFont="1" applyFill="1">
      <alignment vertical="top"/>
    </xf>
    <xf numFmtId="0" fontId="12" fillId="0" borderId="0" xfId="0" applyNumberFormat="1" applyFont="1" applyFill="1" applyAlignment="1">
      <alignment horizontal="center" vertical="top"/>
    </xf>
    <xf numFmtId="37" fontId="12" fillId="0" borderId="3" xfId="0" applyNumberFormat="1" applyFont="1" applyFill="1" applyBorder="1" applyAlignment="1">
      <alignment horizontal="center" vertical="top"/>
    </xf>
    <xf numFmtId="0" fontId="12" fillId="0" borderId="3" xfId="0" applyNumberFormat="1" applyFont="1" applyFill="1" applyBorder="1" applyAlignment="1">
      <alignment horizontal="center" vertical="top"/>
    </xf>
    <xf numFmtId="37" fontId="12" fillId="0" borderId="14" xfId="0" applyNumberFormat="1" applyFont="1" applyFill="1" applyBorder="1">
      <alignment vertical="top"/>
    </xf>
    <xf numFmtId="37" fontId="12" fillId="0" borderId="21" xfId="0" applyNumberFormat="1" applyFont="1" applyFill="1" applyBorder="1">
      <alignment vertical="top"/>
    </xf>
    <xf numFmtId="37" fontId="12" fillId="0" borderId="15" xfId="0" applyNumberFormat="1" applyFont="1" applyFill="1" applyBorder="1">
      <alignment vertical="top"/>
    </xf>
    <xf numFmtId="37" fontId="11" fillId="0" borderId="24" xfId="0" applyNumberFormat="1" applyFont="1" applyFill="1" applyBorder="1">
      <alignment vertical="top"/>
    </xf>
    <xf numFmtId="37" fontId="11" fillId="0" borderId="5" xfId="0" applyNumberFormat="1" applyFont="1" applyFill="1" applyBorder="1">
      <alignment vertical="top"/>
    </xf>
    <xf numFmtId="37" fontId="11" fillId="0" borderId="39" xfId="0" applyNumberFormat="1" applyFont="1" applyFill="1" applyBorder="1">
      <alignment vertical="top"/>
    </xf>
    <xf numFmtId="37" fontId="11" fillId="0" borderId="0" xfId="0" applyNumberFormat="1" applyFont="1" applyFill="1" applyBorder="1">
      <alignment vertical="top"/>
    </xf>
    <xf numFmtId="37" fontId="11" fillId="0" borderId="25" xfId="0" applyNumberFormat="1" applyFont="1" applyFill="1" applyBorder="1">
      <alignment vertical="top"/>
    </xf>
    <xf numFmtId="37" fontId="11" fillId="0" borderId="0" xfId="0" applyNumberFormat="1" applyFont="1" applyFill="1" applyBorder="1" applyAlignment="1">
      <alignment horizontal="right" vertical="top"/>
    </xf>
    <xf numFmtId="37" fontId="12" fillId="0" borderId="22" xfId="0" applyNumberFormat="1" applyFont="1" applyFill="1" applyBorder="1">
      <alignment vertical="top"/>
    </xf>
    <xf numFmtId="37" fontId="12" fillId="0" borderId="18" xfId="0" applyNumberFormat="1" applyFont="1" applyFill="1" applyBorder="1">
      <alignment vertical="top"/>
    </xf>
    <xf numFmtId="37" fontId="11" fillId="0" borderId="67" xfId="0" applyNumberFormat="1" applyFont="1" applyFill="1" applyBorder="1" applyAlignment="1">
      <alignment horizontal="right" vertical="top"/>
    </xf>
    <xf numFmtId="37" fontId="12" fillId="0" borderId="23" xfId="0" applyNumberFormat="1" applyFont="1" applyFill="1" applyBorder="1">
      <alignment vertical="top"/>
    </xf>
    <xf numFmtId="16" fontId="12" fillId="0" borderId="0" xfId="0" applyNumberFormat="1" applyFont="1" applyFill="1" applyBorder="1">
      <alignment vertical="top"/>
    </xf>
    <xf numFmtId="0" fontId="12" fillId="0" borderId="0" xfId="22" applyNumberFormat="1" applyFont="1" applyFill="1" applyBorder="1">
      <alignment vertical="top"/>
    </xf>
    <xf numFmtId="3" fontId="11" fillId="0" borderId="0" xfId="19" applyNumberFormat="1" applyFont="1" applyFill="1">
      <alignment vertical="top"/>
    </xf>
    <xf numFmtId="0" fontId="12" fillId="0" borderId="0" xfId="17" applyFont="1" applyFill="1" applyAlignment="1">
      <alignment horizontal="center"/>
    </xf>
    <xf numFmtId="3" fontId="11" fillId="0" borderId="0" xfId="5" quotePrefix="1" applyFont="1" applyFill="1" applyBorder="1" applyAlignment="1">
      <alignment horizontal="left" vertical="top"/>
    </xf>
    <xf numFmtId="0" fontId="12" fillId="0" borderId="0" xfId="17" applyFont="1" applyFill="1"/>
    <xf numFmtId="37" fontId="12" fillId="0" borderId="0" xfId="8948" applyNumberFormat="1" applyFont="1" applyFill="1">
      <alignment vertical="top"/>
    </xf>
    <xf numFmtId="3" fontId="11" fillId="0" borderId="0" xfId="18" applyNumberFormat="1" applyFont="1" applyFill="1">
      <alignment vertical="top"/>
    </xf>
    <xf numFmtId="3" fontId="11" fillId="0" borderId="6" xfId="5" applyFont="1" applyFill="1" applyBorder="1">
      <alignment vertical="top"/>
    </xf>
    <xf numFmtId="3" fontId="12" fillId="0" borderId="0" xfId="17" applyNumberFormat="1" applyFont="1" applyFill="1" applyAlignment="1">
      <alignment horizontal="center"/>
    </xf>
    <xf numFmtId="3" fontId="17" fillId="0" borderId="0" xfId="5" applyFont="1" applyFill="1">
      <alignment vertical="top"/>
    </xf>
    <xf numFmtId="3" fontId="11" fillId="0" borderId="0" xfId="5" quotePrefix="1" applyFont="1" applyFill="1" applyAlignment="1">
      <alignment horizontal="left" vertical="top"/>
    </xf>
    <xf numFmtId="3" fontId="11" fillId="0" borderId="3" xfId="5" applyFont="1" applyFill="1" applyBorder="1">
      <alignment vertical="top"/>
    </xf>
    <xf numFmtId="3" fontId="11" fillId="0" borderId="6" xfId="0" applyNumberFormat="1" applyFont="1" applyFill="1" applyBorder="1" applyAlignment="1">
      <alignment horizontal="left" vertical="top"/>
    </xf>
    <xf numFmtId="3" fontId="12" fillId="0" borderId="6" xfId="0" applyNumberFormat="1" applyFont="1" applyFill="1" applyBorder="1">
      <alignment vertical="top"/>
    </xf>
    <xf numFmtId="3" fontId="11" fillId="0" borderId="0" xfId="0" applyNumberFormat="1" applyFont="1" applyFill="1" applyBorder="1" applyAlignment="1">
      <alignment horizontal="left" vertical="top"/>
    </xf>
    <xf numFmtId="0" fontId="11" fillId="0" borderId="3" xfId="0" applyNumberFormat="1" applyFont="1" applyFill="1" applyBorder="1" applyAlignment="1">
      <alignment horizontal="center" vertical="top"/>
    </xf>
    <xf numFmtId="37" fontId="12" fillId="0" borderId="0" xfId="2" applyNumberFormat="1" applyFont="1" applyFill="1" applyBorder="1" applyAlignment="1"/>
    <xf numFmtId="37" fontId="11" fillId="0" borderId="6" xfId="0" applyNumberFormat="1" applyFont="1" applyFill="1" applyBorder="1">
      <alignment vertical="top"/>
    </xf>
    <xf numFmtId="3" fontId="11" fillId="0" borderId="6" xfId="0" applyNumberFormat="1" applyFont="1" applyFill="1" applyBorder="1">
      <alignment vertical="top"/>
    </xf>
    <xf numFmtId="0" fontId="12" fillId="0" borderId="6" xfId="0" applyFont="1" applyFill="1" applyBorder="1">
      <alignment vertical="top"/>
    </xf>
    <xf numFmtId="3" fontId="12" fillId="0" borderId="0" xfId="0" applyNumberFormat="1" applyFont="1" applyFill="1" applyAlignment="1">
      <alignment horizontal="center" vertical="top"/>
    </xf>
    <xf numFmtId="3" fontId="12" fillId="0" borderId="0" xfId="0" quotePrefix="1" applyNumberFormat="1" applyFont="1" applyFill="1" applyAlignment="1">
      <alignment horizontal="center" vertical="top"/>
    </xf>
    <xf numFmtId="37" fontId="12" fillId="0" borderId="0" xfId="8760" applyNumberFormat="1" applyFont="1" applyFill="1"/>
    <xf numFmtId="37" fontId="12" fillId="0" borderId="3" xfId="8760" applyNumberFormat="1" applyFont="1" applyFill="1" applyBorder="1"/>
    <xf numFmtId="37" fontId="12" fillId="0" borderId="0" xfId="20" applyNumberFormat="1" applyFont="1" applyFill="1" applyAlignment="1" applyProtection="1">
      <alignment vertical="center"/>
    </xf>
    <xf numFmtId="5" fontId="12" fillId="0" borderId="0" xfId="20" applyNumberFormat="1" applyFont="1" applyFill="1" applyAlignment="1" applyProtection="1">
      <alignment vertical="center"/>
    </xf>
    <xf numFmtId="5" fontId="12" fillId="0" borderId="0" xfId="0" applyNumberFormat="1" applyFont="1" applyFill="1" applyAlignment="1">
      <alignment vertical="center"/>
    </xf>
    <xf numFmtId="169" fontId="12" fillId="0" borderId="0" xfId="0" applyNumberFormat="1" applyFont="1" applyFill="1" applyAlignment="1">
      <alignment vertical="center"/>
    </xf>
    <xf numFmtId="37" fontId="12" fillId="0" borderId="3" xfId="0" applyNumberFormat="1" applyFont="1" applyFill="1" applyBorder="1" applyAlignment="1" applyProtection="1">
      <alignment vertical="center"/>
    </xf>
    <xf numFmtId="5" fontId="12" fillId="0" borderId="3" xfId="20" applyNumberFormat="1" applyFont="1" applyFill="1" applyBorder="1" applyAlignment="1" applyProtection="1">
      <alignment vertical="center"/>
    </xf>
    <xf numFmtId="6" fontId="12" fillId="0" borderId="3" xfId="0" applyNumberFormat="1" applyFont="1" applyFill="1" applyBorder="1" applyAlignment="1" applyProtection="1">
      <alignment vertical="center"/>
    </xf>
    <xf numFmtId="5" fontId="12" fillId="0" borderId="3" xfId="0" applyNumberFormat="1" applyFont="1" applyFill="1" applyBorder="1" applyAlignment="1" applyProtection="1">
      <alignment vertical="center"/>
    </xf>
    <xf numFmtId="175" fontId="12" fillId="0" borderId="3" xfId="0" applyNumberFormat="1" applyFont="1" applyFill="1" applyBorder="1" applyAlignment="1" applyProtection="1">
      <alignment vertical="center"/>
    </xf>
    <xf numFmtId="3" fontId="12" fillId="0" borderId="0" xfId="2" applyNumberFormat="1" applyFont="1" applyFill="1" applyAlignment="1">
      <alignment vertical="center"/>
    </xf>
    <xf numFmtId="3" fontId="12" fillId="0" borderId="0" xfId="2" applyNumberFormat="1" applyFont="1" applyFill="1" applyBorder="1" applyAlignment="1">
      <alignment vertical="center"/>
    </xf>
    <xf numFmtId="5" fontId="12" fillId="0" borderId="0" xfId="0" quotePrefix="1" applyNumberFormat="1" applyFont="1" applyFill="1" applyBorder="1" applyAlignment="1" applyProtection="1">
      <alignment vertical="center"/>
    </xf>
    <xf numFmtId="187" fontId="12" fillId="0" borderId="0" xfId="0" applyNumberFormat="1" applyFont="1" applyFill="1" applyBorder="1" applyAlignment="1">
      <alignment vertical="center"/>
    </xf>
    <xf numFmtId="175" fontId="12" fillId="0" borderId="0" xfId="0" applyNumberFormat="1" applyFont="1" applyFill="1" applyBorder="1" applyAlignment="1" applyProtection="1">
      <alignment vertical="center"/>
    </xf>
    <xf numFmtId="6" fontId="12" fillId="0" borderId="0" xfId="0" applyNumberFormat="1" applyFont="1" applyFill="1" applyBorder="1" applyAlignment="1" applyProtection="1">
      <alignment vertical="center"/>
    </xf>
    <xf numFmtId="3" fontId="11" fillId="0" borderId="0" xfId="0" quotePrefix="1" applyNumberFormat="1" applyFont="1" applyFill="1" applyAlignment="1">
      <alignment horizontal="center" vertical="top"/>
    </xf>
    <xf numFmtId="0" fontId="11" fillId="0" borderId="0" xfId="0" applyNumberFormat="1" applyFont="1" applyFill="1" applyAlignment="1">
      <alignment horizontal="center" vertical="top"/>
    </xf>
    <xf numFmtId="3" fontId="11" fillId="0" borderId="3" xfId="0" quotePrefix="1" applyNumberFormat="1" applyFont="1" applyFill="1" applyBorder="1" applyAlignment="1">
      <alignment horizontal="center" vertical="top"/>
    </xf>
    <xf numFmtId="3" fontId="11" fillId="0" borderId="0" xfId="0" quotePrefix="1" applyNumberFormat="1" applyFont="1" applyAlignment="1">
      <alignment horizontal="center" vertical="top"/>
    </xf>
    <xf numFmtId="5" fontId="12" fillId="0" borderId="0" xfId="8290" applyFont="1" applyFill="1" applyAlignment="1">
      <alignment horizontal="right" vertical="top"/>
    </xf>
    <xf numFmtId="5" fontId="12" fillId="0" borderId="0" xfId="9" applyFont="1" applyFill="1" applyAlignment="1">
      <alignment horizontal="right" vertical="top"/>
    </xf>
    <xf numFmtId="41" fontId="12" fillId="0" borderId="0" xfId="8286" applyNumberFormat="1" applyFont="1" applyFill="1" applyAlignment="1">
      <alignment horizontal="right" vertical="top"/>
    </xf>
    <xf numFmtId="41" fontId="12" fillId="0" borderId="3" xfId="8286" applyNumberFormat="1" applyFont="1" applyFill="1" applyBorder="1" applyAlignment="1">
      <alignment horizontal="right" vertical="top"/>
    </xf>
    <xf numFmtId="41" fontId="12" fillId="0" borderId="3" xfId="5" applyNumberFormat="1" applyFont="1" applyFill="1" applyBorder="1" applyAlignment="1">
      <alignment horizontal="right" vertical="top"/>
    </xf>
    <xf numFmtId="41" fontId="12" fillId="0" borderId="0" xfId="8286" applyNumberFormat="1" applyFont="1" applyFill="1" applyBorder="1" applyAlignment="1">
      <alignment horizontal="right" vertical="top"/>
    </xf>
    <xf numFmtId="3" fontId="12" fillId="2" borderId="0" xfId="0" applyNumberFormat="1" applyFont="1" applyFill="1">
      <alignment vertical="top"/>
    </xf>
    <xf numFmtId="0" fontId="12" fillId="0" borderId="0" xfId="0" applyFont="1" applyFill="1" applyAlignment="1"/>
    <xf numFmtId="37" fontId="12" fillId="0" borderId="0" xfId="7" applyNumberFormat="1" applyFont="1" applyAlignment="1"/>
    <xf numFmtId="37" fontId="12" fillId="0" borderId="3" xfId="7" applyNumberFormat="1" applyFont="1" applyBorder="1" applyAlignment="1"/>
    <xf numFmtId="37" fontId="12" fillId="0" borderId="0" xfId="7" applyNumberFormat="1" applyFont="1" applyBorder="1" applyAlignment="1"/>
    <xf numFmtId="0" fontId="12" fillId="0" borderId="0" xfId="0" applyFont="1" applyFill="1" applyBorder="1" applyAlignment="1"/>
    <xf numFmtId="37" fontId="12" fillId="0" borderId="3" xfId="2" applyNumberFormat="1" applyFont="1" applyBorder="1" applyAlignment="1"/>
    <xf numFmtId="165" fontId="12" fillId="0" borderId="0" xfId="22" applyNumberFormat="1" applyFont="1" applyAlignment="1"/>
    <xf numFmtId="5" fontId="12" fillId="0" borderId="0" xfId="0" applyNumberFormat="1" applyFont="1" applyFill="1" applyBorder="1" applyAlignment="1"/>
    <xf numFmtId="0" fontId="12" fillId="0" borderId="0" xfId="0" applyFont="1" applyFill="1" applyBorder="1">
      <alignment vertical="top"/>
    </xf>
    <xf numFmtId="164" fontId="12" fillId="0" borderId="3" xfId="22" applyNumberFormat="1" applyFont="1" applyFill="1" applyBorder="1" applyAlignment="1"/>
    <xf numFmtId="0" fontId="12" fillId="0" borderId="0" xfId="0" quotePrefix="1" applyFont="1" applyFill="1" applyBorder="1" applyAlignment="1">
      <alignment horizontal="left"/>
    </xf>
    <xf numFmtId="168" fontId="12" fillId="0" borderId="0" xfId="2" applyNumberFormat="1" applyFont="1" applyFill="1" applyBorder="1" applyAlignment="1"/>
    <xf numFmtId="176" fontId="12" fillId="0" borderId="5" xfId="7" applyNumberFormat="1" applyFont="1" applyFill="1" applyBorder="1" applyAlignment="1"/>
    <xf numFmtId="5" fontId="12" fillId="0" borderId="0" xfId="7" applyNumberFormat="1" applyFont="1" applyFill="1" applyBorder="1" applyAlignment="1">
      <alignment horizontal="right" vertical="top"/>
    </xf>
    <xf numFmtId="0" fontId="18" fillId="0" borderId="0" xfId="0" applyFont="1" applyAlignment="1">
      <alignment horizontal="left" indent="1"/>
    </xf>
    <xf numFmtId="37" fontId="12" fillId="0" borderId="0" xfId="5" applyNumberFormat="1" applyFont="1" applyFill="1" applyBorder="1" applyAlignment="1">
      <alignment horizontal="right" vertical="top"/>
    </xf>
    <xf numFmtId="37" fontId="12" fillId="0" borderId="0" xfId="0" applyNumberFormat="1" applyFont="1" applyFill="1" applyBorder="1" applyAlignment="1">
      <alignment horizontal="center" vertical="top"/>
    </xf>
    <xf numFmtId="5" fontId="12" fillId="0" borderId="0" xfId="7" applyNumberFormat="1" applyFont="1" applyFill="1">
      <alignment vertical="top"/>
    </xf>
    <xf numFmtId="3" fontId="12" fillId="0" borderId="0" xfId="0" applyNumberFormat="1" applyFont="1" applyBorder="1" applyAlignment="1">
      <alignment horizontal="left" vertical="top" indent="1"/>
    </xf>
    <xf numFmtId="37" fontId="12" fillId="0" borderId="0" xfId="9003" applyNumberFormat="1" applyFont="1" applyFill="1" applyAlignment="1">
      <alignment vertical="top"/>
    </xf>
    <xf numFmtId="37" fontId="12" fillId="0" borderId="0" xfId="9446" applyNumberFormat="1" applyFont="1" applyFill="1" applyAlignment="1">
      <alignment vertical="top"/>
    </xf>
    <xf numFmtId="37" fontId="12" fillId="0" borderId="3" xfId="9003" applyNumberFormat="1" applyFont="1" applyFill="1" applyBorder="1" applyAlignment="1">
      <alignment vertical="top"/>
    </xf>
    <xf numFmtId="37" fontId="12" fillId="0" borderId="3" xfId="2" applyNumberFormat="1" applyFont="1" applyBorder="1">
      <alignment vertical="top"/>
    </xf>
    <xf numFmtId="10" fontId="12" fillId="0" borderId="0" xfId="23" applyFont="1">
      <alignment vertical="top"/>
    </xf>
    <xf numFmtId="37" fontId="12" fillId="0" borderId="0" xfId="2" applyNumberFormat="1" applyFont="1" applyAlignment="1">
      <alignment horizontal="right" vertical="top"/>
    </xf>
    <xf numFmtId="3" fontId="12" fillId="0" borderId="0" xfId="2" applyNumberFormat="1" applyFont="1" applyAlignment="1">
      <alignment horizontal="right" vertical="top"/>
    </xf>
    <xf numFmtId="3" fontId="12" fillId="0" borderId="0" xfId="3" applyNumberFormat="1" applyFont="1" applyAlignment="1">
      <alignment vertical="top"/>
    </xf>
    <xf numFmtId="37" fontId="12" fillId="0" borderId="0" xfId="9487" applyNumberFormat="1" applyFont="1" applyFill="1">
      <alignment horizontal="right" vertical="top"/>
    </xf>
    <xf numFmtId="37" fontId="12" fillId="0" borderId="0" xfId="2" applyNumberFormat="1" applyFont="1" applyFill="1" applyAlignment="1">
      <alignment horizontal="right" vertical="top"/>
    </xf>
    <xf numFmtId="37" fontId="12" fillId="0" borderId="3" xfId="9487" applyNumberFormat="1" applyFont="1" applyFill="1" applyBorder="1">
      <alignment horizontal="right" vertical="top"/>
    </xf>
    <xf numFmtId="37" fontId="12" fillId="0" borderId="3" xfId="2" applyNumberFormat="1" applyFont="1" applyFill="1" applyBorder="1" applyAlignment="1">
      <alignment horizontal="right" vertical="top"/>
    </xf>
    <xf numFmtId="188" fontId="12" fillId="0" borderId="0" xfId="0" applyNumberFormat="1" applyFont="1">
      <alignment vertical="top"/>
    </xf>
  </cellXfs>
  <cellStyles count="9488">
    <cellStyle name="20% - Accent1" xfId="8261" builtinId="30" customBuiltin="1"/>
    <cellStyle name="20% - Accent1 10" xfId="31" xr:uid="{00000000-0005-0000-0000-000001000000}"/>
    <cellStyle name="20% - Accent1 10 2" xfId="8306" xr:uid="{00000000-0005-0000-0000-000002000000}"/>
    <cellStyle name="20% - Accent1 10 3" xfId="9009" xr:uid="{00000000-0005-0000-0000-000003000000}"/>
    <cellStyle name="20% - Accent1 11" xfId="32" xr:uid="{00000000-0005-0000-0000-000004000000}"/>
    <cellStyle name="20% - Accent1 11 2" xfId="8307" xr:uid="{00000000-0005-0000-0000-000005000000}"/>
    <cellStyle name="20% - Accent1 11 3" xfId="9010" xr:uid="{00000000-0005-0000-0000-000006000000}"/>
    <cellStyle name="20% - Accent1 12" xfId="8989" xr:uid="{00000000-0005-0000-0000-000007000000}"/>
    <cellStyle name="20% - Accent1 13" xfId="9454" xr:uid="{00000000-0005-0000-0000-000008000000}"/>
    <cellStyle name="20% - Accent1 2" xfId="33" xr:uid="{00000000-0005-0000-0000-000009000000}"/>
    <cellStyle name="20% - Accent1 2 2" xfId="34" xr:uid="{00000000-0005-0000-0000-00000A000000}"/>
    <cellStyle name="20% - Accent1 2 2 2" xfId="35" xr:uid="{00000000-0005-0000-0000-00000B000000}"/>
    <cellStyle name="20% - Accent1 2 2 2 2" xfId="8309" xr:uid="{00000000-0005-0000-0000-00000C000000}"/>
    <cellStyle name="20% - Accent1 2 2 2 3" xfId="9012" xr:uid="{00000000-0005-0000-0000-00000D000000}"/>
    <cellStyle name="20% - Accent1 2 2 3" xfId="36" xr:uid="{00000000-0005-0000-0000-00000E000000}"/>
    <cellStyle name="20% - Accent1 2 2 3 2" xfId="8310" xr:uid="{00000000-0005-0000-0000-00000F000000}"/>
    <cellStyle name="20% - Accent1 2 2 3 3" xfId="9013" xr:uid="{00000000-0005-0000-0000-000010000000}"/>
    <cellStyle name="20% - Accent1 2 2 4" xfId="37" xr:uid="{00000000-0005-0000-0000-000011000000}"/>
    <cellStyle name="20% - Accent1 2 2 4 2" xfId="8311" xr:uid="{00000000-0005-0000-0000-000012000000}"/>
    <cellStyle name="20% - Accent1 2 2 4 3" xfId="9014" xr:uid="{00000000-0005-0000-0000-000013000000}"/>
    <cellStyle name="20% - Accent1 2 2 5" xfId="38" xr:uid="{00000000-0005-0000-0000-000014000000}"/>
    <cellStyle name="20% - Accent1 2 2 5 2" xfId="8312" xr:uid="{00000000-0005-0000-0000-000015000000}"/>
    <cellStyle name="20% - Accent1 2 2 5 3" xfId="9015" xr:uid="{00000000-0005-0000-0000-000016000000}"/>
    <cellStyle name="20% - Accent1 2 2 6" xfId="39" xr:uid="{00000000-0005-0000-0000-000017000000}"/>
    <cellStyle name="20% - Accent1 2 2 6 2" xfId="8313" xr:uid="{00000000-0005-0000-0000-000018000000}"/>
    <cellStyle name="20% - Accent1 2 2 6 3" xfId="9016" xr:uid="{00000000-0005-0000-0000-000019000000}"/>
    <cellStyle name="20% - Accent1 2 2 7" xfId="8308" xr:uid="{00000000-0005-0000-0000-00001A000000}"/>
    <cellStyle name="20% - Accent1 2 2 8" xfId="9011" xr:uid="{00000000-0005-0000-0000-00001B000000}"/>
    <cellStyle name="20% - Accent1 2 3" xfId="40" xr:uid="{00000000-0005-0000-0000-00001C000000}"/>
    <cellStyle name="20% - Accent1 2 4" xfId="41" xr:uid="{00000000-0005-0000-0000-00001D000000}"/>
    <cellStyle name="20% - Accent1 2 5" xfId="42" xr:uid="{00000000-0005-0000-0000-00001E000000}"/>
    <cellStyle name="20% - Accent1 2 6" xfId="8874" xr:uid="{00000000-0005-0000-0000-00001F000000}"/>
    <cellStyle name="20% - Accent1 2 7" xfId="9439" xr:uid="{00000000-0005-0000-0000-000020000000}"/>
    <cellStyle name="20% - Accent1 3" xfId="43" xr:uid="{00000000-0005-0000-0000-000021000000}"/>
    <cellStyle name="20% - Accent1 3 10" xfId="9017" xr:uid="{00000000-0005-0000-0000-000022000000}"/>
    <cellStyle name="20% - Accent1 3 2" xfId="44" xr:uid="{00000000-0005-0000-0000-000023000000}"/>
    <cellStyle name="20% - Accent1 3 2 2" xfId="8315" xr:uid="{00000000-0005-0000-0000-000024000000}"/>
    <cellStyle name="20% - Accent1 3 2 3" xfId="9018" xr:uid="{00000000-0005-0000-0000-000025000000}"/>
    <cellStyle name="20% - Accent1 3 3" xfId="45" xr:uid="{00000000-0005-0000-0000-000026000000}"/>
    <cellStyle name="20% - Accent1 3 3 2" xfId="8316" xr:uid="{00000000-0005-0000-0000-000027000000}"/>
    <cellStyle name="20% - Accent1 3 3 3" xfId="9019" xr:uid="{00000000-0005-0000-0000-000028000000}"/>
    <cellStyle name="20% - Accent1 3 4" xfId="46" xr:uid="{00000000-0005-0000-0000-000029000000}"/>
    <cellStyle name="20% - Accent1 3 4 2" xfId="8317" xr:uid="{00000000-0005-0000-0000-00002A000000}"/>
    <cellStyle name="20% - Accent1 3 4 3" xfId="9020" xr:uid="{00000000-0005-0000-0000-00002B000000}"/>
    <cellStyle name="20% - Accent1 3 5" xfId="47" xr:uid="{00000000-0005-0000-0000-00002C000000}"/>
    <cellStyle name="20% - Accent1 3 5 2" xfId="8318" xr:uid="{00000000-0005-0000-0000-00002D000000}"/>
    <cellStyle name="20% - Accent1 3 5 3" xfId="9021" xr:uid="{00000000-0005-0000-0000-00002E000000}"/>
    <cellStyle name="20% - Accent1 3 6" xfId="48" xr:uid="{00000000-0005-0000-0000-00002F000000}"/>
    <cellStyle name="20% - Accent1 3 6 2" xfId="8319" xr:uid="{00000000-0005-0000-0000-000030000000}"/>
    <cellStyle name="20% - Accent1 3 6 3" xfId="9022" xr:uid="{00000000-0005-0000-0000-000031000000}"/>
    <cellStyle name="20% - Accent1 3 7" xfId="49" xr:uid="{00000000-0005-0000-0000-000032000000}"/>
    <cellStyle name="20% - Accent1 3 7 2" xfId="8320" xr:uid="{00000000-0005-0000-0000-000033000000}"/>
    <cellStyle name="20% - Accent1 3 7 3" xfId="9023" xr:uid="{00000000-0005-0000-0000-000034000000}"/>
    <cellStyle name="20% - Accent1 3 8" xfId="50" xr:uid="{00000000-0005-0000-0000-000035000000}"/>
    <cellStyle name="20% - Accent1 3 8 2" xfId="8321" xr:uid="{00000000-0005-0000-0000-000036000000}"/>
    <cellStyle name="20% - Accent1 3 8 3" xfId="9024" xr:uid="{00000000-0005-0000-0000-000037000000}"/>
    <cellStyle name="20% - Accent1 3 9" xfId="8314" xr:uid="{00000000-0005-0000-0000-000038000000}"/>
    <cellStyle name="20% - Accent1 4" xfId="51" xr:uid="{00000000-0005-0000-0000-000039000000}"/>
    <cellStyle name="20% - Accent1 4 10" xfId="9025" xr:uid="{00000000-0005-0000-0000-00003A000000}"/>
    <cellStyle name="20% - Accent1 4 2" xfId="52" xr:uid="{00000000-0005-0000-0000-00003B000000}"/>
    <cellStyle name="20% - Accent1 4 2 2" xfId="8323" xr:uid="{00000000-0005-0000-0000-00003C000000}"/>
    <cellStyle name="20% - Accent1 4 2 3" xfId="9026" xr:uid="{00000000-0005-0000-0000-00003D000000}"/>
    <cellStyle name="20% - Accent1 4 3" xfId="53" xr:uid="{00000000-0005-0000-0000-00003E000000}"/>
    <cellStyle name="20% - Accent1 4 3 2" xfId="8324" xr:uid="{00000000-0005-0000-0000-00003F000000}"/>
    <cellStyle name="20% - Accent1 4 3 3" xfId="9027" xr:uid="{00000000-0005-0000-0000-000040000000}"/>
    <cellStyle name="20% - Accent1 4 4" xfId="54" xr:uid="{00000000-0005-0000-0000-000041000000}"/>
    <cellStyle name="20% - Accent1 4 4 2" xfId="8325" xr:uid="{00000000-0005-0000-0000-000042000000}"/>
    <cellStyle name="20% - Accent1 4 4 3" xfId="9028" xr:uid="{00000000-0005-0000-0000-000043000000}"/>
    <cellStyle name="20% - Accent1 4 5" xfId="55" xr:uid="{00000000-0005-0000-0000-000044000000}"/>
    <cellStyle name="20% - Accent1 4 5 2" xfId="8326" xr:uid="{00000000-0005-0000-0000-000045000000}"/>
    <cellStyle name="20% - Accent1 4 5 3" xfId="9029" xr:uid="{00000000-0005-0000-0000-000046000000}"/>
    <cellStyle name="20% - Accent1 4 6" xfId="56" xr:uid="{00000000-0005-0000-0000-000047000000}"/>
    <cellStyle name="20% - Accent1 4 6 2" xfId="8327" xr:uid="{00000000-0005-0000-0000-000048000000}"/>
    <cellStyle name="20% - Accent1 4 6 3" xfId="9030" xr:uid="{00000000-0005-0000-0000-000049000000}"/>
    <cellStyle name="20% - Accent1 4 7" xfId="57" xr:uid="{00000000-0005-0000-0000-00004A000000}"/>
    <cellStyle name="20% - Accent1 4 7 2" xfId="8328" xr:uid="{00000000-0005-0000-0000-00004B000000}"/>
    <cellStyle name="20% - Accent1 4 7 3" xfId="9031" xr:uid="{00000000-0005-0000-0000-00004C000000}"/>
    <cellStyle name="20% - Accent1 4 8" xfId="58" xr:uid="{00000000-0005-0000-0000-00004D000000}"/>
    <cellStyle name="20% - Accent1 4 8 2" xfId="8329" xr:uid="{00000000-0005-0000-0000-00004E000000}"/>
    <cellStyle name="20% - Accent1 4 8 3" xfId="9032" xr:uid="{00000000-0005-0000-0000-00004F000000}"/>
    <cellStyle name="20% - Accent1 4 9" xfId="8322" xr:uid="{00000000-0005-0000-0000-000050000000}"/>
    <cellStyle name="20% - Accent1 5" xfId="59" xr:uid="{00000000-0005-0000-0000-000051000000}"/>
    <cellStyle name="20% - Accent1 5 10" xfId="9033" xr:uid="{00000000-0005-0000-0000-000052000000}"/>
    <cellStyle name="20% - Accent1 5 2" xfId="60" xr:uid="{00000000-0005-0000-0000-000053000000}"/>
    <cellStyle name="20% - Accent1 5 2 2" xfId="8331" xr:uid="{00000000-0005-0000-0000-000054000000}"/>
    <cellStyle name="20% - Accent1 5 2 3" xfId="9034" xr:uid="{00000000-0005-0000-0000-000055000000}"/>
    <cellStyle name="20% - Accent1 5 3" xfId="61" xr:uid="{00000000-0005-0000-0000-000056000000}"/>
    <cellStyle name="20% - Accent1 5 3 2" xfId="8332" xr:uid="{00000000-0005-0000-0000-000057000000}"/>
    <cellStyle name="20% - Accent1 5 3 3" xfId="9035" xr:uid="{00000000-0005-0000-0000-000058000000}"/>
    <cellStyle name="20% - Accent1 5 4" xfId="62" xr:uid="{00000000-0005-0000-0000-000059000000}"/>
    <cellStyle name="20% - Accent1 5 4 2" xfId="8333" xr:uid="{00000000-0005-0000-0000-00005A000000}"/>
    <cellStyle name="20% - Accent1 5 4 3" xfId="9036" xr:uid="{00000000-0005-0000-0000-00005B000000}"/>
    <cellStyle name="20% - Accent1 5 5" xfId="63" xr:uid="{00000000-0005-0000-0000-00005C000000}"/>
    <cellStyle name="20% - Accent1 5 5 2" xfId="8334" xr:uid="{00000000-0005-0000-0000-00005D000000}"/>
    <cellStyle name="20% - Accent1 5 5 3" xfId="9037" xr:uid="{00000000-0005-0000-0000-00005E000000}"/>
    <cellStyle name="20% - Accent1 5 6" xfId="64" xr:uid="{00000000-0005-0000-0000-00005F000000}"/>
    <cellStyle name="20% - Accent1 5 6 2" xfId="8335" xr:uid="{00000000-0005-0000-0000-000060000000}"/>
    <cellStyle name="20% - Accent1 5 6 3" xfId="9038" xr:uid="{00000000-0005-0000-0000-000061000000}"/>
    <cellStyle name="20% - Accent1 5 7" xfId="65" xr:uid="{00000000-0005-0000-0000-000062000000}"/>
    <cellStyle name="20% - Accent1 5 7 2" xfId="8336" xr:uid="{00000000-0005-0000-0000-000063000000}"/>
    <cellStyle name="20% - Accent1 5 7 3" xfId="9039" xr:uid="{00000000-0005-0000-0000-000064000000}"/>
    <cellStyle name="20% - Accent1 5 8" xfId="66" xr:uid="{00000000-0005-0000-0000-000065000000}"/>
    <cellStyle name="20% - Accent1 5 8 2" xfId="8337" xr:uid="{00000000-0005-0000-0000-000066000000}"/>
    <cellStyle name="20% - Accent1 5 8 3" xfId="9040" xr:uid="{00000000-0005-0000-0000-000067000000}"/>
    <cellStyle name="20% - Accent1 5 9" xfId="8330" xr:uid="{00000000-0005-0000-0000-000068000000}"/>
    <cellStyle name="20% - Accent1 6" xfId="67" xr:uid="{00000000-0005-0000-0000-000069000000}"/>
    <cellStyle name="20% - Accent1 6 2" xfId="8338" xr:uid="{00000000-0005-0000-0000-00006A000000}"/>
    <cellStyle name="20% - Accent1 6 3" xfId="9041" xr:uid="{00000000-0005-0000-0000-00006B000000}"/>
    <cellStyle name="20% - Accent1 7" xfId="68" xr:uid="{00000000-0005-0000-0000-00006C000000}"/>
    <cellStyle name="20% - Accent1 7 2" xfId="8339" xr:uid="{00000000-0005-0000-0000-00006D000000}"/>
    <cellStyle name="20% - Accent1 7 3" xfId="9042" xr:uid="{00000000-0005-0000-0000-00006E000000}"/>
    <cellStyle name="20% - Accent1 8" xfId="69" xr:uid="{00000000-0005-0000-0000-00006F000000}"/>
    <cellStyle name="20% - Accent1 8 2" xfId="8340" xr:uid="{00000000-0005-0000-0000-000070000000}"/>
    <cellStyle name="20% - Accent1 8 3" xfId="9043" xr:uid="{00000000-0005-0000-0000-000071000000}"/>
    <cellStyle name="20% - Accent1 9" xfId="70" xr:uid="{00000000-0005-0000-0000-000072000000}"/>
    <cellStyle name="20% - Accent1 9 2" xfId="8341" xr:uid="{00000000-0005-0000-0000-000073000000}"/>
    <cellStyle name="20% - Accent1 9 3" xfId="9044" xr:uid="{00000000-0005-0000-0000-000074000000}"/>
    <cellStyle name="20% - Accent2" xfId="8265" builtinId="34" customBuiltin="1"/>
    <cellStyle name="20% - Accent2 10" xfId="71" xr:uid="{00000000-0005-0000-0000-000076000000}"/>
    <cellStyle name="20% - Accent2 10 2" xfId="8342" xr:uid="{00000000-0005-0000-0000-000077000000}"/>
    <cellStyle name="20% - Accent2 10 3" xfId="9045" xr:uid="{00000000-0005-0000-0000-000078000000}"/>
    <cellStyle name="20% - Accent2 11" xfId="72" xr:uid="{00000000-0005-0000-0000-000079000000}"/>
    <cellStyle name="20% - Accent2 11 2" xfId="8343" xr:uid="{00000000-0005-0000-0000-00007A000000}"/>
    <cellStyle name="20% - Accent2 11 3" xfId="9046" xr:uid="{00000000-0005-0000-0000-00007B000000}"/>
    <cellStyle name="20% - Accent2 12" xfId="8746" xr:uid="{00000000-0005-0000-0000-00007C000000}"/>
    <cellStyle name="20% - Accent2 13" xfId="9456" xr:uid="{00000000-0005-0000-0000-00007D000000}"/>
    <cellStyle name="20% - Accent2 2" xfId="73" xr:uid="{00000000-0005-0000-0000-00007E000000}"/>
    <cellStyle name="20% - Accent2 2 2" xfId="74" xr:uid="{00000000-0005-0000-0000-00007F000000}"/>
    <cellStyle name="20% - Accent2 2 2 2" xfId="75" xr:uid="{00000000-0005-0000-0000-000080000000}"/>
    <cellStyle name="20% - Accent2 2 2 2 2" xfId="8345" xr:uid="{00000000-0005-0000-0000-000081000000}"/>
    <cellStyle name="20% - Accent2 2 2 2 3" xfId="9048" xr:uid="{00000000-0005-0000-0000-000082000000}"/>
    <cellStyle name="20% - Accent2 2 2 3" xfId="76" xr:uid="{00000000-0005-0000-0000-000083000000}"/>
    <cellStyle name="20% - Accent2 2 2 3 2" xfId="8346" xr:uid="{00000000-0005-0000-0000-000084000000}"/>
    <cellStyle name="20% - Accent2 2 2 3 3" xfId="9049" xr:uid="{00000000-0005-0000-0000-000085000000}"/>
    <cellStyle name="20% - Accent2 2 2 4" xfId="77" xr:uid="{00000000-0005-0000-0000-000086000000}"/>
    <cellStyle name="20% - Accent2 2 2 4 2" xfId="8347" xr:uid="{00000000-0005-0000-0000-000087000000}"/>
    <cellStyle name="20% - Accent2 2 2 4 3" xfId="9050" xr:uid="{00000000-0005-0000-0000-000088000000}"/>
    <cellStyle name="20% - Accent2 2 2 5" xfId="78" xr:uid="{00000000-0005-0000-0000-000089000000}"/>
    <cellStyle name="20% - Accent2 2 2 5 2" xfId="8348" xr:uid="{00000000-0005-0000-0000-00008A000000}"/>
    <cellStyle name="20% - Accent2 2 2 5 3" xfId="9051" xr:uid="{00000000-0005-0000-0000-00008B000000}"/>
    <cellStyle name="20% - Accent2 2 2 6" xfId="79" xr:uid="{00000000-0005-0000-0000-00008C000000}"/>
    <cellStyle name="20% - Accent2 2 2 6 2" xfId="8349" xr:uid="{00000000-0005-0000-0000-00008D000000}"/>
    <cellStyle name="20% - Accent2 2 2 6 3" xfId="9052" xr:uid="{00000000-0005-0000-0000-00008E000000}"/>
    <cellStyle name="20% - Accent2 2 2 7" xfId="8344" xr:uid="{00000000-0005-0000-0000-00008F000000}"/>
    <cellStyle name="20% - Accent2 2 2 8" xfId="9047" xr:uid="{00000000-0005-0000-0000-000090000000}"/>
    <cellStyle name="20% - Accent2 2 3" xfId="80" xr:uid="{00000000-0005-0000-0000-000091000000}"/>
    <cellStyle name="20% - Accent2 2 4" xfId="81" xr:uid="{00000000-0005-0000-0000-000092000000}"/>
    <cellStyle name="20% - Accent2 2 5" xfId="82" xr:uid="{00000000-0005-0000-0000-000093000000}"/>
    <cellStyle name="20% - Accent2 2 6" xfId="8814" xr:uid="{00000000-0005-0000-0000-000094000000}"/>
    <cellStyle name="20% - Accent2 2 7" xfId="9437" xr:uid="{00000000-0005-0000-0000-000095000000}"/>
    <cellStyle name="20% - Accent2 3" xfId="83" xr:uid="{00000000-0005-0000-0000-000096000000}"/>
    <cellStyle name="20% - Accent2 3 10" xfId="9053" xr:uid="{00000000-0005-0000-0000-000097000000}"/>
    <cellStyle name="20% - Accent2 3 2" xfId="84" xr:uid="{00000000-0005-0000-0000-000098000000}"/>
    <cellStyle name="20% - Accent2 3 2 2" xfId="8351" xr:uid="{00000000-0005-0000-0000-000099000000}"/>
    <cellStyle name="20% - Accent2 3 2 3" xfId="9054" xr:uid="{00000000-0005-0000-0000-00009A000000}"/>
    <cellStyle name="20% - Accent2 3 3" xfId="85" xr:uid="{00000000-0005-0000-0000-00009B000000}"/>
    <cellStyle name="20% - Accent2 3 3 2" xfId="8352" xr:uid="{00000000-0005-0000-0000-00009C000000}"/>
    <cellStyle name="20% - Accent2 3 3 3" xfId="9055" xr:uid="{00000000-0005-0000-0000-00009D000000}"/>
    <cellStyle name="20% - Accent2 3 4" xfId="86" xr:uid="{00000000-0005-0000-0000-00009E000000}"/>
    <cellStyle name="20% - Accent2 3 4 2" xfId="8353" xr:uid="{00000000-0005-0000-0000-00009F000000}"/>
    <cellStyle name="20% - Accent2 3 4 3" xfId="9056" xr:uid="{00000000-0005-0000-0000-0000A0000000}"/>
    <cellStyle name="20% - Accent2 3 5" xfId="87" xr:uid="{00000000-0005-0000-0000-0000A1000000}"/>
    <cellStyle name="20% - Accent2 3 5 2" xfId="8354" xr:uid="{00000000-0005-0000-0000-0000A2000000}"/>
    <cellStyle name="20% - Accent2 3 5 3" xfId="9057" xr:uid="{00000000-0005-0000-0000-0000A3000000}"/>
    <cellStyle name="20% - Accent2 3 6" xfId="88" xr:uid="{00000000-0005-0000-0000-0000A4000000}"/>
    <cellStyle name="20% - Accent2 3 6 2" xfId="8355" xr:uid="{00000000-0005-0000-0000-0000A5000000}"/>
    <cellStyle name="20% - Accent2 3 6 3" xfId="9058" xr:uid="{00000000-0005-0000-0000-0000A6000000}"/>
    <cellStyle name="20% - Accent2 3 7" xfId="89" xr:uid="{00000000-0005-0000-0000-0000A7000000}"/>
    <cellStyle name="20% - Accent2 3 7 2" xfId="8356" xr:uid="{00000000-0005-0000-0000-0000A8000000}"/>
    <cellStyle name="20% - Accent2 3 7 3" xfId="9059" xr:uid="{00000000-0005-0000-0000-0000A9000000}"/>
    <cellStyle name="20% - Accent2 3 8" xfId="90" xr:uid="{00000000-0005-0000-0000-0000AA000000}"/>
    <cellStyle name="20% - Accent2 3 8 2" xfId="8357" xr:uid="{00000000-0005-0000-0000-0000AB000000}"/>
    <cellStyle name="20% - Accent2 3 8 3" xfId="9060" xr:uid="{00000000-0005-0000-0000-0000AC000000}"/>
    <cellStyle name="20% - Accent2 3 9" xfId="8350" xr:uid="{00000000-0005-0000-0000-0000AD000000}"/>
    <cellStyle name="20% - Accent2 4" xfId="91" xr:uid="{00000000-0005-0000-0000-0000AE000000}"/>
    <cellStyle name="20% - Accent2 4 10" xfId="9061" xr:uid="{00000000-0005-0000-0000-0000AF000000}"/>
    <cellStyle name="20% - Accent2 4 2" xfId="92" xr:uid="{00000000-0005-0000-0000-0000B0000000}"/>
    <cellStyle name="20% - Accent2 4 2 2" xfId="8359" xr:uid="{00000000-0005-0000-0000-0000B1000000}"/>
    <cellStyle name="20% - Accent2 4 2 3" xfId="9062" xr:uid="{00000000-0005-0000-0000-0000B2000000}"/>
    <cellStyle name="20% - Accent2 4 3" xfId="93" xr:uid="{00000000-0005-0000-0000-0000B3000000}"/>
    <cellStyle name="20% - Accent2 4 3 2" xfId="8360" xr:uid="{00000000-0005-0000-0000-0000B4000000}"/>
    <cellStyle name="20% - Accent2 4 3 3" xfId="9063" xr:uid="{00000000-0005-0000-0000-0000B5000000}"/>
    <cellStyle name="20% - Accent2 4 4" xfId="94" xr:uid="{00000000-0005-0000-0000-0000B6000000}"/>
    <cellStyle name="20% - Accent2 4 4 2" xfId="8361" xr:uid="{00000000-0005-0000-0000-0000B7000000}"/>
    <cellStyle name="20% - Accent2 4 4 3" xfId="9064" xr:uid="{00000000-0005-0000-0000-0000B8000000}"/>
    <cellStyle name="20% - Accent2 4 5" xfId="95" xr:uid="{00000000-0005-0000-0000-0000B9000000}"/>
    <cellStyle name="20% - Accent2 4 5 2" xfId="8362" xr:uid="{00000000-0005-0000-0000-0000BA000000}"/>
    <cellStyle name="20% - Accent2 4 5 3" xfId="9065" xr:uid="{00000000-0005-0000-0000-0000BB000000}"/>
    <cellStyle name="20% - Accent2 4 6" xfId="96" xr:uid="{00000000-0005-0000-0000-0000BC000000}"/>
    <cellStyle name="20% - Accent2 4 6 2" xfId="8363" xr:uid="{00000000-0005-0000-0000-0000BD000000}"/>
    <cellStyle name="20% - Accent2 4 6 3" xfId="9066" xr:uid="{00000000-0005-0000-0000-0000BE000000}"/>
    <cellStyle name="20% - Accent2 4 7" xfId="97" xr:uid="{00000000-0005-0000-0000-0000BF000000}"/>
    <cellStyle name="20% - Accent2 4 7 2" xfId="8364" xr:uid="{00000000-0005-0000-0000-0000C0000000}"/>
    <cellStyle name="20% - Accent2 4 7 3" xfId="9067" xr:uid="{00000000-0005-0000-0000-0000C1000000}"/>
    <cellStyle name="20% - Accent2 4 8" xfId="98" xr:uid="{00000000-0005-0000-0000-0000C2000000}"/>
    <cellStyle name="20% - Accent2 4 8 2" xfId="8365" xr:uid="{00000000-0005-0000-0000-0000C3000000}"/>
    <cellStyle name="20% - Accent2 4 8 3" xfId="9068" xr:uid="{00000000-0005-0000-0000-0000C4000000}"/>
    <cellStyle name="20% - Accent2 4 9" xfId="8358" xr:uid="{00000000-0005-0000-0000-0000C5000000}"/>
    <cellStyle name="20% - Accent2 5" xfId="99" xr:uid="{00000000-0005-0000-0000-0000C6000000}"/>
    <cellStyle name="20% - Accent2 5 10" xfId="9069" xr:uid="{00000000-0005-0000-0000-0000C7000000}"/>
    <cellStyle name="20% - Accent2 5 2" xfId="100" xr:uid="{00000000-0005-0000-0000-0000C8000000}"/>
    <cellStyle name="20% - Accent2 5 2 2" xfId="8367" xr:uid="{00000000-0005-0000-0000-0000C9000000}"/>
    <cellStyle name="20% - Accent2 5 2 3" xfId="9070" xr:uid="{00000000-0005-0000-0000-0000CA000000}"/>
    <cellStyle name="20% - Accent2 5 3" xfId="101" xr:uid="{00000000-0005-0000-0000-0000CB000000}"/>
    <cellStyle name="20% - Accent2 5 3 2" xfId="8368" xr:uid="{00000000-0005-0000-0000-0000CC000000}"/>
    <cellStyle name="20% - Accent2 5 3 3" xfId="9071" xr:uid="{00000000-0005-0000-0000-0000CD000000}"/>
    <cellStyle name="20% - Accent2 5 4" xfId="102" xr:uid="{00000000-0005-0000-0000-0000CE000000}"/>
    <cellStyle name="20% - Accent2 5 4 2" xfId="8369" xr:uid="{00000000-0005-0000-0000-0000CF000000}"/>
    <cellStyle name="20% - Accent2 5 4 3" xfId="9072" xr:uid="{00000000-0005-0000-0000-0000D0000000}"/>
    <cellStyle name="20% - Accent2 5 5" xfId="103" xr:uid="{00000000-0005-0000-0000-0000D1000000}"/>
    <cellStyle name="20% - Accent2 5 5 2" xfId="8370" xr:uid="{00000000-0005-0000-0000-0000D2000000}"/>
    <cellStyle name="20% - Accent2 5 5 3" xfId="9073" xr:uid="{00000000-0005-0000-0000-0000D3000000}"/>
    <cellStyle name="20% - Accent2 5 6" xfId="104" xr:uid="{00000000-0005-0000-0000-0000D4000000}"/>
    <cellStyle name="20% - Accent2 5 6 2" xfId="8371" xr:uid="{00000000-0005-0000-0000-0000D5000000}"/>
    <cellStyle name="20% - Accent2 5 6 3" xfId="9074" xr:uid="{00000000-0005-0000-0000-0000D6000000}"/>
    <cellStyle name="20% - Accent2 5 7" xfId="105" xr:uid="{00000000-0005-0000-0000-0000D7000000}"/>
    <cellStyle name="20% - Accent2 5 7 2" xfId="8372" xr:uid="{00000000-0005-0000-0000-0000D8000000}"/>
    <cellStyle name="20% - Accent2 5 7 3" xfId="9075" xr:uid="{00000000-0005-0000-0000-0000D9000000}"/>
    <cellStyle name="20% - Accent2 5 8" xfId="106" xr:uid="{00000000-0005-0000-0000-0000DA000000}"/>
    <cellStyle name="20% - Accent2 5 8 2" xfId="8373" xr:uid="{00000000-0005-0000-0000-0000DB000000}"/>
    <cellStyle name="20% - Accent2 5 8 3" xfId="9076" xr:uid="{00000000-0005-0000-0000-0000DC000000}"/>
    <cellStyle name="20% - Accent2 5 9" xfId="8366" xr:uid="{00000000-0005-0000-0000-0000DD000000}"/>
    <cellStyle name="20% - Accent2 6" xfId="107" xr:uid="{00000000-0005-0000-0000-0000DE000000}"/>
    <cellStyle name="20% - Accent2 6 2" xfId="8374" xr:uid="{00000000-0005-0000-0000-0000DF000000}"/>
    <cellStyle name="20% - Accent2 6 3" xfId="9077" xr:uid="{00000000-0005-0000-0000-0000E0000000}"/>
    <cellStyle name="20% - Accent2 7" xfId="108" xr:uid="{00000000-0005-0000-0000-0000E1000000}"/>
    <cellStyle name="20% - Accent2 7 2" xfId="8375" xr:uid="{00000000-0005-0000-0000-0000E2000000}"/>
    <cellStyle name="20% - Accent2 7 3" xfId="9078" xr:uid="{00000000-0005-0000-0000-0000E3000000}"/>
    <cellStyle name="20% - Accent2 8" xfId="109" xr:uid="{00000000-0005-0000-0000-0000E4000000}"/>
    <cellStyle name="20% - Accent2 8 2" xfId="8376" xr:uid="{00000000-0005-0000-0000-0000E5000000}"/>
    <cellStyle name="20% - Accent2 8 3" xfId="9079" xr:uid="{00000000-0005-0000-0000-0000E6000000}"/>
    <cellStyle name="20% - Accent2 9" xfId="110" xr:uid="{00000000-0005-0000-0000-0000E7000000}"/>
    <cellStyle name="20% - Accent2 9 2" xfId="8377" xr:uid="{00000000-0005-0000-0000-0000E8000000}"/>
    <cellStyle name="20% - Accent2 9 3" xfId="9080" xr:uid="{00000000-0005-0000-0000-0000E9000000}"/>
    <cellStyle name="20% - Accent3" xfId="8269" builtinId="38" customBuiltin="1"/>
    <cellStyle name="20% - Accent3 10" xfId="111" xr:uid="{00000000-0005-0000-0000-0000EB000000}"/>
    <cellStyle name="20% - Accent3 10 2" xfId="8378" xr:uid="{00000000-0005-0000-0000-0000EC000000}"/>
    <cellStyle name="20% - Accent3 10 3" xfId="9081" xr:uid="{00000000-0005-0000-0000-0000ED000000}"/>
    <cellStyle name="20% - Accent3 11" xfId="112" xr:uid="{00000000-0005-0000-0000-0000EE000000}"/>
    <cellStyle name="20% - Accent3 11 2" xfId="8379" xr:uid="{00000000-0005-0000-0000-0000EF000000}"/>
    <cellStyle name="20% - Accent3 11 3" xfId="9082" xr:uid="{00000000-0005-0000-0000-0000F0000000}"/>
    <cellStyle name="20% - Accent3 12" xfId="8935" xr:uid="{00000000-0005-0000-0000-0000F1000000}"/>
    <cellStyle name="20% - Accent3 13" xfId="9458" xr:uid="{00000000-0005-0000-0000-0000F2000000}"/>
    <cellStyle name="20% - Accent3 2" xfId="113" xr:uid="{00000000-0005-0000-0000-0000F3000000}"/>
    <cellStyle name="20% - Accent3 2 2" xfId="114" xr:uid="{00000000-0005-0000-0000-0000F4000000}"/>
    <cellStyle name="20% - Accent3 2 2 2" xfId="115" xr:uid="{00000000-0005-0000-0000-0000F5000000}"/>
    <cellStyle name="20% - Accent3 2 2 2 2" xfId="8381" xr:uid="{00000000-0005-0000-0000-0000F6000000}"/>
    <cellStyle name="20% - Accent3 2 2 2 3" xfId="9084" xr:uid="{00000000-0005-0000-0000-0000F7000000}"/>
    <cellStyle name="20% - Accent3 2 2 3" xfId="116" xr:uid="{00000000-0005-0000-0000-0000F8000000}"/>
    <cellStyle name="20% - Accent3 2 2 3 2" xfId="8382" xr:uid="{00000000-0005-0000-0000-0000F9000000}"/>
    <cellStyle name="20% - Accent3 2 2 3 3" xfId="9085" xr:uid="{00000000-0005-0000-0000-0000FA000000}"/>
    <cellStyle name="20% - Accent3 2 2 4" xfId="117" xr:uid="{00000000-0005-0000-0000-0000FB000000}"/>
    <cellStyle name="20% - Accent3 2 2 4 2" xfId="8383" xr:uid="{00000000-0005-0000-0000-0000FC000000}"/>
    <cellStyle name="20% - Accent3 2 2 4 3" xfId="9086" xr:uid="{00000000-0005-0000-0000-0000FD000000}"/>
    <cellStyle name="20% - Accent3 2 2 5" xfId="118" xr:uid="{00000000-0005-0000-0000-0000FE000000}"/>
    <cellStyle name="20% - Accent3 2 2 5 2" xfId="8384" xr:uid="{00000000-0005-0000-0000-0000FF000000}"/>
    <cellStyle name="20% - Accent3 2 2 5 3" xfId="9087" xr:uid="{00000000-0005-0000-0000-000000010000}"/>
    <cellStyle name="20% - Accent3 2 2 6" xfId="119" xr:uid="{00000000-0005-0000-0000-000001010000}"/>
    <cellStyle name="20% - Accent3 2 2 6 2" xfId="8385" xr:uid="{00000000-0005-0000-0000-000002010000}"/>
    <cellStyle name="20% - Accent3 2 2 6 3" xfId="9088" xr:uid="{00000000-0005-0000-0000-000003010000}"/>
    <cellStyle name="20% - Accent3 2 2 7" xfId="8380" xr:uid="{00000000-0005-0000-0000-000004010000}"/>
    <cellStyle name="20% - Accent3 2 2 8" xfId="9083" xr:uid="{00000000-0005-0000-0000-000005010000}"/>
    <cellStyle name="20% - Accent3 2 3" xfId="120" xr:uid="{00000000-0005-0000-0000-000006010000}"/>
    <cellStyle name="20% - Accent3 2 4" xfId="121" xr:uid="{00000000-0005-0000-0000-000007010000}"/>
    <cellStyle name="20% - Accent3 2 5" xfId="122" xr:uid="{00000000-0005-0000-0000-000008010000}"/>
    <cellStyle name="20% - Accent3 2 6" xfId="8913" xr:uid="{00000000-0005-0000-0000-000009010000}"/>
    <cellStyle name="20% - Accent3 2 7" xfId="9435" xr:uid="{00000000-0005-0000-0000-00000A010000}"/>
    <cellStyle name="20% - Accent3 3" xfId="123" xr:uid="{00000000-0005-0000-0000-00000B010000}"/>
    <cellStyle name="20% - Accent3 3 10" xfId="9089" xr:uid="{00000000-0005-0000-0000-00000C010000}"/>
    <cellStyle name="20% - Accent3 3 2" xfId="124" xr:uid="{00000000-0005-0000-0000-00000D010000}"/>
    <cellStyle name="20% - Accent3 3 2 2" xfId="8387" xr:uid="{00000000-0005-0000-0000-00000E010000}"/>
    <cellStyle name="20% - Accent3 3 2 3" xfId="9090" xr:uid="{00000000-0005-0000-0000-00000F010000}"/>
    <cellStyle name="20% - Accent3 3 3" xfId="125" xr:uid="{00000000-0005-0000-0000-000010010000}"/>
    <cellStyle name="20% - Accent3 3 3 2" xfId="8388" xr:uid="{00000000-0005-0000-0000-000011010000}"/>
    <cellStyle name="20% - Accent3 3 3 3" xfId="9091" xr:uid="{00000000-0005-0000-0000-000012010000}"/>
    <cellStyle name="20% - Accent3 3 4" xfId="126" xr:uid="{00000000-0005-0000-0000-000013010000}"/>
    <cellStyle name="20% - Accent3 3 4 2" xfId="8389" xr:uid="{00000000-0005-0000-0000-000014010000}"/>
    <cellStyle name="20% - Accent3 3 4 3" xfId="9092" xr:uid="{00000000-0005-0000-0000-000015010000}"/>
    <cellStyle name="20% - Accent3 3 5" xfId="127" xr:uid="{00000000-0005-0000-0000-000016010000}"/>
    <cellStyle name="20% - Accent3 3 5 2" xfId="8390" xr:uid="{00000000-0005-0000-0000-000017010000}"/>
    <cellStyle name="20% - Accent3 3 5 3" xfId="9093" xr:uid="{00000000-0005-0000-0000-000018010000}"/>
    <cellStyle name="20% - Accent3 3 6" xfId="128" xr:uid="{00000000-0005-0000-0000-000019010000}"/>
    <cellStyle name="20% - Accent3 3 6 2" xfId="8391" xr:uid="{00000000-0005-0000-0000-00001A010000}"/>
    <cellStyle name="20% - Accent3 3 6 3" xfId="9094" xr:uid="{00000000-0005-0000-0000-00001B010000}"/>
    <cellStyle name="20% - Accent3 3 7" xfId="129" xr:uid="{00000000-0005-0000-0000-00001C010000}"/>
    <cellStyle name="20% - Accent3 3 7 2" xfId="8392" xr:uid="{00000000-0005-0000-0000-00001D010000}"/>
    <cellStyle name="20% - Accent3 3 7 3" xfId="9095" xr:uid="{00000000-0005-0000-0000-00001E010000}"/>
    <cellStyle name="20% - Accent3 3 8" xfId="130" xr:uid="{00000000-0005-0000-0000-00001F010000}"/>
    <cellStyle name="20% - Accent3 3 8 2" xfId="8393" xr:uid="{00000000-0005-0000-0000-000020010000}"/>
    <cellStyle name="20% - Accent3 3 8 3" xfId="9096" xr:uid="{00000000-0005-0000-0000-000021010000}"/>
    <cellStyle name="20% - Accent3 3 9" xfId="8386" xr:uid="{00000000-0005-0000-0000-000022010000}"/>
    <cellStyle name="20% - Accent3 4" xfId="131" xr:uid="{00000000-0005-0000-0000-000023010000}"/>
    <cellStyle name="20% - Accent3 4 10" xfId="9097" xr:uid="{00000000-0005-0000-0000-000024010000}"/>
    <cellStyle name="20% - Accent3 4 2" xfId="132" xr:uid="{00000000-0005-0000-0000-000025010000}"/>
    <cellStyle name="20% - Accent3 4 2 2" xfId="8395" xr:uid="{00000000-0005-0000-0000-000026010000}"/>
    <cellStyle name="20% - Accent3 4 2 3" xfId="9098" xr:uid="{00000000-0005-0000-0000-000027010000}"/>
    <cellStyle name="20% - Accent3 4 3" xfId="133" xr:uid="{00000000-0005-0000-0000-000028010000}"/>
    <cellStyle name="20% - Accent3 4 3 2" xfId="8396" xr:uid="{00000000-0005-0000-0000-000029010000}"/>
    <cellStyle name="20% - Accent3 4 3 3" xfId="9099" xr:uid="{00000000-0005-0000-0000-00002A010000}"/>
    <cellStyle name="20% - Accent3 4 4" xfId="134" xr:uid="{00000000-0005-0000-0000-00002B010000}"/>
    <cellStyle name="20% - Accent3 4 4 2" xfId="8397" xr:uid="{00000000-0005-0000-0000-00002C010000}"/>
    <cellStyle name="20% - Accent3 4 4 3" xfId="9100" xr:uid="{00000000-0005-0000-0000-00002D010000}"/>
    <cellStyle name="20% - Accent3 4 5" xfId="135" xr:uid="{00000000-0005-0000-0000-00002E010000}"/>
    <cellStyle name="20% - Accent3 4 5 2" xfId="8398" xr:uid="{00000000-0005-0000-0000-00002F010000}"/>
    <cellStyle name="20% - Accent3 4 5 3" xfId="9101" xr:uid="{00000000-0005-0000-0000-000030010000}"/>
    <cellStyle name="20% - Accent3 4 6" xfId="136" xr:uid="{00000000-0005-0000-0000-000031010000}"/>
    <cellStyle name="20% - Accent3 4 6 2" xfId="8399" xr:uid="{00000000-0005-0000-0000-000032010000}"/>
    <cellStyle name="20% - Accent3 4 6 3" xfId="9102" xr:uid="{00000000-0005-0000-0000-000033010000}"/>
    <cellStyle name="20% - Accent3 4 7" xfId="137" xr:uid="{00000000-0005-0000-0000-000034010000}"/>
    <cellStyle name="20% - Accent3 4 7 2" xfId="8400" xr:uid="{00000000-0005-0000-0000-000035010000}"/>
    <cellStyle name="20% - Accent3 4 7 3" xfId="9103" xr:uid="{00000000-0005-0000-0000-000036010000}"/>
    <cellStyle name="20% - Accent3 4 8" xfId="138" xr:uid="{00000000-0005-0000-0000-000037010000}"/>
    <cellStyle name="20% - Accent3 4 8 2" xfId="8401" xr:uid="{00000000-0005-0000-0000-000038010000}"/>
    <cellStyle name="20% - Accent3 4 8 3" xfId="9104" xr:uid="{00000000-0005-0000-0000-000039010000}"/>
    <cellStyle name="20% - Accent3 4 9" xfId="8394" xr:uid="{00000000-0005-0000-0000-00003A010000}"/>
    <cellStyle name="20% - Accent3 5" xfId="139" xr:uid="{00000000-0005-0000-0000-00003B010000}"/>
    <cellStyle name="20% - Accent3 5 10" xfId="9105" xr:uid="{00000000-0005-0000-0000-00003C010000}"/>
    <cellStyle name="20% - Accent3 5 2" xfId="140" xr:uid="{00000000-0005-0000-0000-00003D010000}"/>
    <cellStyle name="20% - Accent3 5 2 2" xfId="8403" xr:uid="{00000000-0005-0000-0000-00003E010000}"/>
    <cellStyle name="20% - Accent3 5 2 3" xfId="9106" xr:uid="{00000000-0005-0000-0000-00003F010000}"/>
    <cellStyle name="20% - Accent3 5 3" xfId="141" xr:uid="{00000000-0005-0000-0000-000040010000}"/>
    <cellStyle name="20% - Accent3 5 3 2" xfId="8404" xr:uid="{00000000-0005-0000-0000-000041010000}"/>
    <cellStyle name="20% - Accent3 5 3 3" xfId="9107" xr:uid="{00000000-0005-0000-0000-000042010000}"/>
    <cellStyle name="20% - Accent3 5 4" xfId="142" xr:uid="{00000000-0005-0000-0000-000043010000}"/>
    <cellStyle name="20% - Accent3 5 4 2" xfId="8405" xr:uid="{00000000-0005-0000-0000-000044010000}"/>
    <cellStyle name="20% - Accent3 5 4 3" xfId="9108" xr:uid="{00000000-0005-0000-0000-000045010000}"/>
    <cellStyle name="20% - Accent3 5 5" xfId="143" xr:uid="{00000000-0005-0000-0000-000046010000}"/>
    <cellStyle name="20% - Accent3 5 5 2" xfId="8406" xr:uid="{00000000-0005-0000-0000-000047010000}"/>
    <cellStyle name="20% - Accent3 5 5 3" xfId="9109" xr:uid="{00000000-0005-0000-0000-000048010000}"/>
    <cellStyle name="20% - Accent3 5 6" xfId="144" xr:uid="{00000000-0005-0000-0000-000049010000}"/>
    <cellStyle name="20% - Accent3 5 6 2" xfId="8407" xr:uid="{00000000-0005-0000-0000-00004A010000}"/>
    <cellStyle name="20% - Accent3 5 6 3" xfId="9110" xr:uid="{00000000-0005-0000-0000-00004B010000}"/>
    <cellStyle name="20% - Accent3 5 7" xfId="145" xr:uid="{00000000-0005-0000-0000-00004C010000}"/>
    <cellStyle name="20% - Accent3 5 7 2" xfId="8408" xr:uid="{00000000-0005-0000-0000-00004D010000}"/>
    <cellStyle name="20% - Accent3 5 7 3" xfId="9111" xr:uid="{00000000-0005-0000-0000-00004E010000}"/>
    <cellStyle name="20% - Accent3 5 8" xfId="146" xr:uid="{00000000-0005-0000-0000-00004F010000}"/>
    <cellStyle name="20% - Accent3 5 8 2" xfId="8409" xr:uid="{00000000-0005-0000-0000-000050010000}"/>
    <cellStyle name="20% - Accent3 5 8 3" xfId="9112" xr:uid="{00000000-0005-0000-0000-000051010000}"/>
    <cellStyle name="20% - Accent3 5 9" xfId="8402" xr:uid="{00000000-0005-0000-0000-000052010000}"/>
    <cellStyle name="20% - Accent3 6" xfId="147" xr:uid="{00000000-0005-0000-0000-000053010000}"/>
    <cellStyle name="20% - Accent3 6 2" xfId="8410" xr:uid="{00000000-0005-0000-0000-000054010000}"/>
    <cellStyle name="20% - Accent3 6 3" xfId="9113" xr:uid="{00000000-0005-0000-0000-000055010000}"/>
    <cellStyle name="20% - Accent3 7" xfId="148" xr:uid="{00000000-0005-0000-0000-000056010000}"/>
    <cellStyle name="20% - Accent3 7 2" xfId="8411" xr:uid="{00000000-0005-0000-0000-000057010000}"/>
    <cellStyle name="20% - Accent3 7 3" xfId="9114" xr:uid="{00000000-0005-0000-0000-000058010000}"/>
    <cellStyle name="20% - Accent3 8" xfId="149" xr:uid="{00000000-0005-0000-0000-000059010000}"/>
    <cellStyle name="20% - Accent3 8 2" xfId="8412" xr:uid="{00000000-0005-0000-0000-00005A010000}"/>
    <cellStyle name="20% - Accent3 8 3" xfId="9115" xr:uid="{00000000-0005-0000-0000-00005B010000}"/>
    <cellStyle name="20% - Accent3 9" xfId="150" xr:uid="{00000000-0005-0000-0000-00005C010000}"/>
    <cellStyle name="20% - Accent3 9 2" xfId="8413" xr:uid="{00000000-0005-0000-0000-00005D010000}"/>
    <cellStyle name="20% - Accent3 9 3" xfId="9116" xr:uid="{00000000-0005-0000-0000-00005E010000}"/>
    <cellStyle name="20% - Accent4" xfId="8273" builtinId="42" customBuiltin="1"/>
    <cellStyle name="20% - Accent4 10" xfId="151" xr:uid="{00000000-0005-0000-0000-000060010000}"/>
    <cellStyle name="20% - Accent4 10 2" xfId="8414" xr:uid="{00000000-0005-0000-0000-000061010000}"/>
    <cellStyle name="20% - Accent4 10 3" xfId="9117" xr:uid="{00000000-0005-0000-0000-000062010000}"/>
    <cellStyle name="20% - Accent4 11" xfId="152" xr:uid="{00000000-0005-0000-0000-000063010000}"/>
    <cellStyle name="20% - Accent4 11 2" xfId="8415" xr:uid="{00000000-0005-0000-0000-000064010000}"/>
    <cellStyle name="20% - Accent4 11 3" xfId="9118" xr:uid="{00000000-0005-0000-0000-000065010000}"/>
    <cellStyle name="20% - Accent4 12" xfId="8749" xr:uid="{00000000-0005-0000-0000-000066010000}"/>
    <cellStyle name="20% - Accent4 13" xfId="9460" xr:uid="{00000000-0005-0000-0000-000067010000}"/>
    <cellStyle name="20% - Accent4 2" xfId="153" xr:uid="{00000000-0005-0000-0000-000068010000}"/>
    <cellStyle name="20% - Accent4 2 2" xfId="154" xr:uid="{00000000-0005-0000-0000-000069010000}"/>
    <cellStyle name="20% - Accent4 2 2 2" xfId="155" xr:uid="{00000000-0005-0000-0000-00006A010000}"/>
    <cellStyle name="20% - Accent4 2 2 2 2" xfId="8417" xr:uid="{00000000-0005-0000-0000-00006B010000}"/>
    <cellStyle name="20% - Accent4 2 2 2 3" xfId="9120" xr:uid="{00000000-0005-0000-0000-00006C010000}"/>
    <cellStyle name="20% - Accent4 2 2 3" xfId="156" xr:uid="{00000000-0005-0000-0000-00006D010000}"/>
    <cellStyle name="20% - Accent4 2 2 3 2" xfId="8418" xr:uid="{00000000-0005-0000-0000-00006E010000}"/>
    <cellStyle name="20% - Accent4 2 2 3 3" xfId="9121" xr:uid="{00000000-0005-0000-0000-00006F010000}"/>
    <cellStyle name="20% - Accent4 2 2 4" xfId="157" xr:uid="{00000000-0005-0000-0000-000070010000}"/>
    <cellStyle name="20% - Accent4 2 2 4 2" xfId="8419" xr:uid="{00000000-0005-0000-0000-000071010000}"/>
    <cellStyle name="20% - Accent4 2 2 4 3" xfId="9122" xr:uid="{00000000-0005-0000-0000-000072010000}"/>
    <cellStyle name="20% - Accent4 2 2 5" xfId="158" xr:uid="{00000000-0005-0000-0000-000073010000}"/>
    <cellStyle name="20% - Accent4 2 2 5 2" xfId="8420" xr:uid="{00000000-0005-0000-0000-000074010000}"/>
    <cellStyle name="20% - Accent4 2 2 5 3" xfId="9123" xr:uid="{00000000-0005-0000-0000-000075010000}"/>
    <cellStyle name="20% - Accent4 2 2 6" xfId="159" xr:uid="{00000000-0005-0000-0000-000076010000}"/>
    <cellStyle name="20% - Accent4 2 2 6 2" xfId="8421" xr:uid="{00000000-0005-0000-0000-000077010000}"/>
    <cellStyle name="20% - Accent4 2 2 6 3" xfId="9124" xr:uid="{00000000-0005-0000-0000-000078010000}"/>
    <cellStyle name="20% - Accent4 2 2 7" xfId="8416" xr:uid="{00000000-0005-0000-0000-000079010000}"/>
    <cellStyle name="20% - Accent4 2 2 8" xfId="9119" xr:uid="{00000000-0005-0000-0000-00007A010000}"/>
    <cellStyle name="20% - Accent4 2 3" xfId="160" xr:uid="{00000000-0005-0000-0000-00007B010000}"/>
    <cellStyle name="20% - Accent4 2 4" xfId="161" xr:uid="{00000000-0005-0000-0000-00007C010000}"/>
    <cellStyle name="20% - Accent4 2 5" xfId="162" xr:uid="{00000000-0005-0000-0000-00007D010000}"/>
    <cellStyle name="20% - Accent4 2 6" xfId="8817" xr:uid="{00000000-0005-0000-0000-00007E010000}"/>
    <cellStyle name="20% - Accent4 2 7" xfId="9433" xr:uid="{00000000-0005-0000-0000-00007F010000}"/>
    <cellStyle name="20% - Accent4 3" xfId="163" xr:uid="{00000000-0005-0000-0000-000080010000}"/>
    <cellStyle name="20% - Accent4 3 10" xfId="9125" xr:uid="{00000000-0005-0000-0000-000081010000}"/>
    <cellStyle name="20% - Accent4 3 2" xfId="164" xr:uid="{00000000-0005-0000-0000-000082010000}"/>
    <cellStyle name="20% - Accent4 3 2 2" xfId="8423" xr:uid="{00000000-0005-0000-0000-000083010000}"/>
    <cellStyle name="20% - Accent4 3 2 3" xfId="9126" xr:uid="{00000000-0005-0000-0000-000084010000}"/>
    <cellStyle name="20% - Accent4 3 3" xfId="165" xr:uid="{00000000-0005-0000-0000-000085010000}"/>
    <cellStyle name="20% - Accent4 3 3 2" xfId="8424" xr:uid="{00000000-0005-0000-0000-000086010000}"/>
    <cellStyle name="20% - Accent4 3 3 3" xfId="9127" xr:uid="{00000000-0005-0000-0000-000087010000}"/>
    <cellStyle name="20% - Accent4 3 4" xfId="166" xr:uid="{00000000-0005-0000-0000-000088010000}"/>
    <cellStyle name="20% - Accent4 3 4 2" xfId="8425" xr:uid="{00000000-0005-0000-0000-000089010000}"/>
    <cellStyle name="20% - Accent4 3 4 3" xfId="9128" xr:uid="{00000000-0005-0000-0000-00008A010000}"/>
    <cellStyle name="20% - Accent4 3 5" xfId="167" xr:uid="{00000000-0005-0000-0000-00008B010000}"/>
    <cellStyle name="20% - Accent4 3 5 2" xfId="8426" xr:uid="{00000000-0005-0000-0000-00008C010000}"/>
    <cellStyle name="20% - Accent4 3 5 3" xfId="9129" xr:uid="{00000000-0005-0000-0000-00008D010000}"/>
    <cellStyle name="20% - Accent4 3 6" xfId="168" xr:uid="{00000000-0005-0000-0000-00008E010000}"/>
    <cellStyle name="20% - Accent4 3 6 2" xfId="8427" xr:uid="{00000000-0005-0000-0000-00008F010000}"/>
    <cellStyle name="20% - Accent4 3 6 3" xfId="9130" xr:uid="{00000000-0005-0000-0000-000090010000}"/>
    <cellStyle name="20% - Accent4 3 7" xfId="169" xr:uid="{00000000-0005-0000-0000-000091010000}"/>
    <cellStyle name="20% - Accent4 3 7 2" xfId="8428" xr:uid="{00000000-0005-0000-0000-000092010000}"/>
    <cellStyle name="20% - Accent4 3 7 3" xfId="9131" xr:uid="{00000000-0005-0000-0000-000093010000}"/>
    <cellStyle name="20% - Accent4 3 8" xfId="170" xr:uid="{00000000-0005-0000-0000-000094010000}"/>
    <cellStyle name="20% - Accent4 3 8 2" xfId="8429" xr:uid="{00000000-0005-0000-0000-000095010000}"/>
    <cellStyle name="20% - Accent4 3 8 3" xfId="9132" xr:uid="{00000000-0005-0000-0000-000096010000}"/>
    <cellStyle name="20% - Accent4 3 9" xfId="8422" xr:uid="{00000000-0005-0000-0000-000097010000}"/>
    <cellStyle name="20% - Accent4 4" xfId="171" xr:uid="{00000000-0005-0000-0000-000098010000}"/>
    <cellStyle name="20% - Accent4 4 10" xfId="9133" xr:uid="{00000000-0005-0000-0000-000099010000}"/>
    <cellStyle name="20% - Accent4 4 2" xfId="172" xr:uid="{00000000-0005-0000-0000-00009A010000}"/>
    <cellStyle name="20% - Accent4 4 2 2" xfId="8431" xr:uid="{00000000-0005-0000-0000-00009B010000}"/>
    <cellStyle name="20% - Accent4 4 2 3" xfId="9134" xr:uid="{00000000-0005-0000-0000-00009C010000}"/>
    <cellStyle name="20% - Accent4 4 3" xfId="173" xr:uid="{00000000-0005-0000-0000-00009D010000}"/>
    <cellStyle name="20% - Accent4 4 3 2" xfId="8432" xr:uid="{00000000-0005-0000-0000-00009E010000}"/>
    <cellStyle name="20% - Accent4 4 3 3" xfId="9135" xr:uid="{00000000-0005-0000-0000-00009F010000}"/>
    <cellStyle name="20% - Accent4 4 4" xfId="174" xr:uid="{00000000-0005-0000-0000-0000A0010000}"/>
    <cellStyle name="20% - Accent4 4 4 2" xfId="8433" xr:uid="{00000000-0005-0000-0000-0000A1010000}"/>
    <cellStyle name="20% - Accent4 4 4 3" xfId="9136" xr:uid="{00000000-0005-0000-0000-0000A2010000}"/>
    <cellStyle name="20% - Accent4 4 5" xfId="175" xr:uid="{00000000-0005-0000-0000-0000A3010000}"/>
    <cellStyle name="20% - Accent4 4 5 2" xfId="8434" xr:uid="{00000000-0005-0000-0000-0000A4010000}"/>
    <cellStyle name="20% - Accent4 4 5 3" xfId="9137" xr:uid="{00000000-0005-0000-0000-0000A5010000}"/>
    <cellStyle name="20% - Accent4 4 6" xfId="176" xr:uid="{00000000-0005-0000-0000-0000A6010000}"/>
    <cellStyle name="20% - Accent4 4 6 2" xfId="8435" xr:uid="{00000000-0005-0000-0000-0000A7010000}"/>
    <cellStyle name="20% - Accent4 4 6 3" xfId="9138" xr:uid="{00000000-0005-0000-0000-0000A8010000}"/>
    <cellStyle name="20% - Accent4 4 7" xfId="177" xr:uid="{00000000-0005-0000-0000-0000A9010000}"/>
    <cellStyle name="20% - Accent4 4 7 2" xfId="8436" xr:uid="{00000000-0005-0000-0000-0000AA010000}"/>
    <cellStyle name="20% - Accent4 4 7 3" xfId="9139" xr:uid="{00000000-0005-0000-0000-0000AB010000}"/>
    <cellStyle name="20% - Accent4 4 8" xfId="178" xr:uid="{00000000-0005-0000-0000-0000AC010000}"/>
    <cellStyle name="20% - Accent4 4 8 2" xfId="8437" xr:uid="{00000000-0005-0000-0000-0000AD010000}"/>
    <cellStyle name="20% - Accent4 4 8 3" xfId="9140" xr:uid="{00000000-0005-0000-0000-0000AE010000}"/>
    <cellStyle name="20% - Accent4 4 9" xfId="8430" xr:uid="{00000000-0005-0000-0000-0000AF010000}"/>
    <cellStyle name="20% - Accent4 5" xfId="179" xr:uid="{00000000-0005-0000-0000-0000B0010000}"/>
    <cellStyle name="20% - Accent4 5 10" xfId="9141" xr:uid="{00000000-0005-0000-0000-0000B1010000}"/>
    <cellStyle name="20% - Accent4 5 2" xfId="180" xr:uid="{00000000-0005-0000-0000-0000B2010000}"/>
    <cellStyle name="20% - Accent4 5 2 2" xfId="8439" xr:uid="{00000000-0005-0000-0000-0000B3010000}"/>
    <cellStyle name="20% - Accent4 5 2 3" xfId="9142" xr:uid="{00000000-0005-0000-0000-0000B4010000}"/>
    <cellStyle name="20% - Accent4 5 3" xfId="181" xr:uid="{00000000-0005-0000-0000-0000B5010000}"/>
    <cellStyle name="20% - Accent4 5 3 2" xfId="8440" xr:uid="{00000000-0005-0000-0000-0000B6010000}"/>
    <cellStyle name="20% - Accent4 5 3 3" xfId="9143" xr:uid="{00000000-0005-0000-0000-0000B7010000}"/>
    <cellStyle name="20% - Accent4 5 4" xfId="182" xr:uid="{00000000-0005-0000-0000-0000B8010000}"/>
    <cellStyle name="20% - Accent4 5 4 2" xfId="8441" xr:uid="{00000000-0005-0000-0000-0000B9010000}"/>
    <cellStyle name="20% - Accent4 5 4 3" xfId="9144" xr:uid="{00000000-0005-0000-0000-0000BA010000}"/>
    <cellStyle name="20% - Accent4 5 5" xfId="183" xr:uid="{00000000-0005-0000-0000-0000BB010000}"/>
    <cellStyle name="20% - Accent4 5 5 2" xfId="8442" xr:uid="{00000000-0005-0000-0000-0000BC010000}"/>
    <cellStyle name="20% - Accent4 5 5 3" xfId="9145" xr:uid="{00000000-0005-0000-0000-0000BD010000}"/>
    <cellStyle name="20% - Accent4 5 6" xfId="184" xr:uid="{00000000-0005-0000-0000-0000BE010000}"/>
    <cellStyle name="20% - Accent4 5 6 2" xfId="8443" xr:uid="{00000000-0005-0000-0000-0000BF010000}"/>
    <cellStyle name="20% - Accent4 5 6 3" xfId="9146" xr:uid="{00000000-0005-0000-0000-0000C0010000}"/>
    <cellStyle name="20% - Accent4 5 7" xfId="185" xr:uid="{00000000-0005-0000-0000-0000C1010000}"/>
    <cellStyle name="20% - Accent4 5 7 2" xfId="8444" xr:uid="{00000000-0005-0000-0000-0000C2010000}"/>
    <cellStyle name="20% - Accent4 5 7 3" xfId="9147" xr:uid="{00000000-0005-0000-0000-0000C3010000}"/>
    <cellStyle name="20% - Accent4 5 8" xfId="186" xr:uid="{00000000-0005-0000-0000-0000C4010000}"/>
    <cellStyle name="20% - Accent4 5 8 2" xfId="8445" xr:uid="{00000000-0005-0000-0000-0000C5010000}"/>
    <cellStyle name="20% - Accent4 5 8 3" xfId="9148" xr:uid="{00000000-0005-0000-0000-0000C6010000}"/>
    <cellStyle name="20% - Accent4 5 9" xfId="8438" xr:uid="{00000000-0005-0000-0000-0000C7010000}"/>
    <cellStyle name="20% - Accent4 6" xfId="187" xr:uid="{00000000-0005-0000-0000-0000C8010000}"/>
    <cellStyle name="20% - Accent4 6 2" xfId="8446" xr:uid="{00000000-0005-0000-0000-0000C9010000}"/>
    <cellStyle name="20% - Accent4 6 3" xfId="9149" xr:uid="{00000000-0005-0000-0000-0000CA010000}"/>
    <cellStyle name="20% - Accent4 7" xfId="188" xr:uid="{00000000-0005-0000-0000-0000CB010000}"/>
    <cellStyle name="20% - Accent4 7 2" xfId="8447" xr:uid="{00000000-0005-0000-0000-0000CC010000}"/>
    <cellStyle name="20% - Accent4 7 3" xfId="9150" xr:uid="{00000000-0005-0000-0000-0000CD010000}"/>
    <cellStyle name="20% - Accent4 8" xfId="189" xr:uid="{00000000-0005-0000-0000-0000CE010000}"/>
    <cellStyle name="20% - Accent4 8 2" xfId="8448" xr:uid="{00000000-0005-0000-0000-0000CF010000}"/>
    <cellStyle name="20% - Accent4 8 3" xfId="9151" xr:uid="{00000000-0005-0000-0000-0000D0010000}"/>
    <cellStyle name="20% - Accent4 9" xfId="190" xr:uid="{00000000-0005-0000-0000-0000D1010000}"/>
    <cellStyle name="20% - Accent4 9 2" xfId="8449" xr:uid="{00000000-0005-0000-0000-0000D2010000}"/>
    <cellStyle name="20% - Accent4 9 3" xfId="9152" xr:uid="{00000000-0005-0000-0000-0000D3010000}"/>
    <cellStyle name="20% - Accent5" xfId="8277" builtinId="46" customBuiltin="1"/>
    <cellStyle name="20% - Accent5 10" xfId="191" xr:uid="{00000000-0005-0000-0000-0000D5010000}"/>
    <cellStyle name="20% - Accent5 10 2" xfId="8450" xr:uid="{00000000-0005-0000-0000-0000D6010000}"/>
    <cellStyle name="20% - Accent5 10 3" xfId="9153" xr:uid="{00000000-0005-0000-0000-0000D7010000}"/>
    <cellStyle name="20% - Accent5 11" xfId="192" xr:uid="{00000000-0005-0000-0000-0000D8010000}"/>
    <cellStyle name="20% - Accent5 11 2" xfId="8451" xr:uid="{00000000-0005-0000-0000-0000D9010000}"/>
    <cellStyle name="20% - Accent5 11 3" xfId="9154" xr:uid="{00000000-0005-0000-0000-0000DA010000}"/>
    <cellStyle name="20% - Accent5 12" xfId="8928" xr:uid="{00000000-0005-0000-0000-0000DB010000}"/>
    <cellStyle name="20% - Accent5 13" xfId="9462" xr:uid="{00000000-0005-0000-0000-0000DC010000}"/>
    <cellStyle name="20% - Accent5 2" xfId="193" xr:uid="{00000000-0005-0000-0000-0000DD010000}"/>
    <cellStyle name="20% - Accent5 2 2" xfId="194" xr:uid="{00000000-0005-0000-0000-0000DE010000}"/>
    <cellStyle name="20% - Accent5 2 2 2" xfId="195" xr:uid="{00000000-0005-0000-0000-0000DF010000}"/>
    <cellStyle name="20% - Accent5 2 2 2 2" xfId="8453" xr:uid="{00000000-0005-0000-0000-0000E0010000}"/>
    <cellStyle name="20% - Accent5 2 2 2 3" xfId="9156" xr:uid="{00000000-0005-0000-0000-0000E1010000}"/>
    <cellStyle name="20% - Accent5 2 2 3" xfId="196" xr:uid="{00000000-0005-0000-0000-0000E2010000}"/>
    <cellStyle name="20% - Accent5 2 2 3 2" xfId="8454" xr:uid="{00000000-0005-0000-0000-0000E3010000}"/>
    <cellStyle name="20% - Accent5 2 2 3 3" xfId="9157" xr:uid="{00000000-0005-0000-0000-0000E4010000}"/>
    <cellStyle name="20% - Accent5 2 2 4" xfId="197" xr:uid="{00000000-0005-0000-0000-0000E5010000}"/>
    <cellStyle name="20% - Accent5 2 2 4 2" xfId="8455" xr:uid="{00000000-0005-0000-0000-0000E6010000}"/>
    <cellStyle name="20% - Accent5 2 2 4 3" xfId="9158" xr:uid="{00000000-0005-0000-0000-0000E7010000}"/>
    <cellStyle name="20% - Accent5 2 2 5" xfId="198" xr:uid="{00000000-0005-0000-0000-0000E8010000}"/>
    <cellStyle name="20% - Accent5 2 2 5 2" xfId="8456" xr:uid="{00000000-0005-0000-0000-0000E9010000}"/>
    <cellStyle name="20% - Accent5 2 2 5 3" xfId="9159" xr:uid="{00000000-0005-0000-0000-0000EA010000}"/>
    <cellStyle name="20% - Accent5 2 2 6" xfId="199" xr:uid="{00000000-0005-0000-0000-0000EB010000}"/>
    <cellStyle name="20% - Accent5 2 2 6 2" xfId="8457" xr:uid="{00000000-0005-0000-0000-0000EC010000}"/>
    <cellStyle name="20% - Accent5 2 2 6 3" xfId="9160" xr:uid="{00000000-0005-0000-0000-0000ED010000}"/>
    <cellStyle name="20% - Accent5 2 2 7" xfId="8452" xr:uid="{00000000-0005-0000-0000-0000EE010000}"/>
    <cellStyle name="20% - Accent5 2 2 8" xfId="9155" xr:uid="{00000000-0005-0000-0000-0000EF010000}"/>
    <cellStyle name="20% - Accent5 2 3" xfId="200" xr:uid="{00000000-0005-0000-0000-0000F0010000}"/>
    <cellStyle name="20% - Accent5 2 4" xfId="201" xr:uid="{00000000-0005-0000-0000-0000F1010000}"/>
    <cellStyle name="20% - Accent5 2 5" xfId="202" xr:uid="{00000000-0005-0000-0000-0000F2010000}"/>
    <cellStyle name="20% - Accent5 2 6" xfId="8909" xr:uid="{00000000-0005-0000-0000-0000F3010000}"/>
    <cellStyle name="20% - Accent5 2 7" xfId="9431" xr:uid="{00000000-0005-0000-0000-0000F4010000}"/>
    <cellStyle name="20% - Accent5 3" xfId="203" xr:uid="{00000000-0005-0000-0000-0000F5010000}"/>
    <cellStyle name="20% - Accent5 3 10" xfId="9161" xr:uid="{00000000-0005-0000-0000-0000F6010000}"/>
    <cellStyle name="20% - Accent5 3 2" xfId="204" xr:uid="{00000000-0005-0000-0000-0000F7010000}"/>
    <cellStyle name="20% - Accent5 3 2 2" xfId="8459" xr:uid="{00000000-0005-0000-0000-0000F8010000}"/>
    <cellStyle name="20% - Accent5 3 2 3" xfId="9162" xr:uid="{00000000-0005-0000-0000-0000F9010000}"/>
    <cellStyle name="20% - Accent5 3 3" xfId="205" xr:uid="{00000000-0005-0000-0000-0000FA010000}"/>
    <cellStyle name="20% - Accent5 3 3 2" xfId="8460" xr:uid="{00000000-0005-0000-0000-0000FB010000}"/>
    <cellStyle name="20% - Accent5 3 3 3" xfId="9163" xr:uid="{00000000-0005-0000-0000-0000FC010000}"/>
    <cellStyle name="20% - Accent5 3 4" xfId="206" xr:uid="{00000000-0005-0000-0000-0000FD010000}"/>
    <cellStyle name="20% - Accent5 3 4 2" xfId="8461" xr:uid="{00000000-0005-0000-0000-0000FE010000}"/>
    <cellStyle name="20% - Accent5 3 4 3" xfId="9164" xr:uid="{00000000-0005-0000-0000-0000FF010000}"/>
    <cellStyle name="20% - Accent5 3 5" xfId="207" xr:uid="{00000000-0005-0000-0000-000000020000}"/>
    <cellStyle name="20% - Accent5 3 5 2" xfId="8462" xr:uid="{00000000-0005-0000-0000-000001020000}"/>
    <cellStyle name="20% - Accent5 3 5 3" xfId="9165" xr:uid="{00000000-0005-0000-0000-000002020000}"/>
    <cellStyle name="20% - Accent5 3 6" xfId="208" xr:uid="{00000000-0005-0000-0000-000003020000}"/>
    <cellStyle name="20% - Accent5 3 6 2" xfId="8463" xr:uid="{00000000-0005-0000-0000-000004020000}"/>
    <cellStyle name="20% - Accent5 3 6 3" xfId="9166" xr:uid="{00000000-0005-0000-0000-000005020000}"/>
    <cellStyle name="20% - Accent5 3 7" xfId="209" xr:uid="{00000000-0005-0000-0000-000006020000}"/>
    <cellStyle name="20% - Accent5 3 7 2" xfId="8464" xr:uid="{00000000-0005-0000-0000-000007020000}"/>
    <cellStyle name="20% - Accent5 3 7 3" xfId="9167" xr:uid="{00000000-0005-0000-0000-000008020000}"/>
    <cellStyle name="20% - Accent5 3 8" xfId="210" xr:uid="{00000000-0005-0000-0000-000009020000}"/>
    <cellStyle name="20% - Accent5 3 8 2" xfId="8465" xr:uid="{00000000-0005-0000-0000-00000A020000}"/>
    <cellStyle name="20% - Accent5 3 8 3" xfId="9168" xr:uid="{00000000-0005-0000-0000-00000B020000}"/>
    <cellStyle name="20% - Accent5 3 9" xfId="8458" xr:uid="{00000000-0005-0000-0000-00000C020000}"/>
    <cellStyle name="20% - Accent5 4" xfId="211" xr:uid="{00000000-0005-0000-0000-00000D020000}"/>
    <cellStyle name="20% - Accent5 4 10" xfId="9169" xr:uid="{00000000-0005-0000-0000-00000E020000}"/>
    <cellStyle name="20% - Accent5 4 2" xfId="212" xr:uid="{00000000-0005-0000-0000-00000F020000}"/>
    <cellStyle name="20% - Accent5 4 2 2" xfId="8467" xr:uid="{00000000-0005-0000-0000-000010020000}"/>
    <cellStyle name="20% - Accent5 4 2 3" xfId="9170" xr:uid="{00000000-0005-0000-0000-000011020000}"/>
    <cellStyle name="20% - Accent5 4 3" xfId="213" xr:uid="{00000000-0005-0000-0000-000012020000}"/>
    <cellStyle name="20% - Accent5 4 3 2" xfId="8468" xr:uid="{00000000-0005-0000-0000-000013020000}"/>
    <cellStyle name="20% - Accent5 4 3 3" xfId="9171" xr:uid="{00000000-0005-0000-0000-000014020000}"/>
    <cellStyle name="20% - Accent5 4 4" xfId="214" xr:uid="{00000000-0005-0000-0000-000015020000}"/>
    <cellStyle name="20% - Accent5 4 4 2" xfId="8469" xr:uid="{00000000-0005-0000-0000-000016020000}"/>
    <cellStyle name="20% - Accent5 4 4 3" xfId="9172" xr:uid="{00000000-0005-0000-0000-000017020000}"/>
    <cellStyle name="20% - Accent5 4 5" xfId="215" xr:uid="{00000000-0005-0000-0000-000018020000}"/>
    <cellStyle name="20% - Accent5 4 5 2" xfId="8470" xr:uid="{00000000-0005-0000-0000-000019020000}"/>
    <cellStyle name="20% - Accent5 4 5 3" xfId="9173" xr:uid="{00000000-0005-0000-0000-00001A020000}"/>
    <cellStyle name="20% - Accent5 4 6" xfId="216" xr:uid="{00000000-0005-0000-0000-00001B020000}"/>
    <cellStyle name="20% - Accent5 4 6 2" xfId="8471" xr:uid="{00000000-0005-0000-0000-00001C020000}"/>
    <cellStyle name="20% - Accent5 4 6 3" xfId="9174" xr:uid="{00000000-0005-0000-0000-00001D020000}"/>
    <cellStyle name="20% - Accent5 4 7" xfId="217" xr:uid="{00000000-0005-0000-0000-00001E020000}"/>
    <cellStyle name="20% - Accent5 4 7 2" xfId="8472" xr:uid="{00000000-0005-0000-0000-00001F020000}"/>
    <cellStyle name="20% - Accent5 4 7 3" xfId="9175" xr:uid="{00000000-0005-0000-0000-000020020000}"/>
    <cellStyle name="20% - Accent5 4 8" xfId="218" xr:uid="{00000000-0005-0000-0000-000021020000}"/>
    <cellStyle name="20% - Accent5 4 8 2" xfId="8473" xr:uid="{00000000-0005-0000-0000-000022020000}"/>
    <cellStyle name="20% - Accent5 4 8 3" xfId="9176" xr:uid="{00000000-0005-0000-0000-000023020000}"/>
    <cellStyle name="20% - Accent5 4 9" xfId="8466" xr:uid="{00000000-0005-0000-0000-000024020000}"/>
    <cellStyle name="20% - Accent5 5" xfId="219" xr:uid="{00000000-0005-0000-0000-000025020000}"/>
    <cellStyle name="20% - Accent5 5 10" xfId="9177" xr:uid="{00000000-0005-0000-0000-000026020000}"/>
    <cellStyle name="20% - Accent5 5 2" xfId="220" xr:uid="{00000000-0005-0000-0000-000027020000}"/>
    <cellStyle name="20% - Accent5 5 2 2" xfId="8475" xr:uid="{00000000-0005-0000-0000-000028020000}"/>
    <cellStyle name="20% - Accent5 5 2 3" xfId="9178" xr:uid="{00000000-0005-0000-0000-000029020000}"/>
    <cellStyle name="20% - Accent5 5 3" xfId="221" xr:uid="{00000000-0005-0000-0000-00002A020000}"/>
    <cellStyle name="20% - Accent5 5 3 2" xfId="8476" xr:uid="{00000000-0005-0000-0000-00002B020000}"/>
    <cellStyle name="20% - Accent5 5 3 3" xfId="9179" xr:uid="{00000000-0005-0000-0000-00002C020000}"/>
    <cellStyle name="20% - Accent5 5 4" xfId="222" xr:uid="{00000000-0005-0000-0000-00002D020000}"/>
    <cellStyle name="20% - Accent5 5 4 2" xfId="8477" xr:uid="{00000000-0005-0000-0000-00002E020000}"/>
    <cellStyle name="20% - Accent5 5 4 3" xfId="9180" xr:uid="{00000000-0005-0000-0000-00002F020000}"/>
    <cellStyle name="20% - Accent5 5 5" xfId="223" xr:uid="{00000000-0005-0000-0000-000030020000}"/>
    <cellStyle name="20% - Accent5 5 5 2" xfId="8478" xr:uid="{00000000-0005-0000-0000-000031020000}"/>
    <cellStyle name="20% - Accent5 5 5 3" xfId="9181" xr:uid="{00000000-0005-0000-0000-000032020000}"/>
    <cellStyle name="20% - Accent5 5 6" xfId="224" xr:uid="{00000000-0005-0000-0000-000033020000}"/>
    <cellStyle name="20% - Accent5 5 6 2" xfId="8479" xr:uid="{00000000-0005-0000-0000-000034020000}"/>
    <cellStyle name="20% - Accent5 5 6 3" xfId="9182" xr:uid="{00000000-0005-0000-0000-000035020000}"/>
    <cellStyle name="20% - Accent5 5 7" xfId="225" xr:uid="{00000000-0005-0000-0000-000036020000}"/>
    <cellStyle name="20% - Accent5 5 7 2" xfId="8480" xr:uid="{00000000-0005-0000-0000-000037020000}"/>
    <cellStyle name="20% - Accent5 5 7 3" xfId="9183" xr:uid="{00000000-0005-0000-0000-000038020000}"/>
    <cellStyle name="20% - Accent5 5 8" xfId="226" xr:uid="{00000000-0005-0000-0000-000039020000}"/>
    <cellStyle name="20% - Accent5 5 8 2" xfId="8481" xr:uid="{00000000-0005-0000-0000-00003A020000}"/>
    <cellStyle name="20% - Accent5 5 8 3" xfId="9184" xr:uid="{00000000-0005-0000-0000-00003B020000}"/>
    <cellStyle name="20% - Accent5 5 9" xfId="8474" xr:uid="{00000000-0005-0000-0000-00003C020000}"/>
    <cellStyle name="20% - Accent5 6" xfId="227" xr:uid="{00000000-0005-0000-0000-00003D020000}"/>
    <cellStyle name="20% - Accent5 6 2" xfId="8482" xr:uid="{00000000-0005-0000-0000-00003E020000}"/>
    <cellStyle name="20% - Accent5 6 3" xfId="9185" xr:uid="{00000000-0005-0000-0000-00003F020000}"/>
    <cellStyle name="20% - Accent5 7" xfId="228" xr:uid="{00000000-0005-0000-0000-000040020000}"/>
    <cellStyle name="20% - Accent5 7 2" xfId="8483" xr:uid="{00000000-0005-0000-0000-000041020000}"/>
    <cellStyle name="20% - Accent5 7 3" xfId="9186" xr:uid="{00000000-0005-0000-0000-000042020000}"/>
    <cellStyle name="20% - Accent5 8" xfId="229" xr:uid="{00000000-0005-0000-0000-000043020000}"/>
    <cellStyle name="20% - Accent5 8 2" xfId="8484" xr:uid="{00000000-0005-0000-0000-000044020000}"/>
    <cellStyle name="20% - Accent5 8 3" xfId="9187" xr:uid="{00000000-0005-0000-0000-000045020000}"/>
    <cellStyle name="20% - Accent5 9" xfId="230" xr:uid="{00000000-0005-0000-0000-000046020000}"/>
    <cellStyle name="20% - Accent5 9 2" xfId="8485" xr:uid="{00000000-0005-0000-0000-000047020000}"/>
    <cellStyle name="20% - Accent5 9 3" xfId="9188" xr:uid="{00000000-0005-0000-0000-000048020000}"/>
    <cellStyle name="20% - Accent6" xfId="8281" builtinId="50" customBuiltin="1"/>
    <cellStyle name="20% - Accent6 10" xfId="9464" xr:uid="{00000000-0005-0000-0000-00004A020000}"/>
    <cellStyle name="20% - Accent6 2" xfId="231" xr:uid="{00000000-0005-0000-0000-00004B020000}"/>
    <cellStyle name="20% - Accent6 2 2" xfId="232" xr:uid="{00000000-0005-0000-0000-00004C020000}"/>
    <cellStyle name="20% - Accent6 2 2 2" xfId="233" xr:uid="{00000000-0005-0000-0000-00004D020000}"/>
    <cellStyle name="20% - Accent6 2 2 2 2" xfId="8487" xr:uid="{00000000-0005-0000-0000-00004E020000}"/>
    <cellStyle name="20% - Accent6 2 2 2 3" xfId="9190" xr:uid="{00000000-0005-0000-0000-00004F020000}"/>
    <cellStyle name="20% - Accent6 2 2 3" xfId="234" xr:uid="{00000000-0005-0000-0000-000050020000}"/>
    <cellStyle name="20% - Accent6 2 2 3 2" xfId="8488" xr:uid="{00000000-0005-0000-0000-000051020000}"/>
    <cellStyle name="20% - Accent6 2 2 3 3" xfId="9191" xr:uid="{00000000-0005-0000-0000-000052020000}"/>
    <cellStyle name="20% - Accent6 2 2 4" xfId="235" xr:uid="{00000000-0005-0000-0000-000053020000}"/>
    <cellStyle name="20% - Accent6 2 2 4 2" xfId="8489" xr:uid="{00000000-0005-0000-0000-000054020000}"/>
    <cellStyle name="20% - Accent6 2 2 4 3" xfId="9192" xr:uid="{00000000-0005-0000-0000-000055020000}"/>
    <cellStyle name="20% - Accent6 2 2 5" xfId="236" xr:uid="{00000000-0005-0000-0000-000056020000}"/>
    <cellStyle name="20% - Accent6 2 2 5 2" xfId="8490" xr:uid="{00000000-0005-0000-0000-000057020000}"/>
    <cellStyle name="20% - Accent6 2 2 5 3" xfId="9193" xr:uid="{00000000-0005-0000-0000-000058020000}"/>
    <cellStyle name="20% - Accent6 2 2 6" xfId="237" xr:uid="{00000000-0005-0000-0000-000059020000}"/>
    <cellStyle name="20% - Accent6 2 2 6 2" xfId="8491" xr:uid="{00000000-0005-0000-0000-00005A020000}"/>
    <cellStyle name="20% - Accent6 2 2 6 3" xfId="9194" xr:uid="{00000000-0005-0000-0000-00005B020000}"/>
    <cellStyle name="20% - Accent6 2 2 7" xfId="8486" xr:uid="{00000000-0005-0000-0000-00005C020000}"/>
    <cellStyle name="20% - Accent6 2 2 8" xfId="9189" xr:uid="{00000000-0005-0000-0000-00005D020000}"/>
    <cellStyle name="20% - Accent6 2 3" xfId="238" xr:uid="{00000000-0005-0000-0000-00005E020000}"/>
    <cellStyle name="20% - Accent6 2 4" xfId="239" xr:uid="{00000000-0005-0000-0000-00005F020000}"/>
    <cellStyle name="20% - Accent6 2 5" xfId="240" xr:uid="{00000000-0005-0000-0000-000060020000}"/>
    <cellStyle name="20% - Accent6 3" xfId="241" xr:uid="{00000000-0005-0000-0000-000061020000}"/>
    <cellStyle name="20% - Accent6 3 2" xfId="8492" xr:uid="{00000000-0005-0000-0000-000062020000}"/>
    <cellStyle name="20% - Accent6 3 3" xfId="9195" xr:uid="{00000000-0005-0000-0000-000063020000}"/>
    <cellStyle name="20% - Accent6 4" xfId="242" xr:uid="{00000000-0005-0000-0000-000064020000}"/>
    <cellStyle name="20% - Accent6 4 2" xfId="8493" xr:uid="{00000000-0005-0000-0000-000065020000}"/>
    <cellStyle name="20% - Accent6 4 3" xfId="9196" xr:uid="{00000000-0005-0000-0000-000066020000}"/>
    <cellStyle name="20% - Accent6 5" xfId="243" xr:uid="{00000000-0005-0000-0000-000067020000}"/>
    <cellStyle name="20% - Accent6 5 2" xfId="8494" xr:uid="{00000000-0005-0000-0000-000068020000}"/>
    <cellStyle name="20% - Accent6 5 3" xfId="9197" xr:uid="{00000000-0005-0000-0000-000069020000}"/>
    <cellStyle name="20% - Accent6 6" xfId="244" xr:uid="{00000000-0005-0000-0000-00006A020000}"/>
    <cellStyle name="20% - Accent6 6 2" xfId="8495" xr:uid="{00000000-0005-0000-0000-00006B020000}"/>
    <cellStyle name="20% - Accent6 6 3" xfId="9198" xr:uid="{00000000-0005-0000-0000-00006C020000}"/>
    <cellStyle name="20% - Accent6 7" xfId="245" xr:uid="{00000000-0005-0000-0000-00006D020000}"/>
    <cellStyle name="20% - Accent6 7 2" xfId="8496" xr:uid="{00000000-0005-0000-0000-00006E020000}"/>
    <cellStyle name="20% - Accent6 7 3" xfId="9199" xr:uid="{00000000-0005-0000-0000-00006F020000}"/>
    <cellStyle name="20% - Accent6 8" xfId="246" xr:uid="{00000000-0005-0000-0000-000070020000}"/>
    <cellStyle name="20% - Accent6 8 2" xfId="8497" xr:uid="{00000000-0005-0000-0000-000071020000}"/>
    <cellStyle name="20% - Accent6 8 3" xfId="9200" xr:uid="{00000000-0005-0000-0000-000072020000}"/>
    <cellStyle name="20% - Accent6 9" xfId="8994" xr:uid="{00000000-0005-0000-0000-000073020000}"/>
    <cellStyle name="40% - Accent1" xfId="8262" builtinId="31" customBuiltin="1"/>
    <cellStyle name="40% - Accent1 10" xfId="247" xr:uid="{00000000-0005-0000-0000-000075020000}"/>
    <cellStyle name="40% - Accent1 10 2" xfId="8498" xr:uid="{00000000-0005-0000-0000-000076020000}"/>
    <cellStyle name="40% - Accent1 10 3" xfId="9201" xr:uid="{00000000-0005-0000-0000-000077020000}"/>
    <cellStyle name="40% - Accent1 11" xfId="248" xr:uid="{00000000-0005-0000-0000-000078020000}"/>
    <cellStyle name="40% - Accent1 11 2" xfId="8499" xr:uid="{00000000-0005-0000-0000-000079020000}"/>
    <cellStyle name="40% - Accent1 11 3" xfId="9202" xr:uid="{00000000-0005-0000-0000-00007A020000}"/>
    <cellStyle name="40% - Accent1 12" xfId="8743" xr:uid="{00000000-0005-0000-0000-00007B020000}"/>
    <cellStyle name="40% - Accent1 13" xfId="9455" xr:uid="{00000000-0005-0000-0000-00007C020000}"/>
    <cellStyle name="40% - Accent1 2" xfId="249" xr:uid="{00000000-0005-0000-0000-00007D020000}"/>
    <cellStyle name="40% - Accent1 2 2" xfId="250" xr:uid="{00000000-0005-0000-0000-00007E020000}"/>
    <cellStyle name="40% - Accent1 2 2 2" xfId="251" xr:uid="{00000000-0005-0000-0000-00007F020000}"/>
    <cellStyle name="40% - Accent1 2 2 2 2" xfId="8501" xr:uid="{00000000-0005-0000-0000-000080020000}"/>
    <cellStyle name="40% - Accent1 2 2 2 3" xfId="9204" xr:uid="{00000000-0005-0000-0000-000081020000}"/>
    <cellStyle name="40% - Accent1 2 2 3" xfId="252" xr:uid="{00000000-0005-0000-0000-000082020000}"/>
    <cellStyle name="40% - Accent1 2 2 3 2" xfId="8502" xr:uid="{00000000-0005-0000-0000-000083020000}"/>
    <cellStyle name="40% - Accent1 2 2 3 3" xfId="9205" xr:uid="{00000000-0005-0000-0000-000084020000}"/>
    <cellStyle name="40% - Accent1 2 2 4" xfId="253" xr:uid="{00000000-0005-0000-0000-000085020000}"/>
    <cellStyle name="40% - Accent1 2 2 4 2" xfId="8503" xr:uid="{00000000-0005-0000-0000-000086020000}"/>
    <cellStyle name="40% - Accent1 2 2 4 3" xfId="9206" xr:uid="{00000000-0005-0000-0000-000087020000}"/>
    <cellStyle name="40% - Accent1 2 2 5" xfId="254" xr:uid="{00000000-0005-0000-0000-000088020000}"/>
    <cellStyle name="40% - Accent1 2 2 5 2" xfId="8504" xr:uid="{00000000-0005-0000-0000-000089020000}"/>
    <cellStyle name="40% - Accent1 2 2 5 3" xfId="9207" xr:uid="{00000000-0005-0000-0000-00008A020000}"/>
    <cellStyle name="40% - Accent1 2 2 6" xfId="255" xr:uid="{00000000-0005-0000-0000-00008B020000}"/>
    <cellStyle name="40% - Accent1 2 2 6 2" xfId="8505" xr:uid="{00000000-0005-0000-0000-00008C020000}"/>
    <cellStyle name="40% - Accent1 2 2 6 3" xfId="9208" xr:uid="{00000000-0005-0000-0000-00008D020000}"/>
    <cellStyle name="40% - Accent1 2 2 7" xfId="8500" xr:uid="{00000000-0005-0000-0000-00008E020000}"/>
    <cellStyle name="40% - Accent1 2 2 8" xfId="9203" xr:uid="{00000000-0005-0000-0000-00008F020000}"/>
    <cellStyle name="40% - Accent1 2 3" xfId="256" xr:uid="{00000000-0005-0000-0000-000090020000}"/>
    <cellStyle name="40% - Accent1 2 4" xfId="257" xr:uid="{00000000-0005-0000-0000-000091020000}"/>
    <cellStyle name="40% - Accent1 2 5" xfId="258" xr:uid="{00000000-0005-0000-0000-000092020000}"/>
    <cellStyle name="40% - Accent1 2 6" xfId="8976" xr:uid="{00000000-0005-0000-0000-000093020000}"/>
    <cellStyle name="40% - Accent1 2 7" xfId="9438" xr:uid="{00000000-0005-0000-0000-000094020000}"/>
    <cellStyle name="40% - Accent1 3" xfId="259" xr:uid="{00000000-0005-0000-0000-000095020000}"/>
    <cellStyle name="40% - Accent1 3 10" xfId="9209" xr:uid="{00000000-0005-0000-0000-000096020000}"/>
    <cellStyle name="40% - Accent1 3 2" xfId="260" xr:uid="{00000000-0005-0000-0000-000097020000}"/>
    <cellStyle name="40% - Accent1 3 2 2" xfId="8507" xr:uid="{00000000-0005-0000-0000-000098020000}"/>
    <cellStyle name="40% - Accent1 3 2 3" xfId="9210" xr:uid="{00000000-0005-0000-0000-000099020000}"/>
    <cellStyle name="40% - Accent1 3 3" xfId="261" xr:uid="{00000000-0005-0000-0000-00009A020000}"/>
    <cellStyle name="40% - Accent1 3 3 2" xfId="8508" xr:uid="{00000000-0005-0000-0000-00009B020000}"/>
    <cellStyle name="40% - Accent1 3 3 3" xfId="9211" xr:uid="{00000000-0005-0000-0000-00009C020000}"/>
    <cellStyle name="40% - Accent1 3 4" xfId="262" xr:uid="{00000000-0005-0000-0000-00009D020000}"/>
    <cellStyle name="40% - Accent1 3 4 2" xfId="8509" xr:uid="{00000000-0005-0000-0000-00009E020000}"/>
    <cellStyle name="40% - Accent1 3 4 3" xfId="9212" xr:uid="{00000000-0005-0000-0000-00009F020000}"/>
    <cellStyle name="40% - Accent1 3 5" xfId="263" xr:uid="{00000000-0005-0000-0000-0000A0020000}"/>
    <cellStyle name="40% - Accent1 3 5 2" xfId="8510" xr:uid="{00000000-0005-0000-0000-0000A1020000}"/>
    <cellStyle name="40% - Accent1 3 5 3" xfId="9213" xr:uid="{00000000-0005-0000-0000-0000A2020000}"/>
    <cellStyle name="40% - Accent1 3 6" xfId="264" xr:uid="{00000000-0005-0000-0000-0000A3020000}"/>
    <cellStyle name="40% - Accent1 3 6 2" xfId="8511" xr:uid="{00000000-0005-0000-0000-0000A4020000}"/>
    <cellStyle name="40% - Accent1 3 6 3" xfId="9214" xr:uid="{00000000-0005-0000-0000-0000A5020000}"/>
    <cellStyle name="40% - Accent1 3 7" xfId="265" xr:uid="{00000000-0005-0000-0000-0000A6020000}"/>
    <cellStyle name="40% - Accent1 3 7 2" xfId="8512" xr:uid="{00000000-0005-0000-0000-0000A7020000}"/>
    <cellStyle name="40% - Accent1 3 7 3" xfId="9215" xr:uid="{00000000-0005-0000-0000-0000A8020000}"/>
    <cellStyle name="40% - Accent1 3 8" xfId="266" xr:uid="{00000000-0005-0000-0000-0000A9020000}"/>
    <cellStyle name="40% - Accent1 3 8 2" xfId="8513" xr:uid="{00000000-0005-0000-0000-0000AA020000}"/>
    <cellStyle name="40% - Accent1 3 8 3" xfId="9216" xr:uid="{00000000-0005-0000-0000-0000AB020000}"/>
    <cellStyle name="40% - Accent1 3 9" xfId="8506" xr:uid="{00000000-0005-0000-0000-0000AC020000}"/>
    <cellStyle name="40% - Accent1 4" xfId="267" xr:uid="{00000000-0005-0000-0000-0000AD020000}"/>
    <cellStyle name="40% - Accent1 4 10" xfId="9217" xr:uid="{00000000-0005-0000-0000-0000AE020000}"/>
    <cellStyle name="40% - Accent1 4 2" xfId="268" xr:uid="{00000000-0005-0000-0000-0000AF020000}"/>
    <cellStyle name="40% - Accent1 4 2 2" xfId="8515" xr:uid="{00000000-0005-0000-0000-0000B0020000}"/>
    <cellStyle name="40% - Accent1 4 2 3" xfId="9218" xr:uid="{00000000-0005-0000-0000-0000B1020000}"/>
    <cellStyle name="40% - Accent1 4 3" xfId="269" xr:uid="{00000000-0005-0000-0000-0000B2020000}"/>
    <cellStyle name="40% - Accent1 4 3 2" xfId="8516" xr:uid="{00000000-0005-0000-0000-0000B3020000}"/>
    <cellStyle name="40% - Accent1 4 3 3" xfId="9219" xr:uid="{00000000-0005-0000-0000-0000B4020000}"/>
    <cellStyle name="40% - Accent1 4 4" xfId="270" xr:uid="{00000000-0005-0000-0000-0000B5020000}"/>
    <cellStyle name="40% - Accent1 4 4 2" xfId="8517" xr:uid="{00000000-0005-0000-0000-0000B6020000}"/>
    <cellStyle name="40% - Accent1 4 4 3" xfId="9220" xr:uid="{00000000-0005-0000-0000-0000B7020000}"/>
    <cellStyle name="40% - Accent1 4 5" xfId="271" xr:uid="{00000000-0005-0000-0000-0000B8020000}"/>
    <cellStyle name="40% - Accent1 4 5 2" xfId="8518" xr:uid="{00000000-0005-0000-0000-0000B9020000}"/>
    <cellStyle name="40% - Accent1 4 5 3" xfId="9221" xr:uid="{00000000-0005-0000-0000-0000BA020000}"/>
    <cellStyle name="40% - Accent1 4 6" xfId="272" xr:uid="{00000000-0005-0000-0000-0000BB020000}"/>
    <cellStyle name="40% - Accent1 4 6 2" xfId="8519" xr:uid="{00000000-0005-0000-0000-0000BC020000}"/>
    <cellStyle name="40% - Accent1 4 6 3" xfId="9222" xr:uid="{00000000-0005-0000-0000-0000BD020000}"/>
    <cellStyle name="40% - Accent1 4 7" xfId="273" xr:uid="{00000000-0005-0000-0000-0000BE020000}"/>
    <cellStyle name="40% - Accent1 4 7 2" xfId="8520" xr:uid="{00000000-0005-0000-0000-0000BF020000}"/>
    <cellStyle name="40% - Accent1 4 7 3" xfId="9223" xr:uid="{00000000-0005-0000-0000-0000C0020000}"/>
    <cellStyle name="40% - Accent1 4 8" xfId="274" xr:uid="{00000000-0005-0000-0000-0000C1020000}"/>
    <cellStyle name="40% - Accent1 4 8 2" xfId="8521" xr:uid="{00000000-0005-0000-0000-0000C2020000}"/>
    <cellStyle name="40% - Accent1 4 8 3" xfId="9224" xr:uid="{00000000-0005-0000-0000-0000C3020000}"/>
    <cellStyle name="40% - Accent1 4 9" xfId="8514" xr:uid="{00000000-0005-0000-0000-0000C4020000}"/>
    <cellStyle name="40% - Accent1 5" xfId="275" xr:uid="{00000000-0005-0000-0000-0000C5020000}"/>
    <cellStyle name="40% - Accent1 5 10" xfId="9225" xr:uid="{00000000-0005-0000-0000-0000C6020000}"/>
    <cellStyle name="40% - Accent1 5 2" xfId="276" xr:uid="{00000000-0005-0000-0000-0000C7020000}"/>
    <cellStyle name="40% - Accent1 5 2 2" xfId="8523" xr:uid="{00000000-0005-0000-0000-0000C8020000}"/>
    <cellStyle name="40% - Accent1 5 2 3" xfId="9226" xr:uid="{00000000-0005-0000-0000-0000C9020000}"/>
    <cellStyle name="40% - Accent1 5 3" xfId="277" xr:uid="{00000000-0005-0000-0000-0000CA020000}"/>
    <cellStyle name="40% - Accent1 5 3 2" xfId="8524" xr:uid="{00000000-0005-0000-0000-0000CB020000}"/>
    <cellStyle name="40% - Accent1 5 3 3" xfId="9227" xr:uid="{00000000-0005-0000-0000-0000CC020000}"/>
    <cellStyle name="40% - Accent1 5 4" xfId="278" xr:uid="{00000000-0005-0000-0000-0000CD020000}"/>
    <cellStyle name="40% - Accent1 5 4 2" xfId="8525" xr:uid="{00000000-0005-0000-0000-0000CE020000}"/>
    <cellStyle name="40% - Accent1 5 4 3" xfId="9228" xr:uid="{00000000-0005-0000-0000-0000CF020000}"/>
    <cellStyle name="40% - Accent1 5 5" xfId="279" xr:uid="{00000000-0005-0000-0000-0000D0020000}"/>
    <cellStyle name="40% - Accent1 5 5 2" xfId="8526" xr:uid="{00000000-0005-0000-0000-0000D1020000}"/>
    <cellStyle name="40% - Accent1 5 5 3" xfId="9229" xr:uid="{00000000-0005-0000-0000-0000D2020000}"/>
    <cellStyle name="40% - Accent1 5 6" xfId="280" xr:uid="{00000000-0005-0000-0000-0000D3020000}"/>
    <cellStyle name="40% - Accent1 5 6 2" xfId="8527" xr:uid="{00000000-0005-0000-0000-0000D4020000}"/>
    <cellStyle name="40% - Accent1 5 6 3" xfId="9230" xr:uid="{00000000-0005-0000-0000-0000D5020000}"/>
    <cellStyle name="40% - Accent1 5 7" xfId="281" xr:uid="{00000000-0005-0000-0000-0000D6020000}"/>
    <cellStyle name="40% - Accent1 5 7 2" xfId="8528" xr:uid="{00000000-0005-0000-0000-0000D7020000}"/>
    <cellStyle name="40% - Accent1 5 7 3" xfId="9231" xr:uid="{00000000-0005-0000-0000-0000D8020000}"/>
    <cellStyle name="40% - Accent1 5 8" xfId="282" xr:uid="{00000000-0005-0000-0000-0000D9020000}"/>
    <cellStyle name="40% - Accent1 5 8 2" xfId="8529" xr:uid="{00000000-0005-0000-0000-0000DA020000}"/>
    <cellStyle name="40% - Accent1 5 8 3" xfId="9232" xr:uid="{00000000-0005-0000-0000-0000DB020000}"/>
    <cellStyle name="40% - Accent1 5 9" xfId="8522" xr:uid="{00000000-0005-0000-0000-0000DC020000}"/>
    <cellStyle name="40% - Accent1 6" xfId="283" xr:uid="{00000000-0005-0000-0000-0000DD020000}"/>
    <cellStyle name="40% - Accent1 6 2" xfId="8530" xr:uid="{00000000-0005-0000-0000-0000DE020000}"/>
    <cellStyle name="40% - Accent1 6 3" xfId="9233" xr:uid="{00000000-0005-0000-0000-0000DF020000}"/>
    <cellStyle name="40% - Accent1 7" xfId="284" xr:uid="{00000000-0005-0000-0000-0000E0020000}"/>
    <cellStyle name="40% - Accent1 7 2" xfId="8531" xr:uid="{00000000-0005-0000-0000-0000E1020000}"/>
    <cellStyle name="40% - Accent1 7 3" xfId="9234" xr:uid="{00000000-0005-0000-0000-0000E2020000}"/>
    <cellStyle name="40% - Accent1 8" xfId="285" xr:uid="{00000000-0005-0000-0000-0000E3020000}"/>
    <cellStyle name="40% - Accent1 8 2" xfId="8532" xr:uid="{00000000-0005-0000-0000-0000E4020000}"/>
    <cellStyle name="40% - Accent1 8 3" xfId="9235" xr:uid="{00000000-0005-0000-0000-0000E5020000}"/>
    <cellStyle name="40% - Accent1 9" xfId="286" xr:uid="{00000000-0005-0000-0000-0000E6020000}"/>
    <cellStyle name="40% - Accent1 9 2" xfId="8533" xr:uid="{00000000-0005-0000-0000-0000E7020000}"/>
    <cellStyle name="40% - Accent1 9 3" xfId="9236" xr:uid="{00000000-0005-0000-0000-0000E8020000}"/>
    <cellStyle name="40% - Accent2" xfId="8266" builtinId="35" customBuiltin="1"/>
    <cellStyle name="40% - Accent2 10" xfId="287" xr:uid="{00000000-0005-0000-0000-0000EA020000}"/>
    <cellStyle name="40% - Accent2 10 2" xfId="8534" xr:uid="{00000000-0005-0000-0000-0000EB020000}"/>
    <cellStyle name="40% - Accent2 10 3" xfId="9237" xr:uid="{00000000-0005-0000-0000-0000EC020000}"/>
    <cellStyle name="40% - Accent2 11" xfId="288" xr:uid="{00000000-0005-0000-0000-0000ED020000}"/>
    <cellStyle name="40% - Accent2 11 2" xfId="8535" xr:uid="{00000000-0005-0000-0000-0000EE020000}"/>
    <cellStyle name="40% - Accent2 11 3" xfId="9238" xr:uid="{00000000-0005-0000-0000-0000EF020000}"/>
    <cellStyle name="40% - Accent2 12" xfId="8933" xr:uid="{00000000-0005-0000-0000-0000F0020000}"/>
    <cellStyle name="40% - Accent2 13" xfId="9457" xr:uid="{00000000-0005-0000-0000-0000F1020000}"/>
    <cellStyle name="40% - Accent2 2" xfId="289" xr:uid="{00000000-0005-0000-0000-0000F2020000}"/>
    <cellStyle name="40% - Accent2 2 2" xfId="290" xr:uid="{00000000-0005-0000-0000-0000F3020000}"/>
    <cellStyle name="40% - Accent2 2 2 2" xfId="291" xr:uid="{00000000-0005-0000-0000-0000F4020000}"/>
    <cellStyle name="40% - Accent2 2 2 2 2" xfId="8537" xr:uid="{00000000-0005-0000-0000-0000F5020000}"/>
    <cellStyle name="40% - Accent2 2 2 2 3" xfId="9240" xr:uid="{00000000-0005-0000-0000-0000F6020000}"/>
    <cellStyle name="40% - Accent2 2 2 3" xfId="292" xr:uid="{00000000-0005-0000-0000-0000F7020000}"/>
    <cellStyle name="40% - Accent2 2 2 3 2" xfId="8538" xr:uid="{00000000-0005-0000-0000-0000F8020000}"/>
    <cellStyle name="40% - Accent2 2 2 3 3" xfId="9241" xr:uid="{00000000-0005-0000-0000-0000F9020000}"/>
    <cellStyle name="40% - Accent2 2 2 4" xfId="293" xr:uid="{00000000-0005-0000-0000-0000FA020000}"/>
    <cellStyle name="40% - Accent2 2 2 4 2" xfId="8539" xr:uid="{00000000-0005-0000-0000-0000FB020000}"/>
    <cellStyle name="40% - Accent2 2 2 4 3" xfId="9242" xr:uid="{00000000-0005-0000-0000-0000FC020000}"/>
    <cellStyle name="40% - Accent2 2 2 5" xfId="294" xr:uid="{00000000-0005-0000-0000-0000FD020000}"/>
    <cellStyle name="40% - Accent2 2 2 5 2" xfId="8540" xr:uid="{00000000-0005-0000-0000-0000FE020000}"/>
    <cellStyle name="40% - Accent2 2 2 5 3" xfId="9243" xr:uid="{00000000-0005-0000-0000-0000FF020000}"/>
    <cellStyle name="40% - Accent2 2 2 6" xfId="295" xr:uid="{00000000-0005-0000-0000-000000030000}"/>
    <cellStyle name="40% - Accent2 2 2 6 2" xfId="8541" xr:uid="{00000000-0005-0000-0000-000001030000}"/>
    <cellStyle name="40% - Accent2 2 2 6 3" xfId="9244" xr:uid="{00000000-0005-0000-0000-000002030000}"/>
    <cellStyle name="40% - Accent2 2 2 7" xfId="8536" xr:uid="{00000000-0005-0000-0000-000003030000}"/>
    <cellStyle name="40% - Accent2 2 2 8" xfId="9239" xr:uid="{00000000-0005-0000-0000-000004030000}"/>
    <cellStyle name="40% - Accent2 2 3" xfId="296" xr:uid="{00000000-0005-0000-0000-000005030000}"/>
    <cellStyle name="40% - Accent2 2 4" xfId="297" xr:uid="{00000000-0005-0000-0000-000006030000}"/>
    <cellStyle name="40% - Accent2 2 5" xfId="298" xr:uid="{00000000-0005-0000-0000-000007030000}"/>
    <cellStyle name="40% - Accent2 2 6" xfId="8815" xr:uid="{00000000-0005-0000-0000-000008030000}"/>
    <cellStyle name="40% - Accent2 2 7" xfId="9436" xr:uid="{00000000-0005-0000-0000-000009030000}"/>
    <cellStyle name="40% - Accent2 3" xfId="299" xr:uid="{00000000-0005-0000-0000-00000A030000}"/>
    <cellStyle name="40% - Accent2 3 10" xfId="9245" xr:uid="{00000000-0005-0000-0000-00000B030000}"/>
    <cellStyle name="40% - Accent2 3 2" xfId="300" xr:uid="{00000000-0005-0000-0000-00000C030000}"/>
    <cellStyle name="40% - Accent2 3 2 2" xfId="8543" xr:uid="{00000000-0005-0000-0000-00000D030000}"/>
    <cellStyle name="40% - Accent2 3 2 3" xfId="9246" xr:uid="{00000000-0005-0000-0000-00000E030000}"/>
    <cellStyle name="40% - Accent2 3 3" xfId="301" xr:uid="{00000000-0005-0000-0000-00000F030000}"/>
    <cellStyle name="40% - Accent2 3 3 2" xfId="8544" xr:uid="{00000000-0005-0000-0000-000010030000}"/>
    <cellStyle name="40% - Accent2 3 3 3" xfId="9247" xr:uid="{00000000-0005-0000-0000-000011030000}"/>
    <cellStyle name="40% - Accent2 3 4" xfId="302" xr:uid="{00000000-0005-0000-0000-000012030000}"/>
    <cellStyle name="40% - Accent2 3 4 2" xfId="8545" xr:uid="{00000000-0005-0000-0000-000013030000}"/>
    <cellStyle name="40% - Accent2 3 4 3" xfId="9248" xr:uid="{00000000-0005-0000-0000-000014030000}"/>
    <cellStyle name="40% - Accent2 3 5" xfId="303" xr:uid="{00000000-0005-0000-0000-000015030000}"/>
    <cellStyle name="40% - Accent2 3 5 2" xfId="8546" xr:uid="{00000000-0005-0000-0000-000016030000}"/>
    <cellStyle name="40% - Accent2 3 5 3" xfId="9249" xr:uid="{00000000-0005-0000-0000-000017030000}"/>
    <cellStyle name="40% - Accent2 3 6" xfId="304" xr:uid="{00000000-0005-0000-0000-000018030000}"/>
    <cellStyle name="40% - Accent2 3 6 2" xfId="8547" xr:uid="{00000000-0005-0000-0000-000019030000}"/>
    <cellStyle name="40% - Accent2 3 6 3" xfId="9250" xr:uid="{00000000-0005-0000-0000-00001A030000}"/>
    <cellStyle name="40% - Accent2 3 7" xfId="305" xr:uid="{00000000-0005-0000-0000-00001B030000}"/>
    <cellStyle name="40% - Accent2 3 7 2" xfId="8548" xr:uid="{00000000-0005-0000-0000-00001C030000}"/>
    <cellStyle name="40% - Accent2 3 7 3" xfId="9251" xr:uid="{00000000-0005-0000-0000-00001D030000}"/>
    <cellStyle name="40% - Accent2 3 8" xfId="306" xr:uid="{00000000-0005-0000-0000-00001E030000}"/>
    <cellStyle name="40% - Accent2 3 8 2" xfId="8549" xr:uid="{00000000-0005-0000-0000-00001F030000}"/>
    <cellStyle name="40% - Accent2 3 8 3" xfId="9252" xr:uid="{00000000-0005-0000-0000-000020030000}"/>
    <cellStyle name="40% - Accent2 3 9" xfId="8542" xr:uid="{00000000-0005-0000-0000-000021030000}"/>
    <cellStyle name="40% - Accent2 4" xfId="307" xr:uid="{00000000-0005-0000-0000-000022030000}"/>
    <cellStyle name="40% - Accent2 4 10" xfId="9253" xr:uid="{00000000-0005-0000-0000-000023030000}"/>
    <cellStyle name="40% - Accent2 4 2" xfId="308" xr:uid="{00000000-0005-0000-0000-000024030000}"/>
    <cellStyle name="40% - Accent2 4 2 2" xfId="8551" xr:uid="{00000000-0005-0000-0000-000025030000}"/>
    <cellStyle name="40% - Accent2 4 2 3" xfId="9254" xr:uid="{00000000-0005-0000-0000-000026030000}"/>
    <cellStyle name="40% - Accent2 4 3" xfId="309" xr:uid="{00000000-0005-0000-0000-000027030000}"/>
    <cellStyle name="40% - Accent2 4 3 2" xfId="8552" xr:uid="{00000000-0005-0000-0000-000028030000}"/>
    <cellStyle name="40% - Accent2 4 3 3" xfId="9255" xr:uid="{00000000-0005-0000-0000-000029030000}"/>
    <cellStyle name="40% - Accent2 4 4" xfId="310" xr:uid="{00000000-0005-0000-0000-00002A030000}"/>
    <cellStyle name="40% - Accent2 4 4 2" xfId="8553" xr:uid="{00000000-0005-0000-0000-00002B030000}"/>
    <cellStyle name="40% - Accent2 4 4 3" xfId="9256" xr:uid="{00000000-0005-0000-0000-00002C030000}"/>
    <cellStyle name="40% - Accent2 4 5" xfId="311" xr:uid="{00000000-0005-0000-0000-00002D030000}"/>
    <cellStyle name="40% - Accent2 4 5 2" xfId="8554" xr:uid="{00000000-0005-0000-0000-00002E030000}"/>
    <cellStyle name="40% - Accent2 4 5 3" xfId="9257" xr:uid="{00000000-0005-0000-0000-00002F030000}"/>
    <cellStyle name="40% - Accent2 4 6" xfId="312" xr:uid="{00000000-0005-0000-0000-000030030000}"/>
    <cellStyle name="40% - Accent2 4 6 2" xfId="8555" xr:uid="{00000000-0005-0000-0000-000031030000}"/>
    <cellStyle name="40% - Accent2 4 6 3" xfId="9258" xr:uid="{00000000-0005-0000-0000-000032030000}"/>
    <cellStyle name="40% - Accent2 4 7" xfId="313" xr:uid="{00000000-0005-0000-0000-000033030000}"/>
    <cellStyle name="40% - Accent2 4 7 2" xfId="8556" xr:uid="{00000000-0005-0000-0000-000034030000}"/>
    <cellStyle name="40% - Accent2 4 7 3" xfId="9259" xr:uid="{00000000-0005-0000-0000-000035030000}"/>
    <cellStyle name="40% - Accent2 4 8" xfId="314" xr:uid="{00000000-0005-0000-0000-000036030000}"/>
    <cellStyle name="40% - Accent2 4 8 2" xfId="8557" xr:uid="{00000000-0005-0000-0000-000037030000}"/>
    <cellStyle name="40% - Accent2 4 8 3" xfId="9260" xr:uid="{00000000-0005-0000-0000-000038030000}"/>
    <cellStyle name="40% - Accent2 4 9" xfId="8550" xr:uid="{00000000-0005-0000-0000-000039030000}"/>
    <cellStyle name="40% - Accent2 5" xfId="315" xr:uid="{00000000-0005-0000-0000-00003A030000}"/>
    <cellStyle name="40% - Accent2 5 10" xfId="9261" xr:uid="{00000000-0005-0000-0000-00003B030000}"/>
    <cellStyle name="40% - Accent2 5 2" xfId="316" xr:uid="{00000000-0005-0000-0000-00003C030000}"/>
    <cellStyle name="40% - Accent2 5 2 2" xfId="8559" xr:uid="{00000000-0005-0000-0000-00003D030000}"/>
    <cellStyle name="40% - Accent2 5 2 3" xfId="9262" xr:uid="{00000000-0005-0000-0000-00003E030000}"/>
    <cellStyle name="40% - Accent2 5 3" xfId="317" xr:uid="{00000000-0005-0000-0000-00003F030000}"/>
    <cellStyle name="40% - Accent2 5 3 2" xfId="8560" xr:uid="{00000000-0005-0000-0000-000040030000}"/>
    <cellStyle name="40% - Accent2 5 3 3" xfId="9263" xr:uid="{00000000-0005-0000-0000-000041030000}"/>
    <cellStyle name="40% - Accent2 5 4" xfId="318" xr:uid="{00000000-0005-0000-0000-000042030000}"/>
    <cellStyle name="40% - Accent2 5 4 2" xfId="8561" xr:uid="{00000000-0005-0000-0000-000043030000}"/>
    <cellStyle name="40% - Accent2 5 4 3" xfId="9264" xr:uid="{00000000-0005-0000-0000-000044030000}"/>
    <cellStyle name="40% - Accent2 5 5" xfId="319" xr:uid="{00000000-0005-0000-0000-000045030000}"/>
    <cellStyle name="40% - Accent2 5 5 2" xfId="8562" xr:uid="{00000000-0005-0000-0000-000046030000}"/>
    <cellStyle name="40% - Accent2 5 5 3" xfId="9265" xr:uid="{00000000-0005-0000-0000-000047030000}"/>
    <cellStyle name="40% - Accent2 5 6" xfId="320" xr:uid="{00000000-0005-0000-0000-000048030000}"/>
    <cellStyle name="40% - Accent2 5 6 2" xfId="8563" xr:uid="{00000000-0005-0000-0000-000049030000}"/>
    <cellStyle name="40% - Accent2 5 6 3" xfId="9266" xr:uid="{00000000-0005-0000-0000-00004A030000}"/>
    <cellStyle name="40% - Accent2 5 7" xfId="321" xr:uid="{00000000-0005-0000-0000-00004B030000}"/>
    <cellStyle name="40% - Accent2 5 7 2" xfId="8564" xr:uid="{00000000-0005-0000-0000-00004C030000}"/>
    <cellStyle name="40% - Accent2 5 7 3" xfId="9267" xr:uid="{00000000-0005-0000-0000-00004D030000}"/>
    <cellStyle name="40% - Accent2 5 8" xfId="322" xr:uid="{00000000-0005-0000-0000-00004E030000}"/>
    <cellStyle name="40% - Accent2 5 8 2" xfId="8565" xr:uid="{00000000-0005-0000-0000-00004F030000}"/>
    <cellStyle name="40% - Accent2 5 8 3" xfId="9268" xr:uid="{00000000-0005-0000-0000-000050030000}"/>
    <cellStyle name="40% - Accent2 5 9" xfId="8558" xr:uid="{00000000-0005-0000-0000-000051030000}"/>
    <cellStyle name="40% - Accent2 6" xfId="323" xr:uid="{00000000-0005-0000-0000-000052030000}"/>
    <cellStyle name="40% - Accent2 6 2" xfId="8566" xr:uid="{00000000-0005-0000-0000-000053030000}"/>
    <cellStyle name="40% - Accent2 6 3" xfId="9269" xr:uid="{00000000-0005-0000-0000-000054030000}"/>
    <cellStyle name="40% - Accent2 7" xfId="324" xr:uid="{00000000-0005-0000-0000-000055030000}"/>
    <cellStyle name="40% - Accent2 7 2" xfId="8567" xr:uid="{00000000-0005-0000-0000-000056030000}"/>
    <cellStyle name="40% - Accent2 7 3" xfId="9270" xr:uid="{00000000-0005-0000-0000-000057030000}"/>
    <cellStyle name="40% - Accent2 8" xfId="325" xr:uid="{00000000-0005-0000-0000-000058030000}"/>
    <cellStyle name="40% - Accent2 8 2" xfId="8568" xr:uid="{00000000-0005-0000-0000-000059030000}"/>
    <cellStyle name="40% - Accent2 8 3" xfId="9271" xr:uid="{00000000-0005-0000-0000-00005A030000}"/>
    <cellStyle name="40% - Accent2 9" xfId="326" xr:uid="{00000000-0005-0000-0000-00005B030000}"/>
    <cellStyle name="40% - Accent2 9 2" xfId="8569" xr:uid="{00000000-0005-0000-0000-00005C030000}"/>
    <cellStyle name="40% - Accent2 9 3" xfId="9272" xr:uid="{00000000-0005-0000-0000-00005D030000}"/>
    <cellStyle name="40% - Accent3" xfId="8270" builtinId="39" customBuiltin="1"/>
    <cellStyle name="40% - Accent3 10" xfId="327" xr:uid="{00000000-0005-0000-0000-00005F030000}"/>
    <cellStyle name="40% - Accent3 10 2" xfId="8570" xr:uid="{00000000-0005-0000-0000-000060030000}"/>
    <cellStyle name="40% - Accent3 10 3" xfId="9273" xr:uid="{00000000-0005-0000-0000-000061030000}"/>
    <cellStyle name="40% - Accent3 11" xfId="328" xr:uid="{00000000-0005-0000-0000-000062030000}"/>
    <cellStyle name="40% - Accent3 11 2" xfId="8571" xr:uid="{00000000-0005-0000-0000-000063030000}"/>
    <cellStyle name="40% - Accent3 11 3" xfId="9274" xr:uid="{00000000-0005-0000-0000-000064030000}"/>
    <cellStyle name="40% - Accent3 12" xfId="8941" xr:uid="{00000000-0005-0000-0000-000065030000}"/>
    <cellStyle name="40% - Accent3 13" xfId="9459" xr:uid="{00000000-0005-0000-0000-000066030000}"/>
    <cellStyle name="40% - Accent3 2" xfId="329" xr:uid="{00000000-0005-0000-0000-000067030000}"/>
    <cellStyle name="40% - Accent3 2 2" xfId="330" xr:uid="{00000000-0005-0000-0000-000068030000}"/>
    <cellStyle name="40% - Accent3 2 2 2" xfId="331" xr:uid="{00000000-0005-0000-0000-000069030000}"/>
    <cellStyle name="40% - Accent3 2 2 2 2" xfId="8573" xr:uid="{00000000-0005-0000-0000-00006A030000}"/>
    <cellStyle name="40% - Accent3 2 2 2 3" xfId="9276" xr:uid="{00000000-0005-0000-0000-00006B030000}"/>
    <cellStyle name="40% - Accent3 2 2 3" xfId="332" xr:uid="{00000000-0005-0000-0000-00006C030000}"/>
    <cellStyle name="40% - Accent3 2 2 3 2" xfId="8574" xr:uid="{00000000-0005-0000-0000-00006D030000}"/>
    <cellStyle name="40% - Accent3 2 2 3 3" xfId="9277" xr:uid="{00000000-0005-0000-0000-00006E030000}"/>
    <cellStyle name="40% - Accent3 2 2 4" xfId="333" xr:uid="{00000000-0005-0000-0000-00006F030000}"/>
    <cellStyle name="40% - Accent3 2 2 4 2" xfId="8575" xr:uid="{00000000-0005-0000-0000-000070030000}"/>
    <cellStyle name="40% - Accent3 2 2 4 3" xfId="9278" xr:uid="{00000000-0005-0000-0000-000071030000}"/>
    <cellStyle name="40% - Accent3 2 2 5" xfId="334" xr:uid="{00000000-0005-0000-0000-000072030000}"/>
    <cellStyle name="40% - Accent3 2 2 5 2" xfId="8576" xr:uid="{00000000-0005-0000-0000-000073030000}"/>
    <cellStyle name="40% - Accent3 2 2 5 3" xfId="9279" xr:uid="{00000000-0005-0000-0000-000074030000}"/>
    <cellStyle name="40% - Accent3 2 2 6" xfId="335" xr:uid="{00000000-0005-0000-0000-000075030000}"/>
    <cellStyle name="40% - Accent3 2 2 6 2" xfId="8577" xr:uid="{00000000-0005-0000-0000-000076030000}"/>
    <cellStyle name="40% - Accent3 2 2 6 3" xfId="9280" xr:uid="{00000000-0005-0000-0000-000077030000}"/>
    <cellStyle name="40% - Accent3 2 2 7" xfId="8572" xr:uid="{00000000-0005-0000-0000-000078030000}"/>
    <cellStyle name="40% - Accent3 2 2 8" xfId="9275" xr:uid="{00000000-0005-0000-0000-000079030000}"/>
    <cellStyle name="40% - Accent3 2 3" xfId="336" xr:uid="{00000000-0005-0000-0000-00007A030000}"/>
    <cellStyle name="40% - Accent3 2 4" xfId="337" xr:uid="{00000000-0005-0000-0000-00007B030000}"/>
    <cellStyle name="40% - Accent3 2 5" xfId="338" xr:uid="{00000000-0005-0000-0000-00007C030000}"/>
    <cellStyle name="40% - Accent3 2 6" xfId="8914" xr:uid="{00000000-0005-0000-0000-00007D030000}"/>
    <cellStyle name="40% - Accent3 2 7" xfId="9434" xr:uid="{00000000-0005-0000-0000-00007E030000}"/>
    <cellStyle name="40% - Accent3 3" xfId="339" xr:uid="{00000000-0005-0000-0000-00007F030000}"/>
    <cellStyle name="40% - Accent3 3 10" xfId="9281" xr:uid="{00000000-0005-0000-0000-000080030000}"/>
    <cellStyle name="40% - Accent3 3 2" xfId="340" xr:uid="{00000000-0005-0000-0000-000081030000}"/>
    <cellStyle name="40% - Accent3 3 2 2" xfId="8579" xr:uid="{00000000-0005-0000-0000-000082030000}"/>
    <cellStyle name="40% - Accent3 3 2 3" xfId="9282" xr:uid="{00000000-0005-0000-0000-000083030000}"/>
    <cellStyle name="40% - Accent3 3 3" xfId="341" xr:uid="{00000000-0005-0000-0000-000084030000}"/>
    <cellStyle name="40% - Accent3 3 3 2" xfId="8580" xr:uid="{00000000-0005-0000-0000-000085030000}"/>
    <cellStyle name="40% - Accent3 3 3 3" xfId="9283" xr:uid="{00000000-0005-0000-0000-000086030000}"/>
    <cellStyle name="40% - Accent3 3 4" xfId="342" xr:uid="{00000000-0005-0000-0000-000087030000}"/>
    <cellStyle name="40% - Accent3 3 4 2" xfId="8581" xr:uid="{00000000-0005-0000-0000-000088030000}"/>
    <cellStyle name="40% - Accent3 3 4 3" xfId="9284" xr:uid="{00000000-0005-0000-0000-000089030000}"/>
    <cellStyle name="40% - Accent3 3 5" xfId="343" xr:uid="{00000000-0005-0000-0000-00008A030000}"/>
    <cellStyle name="40% - Accent3 3 5 2" xfId="8582" xr:uid="{00000000-0005-0000-0000-00008B030000}"/>
    <cellStyle name="40% - Accent3 3 5 3" xfId="9285" xr:uid="{00000000-0005-0000-0000-00008C030000}"/>
    <cellStyle name="40% - Accent3 3 6" xfId="344" xr:uid="{00000000-0005-0000-0000-00008D030000}"/>
    <cellStyle name="40% - Accent3 3 6 2" xfId="8583" xr:uid="{00000000-0005-0000-0000-00008E030000}"/>
    <cellStyle name="40% - Accent3 3 6 3" xfId="9286" xr:uid="{00000000-0005-0000-0000-00008F030000}"/>
    <cellStyle name="40% - Accent3 3 7" xfId="345" xr:uid="{00000000-0005-0000-0000-000090030000}"/>
    <cellStyle name="40% - Accent3 3 7 2" xfId="8584" xr:uid="{00000000-0005-0000-0000-000091030000}"/>
    <cellStyle name="40% - Accent3 3 7 3" xfId="9287" xr:uid="{00000000-0005-0000-0000-000092030000}"/>
    <cellStyle name="40% - Accent3 3 8" xfId="346" xr:uid="{00000000-0005-0000-0000-000093030000}"/>
    <cellStyle name="40% - Accent3 3 8 2" xfId="8585" xr:uid="{00000000-0005-0000-0000-000094030000}"/>
    <cellStyle name="40% - Accent3 3 8 3" xfId="9288" xr:uid="{00000000-0005-0000-0000-000095030000}"/>
    <cellStyle name="40% - Accent3 3 9" xfId="8578" xr:uid="{00000000-0005-0000-0000-000096030000}"/>
    <cellStyle name="40% - Accent3 4" xfId="347" xr:uid="{00000000-0005-0000-0000-000097030000}"/>
    <cellStyle name="40% - Accent3 4 10" xfId="9289" xr:uid="{00000000-0005-0000-0000-000098030000}"/>
    <cellStyle name="40% - Accent3 4 2" xfId="348" xr:uid="{00000000-0005-0000-0000-000099030000}"/>
    <cellStyle name="40% - Accent3 4 2 2" xfId="8587" xr:uid="{00000000-0005-0000-0000-00009A030000}"/>
    <cellStyle name="40% - Accent3 4 2 3" xfId="9290" xr:uid="{00000000-0005-0000-0000-00009B030000}"/>
    <cellStyle name="40% - Accent3 4 3" xfId="349" xr:uid="{00000000-0005-0000-0000-00009C030000}"/>
    <cellStyle name="40% - Accent3 4 3 2" xfId="8588" xr:uid="{00000000-0005-0000-0000-00009D030000}"/>
    <cellStyle name="40% - Accent3 4 3 3" xfId="9291" xr:uid="{00000000-0005-0000-0000-00009E030000}"/>
    <cellStyle name="40% - Accent3 4 4" xfId="350" xr:uid="{00000000-0005-0000-0000-00009F030000}"/>
    <cellStyle name="40% - Accent3 4 4 2" xfId="8589" xr:uid="{00000000-0005-0000-0000-0000A0030000}"/>
    <cellStyle name="40% - Accent3 4 4 3" xfId="9292" xr:uid="{00000000-0005-0000-0000-0000A1030000}"/>
    <cellStyle name="40% - Accent3 4 5" xfId="351" xr:uid="{00000000-0005-0000-0000-0000A2030000}"/>
    <cellStyle name="40% - Accent3 4 5 2" xfId="8590" xr:uid="{00000000-0005-0000-0000-0000A3030000}"/>
    <cellStyle name="40% - Accent3 4 5 3" xfId="9293" xr:uid="{00000000-0005-0000-0000-0000A4030000}"/>
    <cellStyle name="40% - Accent3 4 6" xfId="352" xr:uid="{00000000-0005-0000-0000-0000A5030000}"/>
    <cellStyle name="40% - Accent3 4 6 2" xfId="8591" xr:uid="{00000000-0005-0000-0000-0000A6030000}"/>
    <cellStyle name="40% - Accent3 4 6 3" xfId="9294" xr:uid="{00000000-0005-0000-0000-0000A7030000}"/>
    <cellStyle name="40% - Accent3 4 7" xfId="353" xr:uid="{00000000-0005-0000-0000-0000A8030000}"/>
    <cellStyle name="40% - Accent3 4 7 2" xfId="8592" xr:uid="{00000000-0005-0000-0000-0000A9030000}"/>
    <cellStyle name="40% - Accent3 4 7 3" xfId="9295" xr:uid="{00000000-0005-0000-0000-0000AA030000}"/>
    <cellStyle name="40% - Accent3 4 8" xfId="354" xr:uid="{00000000-0005-0000-0000-0000AB030000}"/>
    <cellStyle name="40% - Accent3 4 8 2" xfId="8593" xr:uid="{00000000-0005-0000-0000-0000AC030000}"/>
    <cellStyle name="40% - Accent3 4 8 3" xfId="9296" xr:uid="{00000000-0005-0000-0000-0000AD030000}"/>
    <cellStyle name="40% - Accent3 4 9" xfId="8586" xr:uid="{00000000-0005-0000-0000-0000AE030000}"/>
    <cellStyle name="40% - Accent3 5" xfId="355" xr:uid="{00000000-0005-0000-0000-0000AF030000}"/>
    <cellStyle name="40% - Accent3 5 10" xfId="9297" xr:uid="{00000000-0005-0000-0000-0000B0030000}"/>
    <cellStyle name="40% - Accent3 5 2" xfId="356" xr:uid="{00000000-0005-0000-0000-0000B1030000}"/>
    <cellStyle name="40% - Accent3 5 2 2" xfId="8595" xr:uid="{00000000-0005-0000-0000-0000B2030000}"/>
    <cellStyle name="40% - Accent3 5 2 3" xfId="9298" xr:uid="{00000000-0005-0000-0000-0000B3030000}"/>
    <cellStyle name="40% - Accent3 5 3" xfId="357" xr:uid="{00000000-0005-0000-0000-0000B4030000}"/>
    <cellStyle name="40% - Accent3 5 3 2" xfId="8596" xr:uid="{00000000-0005-0000-0000-0000B5030000}"/>
    <cellStyle name="40% - Accent3 5 3 3" xfId="9299" xr:uid="{00000000-0005-0000-0000-0000B6030000}"/>
    <cellStyle name="40% - Accent3 5 4" xfId="358" xr:uid="{00000000-0005-0000-0000-0000B7030000}"/>
    <cellStyle name="40% - Accent3 5 4 2" xfId="8597" xr:uid="{00000000-0005-0000-0000-0000B8030000}"/>
    <cellStyle name="40% - Accent3 5 4 3" xfId="9300" xr:uid="{00000000-0005-0000-0000-0000B9030000}"/>
    <cellStyle name="40% - Accent3 5 5" xfId="359" xr:uid="{00000000-0005-0000-0000-0000BA030000}"/>
    <cellStyle name="40% - Accent3 5 5 2" xfId="8598" xr:uid="{00000000-0005-0000-0000-0000BB030000}"/>
    <cellStyle name="40% - Accent3 5 5 3" xfId="9301" xr:uid="{00000000-0005-0000-0000-0000BC030000}"/>
    <cellStyle name="40% - Accent3 5 6" xfId="360" xr:uid="{00000000-0005-0000-0000-0000BD030000}"/>
    <cellStyle name="40% - Accent3 5 6 2" xfId="8599" xr:uid="{00000000-0005-0000-0000-0000BE030000}"/>
    <cellStyle name="40% - Accent3 5 6 3" xfId="9302" xr:uid="{00000000-0005-0000-0000-0000BF030000}"/>
    <cellStyle name="40% - Accent3 5 7" xfId="361" xr:uid="{00000000-0005-0000-0000-0000C0030000}"/>
    <cellStyle name="40% - Accent3 5 7 2" xfId="8600" xr:uid="{00000000-0005-0000-0000-0000C1030000}"/>
    <cellStyle name="40% - Accent3 5 7 3" xfId="9303" xr:uid="{00000000-0005-0000-0000-0000C2030000}"/>
    <cellStyle name="40% - Accent3 5 8" xfId="362" xr:uid="{00000000-0005-0000-0000-0000C3030000}"/>
    <cellStyle name="40% - Accent3 5 8 2" xfId="8601" xr:uid="{00000000-0005-0000-0000-0000C4030000}"/>
    <cellStyle name="40% - Accent3 5 8 3" xfId="9304" xr:uid="{00000000-0005-0000-0000-0000C5030000}"/>
    <cellStyle name="40% - Accent3 5 9" xfId="8594" xr:uid="{00000000-0005-0000-0000-0000C6030000}"/>
    <cellStyle name="40% - Accent3 6" xfId="363" xr:uid="{00000000-0005-0000-0000-0000C7030000}"/>
    <cellStyle name="40% - Accent3 6 2" xfId="8602" xr:uid="{00000000-0005-0000-0000-0000C8030000}"/>
    <cellStyle name="40% - Accent3 6 3" xfId="9305" xr:uid="{00000000-0005-0000-0000-0000C9030000}"/>
    <cellStyle name="40% - Accent3 7" xfId="364" xr:uid="{00000000-0005-0000-0000-0000CA030000}"/>
    <cellStyle name="40% - Accent3 7 2" xfId="8603" xr:uid="{00000000-0005-0000-0000-0000CB030000}"/>
    <cellStyle name="40% - Accent3 7 3" xfId="9306" xr:uid="{00000000-0005-0000-0000-0000CC030000}"/>
    <cellStyle name="40% - Accent3 8" xfId="365" xr:uid="{00000000-0005-0000-0000-0000CD030000}"/>
    <cellStyle name="40% - Accent3 8 2" xfId="8604" xr:uid="{00000000-0005-0000-0000-0000CE030000}"/>
    <cellStyle name="40% - Accent3 8 3" xfId="9307" xr:uid="{00000000-0005-0000-0000-0000CF030000}"/>
    <cellStyle name="40% - Accent3 9" xfId="366" xr:uid="{00000000-0005-0000-0000-0000D0030000}"/>
    <cellStyle name="40% - Accent3 9 2" xfId="8605" xr:uid="{00000000-0005-0000-0000-0000D1030000}"/>
    <cellStyle name="40% - Accent3 9 3" xfId="9308" xr:uid="{00000000-0005-0000-0000-0000D2030000}"/>
    <cellStyle name="40% - Accent4" xfId="8274" builtinId="43" customBuiltin="1"/>
    <cellStyle name="40% - Accent4 10" xfId="367" xr:uid="{00000000-0005-0000-0000-0000D4030000}"/>
    <cellStyle name="40% - Accent4 10 2" xfId="8606" xr:uid="{00000000-0005-0000-0000-0000D5030000}"/>
    <cellStyle name="40% - Accent4 10 3" xfId="9309" xr:uid="{00000000-0005-0000-0000-0000D6030000}"/>
    <cellStyle name="40% - Accent4 11" xfId="368" xr:uid="{00000000-0005-0000-0000-0000D7030000}"/>
    <cellStyle name="40% - Accent4 11 2" xfId="8607" xr:uid="{00000000-0005-0000-0000-0000D8030000}"/>
    <cellStyle name="40% - Accent4 11 3" xfId="9310" xr:uid="{00000000-0005-0000-0000-0000D9030000}"/>
    <cellStyle name="40% - Accent4 12" xfId="8750" xr:uid="{00000000-0005-0000-0000-0000DA030000}"/>
    <cellStyle name="40% - Accent4 13" xfId="9461" xr:uid="{00000000-0005-0000-0000-0000DB030000}"/>
    <cellStyle name="40% - Accent4 2" xfId="369" xr:uid="{00000000-0005-0000-0000-0000DC030000}"/>
    <cellStyle name="40% - Accent4 2 2" xfId="370" xr:uid="{00000000-0005-0000-0000-0000DD030000}"/>
    <cellStyle name="40% - Accent4 2 2 2" xfId="371" xr:uid="{00000000-0005-0000-0000-0000DE030000}"/>
    <cellStyle name="40% - Accent4 2 2 2 2" xfId="8609" xr:uid="{00000000-0005-0000-0000-0000DF030000}"/>
    <cellStyle name="40% - Accent4 2 2 2 3" xfId="9312" xr:uid="{00000000-0005-0000-0000-0000E0030000}"/>
    <cellStyle name="40% - Accent4 2 2 3" xfId="372" xr:uid="{00000000-0005-0000-0000-0000E1030000}"/>
    <cellStyle name="40% - Accent4 2 2 3 2" xfId="8610" xr:uid="{00000000-0005-0000-0000-0000E2030000}"/>
    <cellStyle name="40% - Accent4 2 2 3 3" xfId="9313" xr:uid="{00000000-0005-0000-0000-0000E3030000}"/>
    <cellStyle name="40% - Accent4 2 2 4" xfId="373" xr:uid="{00000000-0005-0000-0000-0000E4030000}"/>
    <cellStyle name="40% - Accent4 2 2 4 2" xfId="8611" xr:uid="{00000000-0005-0000-0000-0000E5030000}"/>
    <cellStyle name="40% - Accent4 2 2 4 3" xfId="9314" xr:uid="{00000000-0005-0000-0000-0000E6030000}"/>
    <cellStyle name="40% - Accent4 2 2 5" xfId="374" xr:uid="{00000000-0005-0000-0000-0000E7030000}"/>
    <cellStyle name="40% - Accent4 2 2 5 2" xfId="8612" xr:uid="{00000000-0005-0000-0000-0000E8030000}"/>
    <cellStyle name="40% - Accent4 2 2 5 3" xfId="9315" xr:uid="{00000000-0005-0000-0000-0000E9030000}"/>
    <cellStyle name="40% - Accent4 2 2 6" xfId="375" xr:uid="{00000000-0005-0000-0000-0000EA030000}"/>
    <cellStyle name="40% - Accent4 2 2 6 2" xfId="8613" xr:uid="{00000000-0005-0000-0000-0000EB030000}"/>
    <cellStyle name="40% - Accent4 2 2 6 3" xfId="9316" xr:uid="{00000000-0005-0000-0000-0000EC030000}"/>
    <cellStyle name="40% - Accent4 2 2 7" xfId="8608" xr:uid="{00000000-0005-0000-0000-0000ED030000}"/>
    <cellStyle name="40% - Accent4 2 2 8" xfId="9311" xr:uid="{00000000-0005-0000-0000-0000EE030000}"/>
    <cellStyle name="40% - Accent4 2 3" xfId="376" xr:uid="{00000000-0005-0000-0000-0000EF030000}"/>
    <cellStyle name="40% - Accent4 2 4" xfId="377" xr:uid="{00000000-0005-0000-0000-0000F0030000}"/>
    <cellStyle name="40% - Accent4 2 5" xfId="378" xr:uid="{00000000-0005-0000-0000-0000F1030000}"/>
    <cellStyle name="40% - Accent4 2 6" xfId="8818" xr:uid="{00000000-0005-0000-0000-0000F2030000}"/>
    <cellStyle name="40% - Accent4 2 7" xfId="9432" xr:uid="{00000000-0005-0000-0000-0000F3030000}"/>
    <cellStyle name="40% - Accent4 3" xfId="379" xr:uid="{00000000-0005-0000-0000-0000F4030000}"/>
    <cellStyle name="40% - Accent4 3 10" xfId="9317" xr:uid="{00000000-0005-0000-0000-0000F5030000}"/>
    <cellStyle name="40% - Accent4 3 2" xfId="380" xr:uid="{00000000-0005-0000-0000-0000F6030000}"/>
    <cellStyle name="40% - Accent4 3 2 2" xfId="8615" xr:uid="{00000000-0005-0000-0000-0000F7030000}"/>
    <cellStyle name="40% - Accent4 3 2 3" xfId="9318" xr:uid="{00000000-0005-0000-0000-0000F8030000}"/>
    <cellStyle name="40% - Accent4 3 3" xfId="381" xr:uid="{00000000-0005-0000-0000-0000F9030000}"/>
    <cellStyle name="40% - Accent4 3 3 2" xfId="8616" xr:uid="{00000000-0005-0000-0000-0000FA030000}"/>
    <cellStyle name="40% - Accent4 3 3 3" xfId="9319" xr:uid="{00000000-0005-0000-0000-0000FB030000}"/>
    <cellStyle name="40% - Accent4 3 4" xfId="382" xr:uid="{00000000-0005-0000-0000-0000FC030000}"/>
    <cellStyle name="40% - Accent4 3 4 2" xfId="8617" xr:uid="{00000000-0005-0000-0000-0000FD030000}"/>
    <cellStyle name="40% - Accent4 3 4 3" xfId="9320" xr:uid="{00000000-0005-0000-0000-0000FE030000}"/>
    <cellStyle name="40% - Accent4 3 5" xfId="383" xr:uid="{00000000-0005-0000-0000-0000FF030000}"/>
    <cellStyle name="40% - Accent4 3 5 2" xfId="8618" xr:uid="{00000000-0005-0000-0000-000000040000}"/>
    <cellStyle name="40% - Accent4 3 5 3" xfId="9321" xr:uid="{00000000-0005-0000-0000-000001040000}"/>
    <cellStyle name="40% - Accent4 3 6" xfId="384" xr:uid="{00000000-0005-0000-0000-000002040000}"/>
    <cellStyle name="40% - Accent4 3 6 2" xfId="8619" xr:uid="{00000000-0005-0000-0000-000003040000}"/>
    <cellStyle name="40% - Accent4 3 6 3" xfId="9322" xr:uid="{00000000-0005-0000-0000-000004040000}"/>
    <cellStyle name="40% - Accent4 3 7" xfId="385" xr:uid="{00000000-0005-0000-0000-000005040000}"/>
    <cellStyle name="40% - Accent4 3 7 2" xfId="8620" xr:uid="{00000000-0005-0000-0000-000006040000}"/>
    <cellStyle name="40% - Accent4 3 7 3" xfId="9323" xr:uid="{00000000-0005-0000-0000-000007040000}"/>
    <cellStyle name="40% - Accent4 3 8" xfId="386" xr:uid="{00000000-0005-0000-0000-000008040000}"/>
    <cellStyle name="40% - Accent4 3 8 2" xfId="8621" xr:uid="{00000000-0005-0000-0000-000009040000}"/>
    <cellStyle name="40% - Accent4 3 8 3" xfId="9324" xr:uid="{00000000-0005-0000-0000-00000A040000}"/>
    <cellStyle name="40% - Accent4 3 9" xfId="8614" xr:uid="{00000000-0005-0000-0000-00000B040000}"/>
    <cellStyle name="40% - Accent4 4" xfId="387" xr:uid="{00000000-0005-0000-0000-00000C040000}"/>
    <cellStyle name="40% - Accent4 4 10" xfId="9325" xr:uid="{00000000-0005-0000-0000-00000D040000}"/>
    <cellStyle name="40% - Accent4 4 2" xfId="388" xr:uid="{00000000-0005-0000-0000-00000E040000}"/>
    <cellStyle name="40% - Accent4 4 2 2" xfId="8623" xr:uid="{00000000-0005-0000-0000-00000F040000}"/>
    <cellStyle name="40% - Accent4 4 2 3" xfId="9326" xr:uid="{00000000-0005-0000-0000-000010040000}"/>
    <cellStyle name="40% - Accent4 4 3" xfId="389" xr:uid="{00000000-0005-0000-0000-000011040000}"/>
    <cellStyle name="40% - Accent4 4 3 2" xfId="8624" xr:uid="{00000000-0005-0000-0000-000012040000}"/>
    <cellStyle name="40% - Accent4 4 3 3" xfId="9327" xr:uid="{00000000-0005-0000-0000-000013040000}"/>
    <cellStyle name="40% - Accent4 4 4" xfId="390" xr:uid="{00000000-0005-0000-0000-000014040000}"/>
    <cellStyle name="40% - Accent4 4 4 2" xfId="8625" xr:uid="{00000000-0005-0000-0000-000015040000}"/>
    <cellStyle name="40% - Accent4 4 4 3" xfId="9328" xr:uid="{00000000-0005-0000-0000-000016040000}"/>
    <cellStyle name="40% - Accent4 4 5" xfId="391" xr:uid="{00000000-0005-0000-0000-000017040000}"/>
    <cellStyle name="40% - Accent4 4 5 2" xfId="8626" xr:uid="{00000000-0005-0000-0000-000018040000}"/>
    <cellStyle name="40% - Accent4 4 5 3" xfId="9329" xr:uid="{00000000-0005-0000-0000-000019040000}"/>
    <cellStyle name="40% - Accent4 4 6" xfId="392" xr:uid="{00000000-0005-0000-0000-00001A040000}"/>
    <cellStyle name="40% - Accent4 4 6 2" xfId="8627" xr:uid="{00000000-0005-0000-0000-00001B040000}"/>
    <cellStyle name="40% - Accent4 4 6 3" xfId="9330" xr:uid="{00000000-0005-0000-0000-00001C040000}"/>
    <cellStyle name="40% - Accent4 4 7" xfId="393" xr:uid="{00000000-0005-0000-0000-00001D040000}"/>
    <cellStyle name="40% - Accent4 4 7 2" xfId="8628" xr:uid="{00000000-0005-0000-0000-00001E040000}"/>
    <cellStyle name="40% - Accent4 4 7 3" xfId="9331" xr:uid="{00000000-0005-0000-0000-00001F040000}"/>
    <cellStyle name="40% - Accent4 4 8" xfId="394" xr:uid="{00000000-0005-0000-0000-000020040000}"/>
    <cellStyle name="40% - Accent4 4 8 2" xfId="8629" xr:uid="{00000000-0005-0000-0000-000021040000}"/>
    <cellStyle name="40% - Accent4 4 8 3" xfId="9332" xr:uid="{00000000-0005-0000-0000-000022040000}"/>
    <cellStyle name="40% - Accent4 4 9" xfId="8622" xr:uid="{00000000-0005-0000-0000-000023040000}"/>
    <cellStyle name="40% - Accent4 5" xfId="395" xr:uid="{00000000-0005-0000-0000-000024040000}"/>
    <cellStyle name="40% - Accent4 5 10" xfId="9333" xr:uid="{00000000-0005-0000-0000-000025040000}"/>
    <cellStyle name="40% - Accent4 5 2" xfId="396" xr:uid="{00000000-0005-0000-0000-000026040000}"/>
    <cellStyle name="40% - Accent4 5 2 2" xfId="8631" xr:uid="{00000000-0005-0000-0000-000027040000}"/>
    <cellStyle name="40% - Accent4 5 2 3" xfId="9334" xr:uid="{00000000-0005-0000-0000-000028040000}"/>
    <cellStyle name="40% - Accent4 5 3" xfId="397" xr:uid="{00000000-0005-0000-0000-000029040000}"/>
    <cellStyle name="40% - Accent4 5 3 2" xfId="8632" xr:uid="{00000000-0005-0000-0000-00002A040000}"/>
    <cellStyle name="40% - Accent4 5 3 3" xfId="9335" xr:uid="{00000000-0005-0000-0000-00002B040000}"/>
    <cellStyle name="40% - Accent4 5 4" xfId="398" xr:uid="{00000000-0005-0000-0000-00002C040000}"/>
    <cellStyle name="40% - Accent4 5 4 2" xfId="8633" xr:uid="{00000000-0005-0000-0000-00002D040000}"/>
    <cellStyle name="40% - Accent4 5 4 3" xfId="9336" xr:uid="{00000000-0005-0000-0000-00002E040000}"/>
    <cellStyle name="40% - Accent4 5 5" xfId="399" xr:uid="{00000000-0005-0000-0000-00002F040000}"/>
    <cellStyle name="40% - Accent4 5 5 2" xfId="8634" xr:uid="{00000000-0005-0000-0000-000030040000}"/>
    <cellStyle name="40% - Accent4 5 5 3" xfId="9337" xr:uid="{00000000-0005-0000-0000-000031040000}"/>
    <cellStyle name="40% - Accent4 5 6" xfId="400" xr:uid="{00000000-0005-0000-0000-000032040000}"/>
    <cellStyle name="40% - Accent4 5 6 2" xfId="8635" xr:uid="{00000000-0005-0000-0000-000033040000}"/>
    <cellStyle name="40% - Accent4 5 6 3" xfId="9338" xr:uid="{00000000-0005-0000-0000-000034040000}"/>
    <cellStyle name="40% - Accent4 5 7" xfId="401" xr:uid="{00000000-0005-0000-0000-000035040000}"/>
    <cellStyle name="40% - Accent4 5 7 2" xfId="8636" xr:uid="{00000000-0005-0000-0000-000036040000}"/>
    <cellStyle name="40% - Accent4 5 7 3" xfId="9339" xr:uid="{00000000-0005-0000-0000-000037040000}"/>
    <cellStyle name="40% - Accent4 5 8" xfId="402" xr:uid="{00000000-0005-0000-0000-000038040000}"/>
    <cellStyle name="40% - Accent4 5 8 2" xfId="8637" xr:uid="{00000000-0005-0000-0000-000039040000}"/>
    <cellStyle name="40% - Accent4 5 8 3" xfId="9340" xr:uid="{00000000-0005-0000-0000-00003A040000}"/>
    <cellStyle name="40% - Accent4 5 9" xfId="8630" xr:uid="{00000000-0005-0000-0000-00003B040000}"/>
    <cellStyle name="40% - Accent4 6" xfId="403" xr:uid="{00000000-0005-0000-0000-00003C040000}"/>
    <cellStyle name="40% - Accent4 6 2" xfId="8638" xr:uid="{00000000-0005-0000-0000-00003D040000}"/>
    <cellStyle name="40% - Accent4 6 3" xfId="9341" xr:uid="{00000000-0005-0000-0000-00003E040000}"/>
    <cellStyle name="40% - Accent4 7" xfId="404" xr:uid="{00000000-0005-0000-0000-00003F040000}"/>
    <cellStyle name="40% - Accent4 7 2" xfId="8639" xr:uid="{00000000-0005-0000-0000-000040040000}"/>
    <cellStyle name="40% - Accent4 7 3" xfId="9342" xr:uid="{00000000-0005-0000-0000-000041040000}"/>
    <cellStyle name="40% - Accent4 8" xfId="405" xr:uid="{00000000-0005-0000-0000-000042040000}"/>
    <cellStyle name="40% - Accent4 8 2" xfId="8640" xr:uid="{00000000-0005-0000-0000-000043040000}"/>
    <cellStyle name="40% - Accent4 8 3" xfId="9343" xr:uid="{00000000-0005-0000-0000-000044040000}"/>
    <cellStyle name="40% - Accent4 9" xfId="406" xr:uid="{00000000-0005-0000-0000-000045040000}"/>
    <cellStyle name="40% - Accent4 9 2" xfId="8641" xr:uid="{00000000-0005-0000-0000-000046040000}"/>
    <cellStyle name="40% - Accent4 9 3" xfId="9344" xr:uid="{00000000-0005-0000-0000-000047040000}"/>
    <cellStyle name="40% - Accent5" xfId="8278" builtinId="47" customBuiltin="1"/>
    <cellStyle name="40% - Accent5 10" xfId="407" xr:uid="{00000000-0005-0000-0000-000049040000}"/>
    <cellStyle name="40% - Accent5 10 2" xfId="8642" xr:uid="{00000000-0005-0000-0000-00004A040000}"/>
    <cellStyle name="40% - Accent5 10 3" xfId="9345" xr:uid="{00000000-0005-0000-0000-00004B040000}"/>
    <cellStyle name="40% - Accent5 11" xfId="408" xr:uid="{00000000-0005-0000-0000-00004C040000}"/>
    <cellStyle name="40% - Accent5 11 2" xfId="8643" xr:uid="{00000000-0005-0000-0000-00004D040000}"/>
    <cellStyle name="40% - Accent5 11 3" xfId="9346" xr:uid="{00000000-0005-0000-0000-00004E040000}"/>
    <cellStyle name="40% - Accent5 12" xfId="8863" xr:uid="{00000000-0005-0000-0000-00004F040000}"/>
    <cellStyle name="40% - Accent5 13" xfId="9463" xr:uid="{00000000-0005-0000-0000-000050040000}"/>
    <cellStyle name="40% - Accent5 2" xfId="409" xr:uid="{00000000-0005-0000-0000-000051040000}"/>
    <cellStyle name="40% - Accent5 2 2" xfId="410" xr:uid="{00000000-0005-0000-0000-000052040000}"/>
    <cellStyle name="40% - Accent5 2 2 2" xfId="411" xr:uid="{00000000-0005-0000-0000-000053040000}"/>
    <cellStyle name="40% - Accent5 2 2 2 2" xfId="8645" xr:uid="{00000000-0005-0000-0000-000054040000}"/>
    <cellStyle name="40% - Accent5 2 2 2 3" xfId="9348" xr:uid="{00000000-0005-0000-0000-000055040000}"/>
    <cellStyle name="40% - Accent5 2 2 3" xfId="412" xr:uid="{00000000-0005-0000-0000-000056040000}"/>
    <cellStyle name="40% - Accent5 2 2 3 2" xfId="8646" xr:uid="{00000000-0005-0000-0000-000057040000}"/>
    <cellStyle name="40% - Accent5 2 2 3 3" xfId="9349" xr:uid="{00000000-0005-0000-0000-000058040000}"/>
    <cellStyle name="40% - Accent5 2 2 4" xfId="413" xr:uid="{00000000-0005-0000-0000-000059040000}"/>
    <cellStyle name="40% - Accent5 2 2 4 2" xfId="8647" xr:uid="{00000000-0005-0000-0000-00005A040000}"/>
    <cellStyle name="40% - Accent5 2 2 4 3" xfId="9350" xr:uid="{00000000-0005-0000-0000-00005B040000}"/>
    <cellStyle name="40% - Accent5 2 2 5" xfId="414" xr:uid="{00000000-0005-0000-0000-00005C040000}"/>
    <cellStyle name="40% - Accent5 2 2 5 2" xfId="8648" xr:uid="{00000000-0005-0000-0000-00005D040000}"/>
    <cellStyle name="40% - Accent5 2 2 5 3" xfId="9351" xr:uid="{00000000-0005-0000-0000-00005E040000}"/>
    <cellStyle name="40% - Accent5 2 2 6" xfId="415" xr:uid="{00000000-0005-0000-0000-00005F040000}"/>
    <cellStyle name="40% - Accent5 2 2 6 2" xfId="8649" xr:uid="{00000000-0005-0000-0000-000060040000}"/>
    <cellStyle name="40% - Accent5 2 2 6 3" xfId="9352" xr:uid="{00000000-0005-0000-0000-000061040000}"/>
    <cellStyle name="40% - Accent5 2 2 7" xfId="8644" xr:uid="{00000000-0005-0000-0000-000062040000}"/>
    <cellStyle name="40% - Accent5 2 2 8" xfId="9347" xr:uid="{00000000-0005-0000-0000-000063040000}"/>
    <cellStyle name="40% - Accent5 2 3" xfId="416" xr:uid="{00000000-0005-0000-0000-000064040000}"/>
    <cellStyle name="40% - Accent5 2 4" xfId="417" xr:uid="{00000000-0005-0000-0000-000065040000}"/>
    <cellStyle name="40% - Accent5 2 5" xfId="418" xr:uid="{00000000-0005-0000-0000-000066040000}"/>
    <cellStyle name="40% - Accent5 2 6" xfId="8857" xr:uid="{00000000-0005-0000-0000-000067040000}"/>
    <cellStyle name="40% - Accent5 2 7" xfId="9430" xr:uid="{00000000-0005-0000-0000-000068040000}"/>
    <cellStyle name="40% - Accent5 3" xfId="419" xr:uid="{00000000-0005-0000-0000-000069040000}"/>
    <cellStyle name="40% - Accent5 3 10" xfId="9353" xr:uid="{00000000-0005-0000-0000-00006A040000}"/>
    <cellStyle name="40% - Accent5 3 2" xfId="420" xr:uid="{00000000-0005-0000-0000-00006B040000}"/>
    <cellStyle name="40% - Accent5 3 2 2" xfId="8652" xr:uid="{00000000-0005-0000-0000-00006C040000}"/>
    <cellStyle name="40% - Accent5 3 2 3" xfId="9354" xr:uid="{00000000-0005-0000-0000-00006D040000}"/>
    <cellStyle name="40% - Accent5 3 3" xfId="421" xr:uid="{00000000-0005-0000-0000-00006E040000}"/>
    <cellStyle name="40% - Accent5 3 3 2" xfId="8653" xr:uid="{00000000-0005-0000-0000-00006F040000}"/>
    <cellStyle name="40% - Accent5 3 3 3" xfId="9355" xr:uid="{00000000-0005-0000-0000-000070040000}"/>
    <cellStyle name="40% - Accent5 3 4" xfId="422" xr:uid="{00000000-0005-0000-0000-000071040000}"/>
    <cellStyle name="40% - Accent5 3 4 2" xfId="8654" xr:uid="{00000000-0005-0000-0000-000072040000}"/>
    <cellStyle name="40% - Accent5 3 4 3" xfId="9356" xr:uid="{00000000-0005-0000-0000-000073040000}"/>
    <cellStyle name="40% - Accent5 3 5" xfId="423" xr:uid="{00000000-0005-0000-0000-000074040000}"/>
    <cellStyle name="40% - Accent5 3 5 2" xfId="8655" xr:uid="{00000000-0005-0000-0000-000075040000}"/>
    <cellStyle name="40% - Accent5 3 5 3" xfId="9357" xr:uid="{00000000-0005-0000-0000-000076040000}"/>
    <cellStyle name="40% - Accent5 3 6" xfId="424" xr:uid="{00000000-0005-0000-0000-000077040000}"/>
    <cellStyle name="40% - Accent5 3 6 2" xfId="8656" xr:uid="{00000000-0005-0000-0000-000078040000}"/>
    <cellStyle name="40% - Accent5 3 6 3" xfId="9358" xr:uid="{00000000-0005-0000-0000-000079040000}"/>
    <cellStyle name="40% - Accent5 3 7" xfId="425" xr:uid="{00000000-0005-0000-0000-00007A040000}"/>
    <cellStyle name="40% - Accent5 3 7 2" xfId="8657" xr:uid="{00000000-0005-0000-0000-00007B040000}"/>
    <cellStyle name="40% - Accent5 3 7 3" xfId="9359" xr:uid="{00000000-0005-0000-0000-00007C040000}"/>
    <cellStyle name="40% - Accent5 3 8" xfId="426" xr:uid="{00000000-0005-0000-0000-00007D040000}"/>
    <cellStyle name="40% - Accent5 3 8 2" xfId="8658" xr:uid="{00000000-0005-0000-0000-00007E040000}"/>
    <cellStyle name="40% - Accent5 3 8 3" xfId="9360" xr:uid="{00000000-0005-0000-0000-00007F040000}"/>
    <cellStyle name="40% - Accent5 3 9" xfId="8651" xr:uid="{00000000-0005-0000-0000-000080040000}"/>
    <cellStyle name="40% - Accent5 4" xfId="427" xr:uid="{00000000-0005-0000-0000-000081040000}"/>
    <cellStyle name="40% - Accent5 4 10" xfId="9361" xr:uid="{00000000-0005-0000-0000-000082040000}"/>
    <cellStyle name="40% - Accent5 4 2" xfId="428" xr:uid="{00000000-0005-0000-0000-000083040000}"/>
    <cellStyle name="40% - Accent5 4 2 2" xfId="8660" xr:uid="{00000000-0005-0000-0000-000084040000}"/>
    <cellStyle name="40% - Accent5 4 2 3" xfId="9362" xr:uid="{00000000-0005-0000-0000-000085040000}"/>
    <cellStyle name="40% - Accent5 4 3" xfId="429" xr:uid="{00000000-0005-0000-0000-000086040000}"/>
    <cellStyle name="40% - Accent5 4 3 2" xfId="8661" xr:uid="{00000000-0005-0000-0000-000087040000}"/>
    <cellStyle name="40% - Accent5 4 3 3" xfId="9363" xr:uid="{00000000-0005-0000-0000-000088040000}"/>
    <cellStyle name="40% - Accent5 4 4" xfId="430" xr:uid="{00000000-0005-0000-0000-000089040000}"/>
    <cellStyle name="40% - Accent5 4 4 2" xfId="8662" xr:uid="{00000000-0005-0000-0000-00008A040000}"/>
    <cellStyle name="40% - Accent5 4 4 3" xfId="9364" xr:uid="{00000000-0005-0000-0000-00008B040000}"/>
    <cellStyle name="40% - Accent5 4 5" xfId="431" xr:uid="{00000000-0005-0000-0000-00008C040000}"/>
    <cellStyle name="40% - Accent5 4 5 2" xfId="8663" xr:uid="{00000000-0005-0000-0000-00008D040000}"/>
    <cellStyle name="40% - Accent5 4 5 3" xfId="9365" xr:uid="{00000000-0005-0000-0000-00008E040000}"/>
    <cellStyle name="40% - Accent5 4 6" xfId="432" xr:uid="{00000000-0005-0000-0000-00008F040000}"/>
    <cellStyle name="40% - Accent5 4 6 2" xfId="8664" xr:uid="{00000000-0005-0000-0000-000090040000}"/>
    <cellStyle name="40% - Accent5 4 6 3" xfId="9366" xr:uid="{00000000-0005-0000-0000-000091040000}"/>
    <cellStyle name="40% - Accent5 4 7" xfId="433" xr:uid="{00000000-0005-0000-0000-000092040000}"/>
    <cellStyle name="40% - Accent5 4 7 2" xfId="8665" xr:uid="{00000000-0005-0000-0000-000093040000}"/>
    <cellStyle name="40% - Accent5 4 7 3" xfId="9367" xr:uid="{00000000-0005-0000-0000-000094040000}"/>
    <cellStyle name="40% - Accent5 4 8" xfId="434" xr:uid="{00000000-0005-0000-0000-000095040000}"/>
    <cellStyle name="40% - Accent5 4 8 2" xfId="8666" xr:uid="{00000000-0005-0000-0000-000096040000}"/>
    <cellStyle name="40% - Accent5 4 8 3" xfId="9368" xr:uid="{00000000-0005-0000-0000-000097040000}"/>
    <cellStyle name="40% - Accent5 4 9" xfId="8659" xr:uid="{00000000-0005-0000-0000-000098040000}"/>
    <cellStyle name="40% - Accent5 5" xfId="435" xr:uid="{00000000-0005-0000-0000-000099040000}"/>
    <cellStyle name="40% - Accent5 5 10" xfId="9369" xr:uid="{00000000-0005-0000-0000-00009A040000}"/>
    <cellStyle name="40% - Accent5 5 2" xfId="436" xr:uid="{00000000-0005-0000-0000-00009B040000}"/>
    <cellStyle name="40% - Accent5 5 2 2" xfId="8668" xr:uid="{00000000-0005-0000-0000-00009C040000}"/>
    <cellStyle name="40% - Accent5 5 2 3" xfId="9370" xr:uid="{00000000-0005-0000-0000-00009D040000}"/>
    <cellStyle name="40% - Accent5 5 3" xfId="437" xr:uid="{00000000-0005-0000-0000-00009E040000}"/>
    <cellStyle name="40% - Accent5 5 3 2" xfId="8669" xr:uid="{00000000-0005-0000-0000-00009F040000}"/>
    <cellStyle name="40% - Accent5 5 3 3" xfId="9371" xr:uid="{00000000-0005-0000-0000-0000A0040000}"/>
    <cellStyle name="40% - Accent5 5 4" xfId="438" xr:uid="{00000000-0005-0000-0000-0000A1040000}"/>
    <cellStyle name="40% - Accent5 5 4 2" xfId="8670" xr:uid="{00000000-0005-0000-0000-0000A2040000}"/>
    <cellStyle name="40% - Accent5 5 4 3" xfId="9372" xr:uid="{00000000-0005-0000-0000-0000A3040000}"/>
    <cellStyle name="40% - Accent5 5 5" xfId="439" xr:uid="{00000000-0005-0000-0000-0000A4040000}"/>
    <cellStyle name="40% - Accent5 5 5 2" xfId="8671" xr:uid="{00000000-0005-0000-0000-0000A5040000}"/>
    <cellStyle name="40% - Accent5 5 5 3" xfId="9373" xr:uid="{00000000-0005-0000-0000-0000A6040000}"/>
    <cellStyle name="40% - Accent5 5 6" xfId="440" xr:uid="{00000000-0005-0000-0000-0000A7040000}"/>
    <cellStyle name="40% - Accent5 5 6 2" xfId="8672" xr:uid="{00000000-0005-0000-0000-0000A8040000}"/>
    <cellStyle name="40% - Accent5 5 6 3" xfId="9374" xr:uid="{00000000-0005-0000-0000-0000A9040000}"/>
    <cellStyle name="40% - Accent5 5 7" xfId="441" xr:uid="{00000000-0005-0000-0000-0000AA040000}"/>
    <cellStyle name="40% - Accent5 5 7 2" xfId="8673" xr:uid="{00000000-0005-0000-0000-0000AB040000}"/>
    <cellStyle name="40% - Accent5 5 7 3" xfId="9375" xr:uid="{00000000-0005-0000-0000-0000AC040000}"/>
    <cellStyle name="40% - Accent5 5 8" xfId="442" xr:uid="{00000000-0005-0000-0000-0000AD040000}"/>
    <cellStyle name="40% - Accent5 5 8 2" xfId="8674" xr:uid="{00000000-0005-0000-0000-0000AE040000}"/>
    <cellStyle name="40% - Accent5 5 8 3" xfId="9376" xr:uid="{00000000-0005-0000-0000-0000AF040000}"/>
    <cellStyle name="40% - Accent5 5 9" xfId="8667" xr:uid="{00000000-0005-0000-0000-0000B0040000}"/>
    <cellStyle name="40% - Accent5 6" xfId="443" xr:uid="{00000000-0005-0000-0000-0000B1040000}"/>
    <cellStyle name="40% - Accent5 6 2" xfId="8675" xr:uid="{00000000-0005-0000-0000-0000B2040000}"/>
    <cellStyle name="40% - Accent5 6 3" xfId="9377" xr:uid="{00000000-0005-0000-0000-0000B3040000}"/>
    <cellStyle name="40% - Accent5 7" xfId="444" xr:uid="{00000000-0005-0000-0000-0000B4040000}"/>
    <cellStyle name="40% - Accent5 7 2" xfId="8676" xr:uid="{00000000-0005-0000-0000-0000B5040000}"/>
    <cellStyle name="40% - Accent5 7 3" xfId="9378" xr:uid="{00000000-0005-0000-0000-0000B6040000}"/>
    <cellStyle name="40% - Accent5 8" xfId="445" xr:uid="{00000000-0005-0000-0000-0000B7040000}"/>
    <cellStyle name="40% - Accent5 8 2" xfId="8677" xr:uid="{00000000-0005-0000-0000-0000B8040000}"/>
    <cellStyle name="40% - Accent5 8 3" xfId="9379" xr:uid="{00000000-0005-0000-0000-0000B9040000}"/>
    <cellStyle name="40% - Accent5 9" xfId="446" xr:uid="{00000000-0005-0000-0000-0000BA040000}"/>
    <cellStyle name="40% - Accent5 9 2" xfId="8678" xr:uid="{00000000-0005-0000-0000-0000BB040000}"/>
    <cellStyle name="40% - Accent5 9 3" xfId="9380" xr:uid="{00000000-0005-0000-0000-0000BC040000}"/>
    <cellStyle name="40% - Accent6" xfId="8282" builtinId="51" customBuiltin="1"/>
    <cellStyle name="40% - Accent6 10" xfId="447" xr:uid="{00000000-0005-0000-0000-0000BE040000}"/>
    <cellStyle name="40% - Accent6 10 2" xfId="8679" xr:uid="{00000000-0005-0000-0000-0000BF040000}"/>
    <cellStyle name="40% - Accent6 10 3" xfId="9381" xr:uid="{00000000-0005-0000-0000-0000C0040000}"/>
    <cellStyle name="40% - Accent6 11" xfId="448" xr:uid="{00000000-0005-0000-0000-0000C1040000}"/>
    <cellStyle name="40% - Accent6 11 2" xfId="8680" xr:uid="{00000000-0005-0000-0000-0000C2040000}"/>
    <cellStyle name="40% - Accent6 11 3" xfId="9382" xr:uid="{00000000-0005-0000-0000-0000C3040000}"/>
    <cellStyle name="40% - Accent6 12" xfId="8867" xr:uid="{00000000-0005-0000-0000-0000C4040000}"/>
    <cellStyle name="40% - Accent6 13" xfId="9465" xr:uid="{00000000-0005-0000-0000-0000C5040000}"/>
    <cellStyle name="40% - Accent6 2" xfId="449" xr:uid="{00000000-0005-0000-0000-0000C6040000}"/>
    <cellStyle name="40% - Accent6 2 2" xfId="450" xr:uid="{00000000-0005-0000-0000-0000C7040000}"/>
    <cellStyle name="40% - Accent6 2 2 2" xfId="451" xr:uid="{00000000-0005-0000-0000-0000C8040000}"/>
    <cellStyle name="40% - Accent6 2 2 2 2" xfId="8682" xr:uid="{00000000-0005-0000-0000-0000C9040000}"/>
    <cellStyle name="40% - Accent6 2 2 2 3" xfId="9384" xr:uid="{00000000-0005-0000-0000-0000CA040000}"/>
    <cellStyle name="40% - Accent6 2 2 3" xfId="452" xr:uid="{00000000-0005-0000-0000-0000CB040000}"/>
    <cellStyle name="40% - Accent6 2 2 3 2" xfId="8683" xr:uid="{00000000-0005-0000-0000-0000CC040000}"/>
    <cellStyle name="40% - Accent6 2 2 3 3" xfId="9385" xr:uid="{00000000-0005-0000-0000-0000CD040000}"/>
    <cellStyle name="40% - Accent6 2 2 4" xfId="453" xr:uid="{00000000-0005-0000-0000-0000CE040000}"/>
    <cellStyle name="40% - Accent6 2 2 4 2" xfId="8684" xr:uid="{00000000-0005-0000-0000-0000CF040000}"/>
    <cellStyle name="40% - Accent6 2 2 4 3" xfId="9386" xr:uid="{00000000-0005-0000-0000-0000D0040000}"/>
    <cellStyle name="40% - Accent6 2 2 5" xfId="454" xr:uid="{00000000-0005-0000-0000-0000D1040000}"/>
    <cellStyle name="40% - Accent6 2 2 5 2" xfId="8685" xr:uid="{00000000-0005-0000-0000-0000D2040000}"/>
    <cellStyle name="40% - Accent6 2 2 5 3" xfId="9387" xr:uid="{00000000-0005-0000-0000-0000D3040000}"/>
    <cellStyle name="40% - Accent6 2 2 6" xfId="455" xr:uid="{00000000-0005-0000-0000-0000D4040000}"/>
    <cellStyle name="40% - Accent6 2 2 6 2" xfId="8686" xr:uid="{00000000-0005-0000-0000-0000D5040000}"/>
    <cellStyle name="40% - Accent6 2 2 6 3" xfId="9388" xr:uid="{00000000-0005-0000-0000-0000D6040000}"/>
    <cellStyle name="40% - Accent6 2 2 7" xfId="8681" xr:uid="{00000000-0005-0000-0000-0000D7040000}"/>
    <cellStyle name="40% - Accent6 2 2 8" xfId="9383" xr:uid="{00000000-0005-0000-0000-0000D8040000}"/>
    <cellStyle name="40% - Accent6 2 3" xfId="456" xr:uid="{00000000-0005-0000-0000-0000D9040000}"/>
    <cellStyle name="40% - Accent6 2 4" xfId="457" xr:uid="{00000000-0005-0000-0000-0000DA040000}"/>
    <cellStyle name="40% - Accent6 2 5" xfId="458" xr:uid="{00000000-0005-0000-0000-0000DB040000}"/>
    <cellStyle name="40% - Accent6 2 6" xfId="8862" xr:uid="{00000000-0005-0000-0000-0000DC040000}"/>
    <cellStyle name="40% - Accent6 2 7" xfId="9429" xr:uid="{00000000-0005-0000-0000-0000DD040000}"/>
    <cellStyle name="40% - Accent6 3" xfId="459" xr:uid="{00000000-0005-0000-0000-0000DE040000}"/>
    <cellStyle name="40% - Accent6 3 10" xfId="9389" xr:uid="{00000000-0005-0000-0000-0000DF040000}"/>
    <cellStyle name="40% - Accent6 3 2" xfId="460" xr:uid="{00000000-0005-0000-0000-0000E0040000}"/>
    <cellStyle name="40% - Accent6 3 2 2" xfId="8688" xr:uid="{00000000-0005-0000-0000-0000E1040000}"/>
    <cellStyle name="40% - Accent6 3 2 3" xfId="9390" xr:uid="{00000000-0005-0000-0000-0000E2040000}"/>
    <cellStyle name="40% - Accent6 3 3" xfId="461" xr:uid="{00000000-0005-0000-0000-0000E3040000}"/>
    <cellStyle name="40% - Accent6 3 3 2" xfId="8689" xr:uid="{00000000-0005-0000-0000-0000E4040000}"/>
    <cellStyle name="40% - Accent6 3 3 3" xfId="9391" xr:uid="{00000000-0005-0000-0000-0000E5040000}"/>
    <cellStyle name="40% - Accent6 3 4" xfId="462" xr:uid="{00000000-0005-0000-0000-0000E6040000}"/>
    <cellStyle name="40% - Accent6 3 4 2" xfId="8690" xr:uid="{00000000-0005-0000-0000-0000E7040000}"/>
    <cellStyle name="40% - Accent6 3 4 3" xfId="9392" xr:uid="{00000000-0005-0000-0000-0000E8040000}"/>
    <cellStyle name="40% - Accent6 3 5" xfId="463" xr:uid="{00000000-0005-0000-0000-0000E9040000}"/>
    <cellStyle name="40% - Accent6 3 5 2" xfId="8691" xr:uid="{00000000-0005-0000-0000-0000EA040000}"/>
    <cellStyle name="40% - Accent6 3 5 3" xfId="9393" xr:uid="{00000000-0005-0000-0000-0000EB040000}"/>
    <cellStyle name="40% - Accent6 3 6" xfId="464" xr:uid="{00000000-0005-0000-0000-0000EC040000}"/>
    <cellStyle name="40% - Accent6 3 6 2" xfId="8692" xr:uid="{00000000-0005-0000-0000-0000ED040000}"/>
    <cellStyle name="40% - Accent6 3 6 3" xfId="9394" xr:uid="{00000000-0005-0000-0000-0000EE040000}"/>
    <cellStyle name="40% - Accent6 3 7" xfId="465" xr:uid="{00000000-0005-0000-0000-0000EF040000}"/>
    <cellStyle name="40% - Accent6 3 7 2" xfId="8693" xr:uid="{00000000-0005-0000-0000-0000F0040000}"/>
    <cellStyle name="40% - Accent6 3 7 3" xfId="9395" xr:uid="{00000000-0005-0000-0000-0000F1040000}"/>
    <cellStyle name="40% - Accent6 3 8" xfId="466" xr:uid="{00000000-0005-0000-0000-0000F2040000}"/>
    <cellStyle name="40% - Accent6 3 8 2" xfId="8694" xr:uid="{00000000-0005-0000-0000-0000F3040000}"/>
    <cellStyle name="40% - Accent6 3 8 3" xfId="9396" xr:uid="{00000000-0005-0000-0000-0000F4040000}"/>
    <cellStyle name="40% - Accent6 3 9" xfId="8687" xr:uid="{00000000-0005-0000-0000-0000F5040000}"/>
    <cellStyle name="40% - Accent6 4" xfId="467" xr:uid="{00000000-0005-0000-0000-0000F6040000}"/>
    <cellStyle name="40% - Accent6 4 10" xfId="9397" xr:uid="{00000000-0005-0000-0000-0000F7040000}"/>
    <cellStyle name="40% - Accent6 4 2" xfId="468" xr:uid="{00000000-0005-0000-0000-0000F8040000}"/>
    <cellStyle name="40% - Accent6 4 2 2" xfId="8696" xr:uid="{00000000-0005-0000-0000-0000F9040000}"/>
    <cellStyle name="40% - Accent6 4 2 3" xfId="9398" xr:uid="{00000000-0005-0000-0000-0000FA040000}"/>
    <cellStyle name="40% - Accent6 4 3" xfId="469" xr:uid="{00000000-0005-0000-0000-0000FB040000}"/>
    <cellStyle name="40% - Accent6 4 3 2" xfId="8697" xr:uid="{00000000-0005-0000-0000-0000FC040000}"/>
    <cellStyle name="40% - Accent6 4 3 3" xfId="9399" xr:uid="{00000000-0005-0000-0000-0000FD040000}"/>
    <cellStyle name="40% - Accent6 4 4" xfId="470" xr:uid="{00000000-0005-0000-0000-0000FE040000}"/>
    <cellStyle name="40% - Accent6 4 4 2" xfId="8698" xr:uid="{00000000-0005-0000-0000-0000FF040000}"/>
    <cellStyle name="40% - Accent6 4 4 3" xfId="9400" xr:uid="{00000000-0005-0000-0000-000000050000}"/>
    <cellStyle name="40% - Accent6 4 5" xfId="471" xr:uid="{00000000-0005-0000-0000-000001050000}"/>
    <cellStyle name="40% - Accent6 4 5 2" xfId="8699" xr:uid="{00000000-0005-0000-0000-000002050000}"/>
    <cellStyle name="40% - Accent6 4 5 3" xfId="9401" xr:uid="{00000000-0005-0000-0000-000003050000}"/>
    <cellStyle name="40% - Accent6 4 6" xfId="472" xr:uid="{00000000-0005-0000-0000-000004050000}"/>
    <cellStyle name="40% - Accent6 4 6 2" xfId="8700" xr:uid="{00000000-0005-0000-0000-000005050000}"/>
    <cellStyle name="40% - Accent6 4 6 3" xfId="9402" xr:uid="{00000000-0005-0000-0000-000006050000}"/>
    <cellStyle name="40% - Accent6 4 7" xfId="473" xr:uid="{00000000-0005-0000-0000-000007050000}"/>
    <cellStyle name="40% - Accent6 4 7 2" xfId="8701" xr:uid="{00000000-0005-0000-0000-000008050000}"/>
    <cellStyle name="40% - Accent6 4 7 3" xfId="9403" xr:uid="{00000000-0005-0000-0000-000009050000}"/>
    <cellStyle name="40% - Accent6 4 8" xfId="474" xr:uid="{00000000-0005-0000-0000-00000A050000}"/>
    <cellStyle name="40% - Accent6 4 8 2" xfId="8702" xr:uid="{00000000-0005-0000-0000-00000B050000}"/>
    <cellStyle name="40% - Accent6 4 8 3" xfId="9404" xr:uid="{00000000-0005-0000-0000-00000C050000}"/>
    <cellStyle name="40% - Accent6 4 9" xfId="8695" xr:uid="{00000000-0005-0000-0000-00000D050000}"/>
    <cellStyle name="40% - Accent6 5" xfId="475" xr:uid="{00000000-0005-0000-0000-00000E050000}"/>
    <cellStyle name="40% - Accent6 5 10" xfId="9405" xr:uid="{00000000-0005-0000-0000-00000F050000}"/>
    <cellStyle name="40% - Accent6 5 2" xfId="476" xr:uid="{00000000-0005-0000-0000-000010050000}"/>
    <cellStyle name="40% - Accent6 5 2 2" xfId="8704" xr:uid="{00000000-0005-0000-0000-000011050000}"/>
    <cellStyle name="40% - Accent6 5 2 3" xfId="9406" xr:uid="{00000000-0005-0000-0000-000012050000}"/>
    <cellStyle name="40% - Accent6 5 3" xfId="477" xr:uid="{00000000-0005-0000-0000-000013050000}"/>
    <cellStyle name="40% - Accent6 5 3 2" xfId="8705" xr:uid="{00000000-0005-0000-0000-000014050000}"/>
    <cellStyle name="40% - Accent6 5 3 3" xfId="9407" xr:uid="{00000000-0005-0000-0000-000015050000}"/>
    <cellStyle name="40% - Accent6 5 4" xfId="478" xr:uid="{00000000-0005-0000-0000-000016050000}"/>
    <cellStyle name="40% - Accent6 5 4 2" xfId="8706" xr:uid="{00000000-0005-0000-0000-000017050000}"/>
    <cellStyle name="40% - Accent6 5 4 3" xfId="9408" xr:uid="{00000000-0005-0000-0000-000018050000}"/>
    <cellStyle name="40% - Accent6 5 5" xfId="479" xr:uid="{00000000-0005-0000-0000-000019050000}"/>
    <cellStyle name="40% - Accent6 5 5 2" xfId="8707" xr:uid="{00000000-0005-0000-0000-00001A050000}"/>
    <cellStyle name="40% - Accent6 5 5 3" xfId="9409" xr:uid="{00000000-0005-0000-0000-00001B050000}"/>
    <cellStyle name="40% - Accent6 5 6" xfId="480" xr:uid="{00000000-0005-0000-0000-00001C050000}"/>
    <cellStyle name="40% - Accent6 5 6 2" xfId="8708" xr:uid="{00000000-0005-0000-0000-00001D050000}"/>
    <cellStyle name="40% - Accent6 5 6 3" xfId="9410" xr:uid="{00000000-0005-0000-0000-00001E050000}"/>
    <cellStyle name="40% - Accent6 5 7" xfId="481" xr:uid="{00000000-0005-0000-0000-00001F050000}"/>
    <cellStyle name="40% - Accent6 5 7 2" xfId="8709" xr:uid="{00000000-0005-0000-0000-000020050000}"/>
    <cellStyle name="40% - Accent6 5 7 3" xfId="9411" xr:uid="{00000000-0005-0000-0000-000021050000}"/>
    <cellStyle name="40% - Accent6 5 8" xfId="482" xr:uid="{00000000-0005-0000-0000-000022050000}"/>
    <cellStyle name="40% - Accent6 5 8 2" xfId="8710" xr:uid="{00000000-0005-0000-0000-000023050000}"/>
    <cellStyle name="40% - Accent6 5 8 3" xfId="9412" xr:uid="{00000000-0005-0000-0000-000024050000}"/>
    <cellStyle name="40% - Accent6 5 9" xfId="8703" xr:uid="{00000000-0005-0000-0000-000025050000}"/>
    <cellStyle name="40% - Accent6 6" xfId="483" xr:uid="{00000000-0005-0000-0000-000026050000}"/>
    <cellStyle name="40% - Accent6 6 2" xfId="8711" xr:uid="{00000000-0005-0000-0000-000027050000}"/>
    <cellStyle name="40% - Accent6 6 3" xfId="9413" xr:uid="{00000000-0005-0000-0000-000028050000}"/>
    <cellStyle name="40% - Accent6 7" xfId="484" xr:uid="{00000000-0005-0000-0000-000029050000}"/>
    <cellStyle name="40% - Accent6 7 2" xfId="8712" xr:uid="{00000000-0005-0000-0000-00002A050000}"/>
    <cellStyle name="40% - Accent6 7 3" xfId="9414" xr:uid="{00000000-0005-0000-0000-00002B050000}"/>
    <cellStyle name="40% - Accent6 8" xfId="485" xr:uid="{00000000-0005-0000-0000-00002C050000}"/>
    <cellStyle name="40% - Accent6 8 2" xfId="8713" xr:uid="{00000000-0005-0000-0000-00002D050000}"/>
    <cellStyle name="40% - Accent6 8 3" xfId="9415" xr:uid="{00000000-0005-0000-0000-00002E050000}"/>
    <cellStyle name="40% - Accent6 9" xfId="486" xr:uid="{00000000-0005-0000-0000-00002F050000}"/>
    <cellStyle name="40% - Accent6 9 2" xfId="8714" xr:uid="{00000000-0005-0000-0000-000030050000}"/>
    <cellStyle name="40% - Accent6 9 3" xfId="9416" xr:uid="{00000000-0005-0000-0000-000031050000}"/>
    <cellStyle name="60% - Accent1" xfId="8263" builtinId="32" customBuiltin="1"/>
    <cellStyle name="60% - Accent1 2" xfId="487" xr:uid="{00000000-0005-0000-0000-000033050000}"/>
    <cellStyle name="60% - Accent1 2 2" xfId="488" xr:uid="{00000000-0005-0000-0000-000034050000}"/>
    <cellStyle name="60% - Accent1 2 3" xfId="489" xr:uid="{00000000-0005-0000-0000-000035050000}"/>
    <cellStyle name="60% - Accent1 2 4" xfId="490" xr:uid="{00000000-0005-0000-0000-000036050000}"/>
    <cellStyle name="60% - Accent1 2 5" xfId="491" xr:uid="{00000000-0005-0000-0000-000037050000}"/>
    <cellStyle name="60% - Accent1 2 6" xfId="8812" xr:uid="{00000000-0005-0000-0000-000038050000}"/>
    <cellStyle name="60% - Accent1 3" xfId="492" xr:uid="{00000000-0005-0000-0000-000039050000}"/>
    <cellStyle name="60% - Accent1 3 2" xfId="493" xr:uid="{00000000-0005-0000-0000-00003A050000}"/>
    <cellStyle name="60% - Accent1 3 3" xfId="494" xr:uid="{00000000-0005-0000-0000-00003B050000}"/>
    <cellStyle name="60% - Accent1 3 4" xfId="495" xr:uid="{00000000-0005-0000-0000-00003C050000}"/>
    <cellStyle name="60% - Accent1 3 5" xfId="496" xr:uid="{00000000-0005-0000-0000-00003D050000}"/>
    <cellStyle name="60% - Accent1 3 6" xfId="497" xr:uid="{00000000-0005-0000-0000-00003E050000}"/>
    <cellStyle name="60% - Accent1 3 7" xfId="498" xr:uid="{00000000-0005-0000-0000-00003F050000}"/>
    <cellStyle name="60% - Accent1 3 8" xfId="499" xr:uid="{00000000-0005-0000-0000-000040050000}"/>
    <cellStyle name="60% - Accent1 4" xfId="500" xr:uid="{00000000-0005-0000-0000-000041050000}"/>
    <cellStyle name="60% - Accent1 4 2" xfId="501" xr:uid="{00000000-0005-0000-0000-000042050000}"/>
    <cellStyle name="60% - Accent1 4 3" xfId="502" xr:uid="{00000000-0005-0000-0000-000043050000}"/>
    <cellStyle name="60% - Accent1 4 4" xfId="503" xr:uid="{00000000-0005-0000-0000-000044050000}"/>
    <cellStyle name="60% - Accent1 4 5" xfId="504" xr:uid="{00000000-0005-0000-0000-000045050000}"/>
    <cellStyle name="60% - Accent1 4 6" xfId="505" xr:uid="{00000000-0005-0000-0000-000046050000}"/>
    <cellStyle name="60% - Accent1 4 7" xfId="506" xr:uid="{00000000-0005-0000-0000-000047050000}"/>
    <cellStyle name="60% - Accent1 4 8" xfId="507" xr:uid="{00000000-0005-0000-0000-000048050000}"/>
    <cellStyle name="60% - Accent1 5" xfId="508" xr:uid="{00000000-0005-0000-0000-000049050000}"/>
    <cellStyle name="60% - Accent1 5 2" xfId="509" xr:uid="{00000000-0005-0000-0000-00004A050000}"/>
    <cellStyle name="60% - Accent1 5 3" xfId="510" xr:uid="{00000000-0005-0000-0000-00004B050000}"/>
    <cellStyle name="60% - Accent1 5 4" xfId="511" xr:uid="{00000000-0005-0000-0000-00004C050000}"/>
    <cellStyle name="60% - Accent1 5 5" xfId="512" xr:uid="{00000000-0005-0000-0000-00004D050000}"/>
    <cellStyle name="60% - Accent1 5 6" xfId="513" xr:uid="{00000000-0005-0000-0000-00004E050000}"/>
    <cellStyle name="60% - Accent1 5 7" xfId="514" xr:uid="{00000000-0005-0000-0000-00004F050000}"/>
    <cellStyle name="60% - Accent1 5 8" xfId="515" xr:uid="{00000000-0005-0000-0000-000050050000}"/>
    <cellStyle name="60% - Accent1 6" xfId="516" xr:uid="{00000000-0005-0000-0000-000051050000}"/>
    <cellStyle name="60% - Accent1 7" xfId="8744" xr:uid="{00000000-0005-0000-0000-000052050000}"/>
    <cellStyle name="60% - Accent2" xfId="8267" builtinId="36" customBuiltin="1"/>
    <cellStyle name="60% - Accent2 2" xfId="517" xr:uid="{00000000-0005-0000-0000-000054050000}"/>
    <cellStyle name="60% - Accent2 2 2" xfId="518" xr:uid="{00000000-0005-0000-0000-000055050000}"/>
    <cellStyle name="60% - Accent2 2 3" xfId="519" xr:uid="{00000000-0005-0000-0000-000056050000}"/>
    <cellStyle name="60% - Accent2 2 4" xfId="520" xr:uid="{00000000-0005-0000-0000-000057050000}"/>
    <cellStyle name="60% - Accent2 2 5" xfId="521" xr:uid="{00000000-0005-0000-0000-000058050000}"/>
    <cellStyle name="60% - Accent2 2 6" xfId="8912" xr:uid="{00000000-0005-0000-0000-000059050000}"/>
    <cellStyle name="60% - Accent2 3" xfId="522" xr:uid="{00000000-0005-0000-0000-00005A050000}"/>
    <cellStyle name="60% - Accent2 3 2" xfId="523" xr:uid="{00000000-0005-0000-0000-00005B050000}"/>
    <cellStyle name="60% - Accent2 3 3" xfId="524" xr:uid="{00000000-0005-0000-0000-00005C050000}"/>
    <cellStyle name="60% - Accent2 3 4" xfId="525" xr:uid="{00000000-0005-0000-0000-00005D050000}"/>
    <cellStyle name="60% - Accent2 3 5" xfId="526" xr:uid="{00000000-0005-0000-0000-00005E050000}"/>
    <cellStyle name="60% - Accent2 3 6" xfId="527" xr:uid="{00000000-0005-0000-0000-00005F050000}"/>
    <cellStyle name="60% - Accent2 3 7" xfId="528" xr:uid="{00000000-0005-0000-0000-000060050000}"/>
    <cellStyle name="60% - Accent2 3 8" xfId="529" xr:uid="{00000000-0005-0000-0000-000061050000}"/>
    <cellStyle name="60% - Accent2 4" xfId="530" xr:uid="{00000000-0005-0000-0000-000062050000}"/>
    <cellStyle name="60% - Accent2 4 2" xfId="531" xr:uid="{00000000-0005-0000-0000-000063050000}"/>
    <cellStyle name="60% - Accent2 4 3" xfId="532" xr:uid="{00000000-0005-0000-0000-000064050000}"/>
    <cellStyle name="60% - Accent2 4 4" xfId="533" xr:uid="{00000000-0005-0000-0000-000065050000}"/>
    <cellStyle name="60% - Accent2 4 5" xfId="534" xr:uid="{00000000-0005-0000-0000-000066050000}"/>
    <cellStyle name="60% - Accent2 4 6" xfId="535" xr:uid="{00000000-0005-0000-0000-000067050000}"/>
    <cellStyle name="60% - Accent2 4 7" xfId="536" xr:uid="{00000000-0005-0000-0000-000068050000}"/>
    <cellStyle name="60% - Accent2 4 8" xfId="537" xr:uid="{00000000-0005-0000-0000-000069050000}"/>
    <cellStyle name="60% - Accent2 5" xfId="538" xr:uid="{00000000-0005-0000-0000-00006A050000}"/>
    <cellStyle name="60% - Accent2 5 2" xfId="539" xr:uid="{00000000-0005-0000-0000-00006B050000}"/>
    <cellStyle name="60% - Accent2 5 3" xfId="540" xr:uid="{00000000-0005-0000-0000-00006C050000}"/>
    <cellStyle name="60% - Accent2 5 4" xfId="541" xr:uid="{00000000-0005-0000-0000-00006D050000}"/>
    <cellStyle name="60% - Accent2 5 5" xfId="542" xr:uid="{00000000-0005-0000-0000-00006E050000}"/>
    <cellStyle name="60% - Accent2 5 6" xfId="543" xr:uid="{00000000-0005-0000-0000-00006F050000}"/>
    <cellStyle name="60% - Accent2 5 7" xfId="544" xr:uid="{00000000-0005-0000-0000-000070050000}"/>
    <cellStyle name="60% - Accent2 5 8" xfId="545" xr:uid="{00000000-0005-0000-0000-000071050000}"/>
    <cellStyle name="60% - Accent2 6" xfId="546" xr:uid="{00000000-0005-0000-0000-000072050000}"/>
    <cellStyle name="60% - Accent2 7" xfId="8936" xr:uid="{00000000-0005-0000-0000-000073050000}"/>
    <cellStyle name="60% - Accent3" xfId="8271" builtinId="40" customBuiltin="1"/>
    <cellStyle name="60% - Accent3 2" xfId="547" xr:uid="{00000000-0005-0000-0000-000075050000}"/>
    <cellStyle name="60% - Accent3 2 2" xfId="548" xr:uid="{00000000-0005-0000-0000-000076050000}"/>
    <cellStyle name="60% - Accent3 2 3" xfId="549" xr:uid="{00000000-0005-0000-0000-000077050000}"/>
    <cellStyle name="60% - Accent3 2 4" xfId="550" xr:uid="{00000000-0005-0000-0000-000078050000}"/>
    <cellStyle name="60% - Accent3 2 5" xfId="551" xr:uid="{00000000-0005-0000-0000-000079050000}"/>
    <cellStyle name="60% - Accent3 2 6" xfId="8987" xr:uid="{00000000-0005-0000-0000-00007A050000}"/>
    <cellStyle name="60% - Accent3 3" xfId="552" xr:uid="{00000000-0005-0000-0000-00007B050000}"/>
    <cellStyle name="60% - Accent3 3 2" xfId="553" xr:uid="{00000000-0005-0000-0000-00007C050000}"/>
    <cellStyle name="60% - Accent3 3 3" xfId="554" xr:uid="{00000000-0005-0000-0000-00007D050000}"/>
    <cellStyle name="60% - Accent3 3 4" xfId="555" xr:uid="{00000000-0005-0000-0000-00007E050000}"/>
    <cellStyle name="60% - Accent3 3 5" xfId="556" xr:uid="{00000000-0005-0000-0000-00007F050000}"/>
    <cellStyle name="60% - Accent3 3 6" xfId="557" xr:uid="{00000000-0005-0000-0000-000080050000}"/>
    <cellStyle name="60% - Accent3 3 7" xfId="558" xr:uid="{00000000-0005-0000-0000-000081050000}"/>
    <cellStyle name="60% - Accent3 3 8" xfId="559" xr:uid="{00000000-0005-0000-0000-000082050000}"/>
    <cellStyle name="60% - Accent3 4" xfId="560" xr:uid="{00000000-0005-0000-0000-000083050000}"/>
    <cellStyle name="60% - Accent3 4 2" xfId="561" xr:uid="{00000000-0005-0000-0000-000084050000}"/>
    <cellStyle name="60% - Accent3 4 3" xfId="562" xr:uid="{00000000-0005-0000-0000-000085050000}"/>
    <cellStyle name="60% - Accent3 4 4" xfId="563" xr:uid="{00000000-0005-0000-0000-000086050000}"/>
    <cellStyle name="60% - Accent3 4 5" xfId="564" xr:uid="{00000000-0005-0000-0000-000087050000}"/>
    <cellStyle name="60% - Accent3 4 6" xfId="565" xr:uid="{00000000-0005-0000-0000-000088050000}"/>
    <cellStyle name="60% - Accent3 4 7" xfId="566" xr:uid="{00000000-0005-0000-0000-000089050000}"/>
    <cellStyle name="60% - Accent3 4 8" xfId="567" xr:uid="{00000000-0005-0000-0000-00008A050000}"/>
    <cellStyle name="60% - Accent3 5" xfId="568" xr:uid="{00000000-0005-0000-0000-00008B050000}"/>
    <cellStyle name="60% - Accent3 5 2" xfId="569" xr:uid="{00000000-0005-0000-0000-00008C050000}"/>
    <cellStyle name="60% - Accent3 5 3" xfId="570" xr:uid="{00000000-0005-0000-0000-00008D050000}"/>
    <cellStyle name="60% - Accent3 5 4" xfId="571" xr:uid="{00000000-0005-0000-0000-00008E050000}"/>
    <cellStyle name="60% - Accent3 5 5" xfId="572" xr:uid="{00000000-0005-0000-0000-00008F050000}"/>
    <cellStyle name="60% - Accent3 5 6" xfId="573" xr:uid="{00000000-0005-0000-0000-000090050000}"/>
    <cellStyle name="60% - Accent3 5 7" xfId="574" xr:uid="{00000000-0005-0000-0000-000091050000}"/>
    <cellStyle name="60% - Accent3 5 8" xfId="575" xr:uid="{00000000-0005-0000-0000-000092050000}"/>
    <cellStyle name="60% - Accent3 6" xfId="576" xr:uid="{00000000-0005-0000-0000-000093050000}"/>
    <cellStyle name="60% - Accent3 7" xfId="8747" xr:uid="{00000000-0005-0000-0000-000094050000}"/>
    <cellStyle name="60% - Accent4" xfId="8275" builtinId="44" customBuiltin="1"/>
    <cellStyle name="60% - Accent4 2" xfId="577" xr:uid="{00000000-0005-0000-0000-000096050000}"/>
    <cellStyle name="60% - Accent4 2 2" xfId="578" xr:uid="{00000000-0005-0000-0000-000097050000}"/>
    <cellStyle name="60% - Accent4 2 3" xfId="579" xr:uid="{00000000-0005-0000-0000-000098050000}"/>
    <cellStyle name="60% - Accent4 2 4" xfId="580" xr:uid="{00000000-0005-0000-0000-000099050000}"/>
    <cellStyle name="60% - Accent4 2 5" xfId="581" xr:uid="{00000000-0005-0000-0000-00009A050000}"/>
    <cellStyle name="60% - Accent4 2 6" xfId="8819" xr:uid="{00000000-0005-0000-0000-00009B050000}"/>
    <cellStyle name="60% - Accent4 3" xfId="582" xr:uid="{00000000-0005-0000-0000-00009C050000}"/>
    <cellStyle name="60% - Accent4 3 2" xfId="583" xr:uid="{00000000-0005-0000-0000-00009D050000}"/>
    <cellStyle name="60% - Accent4 3 3" xfId="584" xr:uid="{00000000-0005-0000-0000-00009E050000}"/>
    <cellStyle name="60% - Accent4 3 4" xfId="585" xr:uid="{00000000-0005-0000-0000-00009F050000}"/>
    <cellStyle name="60% - Accent4 3 5" xfId="586" xr:uid="{00000000-0005-0000-0000-0000A0050000}"/>
    <cellStyle name="60% - Accent4 3 6" xfId="587" xr:uid="{00000000-0005-0000-0000-0000A1050000}"/>
    <cellStyle name="60% - Accent4 3 7" xfId="588" xr:uid="{00000000-0005-0000-0000-0000A2050000}"/>
    <cellStyle name="60% - Accent4 3 8" xfId="589" xr:uid="{00000000-0005-0000-0000-0000A3050000}"/>
    <cellStyle name="60% - Accent4 4" xfId="590" xr:uid="{00000000-0005-0000-0000-0000A4050000}"/>
    <cellStyle name="60% - Accent4 4 2" xfId="591" xr:uid="{00000000-0005-0000-0000-0000A5050000}"/>
    <cellStyle name="60% - Accent4 4 3" xfId="592" xr:uid="{00000000-0005-0000-0000-0000A6050000}"/>
    <cellStyle name="60% - Accent4 4 4" xfId="593" xr:uid="{00000000-0005-0000-0000-0000A7050000}"/>
    <cellStyle name="60% - Accent4 4 5" xfId="594" xr:uid="{00000000-0005-0000-0000-0000A8050000}"/>
    <cellStyle name="60% - Accent4 4 6" xfId="595" xr:uid="{00000000-0005-0000-0000-0000A9050000}"/>
    <cellStyle name="60% - Accent4 4 7" xfId="596" xr:uid="{00000000-0005-0000-0000-0000AA050000}"/>
    <cellStyle name="60% - Accent4 4 8" xfId="597" xr:uid="{00000000-0005-0000-0000-0000AB050000}"/>
    <cellStyle name="60% - Accent4 5" xfId="598" xr:uid="{00000000-0005-0000-0000-0000AC050000}"/>
    <cellStyle name="60% - Accent4 5 2" xfId="599" xr:uid="{00000000-0005-0000-0000-0000AD050000}"/>
    <cellStyle name="60% - Accent4 5 3" xfId="600" xr:uid="{00000000-0005-0000-0000-0000AE050000}"/>
    <cellStyle name="60% - Accent4 5 4" xfId="601" xr:uid="{00000000-0005-0000-0000-0000AF050000}"/>
    <cellStyle name="60% - Accent4 5 5" xfId="602" xr:uid="{00000000-0005-0000-0000-0000B0050000}"/>
    <cellStyle name="60% - Accent4 5 6" xfId="603" xr:uid="{00000000-0005-0000-0000-0000B1050000}"/>
    <cellStyle name="60% - Accent4 5 7" xfId="604" xr:uid="{00000000-0005-0000-0000-0000B2050000}"/>
    <cellStyle name="60% - Accent4 5 8" xfId="605" xr:uid="{00000000-0005-0000-0000-0000B3050000}"/>
    <cellStyle name="60% - Accent4 6" xfId="606" xr:uid="{00000000-0005-0000-0000-0000B4050000}"/>
    <cellStyle name="60% - Accent4 7" xfId="8918" xr:uid="{00000000-0005-0000-0000-0000B5050000}"/>
    <cellStyle name="60% - Accent5" xfId="8279" builtinId="48" customBuiltin="1"/>
    <cellStyle name="60% - Accent5 2" xfId="607" xr:uid="{00000000-0005-0000-0000-0000B7050000}"/>
    <cellStyle name="60% - Accent5 2 2" xfId="608" xr:uid="{00000000-0005-0000-0000-0000B8050000}"/>
    <cellStyle name="60% - Accent5 2 3" xfId="609" xr:uid="{00000000-0005-0000-0000-0000B9050000}"/>
    <cellStyle name="60% - Accent5 2 4" xfId="610" xr:uid="{00000000-0005-0000-0000-0000BA050000}"/>
    <cellStyle name="60% - Accent5 2 5" xfId="611" xr:uid="{00000000-0005-0000-0000-0000BB050000}"/>
    <cellStyle name="60% - Accent5 2 6" xfId="8910" xr:uid="{00000000-0005-0000-0000-0000BC050000}"/>
    <cellStyle name="60% - Accent5 3" xfId="612" xr:uid="{00000000-0005-0000-0000-0000BD050000}"/>
    <cellStyle name="60% - Accent5 3 2" xfId="613" xr:uid="{00000000-0005-0000-0000-0000BE050000}"/>
    <cellStyle name="60% - Accent5 3 3" xfId="614" xr:uid="{00000000-0005-0000-0000-0000BF050000}"/>
    <cellStyle name="60% - Accent5 3 4" xfId="615" xr:uid="{00000000-0005-0000-0000-0000C0050000}"/>
    <cellStyle name="60% - Accent5 3 5" xfId="616" xr:uid="{00000000-0005-0000-0000-0000C1050000}"/>
    <cellStyle name="60% - Accent5 3 6" xfId="617" xr:uid="{00000000-0005-0000-0000-0000C2050000}"/>
    <cellStyle name="60% - Accent5 3 7" xfId="618" xr:uid="{00000000-0005-0000-0000-0000C3050000}"/>
    <cellStyle name="60% - Accent5 3 8" xfId="619" xr:uid="{00000000-0005-0000-0000-0000C4050000}"/>
    <cellStyle name="60% - Accent5 4" xfId="620" xr:uid="{00000000-0005-0000-0000-0000C5050000}"/>
    <cellStyle name="60% - Accent5 4 2" xfId="621" xr:uid="{00000000-0005-0000-0000-0000C6050000}"/>
    <cellStyle name="60% - Accent5 4 3" xfId="622" xr:uid="{00000000-0005-0000-0000-0000C7050000}"/>
    <cellStyle name="60% - Accent5 4 4" xfId="623" xr:uid="{00000000-0005-0000-0000-0000C8050000}"/>
    <cellStyle name="60% - Accent5 4 5" xfId="624" xr:uid="{00000000-0005-0000-0000-0000C9050000}"/>
    <cellStyle name="60% - Accent5 4 6" xfId="625" xr:uid="{00000000-0005-0000-0000-0000CA050000}"/>
    <cellStyle name="60% - Accent5 4 7" xfId="626" xr:uid="{00000000-0005-0000-0000-0000CB050000}"/>
    <cellStyle name="60% - Accent5 4 8" xfId="627" xr:uid="{00000000-0005-0000-0000-0000CC050000}"/>
    <cellStyle name="60% - Accent5 5" xfId="628" xr:uid="{00000000-0005-0000-0000-0000CD050000}"/>
    <cellStyle name="60% - Accent5 5 2" xfId="629" xr:uid="{00000000-0005-0000-0000-0000CE050000}"/>
    <cellStyle name="60% - Accent5 5 3" xfId="630" xr:uid="{00000000-0005-0000-0000-0000CF050000}"/>
    <cellStyle name="60% - Accent5 5 4" xfId="631" xr:uid="{00000000-0005-0000-0000-0000D0050000}"/>
    <cellStyle name="60% - Accent5 5 5" xfId="632" xr:uid="{00000000-0005-0000-0000-0000D1050000}"/>
    <cellStyle name="60% - Accent5 5 6" xfId="633" xr:uid="{00000000-0005-0000-0000-0000D2050000}"/>
    <cellStyle name="60% - Accent5 5 7" xfId="634" xr:uid="{00000000-0005-0000-0000-0000D3050000}"/>
    <cellStyle name="60% - Accent5 5 8" xfId="635" xr:uid="{00000000-0005-0000-0000-0000D4050000}"/>
    <cellStyle name="60% - Accent5 6" xfId="636" xr:uid="{00000000-0005-0000-0000-0000D5050000}"/>
    <cellStyle name="60% - Accent5 7" xfId="8929" xr:uid="{00000000-0005-0000-0000-0000D6050000}"/>
    <cellStyle name="60% - Accent6" xfId="8283" builtinId="52" customBuiltin="1"/>
    <cellStyle name="60% - Accent6 2" xfId="637" xr:uid="{00000000-0005-0000-0000-0000D8050000}"/>
    <cellStyle name="60% - Accent6 2 2" xfId="638" xr:uid="{00000000-0005-0000-0000-0000D9050000}"/>
    <cellStyle name="60% - Accent6 2 3" xfId="639" xr:uid="{00000000-0005-0000-0000-0000DA050000}"/>
    <cellStyle name="60% - Accent6 2 4" xfId="640" xr:uid="{00000000-0005-0000-0000-0000DB050000}"/>
    <cellStyle name="60% - Accent6 2 5" xfId="641" xr:uid="{00000000-0005-0000-0000-0000DC050000}"/>
    <cellStyle name="60% - Accent6 2 6" xfId="8979" xr:uid="{00000000-0005-0000-0000-0000DD050000}"/>
    <cellStyle name="60% - Accent6 3" xfId="642" xr:uid="{00000000-0005-0000-0000-0000DE050000}"/>
    <cellStyle name="60% - Accent6 3 2" xfId="643" xr:uid="{00000000-0005-0000-0000-0000DF050000}"/>
    <cellStyle name="60% - Accent6 3 3" xfId="644" xr:uid="{00000000-0005-0000-0000-0000E0050000}"/>
    <cellStyle name="60% - Accent6 3 4" xfId="645" xr:uid="{00000000-0005-0000-0000-0000E1050000}"/>
    <cellStyle name="60% - Accent6 3 5" xfId="646" xr:uid="{00000000-0005-0000-0000-0000E2050000}"/>
    <cellStyle name="60% - Accent6 3 6" xfId="647" xr:uid="{00000000-0005-0000-0000-0000E3050000}"/>
    <cellStyle name="60% - Accent6 3 7" xfId="648" xr:uid="{00000000-0005-0000-0000-0000E4050000}"/>
    <cellStyle name="60% - Accent6 3 8" xfId="649" xr:uid="{00000000-0005-0000-0000-0000E5050000}"/>
    <cellStyle name="60% - Accent6 4" xfId="650" xr:uid="{00000000-0005-0000-0000-0000E6050000}"/>
    <cellStyle name="60% - Accent6 4 2" xfId="651" xr:uid="{00000000-0005-0000-0000-0000E7050000}"/>
    <cellStyle name="60% - Accent6 4 3" xfId="652" xr:uid="{00000000-0005-0000-0000-0000E8050000}"/>
    <cellStyle name="60% - Accent6 4 4" xfId="653" xr:uid="{00000000-0005-0000-0000-0000E9050000}"/>
    <cellStyle name="60% - Accent6 4 5" xfId="654" xr:uid="{00000000-0005-0000-0000-0000EA050000}"/>
    <cellStyle name="60% - Accent6 4 6" xfId="655" xr:uid="{00000000-0005-0000-0000-0000EB050000}"/>
    <cellStyle name="60% - Accent6 4 7" xfId="656" xr:uid="{00000000-0005-0000-0000-0000EC050000}"/>
    <cellStyle name="60% - Accent6 4 8" xfId="657" xr:uid="{00000000-0005-0000-0000-0000ED050000}"/>
    <cellStyle name="60% - Accent6 5" xfId="658" xr:uid="{00000000-0005-0000-0000-0000EE050000}"/>
    <cellStyle name="60% - Accent6 5 2" xfId="659" xr:uid="{00000000-0005-0000-0000-0000EF050000}"/>
    <cellStyle name="60% - Accent6 5 3" xfId="660" xr:uid="{00000000-0005-0000-0000-0000F0050000}"/>
    <cellStyle name="60% - Accent6 5 4" xfId="661" xr:uid="{00000000-0005-0000-0000-0000F1050000}"/>
    <cellStyle name="60% - Accent6 5 5" xfId="662" xr:uid="{00000000-0005-0000-0000-0000F2050000}"/>
    <cellStyle name="60% - Accent6 5 6" xfId="663" xr:uid="{00000000-0005-0000-0000-0000F3050000}"/>
    <cellStyle name="60% - Accent6 5 7" xfId="664" xr:uid="{00000000-0005-0000-0000-0000F4050000}"/>
    <cellStyle name="60% - Accent6 5 8" xfId="665" xr:uid="{00000000-0005-0000-0000-0000F5050000}"/>
    <cellStyle name="60% - Accent6 6" xfId="666" xr:uid="{00000000-0005-0000-0000-0000F6050000}"/>
    <cellStyle name="60% - Accent6 7" xfId="8990" xr:uid="{00000000-0005-0000-0000-0000F7050000}"/>
    <cellStyle name="Accent1" xfId="8260" builtinId="29" customBuiltin="1"/>
    <cellStyle name="Accent1 - 20%" xfId="667" xr:uid="{00000000-0005-0000-0000-0000F9050000}"/>
    <cellStyle name="Accent1 - 20% 10" xfId="668" xr:uid="{00000000-0005-0000-0000-0000FA050000}"/>
    <cellStyle name="Accent1 - 20% 11" xfId="669" xr:uid="{00000000-0005-0000-0000-0000FB050000}"/>
    <cellStyle name="Accent1 - 20% 12" xfId="670" xr:uid="{00000000-0005-0000-0000-0000FC050000}"/>
    <cellStyle name="Accent1 - 20% 13" xfId="671" xr:uid="{00000000-0005-0000-0000-0000FD050000}"/>
    <cellStyle name="Accent1 - 20% 14" xfId="672" xr:uid="{00000000-0005-0000-0000-0000FE050000}"/>
    <cellStyle name="Accent1 - 20% 15" xfId="673" xr:uid="{00000000-0005-0000-0000-0000FF050000}"/>
    <cellStyle name="Accent1 - 20% 16" xfId="674" xr:uid="{00000000-0005-0000-0000-000000060000}"/>
    <cellStyle name="Accent1 - 20% 17" xfId="675" xr:uid="{00000000-0005-0000-0000-000001060000}"/>
    <cellStyle name="Accent1 - 20% 18" xfId="676" xr:uid="{00000000-0005-0000-0000-000002060000}"/>
    <cellStyle name="Accent1 - 20% 19" xfId="677" xr:uid="{00000000-0005-0000-0000-000003060000}"/>
    <cellStyle name="Accent1 - 20% 2" xfId="678" xr:uid="{00000000-0005-0000-0000-000004060000}"/>
    <cellStyle name="Accent1 - 20% 2 2" xfId="679" xr:uid="{00000000-0005-0000-0000-000005060000}"/>
    <cellStyle name="Accent1 - 20% 20" xfId="680" xr:uid="{00000000-0005-0000-0000-000006060000}"/>
    <cellStyle name="Accent1 - 20% 21" xfId="681" xr:uid="{00000000-0005-0000-0000-000007060000}"/>
    <cellStyle name="Accent1 - 20% 22" xfId="682" xr:uid="{00000000-0005-0000-0000-000008060000}"/>
    <cellStyle name="Accent1 - 20% 23" xfId="683" xr:uid="{00000000-0005-0000-0000-000009060000}"/>
    <cellStyle name="Accent1 - 20% 24" xfId="684" xr:uid="{00000000-0005-0000-0000-00000A060000}"/>
    <cellStyle name="Accent1 - 20% 25" xfId="685" xr:uid="{00000000-0005-0000-0000-00000B060000}"/>
    <cellStyle name="Accent1 - 20% 26" xfId="686" xr:uid="{00000000-0005-0000-0000-00000C060000}"/>
    <cellStyle name="Accent1 - 20% 27" xfId="687" xr:uid="{00000000-0005-0000-0000-00000D060000}"/>
    <cellStyle name="Accent1 - 20% 28" xfId="688" xr:uid="{00000000-0005-0000-0000-00000E060000}"/>
    <cellStyle name="Accent1 - 20% 29" xfId="689" xr:uid="{00000000-0005-0000-0000-00000F060000}"/>
    <cellStyle name="Accent1 - 20% 3" xfId="690" xr:uid="{00000000-0005-0000-0000-000010060000}"/>
    <cellStyle name="Accent1 - 20% 30" xfId="691" xr:uid="{00000000-0005-0000-0000-000011060000}"/>
    <cellStyle name="Accent1 - 20% 31" xfId="692" xr:uid="{00000000-0005-0000-0000-000012060000}"/>
    <cellStyle name="Accent1 - 20% 32" xfId="693" xr:uid="{00000000-0005-0000-0000-000013060000}"/>
    <cellStyle name="Accent1 - 20% 33" xfId="694" xr:uid="{00000000-0005-0000-0000-000014060000}"/>
    <cellStyle name="Accent1 - 20% 34" xfId="695" xr:uid="{00000000-0005-0000-0000-000015060000}"/>
    <cellStyle name="Accent1 - 20% 35" xfId="696" xr:uid="{00000000-0005-0000-0000-000016060000}"/>
    <cellStyle name="Accent1 - 20% 36" xfId="697" xr:uid="{00000000-0005-0000-0000-000017060000}"/>
    <cellStyle name="Accent1 - 20% 37" xfId="698" xr:uid="{00000000-0005-0000-0000-000018060000}"/>
    <cellStyle name="Accent1 - 20% 38" xfId="699" xr:uid="{00000000-0005-0000-0000-000019060000}"/>
    <cellStyle name="Accent1 - 20% 39" xfId="700" xr:uid="{00000000-0005-0000-0000-00001A060000}"/>
    <cellStyle name="Accent1 - 20% 4" xfId="701" xr:uid="{00000000-0005-0000-0000-00001B060000}"/>
    <cellStyle name="Accent1 - 20% 40" xfId="702" xr:uid="{00000000-0005-0000-0000-00001C060000}"/>
    <cellStyle name="Accent1 - 20% 41" xfId="703" xr:uid="{00000000-0005-0000-0000-00001D060000}"/>
    <cellStyle name="Accent1 - 20% 42" xfId="704" xr:uid="{00000000-0005-0000-0000-00001E060000}"/>
    <cellStyle name="Accent1 - 20% 43" xfId="705" xr:uid="{00000000-0005-0000-0000-00001F060000}"/>
    <cellStyle name="Accent1 - 20% 44" xfId="706" xr:uid="{00000000-0005-0000-0000-000020060000}"/>
    <cellStyle name="Accent1 - 20% 45" xfId="707" xr:uid="{00000000-0005-0000-0000-000021060000}"/>
    <cellStyle name="Accent1 - 20% 46" xfId="708" xr:uid="{00000000-0005-0000-0000-000022060000}"/>
    <cellStyle name="Accent1 - 20% 47" xfId="709" xr:uid="{00000000-0005-0000-0000-000023060000}"/>
    <cellStyle name="Accent1 - 20% 5" xfId="710" xr:uid="{00000000-0005-0000-0000-000024060000}"/>
    <cellStyle name="Accent1 - 20% 6" xfId="711" xr:uid="{00000000-0005-0000-0000-000025060000}"/>
    <cellStyle name="Accent1 - 20% 7" xfId="712" xr:uid="{00000000-0005-0000-0000-000026060000}"/>
    <cellStyle name="Accent1 - 20% 8" xfId="713" xr:uid="{00000000-0005-0000-0000-000027060000}"/>
    <cellStyle name="Accent1 - 20% 9" xfId="714" xr:uid="{00000000-0005-0000-0000-000028060000}"/>
    <cellStyle name="Accent1 - 40%" xfId="715" xr:uid="{00000000-0005-0000-0000-000029060000}"/>
    <cellStyle name="Accent1 - 40% 10" xfId="716" xr:uid="{00000000-0005-0000-0000-00002A060000}"/>
    <cellStyle name="Accent1 - 40% 11" xfId="717" xr:uid="{00000000-0005-0000-0000-00002B060000}"/>
    <cellStyle name="Accent1 - 40% 12" xfId="718" xr:uid="{00000000-0005-0000-0000-00002C060000}"/>
    <cellStyle name="Accent1 - 40% 13" xfId="719" xr:uid="{00000000-0005-0000-0000-00002D060000}"/>
    <cellStyle name="Accent1 - 40% 14" xfId="720" xr:uid="{00000000-0005-0000-0000-00002E060000}"/>
    <cellStyle name="Accent1 - 40% 15" xfId="721" xr:uid="{00000000-0005-0000-0000-00002F060000}"/>
    <cellStyle name="Accent1 - 40% 16" xfId="722" xr:uid="{00000000-0005-0000-0000-000030060000}"/>
    <cellStyle name="Accent1 - 40% 17" xfId="723" xr:uid="{00000000-0005-0000-0000-000031060000}"/>
    <cellStyle name="Accent1 - 40% 18" xfId="724" xr:uid="{00000000-0005-0000-0000-000032060000}"/>
    <cellStyle name="Accent1 - 40% 19" xfId="725" xr:uid="{00000000-0005-0000-0000-000033060000}"/>
    <cellStyle name="Accent1 - 40% 2" xfId="726" xr:uid="{00000000-0005-0000-0000-000034060000}"/>
    <cellStyle name="Accent1 - 40% 2 2" xfId="727" xr:uid="{00000000-0005-0000-0000-000035060000}"/>
    <cellStyle name="Accent1 - 40% 20" xfId="728" xr:uid="{00000000-0005-0000-0000-000036060000}"/>
    <cellStyle name="Accent1 - 40% 21" xfId="729" xr:uid="{00000000-0005-0000-0000-000037060000}"/>
    <cellStyle name="Accent1 - 40% 22" xfId="730" xr:uid="{00000000-0005-0000-0000-000038060000}"/>
    <cellStyle name="Accent1 - 40% 23" xfId="731" xr:uid="{00000000-0005-0000-0000-000039060000}"/>
    <cellStyle name="Accent1 - 40% 24" xfId="732" xr:uid="{00000000-0005-0000-0000-00003A060000}"/>
    <cellStyle name="Accent1 - 40% 25" xfId="733" xr:uid="{00000000-0005-0000-0000-00003B060000}"/>
    <cellStyle name="Accent1 - 40% 26" xfId="734" xr:uid="{00000000-0005-0000-0000-00003C060000}"/>
    <cellStyle name="Accent1 - 40% 27" xfId="735" xr:uid="{00000000-0005-0000-0000-00003D060000}"/>
    <cellStyle name="Accent1 - 40% 28" xfId="736" xr:uid="{00000000-0005-0000-0000-00003E060000}"/>
    <cellStyle name="Accent1 - 40% 29" xfId="737" xr:uid="{00000000-0005-0000-0000-00003F060000}"/>
    <cellStyle name="Accent1 - 40% 3" xfId="738" xr:uid="{00000000-0005-0000-0000-000040060000}"/>
    <cellStyle name="Accent1 - 40% 30" xfId="739" xr:uid="{00000000-0005-0000-0000-000041060000}"/>
    <cellStyle name="Accent1 - 40% 31" xfId="740" xr:uid="{00000000-0005-0000-0000-000042060000}"/>
    <cellStyle name="Accent1 - 40% 32" xfId="741" xr:uid="{00000000-0005-0000-0000-000043060000}"/>
    <cellStyle name="Accent1 - 40% 33" xfId="742" xr:uid="{00000000-0005-0000-0000-000044060000}"/>
    <cellStyle name="Accent1 - 40% 34" xfId="743" xr:uid="{00000000-0005-0000-0000-000045060000}"/>
    <cellStyle name="Accent1 - 40% 35" xfId="744" xr:uid="{00000000-0005-0000-0000-000046060000}"/>
    <cellStyle name="Accent1 - 40% 36" xfId="745" xr:uid="{00000000-0005-0000-0000-000047060000}"/>
    <cellStyle name="Accent1 - 40% 37" xfId="746" xr:uid="{00000000-0005-0000-0000-000048060000}"/>
    <cellStyle name="Accent1 - 40% 38" xfId="747" xr:uid="{00000000-0005-0000-0000-000049060000}"/>
    <cellStyle name="Accent1 - 40% 39" xfId="748" xr:uid="{00000000-0005-0000-0000-00004A060000}"/>
    <cellStyle name="Accent1 - 40% 4" xfId="749" xr:uid="{00000000-0005-0000-0000-00004B060000}"/>
    <cellStyle name="Accent1 - 40% 40" xfId="750" xr:uid="{00000000-0005-0000-0000-00004C060000}"/>
    <cellStyle name="Accent1 - 40% 41" xfId="751" xr:uid="{00000000-0005-0000-0000-00004D060000}"/>
    <cellStyle name="Accent1 - 40% 42" xfId="752" xr:uid="{00000000-0005-0000-0000-00004E060000}"/>
    <cellStyle name="Accent1 - 40% 43" xfId="753" xr:uid="{00000000-0005-0000-0000-00004F060000}"/>
    <cellStyle name="Accent1 - 40% 44" xfId="754" xr:uid="{00000000-0005-0000-0000-000050060000}"/>
    <cellStyle name="Accent1 - 40% 45" xfId="755" xr:uid="{00000000-0005-0000-0000-000051060000}"/>
    <cellStyle name="Accent1 - 40% 46" xfId="756" xr:uid="{00000000-0005-0000-0000-000052060000}"/>
    <cellStyle name="Accent1 - 40% 47" xfId="757" xr:uid="{00000000-0005-0000-0000-000053060000}"/>
    <cellStyle name="Accent1 - 40% 5" xfId="758" xr:uid="{00000000-0005-0000-0000-000054060000}"/>
    <cellStyle name="Accent1 - 40% 6" xfId="759" xr:uid="{00000000-0005-0000-0000-000055060000}"/>
    <cellStyle name="Accent1 - 40% 7" xfId="760" xr:uid="{00000000-0005-0000-0000-000056060000}"/>
    <cellStyle name="Accent1 - 40% 8" xfId="761" xr:uid="{00000000-0005-0000-0000-000057060000}"/>
    <cellStyle name="Accent1 - 40% 9" xfId="762" xr:uid="{00000000-0005-0000-0000-000058060000}"/>
    <cellStyle name="Accent1 - 60%" xfId="763" xr:uid="{00000000-0005-0000-0000-000059060000}"/>
    <cellStyle name="Accent1 - 60% 10" xfId="764" xr:uid="{00000000-0005-0000-0000-00005A060000}"/>
    <cellStyle name="Accent1 - 60% 11" xfId="765" xr:uid="{00000000-0005-0000-0000-00005B060000}"/>
    <cellStyle name="Accent1 - 60% 12" xfId="766" xr:uid="{00000000-0005-0000-0000-00005C060000}"/>
    <cellStyle name="Accent1 - 60% 13" xfId="767" xr:uid="{00000000-0005-0000-0000-00005D060000}"/>
    <cellStyle name="Accent1 - 60% 14" xfId="768" xr:uid="{00000000-0005-0000-0000-00005E060000}"/>
    <cellStyle name="Accent1 - 60% 15" xfId="769" xr:uid="{00000000-0005-0000-0000-00005F060000}"/>
    <cellStyle name="Accent1 - 60% 16" xfId="770" xr:uid="{00000000-0005-0000-0000-000060060000}"/>
    <cellStyle name="Accent1 - 60% 17" xfId="771" xr:uid="{00000000-0005-0000-0000-000061060000}"/>
    <cellStyle name="Accent1 - 60% 18" xfId="772" xr:uid="{00000000-0005-0000-0000-000062060000}"/>
    <cellStyle name="Accent1 - 60% 19" xfId="773" xr:uid="{00000000-0005-0000-0000-000063060000}"/>
    <cellStyle name="Accent1 - 60% 2" xfId="774" xr:uid="{00000000-0005-0000-0000-000064060000}"/>
    <cellStyle name="Accent1 - 60% 2 2" xfId="775" xr:uid="{00000000-0005-0000-0000-000065060000}"/>
    <cellStyle name="Accent1 - 60% 20" xfId="776" xr:uid="{00000000-0005-0000-0000-000066060000}"/>
    <cellStyle name="Accent1 - 60% 21" xfId="777" xr:uid="{00000000-0005-0000-0000-000067060000}"/>
    <cellStyle name="Accent1 - 60% 22" xfId="778" xr:uid="{00000000-0005-0000-0000-000068060000}"/>
    <cellStyle name="Accent1 - 60% 23" xfId="779" xr:uid="{00000000-0005-0000-0000-000069060000}"/>
    <cellStyle name="Accent1 - 60% 24" xfId="780" xr:uid="{00000000-0005-0000-0000-00006A060000}"/>
    <cellStyle name="Accent1 - 60% 25" xfId="781" xr:uid="{00000000-0005-0000-0000-00006B060000}"/>
    <cellStyle name="Accent1 - 60% 26" xfId="782" xr:uid="{00000000-0005-0000-0000-00006C060000}"/>
    <cellStyle name="Accent1 - 60% 27" xfId="783" xr:uid="{00000000-0005-0000-0000-00006D060000}"/>
    <cellStyle name="Accent1 - 60% 28" xfId="784" xr:uid="{00000000-0005-0000-0000-00006E060000}"/>
    <cellStyle name="Accent1 - 60% 29" xfId="785" xr:uid="{00000000-0005-0000-0000-00006F060000}"/>
    <cellStyle name="Accent1 - 60% 3" xfId="786" xr:uid="{00000000-0005-0000-0000-000070060000}"/>
    <cellStyle name="Accent1 - 60% 30" xfId="787" xr:uid="{00000000-0005-0000-0000-000071060000}"/>
    <cellStyle name="Accent1 - 60% 31" xfId="788" xr:uid="{00000000-0005-0000-0000-000072060000}"/>
    <cellStyle name="Accent1 - 60% 32" xfId="789" xr:uid="{00000000-0005-0000-0000-000073060000}"/>
    <cellStyle name="Accent1 - 60% 33" xfId="790" xr:uid="{00000000-0005-0000-0000-000074060000}"/>
    <cellStyle name="Accent1 - 60% 34" xfId="791" xr:uid="{00000000-0005-0000-0000-000075060000}"/>
    <cellStyle name="Accent1 - 60% 35" xfId="792" xr:uid="{00000000-0005-0000-0000-000076060000}"/>
    <cellStyle name="Accent1 - 60% 36" xfId="793" xr:uid="{00000000-0005-0000-0000-000077060000}"/>
    <cellStyle name="Accent1 - 60% 37" xfId="794" xr:uid="{00000000-0005-0000-0000-000078060000}"/>
    <cellStyle name="Accent1 - 60% 38" xfId="795" xr:uid="{00000000-0005-0000-0000-000079060000}"/>
    <cellStyle name="Accent1 - 60% 39" xfId="796" xr:uid="{00000000-0005-0000-0000-00007A060000}"/>
    <cellStyle name="Accent1 - 60% 4" xfId="797" xr:uid="{00000000-0005-0000-0000-00007B060000}"/>
    <cellStyle name="Accent1 - 60% 40" xfId="798" xr:uid="{00000000-0005-0000-0000-00007C060000}"/>
    <cellStyle name="Accent1 - 60% 41" xfId="799" xr:uid="{00000000-0005-0000-0000-00007D060000}"/>
    <cellStyle name="Accent1 - 60% 42" xfId="800" xr:uid="{00000000-0005-0000-0000-00007E060000}"/>
    <cellStyle name="Accent1 - 60% 43" xfId="801" xr:uid="{00000000-0005-0000-0000-00007F060000}"/>
    <cellStyle name="Accent1 - 60% 44" xfId="802" xr:uid="{00000000-0005-0000-0000-000080060000}"/>
    <cellStyle name="Accent1 - 60% 45" xfId="803" xr:uid="{00000000-0005-0000-0000-000081060000}"/>
    <cellStyle name="Accent1 - 60% 46" xfId="804" xr:uid="{00000000-0005-0000-0000-000082060000}"/>
    <cellStyle name="Accent1 - 60% 5" xfId="805" xr:uid="{00000000-0005-0000-0000-000083060000}"/>
    <cellStyle name="Accent1 - 60% 6" xfId="806" xr:uid="{00000000-0005-0000-0000-000084060000}"/>
    <cellStyle name="Accent1 - 60% 7" xfId="807" xr:uid="{00000000-0005-0000-0000-000085060000}"/>
    <cellStyle name="Accent1 - 60% 8" xfId="808" xr:uid="{00000000-0005-0000-0000-000086060000}"/>
    <cellStyle name="Accent1 - 60% 9" xfId="809" xr:uid="{00000000-0005-0000-0000-000087060000}"/>
    <cellStyle name="Accent1 10" xfId="810" xr:uid="{00000000-0005-0000-0000-000088060000}"/>
    <cellStyle name="Accent1 10 2" xfId="811" xr:uid="{00000000-0005-0000-0000-000089060000}"/>
    <cellStyle name="Accent1 10 3" xfId="812" xr:uid="{00000000-0005-0000-0000-00008A060000}"/>
    <cellStyle name="Accent1 11" xfId="813" xr:uid="{00000000-0005-0000-0000-00008B060000}"/>
    <cellStyle name="Accent1 11 2" xfId="814" xr:uid="{00000000-0005-0000-0000-00008C060000}"/>
    <cellStyle name="Accent1 11 3" xfId="815" xr:uid="{00000000-0005-0000-0000-00008D060000}"/>
    <cellStyle name="Accent1 12" xfId="816" xr:uid="{00000000-0005-0000-0000-00008E060000}"/>
    <cellStyle name="Accent1 13" xfId="8876" xr:uid="{00000000-0005-0000-0000-00008F060000}"/>
    <cellStyle name="Accent1 14" xfId="8820" xr:uid="{00000000-0005-0000-0000-000090060000}"/>
    <cellStyle name="Accent1 15" xfId="8886" xr:uid="{00000000-0005-0000-0000-000091060000}"/>
    <cellStyle name="Accent1 2" xfId="817" xr:uid="{00000000-0005-0000-0000-000092060000}"/>
    <cellStyle name="Accent1 2 2" xfId="818" xr:uid="{00000000-0005-0000-0000-000093060000}"/>
    <cellStyle name="Accent1 2 2 2" xfId="819" xr:uid="{00000000-0005-0000-0000-000094060000}"/>
    <cellStyle name="Accent1 2 3" xfId="820" xr:uid="{00000000-0005-0000-0000-000095060000}"/>
    <cellStyle name="Accent1 2 3 2" xfId="821" xr:uid="{00000000-0005-0000-0000-000096060000}"/>
    <cellStyle name="Accent1 2 4" xfId="822" xr:uid="{00000000-0005-0000-0000-000097060000}"/>
    <cellStyle name="Accent1 2 4 2" xfId="823" xr:uid="{00000000-0005-0000-0000-000098060000}"/>
    <cellStyle name="Accent1 3" xfId="824" xr:uid="{00000000-0005-0000-0000-000099060000}"/>
    <cellStyle name="Accent1 3 2" xfId="825" xr:uid="{00000000-0005-0000-0000-00009A060000}"/>
    <cellStyle name="Accent1 3 2 2" xfId="826" xr:uid="{00000000-0005-0000-0000-00009B060000}"/>
    <cellStyle name="Accent1 3 3" xfId="827" xr:uid="{00000000-0005-0000-0000-00009C060000}"/>
    <cellStyle name="Accent1 3 4" xfId="828" xr:uid="{00000000-0005-0000-0000-00009D060000}"/>
    <cellStyle name="Accent1 3 5" xfId="829" xr:uid="{00000000-0005-0000-0000-00009E060000}"/>
    <cellStyle name="Accent1 4" xfId="830" xr:uid="{00000000-0005-0000-0000-00009F060000}"/>
    <cellStyle name="Accent1 4 2" xfId="831" xr:uid="{00000000-0005-0000-0000-0000A0060000}"/>
    <cellStyle name="Accent1 4 3" xfId="832" xr:uid="{00000000-0005-0000-0000-0000A1060000}"/>
    <cellStyle name="Accent1 4 4" xfId="833" xr:uid="{00000000-0005-0000-0000-0000A2060000}"/>
    <cellStyle name="Accent1 4 5" xfId="834" xr:uid="{00000000-0005-0000-0000-0000A3060000}"/>
    <cellStyle name="Accent1 5" xfId="835" xr:uid="{00000000-0005-0000-0000-0000A4060000}"/>
    <cellStyle name="Accent1 5 2" xfId="836" xr:uid="{00000000-0005-0000-0000-0000A5060000}"/>
    <cellStyle name="Accent1 5 3" xfId="837" xr:uid="{00000000-0005-0000-0000-0000A6060000}"/>
    <cellStyle name="Accent1 5 4" xfId="838" xr:uid="{00000000-0005-0000-0000-0000A7060000}"/>
    <cellStyle name="Accent1 6" xfId="839" xr:uid="{00000000-0005-0000-0000-0000A8060000}"/>
    <cellStyle name="Accent1 6 2" xfId="840" xr:uid="{00000000-0005-0000-0000-0000A9060000}"/>
    <cellStyle name="Accent1 6 3" xfId="841" xr:uid="{00000000-0005-0000-0000-0000AA060000}"/>
    <cellStyle name="Accent1 6 4" xfId="842" xr:uid="{00000000-0005-0000-0000-0000AB060000}"/>
    <cellStyle name="Accent1 7" xfId="843" xr:uid="{00000000-0005-0000-0000-0000AC060000}"/>
    <cellStyle name="Accent1 7 2" xfId="844" xr:uid="{00000000-0005-0000-0000-0000AD060000}"/>
    <cellStyle name="Accent1 7 3" xfId="845" xr:uid="{00000000-0005-0000-0000-0000AE060000}"/>
    <cellStyle name="Accent1 7 4" xfId="846" xr:uid="{00000000-0005-0000-0000-0000AF060000}"/>
    <cellStyle name="Accent1 8" xfId="847" xr:uid="{00000000-0005-0000-0000-0000B0060000}"/>
    <cellStyle name="Accent1 8 2" xfId="848" xr:uid="{00000000-0005-0000-0000-0000B1060000}"/>
    <cellStyle name="Accent1 8 3" xfId="849" xr:uid="{00000000-0005-0000-0000-0000B2060000}"/>
    <cellStyle name="Accent1 9" xfId="850" xr:uid="{00000000-0005-0000-0000-0000B3060000}"/>
    <cellStyle name="Accent1 9 2" xfId="851" xr:uid="{00000000-0005-0000-0000-0000B4060000}"/>
    <cellStyle name="Accent1 9 3" xfId="852" xr:uid="{00000000-0005-0000-0000-0000B5060000}"/>
    <cellStyle name="Accent2" xfId="8264" builtinId="33" customBuiltin="1"/>
    <cellStyle name="Accent2 - 20%" xfId="853" xr:uid="{00000000-0005-0000-0000-0000B7060000}"/>
    <cellStyle name="Accent2 - 20% 10" xfId="854" xr:uid="{00000000-0005-0000-0000-0000B8060000}"/>
    <cellStyle name="Accent2 - 20% 11" xfId="855" xr:uid="{00000000-0005-0000-0000-0000B9060000}"/>
    <cellStyle name="Accent2 - 20% 12" xfId="856" xr:uid="{00000000-0005-0000-0000-0000BA060000}"/>
    <cellStyle name="Accent2 - 20% 13" xfId="857" xr:uid="{00000000-0005-0000-0000-0000BB060000}"/>
    <cellStyle name="Accent2 - 20% 14" xfId="858" xr:uid="{00000000-0005-0000-0000-0000BC060000}"/>
    <cellStyle name="Accent2 - 20% 15" xfId="859" xr:uid="{00000000-0005-0000-0000-0000BD060000}"/>
    <cellStyle name="Accent2 - 20% 16" xfId="860" xr:uid="{00000000-0005-0000-0000-0000BE060000}"/>
    <cellStyle name="Accent2 - 20% 17" xfId="861" xr:uid="{00000000-0005-0000-0000-0000BF060000}"/>
    <cellStyle name="Accent2 - 20% 18" xfId="862" xr:uid="{00000000-0005-0000-0000-0000C0060000}"/>
    <cellStyle name="Accent2 - 20% 19" xfId="863" xr:uid="{00000000-0005-0000-0000-0000C1060000}"/>
    <cellStyle name="Accent2 - 20% 2" xfId="864" xr:uid="{00000000-0005-0000-0000-0000C2060000}"/>
    <cellStyle name="Accent2 - 20% 2 2" xfId="865" xr:uid="{00000000-0005-0000-0000-0000C3060000}"/>
    <cellStyle name="Accent2 - 20% 20" xfId="866" xr:uid="{00000000-0005-0000-0000-0000C4060000}"/>
    <cellStyle name="Accent2 - 20% 21" xfId="867" xr:uid="{00000000-0005-0000-0000-0000C5060000}"/>
    <cellStyle name="Accent2 - 20% 22" xfId="868" xr:uid="{00000000-0005-0000-0000-0000C6060000}"/>
    <cellStyle name="Accent2 - 20% 23" xfId="869" xr:uid="{00000000-0005-0000-0000-0000C7060000}"/>
    <cellStyle name="Accent2 - 20% 24" xfId="870" xr:uid="{00000000-0005-0000-0000-0000C8060000}"/>
    <cellStyle name="Accent2 - 20% 25" xfId="871" xr:uid="{00000000-0005-0000-0000-0000C9060000}"/>
    <cellStyle name="Accent2 - 20% 26" xfId="872" xr:uid="{00000000-0005-0000-0000-0000CA060000}"/>
    <cellStyle name="Accent2 - 20% 27" xfId="873" xr:uid="{00000000-0005-0000-0000-0000CB060000}"/>
    <cellStyle name="Accent2 - 20% 28" xfId="874" xr:uid="{00000000-0005-0000-0000-0000CC060000}"/>
    <cellStyle name="Accent2 - 20% 29" xfId="875" xr:uid="{00000000-0005-0000-0000-0000CD060000}"/>
    <cellStyle name="Accent2 - 20% 3" xfId="876" xr:uid="{00000000-0005-0000-0000-0000CE060000}"/>
    <cellStyle name="Accent2 - 20% 30" xfId="877" xr:uid="{00000000-0005-0000-0000-0000CF060000}"/>
    <cellStyle name="Accent2 - 20% 31" xfId="878" xr:uid="{00000000-0005-0000-0000-0000D0060000}"/>
    <cellStyle name="Accent2 - 20% 32" xfId="879" xr:uid="{00000000-0005-0000-0000-0000D1060000}"/>
    <cellStyle name="Accent2 - 20% 33" xfId="880" xr:uid="{00000000-0005-0000-0000-0000D2060000}"/>
    <cellStyle name="Accent2 - 20% 34" xfId="881" xr:uid="{00000000-0005-0000-0000-0000D3060000}"/>
    <cellStyle name="Accent2 - 20% 35" xfId="882" xr:uid="{00000000-0005-0000-0000-0000D4060000}"/>
    <cellStyle name="Accent2 - 20% 36" xfId="883" xr:uid="{00000000-0005-0000-0000-0000D5060000}"/>
    <cellStyle name="Accent2 - 20% 37" xfId="884" xr:uid="{00000000-0005-0000-0000-0000D6060000}"/>
    <cellStyle name="Accent2 - 20% 38" xfId="885" xr:uid="{00000000-0005-0000-0000-0000D7060000}"/>
    <cellStyle name="Accent2 - 20% 39" xfId="886" xr:uid="{00000000-0005-0000-0000-0000D8060000}"/>
    <cellStyle name="Accent2 - 20% 4" xfId="887" xr:uid="{00000000-0005-0000-0000-0000D9060000}"/>
    <cellStyle name="Accent2 - 20% 40" xfId="888" xr:uid="{00000000-0005-0000-0000-0000DA060000}"/>
    <cellStyle name="Accent2 - 20% 41" xfId="889" xr:uid="{00000000-0005-0000-0000-0000DB060000}"/>
    <cellStyle name="Accent2 - 20% 42" xfId="890" xr:uid="{00000000-0005-0000-0000-0000DC060000}"/>
    <cellStyle name="Accent2 - 20% 43" xfId="891" xr:uid="{00000000-0005-0000-0000-0000DD060000}"/>
    <cellStyle name="Accent2 - 20% 44" xfId="892" xr:uid="{00000000-0005-0000-0000-0000DE060000}"/>
    <cellStyle name="Accent2 - 20% 45" xfId="893" xr:uid="{00000000-0005-0000-0000-0000DF060000}"/>
    <cellStyle name="Accent2 - 20% 46" xfId="894" xr:uid="{00000000-0005-0000-0000-0000E0060000}"/>
    <cellStyle name="Accent2 - 20% 47" xfId="895" xr:uid="{00000000-0005-0000-0000-0000E1060000}"/>
    <cellStyle name="Accent2 - 20% 5" xfId="896" xr:uid="{00000000-0005-0000-0000-0000E2060000}"/>
    <cellStyle name="Accent2 - 20% 6" xfId="897" xr:uid="{00000000-0005-0000-0000-0000E3060000}"/>
    <cellStyle name="Accent2 - 20% 7" xfId="898" xr:uid="{00000000-0005-0000-0000-0000E4060000}"/>
    <cellStyle name="Accent2 - 20% 8" xfId="899" xr:uid="{00000000-0005-0000-0000-0000E5060000}"/>
    <cellStyle name="Accent2 - 20% 9" xfId="900" xr:uid="{00000000-0005-0000-0000-0000E6060000}"/>
    <cellStyle name="Accent2 - 40%" xfId="901" xr:uid="{00000000-0005-0000-0000-0000E7060000}"/>
    <cellStyle name="Accent2 - 40% 10" xfId="902" xr:uid="{00000000-0005-0000-0000-0000E8060000}"/>
    <cellStyle name="Accent2 - 40% 11" xfId="903" xr:uid="{00000000-0005-0000-0000-0000E9060000}"/>
    <cellStyle name="Accent2 - 40% 12" xfId="904" xr:uid="{00000000-0005-0000-0000-0000EA060000}"/>
    <cellStyle name="Accent2 - 40% 13" xfId="905" xr:uid="{00000000-0005-0000-0000-0000EB060000}"/>
    <cellStyle name="Accent2 - 40% 14" xfId="906" xr:uid="{00000000-0005-0000-0000-0000EC060000}"/>
    <cellStyle name="Accent2 - 40% 15" xfId="907" xr:uid="{00000000-0005-0000-0000-0000ED060000}"/>
    <cellStyle name="Accent2 - 40% 16" xfId="908" xr:uid="{00000000-0005-0000-0000-0000EE060000}"/>
    <cellStyle name="Accent2 - 40% 17" xfId="909" xr:uid="{00000000-0005-0000-0000-0000EF060000}"/>
    <cellStyle name="Accent2 - 40% 18" xfId="910" xr:uid="{00000000-0005-0000-0000-0000F0060000}"/>
    <cellStyle name="Accent2 - 40% 19" xfId="911" xr:uid="{00000000-0005-0000-0000-0000F1060000}"/>
    <cellStyle name="Accent2 - 40% 2" xfId="912" xr:uid="{00000000-0005-0000-0000-0000F2060000}"/>
    <cellStyle name="Accent2 - 40% 2 2" xfId="913" xr:uid="{00000000-0005-0000-0000-0000F3060000}"/>
    <cellStyle name="Accent2 - 40% 20" xfId="914" xr:uid="{00000000-0005-0000-0000-0000F4060000}"/>
    <cellStyle name="Accent2 - 40% 21" xfId="915" xr:uid="{00000000-0005-0000-0000-0000F5060000}"/>
    <cellStyle name="Accent2 - 40% 22" xfId="916" xr:uid="{00000000-0005-0000-0000-0000F6060000}"/>
    <cellStyle name="Accent2 - 40% 23" xfId="917" xr:uid="{00000000-0005-0000-0000-0000F7060000}"/>
    <cellStyle name="Accent2 - 40% 24" xfId="918" xr:uid="{00000000-0005-0000-0000-0000F8060000}"/>
    <cellStyle name="Accent2 - 40% 25" xfId="919" xr:uid="{00000000-0005-0000-0000-0000F9060000}"/>
    <cellStyle name="Accent2 - 40% 26" xfId="920" xr:uid="{00000000-0005-0000-0000-0000FA060000}"/>
    <cellStyle name="Accent2 - 40% 27" xfId="921" xr:uid="{00000000-0005-0000-0000-0000FB060000}"/>
    <cellStyle name="Accent2 - 40% 28" xfId="922" xr:uid="{00000000-0005-0000-0000-0000FC060000}"/>
    <cellStyle name="Accent2 - 40% 29" xfId="923" xr:uid="{00000000-0005-0000-0000-0000FD060000}"/>
    <cellStyle name="Accent2 - 40% 3" xfId="924" xr:uid="{00000000-0005-0000-0000-0000FE060000}"/>
    <cellStyle name="Accent2 - 40% 30" xfId="925" xr:uid="{00000000-0005-0000-0000-0000FF060000}"/>
    <cellStyle name="Accent2 - 40% 31" xfId="926" xr:uid="{00000000-0005-0000-0000-000000070000}"/>
    <cellStyle name="Accent2 - 40% 32" xfId="927" xr:uid="{00000000-0005-0000-0000-000001070000}"/>
    <cellStyle name="Accent2 - 40% 33" xfId="928" xr:uid="{00000000-0005-0000-0000-000002070000}"/>
    <cellStyle name="Accent2 - 40% 34" xfId="929" xr:uid="{00000000-0005-0000-0000-000003070000}"/>
    <cellStyle name="Accent2 - 40% 35" xfId="930" xr:uid="{00000000-0005-0000-0000-000004070000}"/>
    <cellStyle name="Accent2 - 40% 36" xfId="931" xr:uid="{00000000-0005-0000-0000-000005070000}"/>
    <cellStyle name="Accent2 - 40% 37" xfId="932" xr:uid="{00000000-0005-0000-0000-000006070000}"/>
    <cellStyle name="Accent2 - 40% 38" xfId="933" xr:uid="{00000000-0005-0000-0000-000007070000}"/>
    <cellStyle name="Accent2 - 40% 39" xfId="934" xr:uid="{00000000-0005-0000-0000-000008070000}"/>
    <cellStyle name="Accent2 - 40% 4" xfId="935" xr:uid="{00000000-0005-0000-0000-000009070000}"/>
    <cellStyle name="Accent2 - 40% 40" xfId="936" xr:uid="{00000000-0005-0000-0000-00000A070000}"/>
    <cellStyle name="Accent2 - 40% 41" xfId="937" xr:uid="{00000000-0005-0000-0000-00000B070000}"/>
    <cellStyle name="Accent2 - 40% 42" xfId="938" xr:uid="{00000000-0005-0000-0000-00000C070000}"/>
    <cellStyle name="Accent2 - 40% 43" xfId="939" xr:uid="{00000000-0005-0000-0000-00000D070000}"/>
    <cellStyle name="Accent2 - 40% 44" xfId="940" xr:uid="{00000000-0005-0000-0000-00000E070000}"/>
    <cellStyle name="Accent2 - 40% 45" xfId="941" xr:uid="{00000000-0005-0000-0000-00000F070000}"/>
    <cellStyle name="Accent2 - 40% 46" xfId="942" xr:uid="{00000000-0005-0000-0000-000010070000}"/>
    <cellStyle name="Accent2 - 40% 47" xfId="943" xr:uid="{00000000-0005-0000-0000-000011070000}"/>
    <cellStyle name="Accent2 - 40% 5" xfId="944" xr:uid="{00000000-0005-0000-0000-000012070000}"/>
    <cellStyle name="Accent2 - 40% 6" xfId="945" xr:uid="{00000000-0005-0000-0000-000013070000}"/>
    <cellStyle name="Accent2 - 40% 7" xfId="946" xr:uid="{00000000-0005-0000-0000-000014070000}"/>
    <cellStyle name="Accent2 - 40% 8" xfId="947" xr:uid="{00000000-0005-0000-0000-000015070000}"/>
    <cellStyle name="Accent2 - 40% 9" xfId="948" xr:uid="{00000000-0005-0000-0000-000016070000}"/>
    <cellStyle name="Accent2 - 60%" xfId="949" xr:uid="{00000000-0005-0000-0000-000017070000}"/>
    <cellStyle name="Accent2 - 60% 10" xfId="950" xr:uid="{00000000-0005-0000-0000-000018070000}"/>
    <cellStyle name="Accent2 - 60% 11" xfId="951" xr:uid="{00000000-0005-0000-0000-000019070000}"/>
    <cellStyle name="Accent2 - 60% 12" xfId="952" xr:uid="{00000000-0005-0000-0000-00001A070000}"/>
    <cellStyle name="Accent2 - 60% 13" xfId="953" xr:uid="{00000000-0005-0000-0000-00001B070000}"/>
    <cellStyle name="Accent2 - 60% 14" xfId="954" xr:uid="{00000000-0005-0000-0000-00001C070000}"/>
    <cellStyle name="Accent2 - 60% 15" xfId="955" xr:uid="{00000000-0005-0000-0000-00001D070000}"/>
    <cellStyle name="Accent2 - 60% 16" xfId="956" xr:uid="{00000000-0005-0000-0000-00001E070000}"/>
    <cellStyle name="Accent2 - 60% 17" xfId="957" xr:uid="{00000000-0005-0000-0000-00001F070000}"/>
    <cellStyle name="Accent2 - 60% 18" xfId="958" xr:uid="{00000000-0005-0000-0000-000020070000}"/>
    <cellStyle name="Accent2 - 60% 19" xfId="959" xr:uid="{00000000-0005-0000-0000-000021070000}"/>
    <cellStyle name="Accent2 - 60% 2" xfId="960" xr:uid="{00000000-0005-0000-0000-000022070000}"/>
    <cellStyle name="Accent2 - 60% 2 2" xfId="961" xr:uid="{00000000-0005-0000-0000-000023070000}"/>
    <cellStyle name="Accent2 - 60% 20" xfId="962" xr:uid="{00000000-0005-0000-0000-000024070000}"/>
    <cellStyle name="Accent2 - 60% 21" xfId="963" xr:uid="{00000000-0005-0000-0000-000025070000}"/>
    <cellStyle name="Accent2 - 60% 22" xfId="964" xr:uid="{00000000-0005-0000-0000-000026070000}"/>
    <cellStyle name="Accent2 - 60% 23" xfId="965" xr:uid="{00000000-0005-0000-0000-000027070000}"/>
    <cellStyle name="Accent2 - 60% 24" xfId="966" xr:uid="{00000000-0005-0000-0000-000028070000}"/>
    <cellStyle name="Accent2 - 60% 25" xfId="967" xr:uid="{00000000-0005-0000-0000-000029070000}"/>
    <cellStyle name="Accent2 - 60% 26" xfId="968" xr:uid="{00000000-0005-0000-0000-00002A070000}"/>
    <cellStyle name="Accent2 - 60% 27" xfId="969" xr:uid="{00000000-0005-0000-0000-00002B070000}"/>
    <cellStyle name="Accent2 - 60% 28" xfId="970" xr:uid="{00000000-0005-0000-0000-00002C070000}"/>
    <cellStyle name="Accent2 - 60% 29" xfId="971" xr:uid="{00000000-0005-0000-0000-00002D070000}"/>
    <cellStyle name="Accent2 - 60% 3" xfId="972" xr:uid="{00000000-0005-0000-0000-00002E070000}"/>
    <cellStyle name="Accent2 - 60% 30" xfId="973" xr:uid="{00000000-0005-0000-0000-00002F070000}"/>
    <cellStyle name="Accent2 - 60% 31" xfId="974" xr:uid="{00000000-0005-0000-0000-000030070000}"/>
    <cellStyle name="Accent2 - 60% 32" xfId="975" xr:uid="{00000000-0005-0000-0000-000031070000}"/>
    <cellStyle name="Accent2 - 60% 33" xfId="976" xr:uid="{00000000-0005-0000-0000-000032070000}"/>
    <cellStyle name="Accent2 - 60% 34" xfId="977" xr:uid="{00000000-0005-0000-0000-000033070000}"/>
    <cellStyle name="Accent2 - 60% 35" xfId="978" xr:uid="{00000000-0005-0000-0000-000034070000}"/>
    <cellStyle name="Accent2 - 60% 36" xfId="979" xr:uid="{00000000-0005-0000-0000-000035070000}"/>
    <cellStyle name="Accent2 - 60% 37" xfId="980" xr:uid="{00000000-0005-0000-0000-000036070000}"/>
    <cellStyle name="Accent2 - 60% 38" xfId="981" xr:uid="{00000000-0005-0000-0000-000037070000}"/>
    <cellStyle name="Accent2 - 60% 39" xfId="982" xr:uid="{00000000-0005-0000-0000-000038070000}"/>
    <cellStyle name="Accent2 - 60% 4" xfId="983" xr:uid="{00000000-0005-0000-0000-000039070000}"/>
    <cellStyle name="Accent2 - 60% 40" xfId="984" xr:uid="{00000000-0005-0000-0000-00003A070000}"/>
    <cellStyle name="Accent2 - 60% 41" xfId="985" xr:uid="{00000000-0005-0000-0000-00003B070000}"/>
    <cellStyle name="Accent2 - 60% 42" xfId="986" xr:uid="{00000000-0005-0000-0000-00003C070000}"/>
    <cellStyle name="Accent2 - 60% 43" xfId="987" xr:uid="{00000000-0005-0000-0000-00003D070000}"/>
    <cellStyle name="Accent2 - 60% 44" xfId="988" xr:uid="{00000000-0005-0000-0000-00003E070000}"/>
    <cellStyle name="Accent2 - 60% 45" xfId="989" xr:uid="{00000000-0005-0000-0000-00003F070000}"/>
    <cellStyle name="Accent2 - 60% 46" xfId="990" xr:uid="{00000000-0005-0000-0000-000040070000}"/>
    <cellStyle name="Accent2 - 60% 5" xfId="991" xr:uid="{00000000-0005-0000-0000-000041070000}"/>
    <cellStyle name="Accent2 - 60% 6" xfId="992" xr:uid="{00000000-0005-0000-0000-000042070000}"/>
    <cellStyle name="Accent2 - 60% 7" xfId="993" xr:uid="{00000000-0005-0000-0000-000043070000}"/>
    <cellStyle name="Accent2 - 60% 8" xfId="994" xr:uid="{00000000-0005-0000-0000-000044070000}"/>
    <cellStyle name="Accent2 - 60% 9" xfId="995" xr:uid="{00000000-0005-0000-0000-000045070000}"/>
    <cellStyle name="Accent2 10" xfId="996" xr:uid="{00000000-0005-0000-0000-000046070000}"/>
    <cellStyle name="Accent2 10 2" xfId="997" xr:uid="{00000000-0005-0000-0000-000047070000}"/>
    <cellStyle name="Accent2 10 3" xfId="998" xr:uid="{00000000-0005-0000-0000-000048070000}"/>
    <cellStyle name="Accent2 10 4" xfId="999" xr:uid="{00000000-0005-0000-0000-000049070000}"/>
    <cellStyle name="Accent2 10 5" xfId="1000" xr:uid="{00000000-0005-0000-0000-00004A070000}"/>
    <cellStyle name="Accent2 10 6" xfId="1001" xr:uid="{00000000-0005-0000-0000-00004B070000}"/>
    <cellStyle name="Accent2 10 7" xfId="1002" xr:uid="{00000000-0005-0000-0000-00004C070000}"/>
    <cellStyle name="Accent2 10 8" xfId="1003" xr:uid="{00000000-0005-0000-0000-00004D070000}"/>
    <cellStyle name="Accent2 11" xfId="1004" xr:uid="{00000000-0005-0000-0000-00004E070000}"/>
    <cellStyle name="Accent2 11 2" xfId="1005" xr:uid="{00000000-0005-0000-0000-00004F070000}"/>
    <cellStyle name="Accent2 11 3" xfId="1006" xr:uid="{00000000-0005-0000-0000-000050070000}"/>
    <cellStyle name="Accent2 11 4" xfId="1007" xr:uid="{00000000-0005-0000-0000-000051070000}"/>
    <cellStyle name="Accent2 11 5" xfId="1008" xr:uid="{00000000-0005-0000-0000-000052070000}"/>
    <cellStyle name="Accent2 11 6" xfId="1009" xr:uid="{00000000-0005-0000-0000-000053070000}"/>
    <cellStyle name="Accent2 11 7" xfId="1010" xr:uid="{00000000-0005-0000-0000-000054070000}"/>
    <cellStyle name="Accent2 11 8" xfId="1011" xr:uid="{00000000-0005-0000-0000-000055070000}"/>
    <cellStyle name="Accent2 12" xfId="1012" xr:uid="{00000000-0005-0000-0000-000056070000}"/>
    <cellStyle name="Accent2 13" xfId="8745" xr:uid="{00000000-0005-0000-0000-000057070000}"/>
    <cellStyle name="Accent2 14" xfId="8821" xr:uid="{00000000-0005-0000-0000-000058070000}"/>
    <cellStyle name="Accent2 15" xfId="8888" xr:uid="{00000000-0005-0000-0000-000059070000}"/>
    <cellStyle name="Accent2 2" xfId="1013" xr:uid="{00000000-0005-0000-0000-00005A070000}"/>
    <cellStyle name="Accent2 2 2" xfId="1014" xr:uid="{00000000-0005-0000-0000-00005B070000}"/>
    <cellStyle name="Accent2 2 2 2" xfId="1015" xr:uid="{00000000-0005-0000-0000-00005C070000}"/>
    <cellStyle name="Accent2 2 3" xfId="1016" xr:uid="{00000000-0005-0000-0000-00005D070000}"/>
    <cellStyle name="Accent2 2 3 2" xfId="1017" xr:uid="{00000000-0005-0000-0000-00005E070000}"/>
    <cellStyle name="Accent2 2 4" xfId="1018" xr:uid="{00000000-0005-0000-0000-00005F070000}"/>
    <cellStyle name="Accent2 2 4 2" xfId="1019" xr:uid="{00000000-0005-0000-0000-000060070000}"/>
    <cellStyle name="Accent2 2 5" xfId="8813" xr:uid="{00000000-0005-0000-0000-000061070000}"/>
    <cellStyle name="Accent2 3" xfId="1020" xr:uid="{00000000-0005-0000-0000-000062070000}"/>
    <cellStyle name="Accent2 3 2" xfId="1021" xr:uid="{00000000-0005-0000-0000-000063070000}"/>
    <cellStyle name="Accent2 3 2 2" xfId="1022" xr:uid="{00000000-0005-0000-0000-000064070000}"/>
    <cellStyle name="Accent2 3 3" xfId="1023" xr:uid="{00000000-0005-0000-0000-000065070000}"/>
    <cellStyle name="Accent2 3 4" xfId="1024" xr:uid="{00000000-0005-0000-0000-000066070000}"/>
    <cellStyle name="Accent2 3 5" xfId="1025" xr:uid="{00000000-0005-0000-0000-000067070000}"/>
    <cellStyle name="Accent2 4" xfId="1026" xr:uid="{00000000-0005-0000-0000-000068070000}"/>
    <cellStyle name="Accent2 4 2" xfId="1027" xr:uid="{00000000-0005-0000-0000-000069070000}"/>
    <cellStyle name="Accent2 4 3" xfId="1028" xr:uid="{00000000-0005-0000-0000-00006A070000}"/>
    <cellStyle name="Accent2 4 4" xfId="1029" xr:uid="{00000000-0005-0000-0000-00006B070000}"/>
    <cellStyle name="Accent2 4 5" xfId="1030" xr:uid="{00000000-0005-0000-0000-00006C070000}"/>
    <cellStyle name="Accent2 5" xfId="1031" xr:uid="{00000000-0005-0000-0000-00006D070000}"/>
    <cellStyle name="Accent2 5 2" xfId="1032" xr:uid="{00000000-0005-0000-0000-00006E070000}"/>
    <cellStyle name="Accent2 5 3" xfId="1033" xr:uid="{00000000-0005-0000-0000-00006F070000}"/>
    <cellStyle name="Accent2 5 4" xfId="1034" xr:uid="{00000000-0005-0000-0000-000070070000}"/>
    <cellStyle name="Accent2 6" xfId="1035" xr:uid="{00000000-0005-0000-0000-000071070000}"/>
    <cellStyle name="Accent2 6 2" xfId="1036" xr:uid="{00000000-0005-0000-0000-000072070000}"/>
    <cellStyle name="Accent2 6 3" xfId="1037" xr:uid="{00000000-0005-0000-0000-000073070000}"/>
    <cellStyle name="Accent2 6 4" xfId="1038" xr:uid="{00000000-0005-0000-0000-000074070000}"/>
    <cellStyle name="Accent2 7" xfId="1039" xr:uid="{00000000-0005-0000-0000-000075070000}"/>
    <cellStyle name="Accent2 7 2" xfId="1040" xr:uid="{00000000-0005-0000-0000-000076070000}"/>
    <cellStyle name="Accent2 7 3" xfId="1041" xr:uid="{00000000-0005-0000-0000-000077070000}"/>
    <cellStyle name="Accent2 7 4" xfId="1042" xr:uid="{00000000-0005-0000-0000-000078070000}"/>
    <cellStyle name="Accent2 8" xfId="1043" xr:uid="{00000000-0005-0000-0000-000079070000}"/>
    <cellStyle name="Accent2 8 2" xfId="1044" xr:uid="{00000000-0005-0000-0000-00007A070000}"/>
    <cellStyle name="Accent2 8 3" xfId="1045" xr:uid="{00000000-0005-0000-0000-00007B070000}"/>
    <cellStyle name="Accent2 9" xfId="1046" xr:uid="{00000000-0005-0000-0000-00007C070000}"/>
    <cellStyle name="Accent2 9 2" xfId="1047" xr:uid="{00000000-0005-0000-0000-00007D070000}"/>
    <cellStyle name="Accent2 9 3" xfId="1048" xr:uid="{00000000-0005-0000-0000-00007E070000}"/>
    <cellStyle name="Accent2 9 4" xfId="1049" xr:uid="{00000000-0005-0000-0000-00007F070000}"/>
    <cellStyle name="Accent2 9 5" xfId="1050" xr:uid="{00000000-0005-0000-0000-000080070000}"/>
    <cellStyle name="Accent2 9 6" xfId="1051" xr:uid="{00000000-0005-0000-0000-000081070000}"/>
    <cellStyle name="Accent2 9 7" xfId="1052" xr:uid="{00000000-0005-0000-0000-000082070000}"/>
    <cellStyle name="Accent2 9 8" xfId="1053" xr:uid="{00000000-0005-0000-0000-000083070000}"/>
    <cellStyle name="Accent3" xfId="8268" builtinId="37" customBuiltin="1"/>
    <cellStyle name="Accent3 - 20%" xfId="1054" xr:uid="{00000000-0005-0000-0000-000085070000}"/>
    <cellStyle name="Accent3 - 20% 10" xfId="1055" xr:uid="{00000000-0005-0000-0000-000086070000}"/>
    <cellStyle name="Accent3 - 20% 11" xfId="1056" xr:uid="{00000000-0005-0000-0000-000087070000}"/>
    <cellStyle name="Accent3 - 20% 12" xfId="1057" xr:uid="{00000000-0005-0000-0000-000088070000}"/>
    <cellStyle name="Accent3 - 20% 13" xfId="1058" xr:uid="{00000000-0005-0000-0000-000089070000}"/>
    <cellStyle name="Accent3 - 20% 14" xfId="1059" xr:uid="{00000000-0005-0000-0000-00008A070000}"/>
    <cellStyle name="Accent3 - 20% 15" xfId="1060" xr:uid="{00000000-0005-0000-0000-00008B070000}"/>
    <cellStyle name="Accent3 - 20% 16" xfId="1061" xr:uid="{00000000-0005-0000-0000-00008C070000}"/>
    <cellStyle name="Accent3 - 20% 17" xfId="1062" xr:uid="{00000000-0005-0000-0000-00008D070000}"/>
    <cellStyle name="Accent3 - 20% 18" xfId="1063" xr:uid="{00000000-0005-0000-0000-00008E070000}"/>
    <cellStyle name="Accent3 - 20% 19" xfId="1064" xr:uid="{00000000-0005-0000-0000-00008F070000}"/>
    <cellStyle name="Accent3 - 20% 2" xfId="1065" xr:uid="{00000000-0005-0000-0000-000090070000}"/>
    <cellStyle name="Accent3 - 20% 2 2" xfId="1066" xr:uid="{00000000-0005-0000-0000-000091070000}"/>
    <cellStyle name="Accent3 - 20% 20" xfId="1067" xr:uid="{00000000-0005-0000-0000-000092070000}"/>
    <cellStyle name="Accent3 - 20% 21" xfId="1068" xr:uid="{00000000-0005-0000-0000-000093070000}"/>
    <cellStyle name="Accent3 - 20% 22" xfId="1069" xr:uid="{00000000-0005-0000-0000-000094070000}"/>
    <cellStyle name="Accent3 - 20% 23" xfId="1070" xr:uid="{00000000-0005-0000-0000-000095070000}"/>
    <cellStyle name="Accent3 - 20% 24" xfId="1071" xr:uid="{00000000-0005-0000-0000-000096070000}"/>
    <cellStyle name="Accent3 - 20% 25" xfId="1072" xr:uid="{00000000-0005-0000-0000-000097070000}"/>
    <cellStyle name="Accent3 - 20% 26" xfId="1073" xr:uid="{00000000-0005-0000-0000-000098070000}"/>
    <cellStyle name="Accent3 - 20% 27" xfId="1074" xr:uid="{00000000-0005-0000-0000-000099070000}"/>
    <cellStyle name="Accent3 - 20% 28" xfId="1075" xr:uid="{00000000-0005-0000-0000-00009A070000}"/>
    <cellStyle name="Accent3 - 20% 29" xfId="1076" xr:uid="{00000000-0005-0000-0000-00009B070000}"/>
    <cellStyle name="Accent3 - 20% 3" xfId="1077" xr:uid="{00000000-0005-0000-0000-00009C070000}"/>
    <cellStyle name="Accent3 - 20% 30" xfId="1078" xr:uid="{00000000-0005-0000-0000-00009D070000}"/>
    <cellStyle name="Accent3 - 20% 31" xfId="1079" xr:uid="{00000000-0005-0000-0000-00009E070000}"/>
    <cellStyle name="Accent3 - 20% 32" xfId="1080" xr:uid="{00000000-0005-0000-0000-00009F070000}"/>
    <cellStyle name="Accent3 - 20% 33" xfId="1081" xr:uid="{00000000-0005-0000-0000-0000A0070000}"/>
    <cellStyle name="Accent3 - 20% 34" xfId="1082" xr:uid="{00000000-0005-0000-0000-0000A1070000}"/>
    <cellStyle name="Accent3 - 20% 35" xfId="1083" xr:uid="{00000000-0005-0000-0000-0000A2070000}"/>
    <cellStyle name="Accent3 - 20% 36" xfId="1084" xr:uid="{00000000-0005-0000-0000-0000A3070000}"/>
    <cellStyle name="Accent3 - 20% 37" xfId="1085" xr:uid="{00000000-0005-0000-0000-0000A4070000}"/>
    <cellStyle name="Accent3 - 20% 38" xfId="1086" xr:uid="{00000000-0005-0000-0000-0000A5070000}"/>
    <cellStyle name="Accent3 - 20% 39" xfId="1087" xr:uid="{00000000-0005-0000-0000-0000A6070000}"/>
    <cellStyle name="Accent3 - 20% 4" xfId="1088" xr:uid="{00000000-0005-0000-0000-0000A7070000}"/>
    <cellStyle name="Accent3 - 20% 40" xfId="1089" xr:uid="{00000000-0005-0000-0000-0000A8070000}"/>
    <cellStyle name="Accent3 - 20% 41" xfId="1090" xr:uid="{00000000-0005-0000-0000-0000A9070000}"/>
    <cellStyle name="Accent3 - 20% 42" xfId="1091" xr:uid="{00000000-0005-0000-0000-0000AA070000}"/>
    <cellStyle name="Accent3 - 20% 43" xfId="1092" xr:uid="{00000000-0005-0000-0000-0000AB070000}"/>
    <cellStyle name="Accent3 - 20% 44" xfId="1093" xr:uid="{00000000-0005-0000-0000-0000AC070000}"/>
    <cellStyle name="Accent3 - 20% 45" xfId="1094" xr:uid="{00000000-0005-0000-0000-0000AD070000}"/>
    <cellStyle name="Accent3 - 20% 46" xfId="1095" xr:uid="{00000000-0005-0000-0000-0000AE070000}"/>
    <cellStyle name="Accent3 - 20% 47" xfId="1096" xr:uid="{00000000-0005-0000-0000-0000AF070000}"/>
    <cellStyle name="Accent3 - 20% 5" xfId="1097" xr:uid="{00000000-0005-0000-0000-0000B0070000}"/>
    <cellStyle name="Accent3 - 20% 6" xfId="1098" xr:uid="{00000000-0005-0000-0000-0000B1070000}"/>
    <cellStyle name="Accent3 - 20% 7" xfId="1099" xr:uid="{00000000-0005-0000-0000-0000B2070000}"/>
    <cellStyle name="Accent3 - 20% 8" xfId="1100" xr:uid="{00000000-0005-0000-0000-0000B3070000}"/>
    <cellStyle name="Accent3 - 20% 9" xfId="1101" xr:uid="{00000000-0005-0000-0000-0000B4070000}"/>
    <cellStyle name="Accent3 - 40%" xfId="1102" xr:uid="{00000000-0005-0000-0000-0000B5070000}"/>
    <cellStyle name="Accent3 - 40% 10" xfId="1103" xr:uid="{00000000-0005-0000-0000-0000B6070000}"/>
    <cellStyle name="Accent3 - 40% 11" xfId="1104" xr:uid="{00000000-0005-0000-0000-0000B7070000}"/>
    <cellStyle name="Accent3 - 40% 12" xfId="1105" xr:uid="{00000000-0005-0000-0000-0000B8070000}"/>
    <cellStyle name="Accent3 - 40% 13" xfId="1106" xr:uid="{00000000-0005-0000-0000-0000B9070000}"/>
    <cellStyle name="Accent3 - 40% 14" xfId="1107" xr:uid="{00000000-0005-0000-0000-0000BA070000}"/>
    <cellStyle name="Accent3 - 40% 15" xfId="1108" xr:uid="{00000000-0005-0000-0000-0000BB070000}"/>
    <cellStyle name="Accent3 - 40% 16" xfId="1109" xr:uid="{00000000-0005-0000-0000-0000BC070000}"/>
    <cellStyle name="Accent3 - 40% 17" xfId="1110" xr:uid="{00000000-0005-0000-0000-0000BD070000}"/>
    <cellStyle name="Accent3 - 40% 18" xfId="1111" xr:uid="{00000000-0005-0000-0000-0000BE070000}"/>
    <cellStyle name="Accent3 - 40% 19" xfId="1112" xr:uid="{00000000-0005-0000-0000-0000BF070000}"/>
    <cellStyle name="Accent3 - 40% 2" xfId="1113" xr:uid="{00000000-0005-0000-0000-0000C0070000}"/>
    <cellStyle name="Accent3 - 40% 2 2" xfId="1114" xr:uid="{00000000-0005-0000-0000-0000C1070000}"/>
    <cellStyle name="Accent3 - 40% 20" xfId="1115" xr:uid="{00000000-0005-0000-0000-0000C2070000}"/>
    <cellStyle name="Accent3 - 40% 21" xfId="1116" xr:uid="{00000000-0005-0000-0000-0000C3070000}"/>
    <cellStyle name="Accent3 - 40% 22" xfId="1117" xr:uid="{00000000-0005-0000-0000-0000C4070000}"/>
    <cellStyle name="Accent3 - 40% 23" xfId="1118" xr:uid="{00000000-0005-0000-0000-0000C5070000}"/>
    <cellStyle name="Accent3 - 40% 24" xfId="1119" xr:uid="{00000000-0005-0000-0000-0000C6070000}"/>
    <cellStyle name="Accent3 - 40% 25" xfId="1120" xr:uid="{00000000-0005-0000-0000-0000C7070000}"/>
    <cellStyle name="Accent3 - 40% 26" xfId="1121" xr:uid="{00000000-0005-0000-0000-0000C8070000}"/>
    <cellStyle name="Accent3 - 40% 27" xfId="1122" xr:uid="{00000000-0005-0000-0000-0000C9070000}"/>
    <cellStyle name="Accent3 - 40% 28" xfId="1123" xr:uid="{00000000-0005-0000-0000-0000CA070000}"/>
    <cellStyle name="Accent3 - 40% 29" xfId="1124" xr:uid="{00000000-0005-0000-0000-0000CB070000}"/>
    <cellStyle name="Accent3 - 40% 3" xfId="1125" xr:uid="{00000000-0005-0000-0000-0000CC070000}"/>
    <cellStyle name="Accent3 - 40% 30" xfId="1126" xr:uid="{00000000-0005-0000-0000-0000CD070000}"/>
    <cellStyle name="Accent3 - 40% 31" xfId="1127" xr:uid="{00000000-0005-0000-0000-0000CE070000}"/>
    <cellStyle name="Accent3 - 40% 32" xfId="1128" xr:uid="{00000000-0005-0000-0000-0000CF070000}"/>
    <cellStyle name="Accent3 - 40% 33" xfId="1129" xr:uid="{00000000-0005-0000-0000-0000D0070000}"/>
    <cellStyle name="Accent3 - 40% 34" xfId="1130" xr:uid="{00000000-0005-0000-0000-0000D1070000}"/>
    <cellStyle name="Accent3 - 40% 35" xfId="1131" xr:uid="{00000000-0005-0000-0000-0000D2070000}"/>
    <cellStyle name="Accent3 - 40% 36" xfId="1132" xr:uid="{00000000-0005-0000-0000-0000D3070000}"/>
    <cellStyle name="Accent3 - 40% 37" xfId="1133" xr:uid="{00000000-0005-0000-0000-0000D4070000}"/>
    <cellStyle name="Accent3 - 40% 38" xfId="1134" xr:uid="{00000000-0005-0000-0000-0000D5070000}"/>
    <cellStyle name="Accent3 - 40% 39" xfId="1135" xr:uid="{00000000-0005-0000-0000-0000D6070000}"/>
    <cellStyle name="Accent3 - 40% 4" xfId="1136" xr:uid="{00000000-0005-0000-0000-0000D7070000}"/>
    <cellStyle name="Accent3 - 40% 40" xfId="1137" xr:uid="{00000000-0005-0000-0000-0000D8070000}"/>
    <cellStyle name="Accent3 - 40% 41" xfId="1138" xr:uid="{00000000-0005-0000-0000-0000D9070000}"/>
    <cellStyle name="Accent3 - 40% 42" xfId="1139" xr:uid="{00000000-0005-0000-0000-0000DA070000}"/>
    <cellStyle name="Accent3 - 40% 43" xfId="1140" xr:uid="{00000000-0005-0000-0000-0000DB070000}"/>
    <cellStyle name="Accent3 - 40% 44" xfId="1141" xr:uid="{00000000-0005-0000-0000-0000DC070000}"/>
    <cellStyle name="Accent3 - 40% 45" xfId="1142" xr:uid="{00000000-0005-0000-0000-0000DD070000}"/>
    <cellStyle name="Accent3 - 40% 46" xfId="1143" xr:uid="{00000000-0005-0000-0000-0000DE070000}"/>
    <cellStyle name="Accent3 - 40% 47" xfId="1144" xr:uid="{00000000-0005-0000-0000-0000DF070000}"/>
    <cellStyle name="Accent3 - 40% 5" xfId="1145" xr:uid="{00000000-0005-0000-0000-0000E0070000}"/>
    <cellStyle name="Accent3 - 40% 6" xfId="1146" xr:uid="{00000000-0005-0000-0000-0000E1070000}"/>
    <cellStyle name="Accent3 - 40% 7" xfId="1147" xr:uid="{00000000-0005-0000-0000-0000E2070000}"/>
    <cellStyle name="Accent3 - 40% 8" xfId="1148" xr:uid="{00000000-0005-0000-0000-0000E3070000}"/>
    <cellStyle name="Accent3 - 40% 9" xfId="1149" xr:uid="{00000000-0005-0000-0000-0000E4070000}"/>
    <cellStyle name="Accent3 - 60%" xfId="1150" xr:uid="{00000000-0005-0000-0000-0000E5070000}"/>
    <cellStyle name="Accent3 - 60% 10" xfId="1151" xr:uid="{00000000-0005-0000-0000-0000E6070000}"/>
    <cellStyle name="Accent3 - 60% 11" xfId="1152" xr:uid="{00000000-0005-0000-0000-0000E7070000}"/>
    <cellStyle name="Accent3 - 60% 12" xfId="1153" xr:uid="{00000000-0005-0000-0000-0000E8070000}"/>
    <cellStyle name="Accent3 - 60% 13" xfId="1154" xr:uid="{00000000-0005-0000-0000-0000E9070000}"/>
    <cellStyle name="Accent3 - 60% 14" xfId="1155" xr:uid="{00000000-0005-0000-0000-0000EA070000}"/>
    <cellStyle name="Accent3 - 60% 15" xfId="1156" xr:uid="{00000000-0005-0000-0000-0000EB070000}"/>
    <cellStyle name="Accent3 - 60% 16" xfId="1157" xr:uid="{00000000-0005-0000-0000-0000EC070000}"/>
    <cellStyle name="Accent3 - 60% 17" xfId="1158" xr:uid="{00000000-0005-0000-0000-0000ED070000}"/>
    <cellStyle name="Accent3 - 60% 18" xfId="1159" xr:uid="{00000000-0005-0000-0000-0000EE070000}"/>
    <cellStyle name="Accent3 - 60% 19" xfId="1160" xr:uid="{00000000-0005-0000-0000-0000EF070000}"/>
    <cellStyle name="Accent3 - 60% 2" xfId="1161" xr:uid="{00000000-0005-0000-0000-0000F0070000}"/>
    <cellStyle name="Accent3 - 60% 2 2" xfId="1162" xr:uid="{00000000-0005-0000-0000-0000F1070000}"/>
    <cellStyle name="Accent3 - 60% 20" xfId="1163" xr:uid="{00000000-0005-0000-0000-0000F2070000}"/>
    <cellStyle name="Accent3 - 60% 21" xfId="1164" xr:uid="{00000000-0005-0000-0000-0000F3070000}"/>
    <cellStyle name="Accent3 - 60% 22" xfId="1165" xr:uid="{00000000-0005-0000-0000-0000F4070000}"/>
    <cellStyle name="Accent3 - 60% 23" xfId="1166" xr:uid="{00000000-0005-0000-0000-0000F5070000}"/>
    <cellStyle name="Accent3 - 60% 24" xfId="1167" xr:uid="{00000000-0005-0000-0000-0000F6070000}"/>
    <cellStyle name="Accent3 - 60% 25" xfId="1168" xr:uid="{00000000-0005-0000-0000-0000F7070000}"/>
    <cellStyle name="Accent3 - 60% 26" xfId="1169" xr:uid="{00000000-0005-0000-0000-0000F8070000}"/>
    <cellStyle name="Accent3 - 60% 27" xfId="1170" xr:uid="{00000000-0005-0000-0000-0000F9070000}"/>
    <cellStyle name="Accent3 - 60% 28" xfId="1171" xr:uid="{00000000-0005-0000-0000-0000FA070000}"/>
    <cellStyle name="Accent3 - 60% 29" xfId="1172" xr:uid="{00000000-0005-0000-0000-0000FB070000}"/>
    <cellStyle name="Accent3 - 60% 3" xfId="1173" xr:uid="{00000000-0005-0000-0000-0000FC070000}"/>
    <cellStyle name="Accent3 - 60% 30" xfId="1174" xr:uid="{00000000-0005-0000-0000-0000FD070000}"/>
    <cellStyle name="Accent3 - 60% 31" xfId="1175" xr:uid="{00000000-0005-0000-0000-0000FE070000}"/>
    <cellStyle name="Accent3 - 60% 32" xfId="1176" xr:uid="{00000000-0005-0000-0000-0000FF070000}"/>
    <cellStyle name="Accent3 - 60% 33" xfId="1177" xr:uid="{00000000-0005-0000-0000-000000080000}"/>
    <cellStyle name="Accent3 - 60% 34" xfId="1178" xr:uid="{00000000-0005-0000-0000-000001080000}"/>
    <cellStyle name="Accent3 - 60% 35" xfId="1179" xr:uid="{00000000-0005-0000-0000-000002080000}"/>
    <cellStyle name="Accent3 - 60% 36" xfId="1180" xr:uid="{00000000-0005-0000-0000-000003080000}"/>
    <cellStyle name="Accent3 - 60% 37" xfId="1181" xr:uid="{00000000-0005-0000-0000-000004080000}"/>
    <cellStyle name="Accent3 - 60% 38" xfId="1182" xr:uid="{00000000-0005-0000-0000-000005080000}"/>
    <cellStyle name="Accent3 - 60% 39" xfId="1183" xr:uid="{00000000-0005-0000-0000-000006080000}"/>
    <cellStyle name="Accent3 - 60% 4" xfId="1184" xr:uid="{00000000-0005-0000-0000-000007080000}"/>
    <cellStyle name="Accent3 - 60% 40" xfId="1185" xr:uid="{00000000-0005-0000-0000-000008080000}"/>
    <cellStyle name="Accent3 - 60% 41" xfId="1186" xr:uid="{00000000-0005-0000-0000-000009080000}"/>
    <cellStyle name="Accent3 - 60% 42" xfId="1187" xr:uid="{00000000-0005-0000-0000-00000A080000}"/>
    <cellStyle name="Accent3 - 60% 43" xfId="1188" xr:uid="{00000000-0005-0000-0000-00000B080000}"/>
    <cellStyle name="Accent3 - 60% 44" xfId="1189" xr:uid="{00000000-0005-0000-0000-00000C080000}"/>
    <cellStyle name="Accent3 - 60% 45" xfId="1190" xr:uid="{00000000-0005-0000-0000-00000D080000}"/>
    <cellStyle name="Accent3 - 60% 46" xfId="1191" xr:uid="{00000000-0005-0000-0000-00000E080000}"/>
    <cellStyle name="Accent3 - 60% 5" xfId="1192" xr:uid="{00000000-0005-0000-0000-00000F080000}"/>
    <cellStyle name="Accent3 - 60% 6" xfId="1193" xr:uid="{00000000-0005-0000-0000-000010080000}"/>
    <cellStyle name="Accent3 - 60% 7" xfId="1194" xr:uid="{00000000-0005-0000-0000-000011080000}"/>
    <cellStyle name="Accent3 - 60% 8" xfId="1195" xr:uid="{00000000-0005-0000-0000-000012080000}"/>
    <cellStyle name="Accent3 - 60% 9" xfId="1196" xr:uid="{00000000-0005-0000-0000-000013080000}"/>
    <cellStyle name="Accent3 10" xfId="1197" xr:uid="{00000000-0005-0000-0000-000014080000}"/>
    <cellStyle name="Accent3 10 2" xfId="1198" xr:uid="{00000000-0005-0000-0000-000015080000}"/>
    <cellStyle name="Accent3 10 3" xfId="1199" xr:uid="{00000000-0005-0000-0000-000016080000}"/>
    <cellStyle name="Accent3 10 4" xfId="1200" xr:uid="{00000000-0005-0000-0000-000017080000}"/>
    <cellStyle name="Accent3 11" xfId="1201" xr:uid="{00000000-0005-0000-0000-000018080000}"/>
    <cellStyle name="Accent3 11 2" xfId="1202" xr:uid="{00000000-0005-0000-0000-000019080000}"/>
    <cellStyle name="Accent3 11 3" xfId="1203" xr:uid="{00000000-0005-0000-0000-00001A080000}"/>
    <cellStyle name="Accent3 11 4" xfId="1204" xr:uid="{00000000-0005-0000-0000-00001B080000}"/>
    <cellStyle name="Accent3 12" xfId="1205" xr:uid="{00000000-0005-0000-0000-00001C080000}"/>
    <cellStyle name="Accent3 12 2" xfId="1206" xr:uid="{00000000-0005-0000-0000-00001D080000}"/>
    <cellStyle name="Accent3 13" xfId="1207" xr:uid="{00000000-0005-0000-0000-00001E080000}"/>
    <cellStyle name="Accent3 14" xfId="1208" xr:uid="{00000000-0005-0000-0000-00001F080000}"/>
    <cellStyle name="Accent3 15" xfId="1209" xr:uid="{00000000-0005-0000-0000-000020080000}"/>
    <cellStyle name="Accent3 16" xfId="1210" xr:uid="{00000000-0005-0000-0000-000021080000}"/>
    <cellStyle name="Accent3 17" xfId="1211" xr:uid="{00000000-0005-0000-0000-000022080000}"/>
    <cellStyle name="Accent3 18" xfId="1212" xr:uid="{00000000-0005-0000-0000-000023080000}"/>
    <cellStyle name="Accent3 19" xfId="1213" xr:uid="{00000000-0005-0000-0000-000024080000}"/>
    <cellStyle name="Accent3 2" xfId="1214" xr:uid="{00000000-0005-0000-0000-000025080000}"/>
    <cellStyle name="Accent3 2 2" xfId="1215" xr:uid="{00000000-0005-0000-0000-000026080000}"/>
    <cellStyle name="Accent3 2 2 2" xfId="1216" xr:uid="{00000000-0005-0000-0000-000027080000}"/>
    <cellStyle name="Accent3 2 3" xfId="1217" xr:uid="{00000000-0005-0000-0000-000028080000}"/>
    <cellStyle name="Accent3 2 3 2" xfId="1218" xr:uid="{00000000-0005-0000-0000-000029080000}"/>
    <cellStyle name="Accent3 2 4" xfId="1219" xr:uid="{00000000-0005-0000-0000-00002A080000}"/>
    <cellStyle name="Accent3 2 4 2" xfId="1220" xr:uid="{00000000-0005-0000-0000-00002B080000}"/>
    <cellStyle name="Accent3 2 5" xfId="1221" xr:uid="{00000000-0005-0000-0000-00002C080000}"/>
    <cellStyle name="Accent3 20" xfId="1222" xr:uid="{00000000-0005-0000-0000-00002D080000}"/>
    <cellStyle name="Accent3 21" xfId="1223" xr:uid="{00000000-0005-0000-0000-00002E080000}"/>
    <cellStyle name="Accent3 22" xfId="1224" xr:uid="{00000000-0005-0000-0000-00002F080000}"/>
    <cellStyle name="Accent3 23" xfId="1225" xr:uid="{00000000-0005-0000-0000-000030080000}"/>
    <cellStyle name="Accent3 24" xfId="1226" xr:uid="{00000000-0005-0000-0000-000031080000}"/>
    <cellStyle name="Accent3 24 2" xfId="1227" xr:uid="{00000000-0005-0000-0000-000032080000}"/>
    <cellStyle name="Accent3 25" xfId="1228" xr:uid="{00000000-0005-0000-0000-000033080000}"/>
    <cellStyle name="Accent3 26" xfId="8934" xr:uid="{00000000-0005-0000-0000-000034080000}"/>
    <cellStyle name="Accent3 27" xfId="8931" xr:uid="{00000000-0005-0000-0000-000035080000}"/>
    <cellStyle name="Accent3 28" xfId="8828" xr:uid="{00000000-0005-0000-0000-000036080000}"/>
    <cellStyle name="Accent3 3" xfId="1229" xr:uid="{00000000-0005-0000-0000-000037080000}"/>
    <cellStyle name="Accent3 3 2" xfId="1230" xr:uid="{00000000-0005-0000-0000-000038080000}"/>
    <cellStyle name="Accent3 3 3" xfId="1231" xr:uid="{00000000-0005-0000-0000-000039080000}"/>
    <cellStyle name="Accent3 3 4" xfId="1232" xr:uid="{00000000-0005-0000-0000-00003A080000}"/>
    <cellStyle name="Accent3 3 5" xfId="1233" xr:uid="{00000000-0005-0000-0000-00003B080000}"/>
    <cellStyle name="Accent3 4" xfId="1234" xr:uid="{00000000-0005-0000-0000-00003C080000}"/>
    <cellStyle name="Accent3 4 2" xfId="1235" xr:uid="{00000000-0005-0000-0000-00003D080000}"/>
    <cellStyle name="Accent3 4 3" xfId="1236" xr:uid="{00000000-0005-0000-0000-00003E080000}"/>
    <cellStyle name="Accent3 4 4" xfId="1237" xr:uid="{00000000-0005-0000-0000-00003F080000}"/>
    <cellStyle name="Accent3 4 5" xfId="1238" xr:uid="{00000000-0005-0000-0000-000040080000}"/>
    <cellStyle name="Accent3 5" xfId="1239" xr:uid="{00000000-0005-0000-0000-000041080000}"/>
    <cellStyle name="Accent3 5 2" xfId="1240" xr:uid="{00000000-0005-0000-0000-000042080000}"/>
    <cellStyle name="Accent3 5 3" xfId="1241" xr:uid="{00000000-0005-0000-0000-000043080000}"/>
    <cellStyle name="Accent3 5 4" xfId="1242" xr:uid="{00000000-0005-0000-0000-000044080000}"/>
    <cellStyle name="Accent3 5 5" xfId="1243" xr:uid="{00000000-0005-0000-0000-000045080000}"/>
    <cellStyle name="Accent3 6" xfId="1244" xr:uid="{00000000-0005-0000-0000-000046080000}"/>
    <cellStyle name="Accent3 6 2" xfId="1245" xr:uid="{00000000-0005-0000-0000-000047080000}"/>
    <cellStyle name="Accent3 6 3" xfId="1246" xr:uid="{00000000-0005-0000-0000-000048080000}"/>
    <cellStyle name="Accent3 6 4" xfId="1247" xr:uid="{00000000-0005-0000-0000-000049080000}"/>
    <cellStyle name="Accent3 6 5" xfId="1248" xr:uid="{00000000-0005-0000-0000-00004A080000}"/>
    <cellStyle name="Accent3 7" xfId="1249" xr:uid="{00000000-0005-0000-0000-00004B080000}"/>
    <cellStyle name="Accent3 7 2" xfId="1250" xr:uid="{00000000-0005-0000-0000-00004C080000}"/>
    <cellStyle name="Accent3 7 3" xfId="1251" xr:uid="{00000000-0005-0000-0000-00004D080000}"/>
    <cellStyle name="Accent3 7 4" xfId="1252" xr:uid="{00000000-0005-0000-0000-00004E080000}"/>
    <cellStyle name="Accent3 7 5" xfId="1253" xr:uid="{00000000-0005-0000-0000-00004F080000}"/>
    <cellStyle name="Accent3 8" xfId="1254" xr:uid="{00000000-0005-0000-0000-000050080000}"/>
    <cellStyle name="Accent3 8 2" xfId="1255" xr:uid="{00000000-0005-0000-0000-000051080000}"/>
    <cellStyle name="Accent3 8 3" xfId="1256" xr:uid="{00000000-0005-0000-0000-000052080000}"/>
    <cellStyle name="Accent3 8 4" xfId="1257" xr:uid="{00000000-0005-0000-0000-000053080000}"/>
    <cellStyle name="Accent3 9" xfId="1258" xr:uid="{00000000-0005-0000-0000-000054080000}"/>
    <cellStyle name="Accent3 9 2" xfId="1259" xr:uid="{00000000-0005-0000-0000-000055080000}"/>
    <cellStyle name="Accent3 9 3" xfId="1260" xr:uid="{00000000-0005-0000-0000-000056080000}"/>
    <cellStyle name="Accent3 9 4" xfId="1261" xr:uid="{00000000-0005-0000-0000-000057080000}"/>
    <cellStyle name="Accent4" xfId="8272" builtinId="41" customBuiltin="1"/>
    <cellStyle name="Accent4 - 20%" xfId="1262" xr:uid="{00000000-0005-0000-0000-000059080000}"/>
    <cellStyle name="Accent4 - 20% 10" xfId="1263" xr:uid="{00000000-0005-0000-0000-00005A080000}"/>
    <cellStyle name="Accent4 - 20% 11" xfId="1264" xr:uid="{00000000-0005-0000-0000-00005B080000}"/>
    <cellStyle name="Accent4 - 20% 12" xfId="1265" xr:uid="{00000000-0005-0000-0000-00005C080000}"/>
    <cellStyle name="Accent4 - 20% 13" xfId="1266" xr:uid="{00000000-0005-0000-0000-00005D080000}"/>
    <cellStyle name="Accent4 - 20% 14" xfId="1267" xr:uid="{00000000-0005-0000-0000-00005E080000}"/>
    <cellStyle name="Accent4 - 20% 15" xfId="1268" xr:uid="{00000000-0005-0000-0000-00005F080000}"/>
    <cellStyle name="Accent4 - 20% 16" xfId="1269" xr:uid="{00000000-0005-0000-0000-000060080000}"/>
    <cellStyle name="Accent4 - 20% 17" xfId="1270" xr:uid="{00000000-0005-0000-0000-000061080000}"/>
    <cellStyle name="Accent4 - 20% 18" xfId="1271" xr:uid="{00000000-0005-0000-0000-000062080000}"/>
    <cellStyle name="Accent4 - 20% 19" xfId="1272" xr:uid="{00000000-0005-0000-0000-000063080000}"/>
    <cellStyle name="Accent4 - 20% 2" xfId="1273" xr:uid="{00000000-0005-0000-0000-000064080000}"/>
    <cellStyle name="Accent4 - 20% 2 2" xfId="1274" xr:uid="{00000000-0005-0000-0000-000065080000}"/>
    <cellStyle name="Accent4 - 20% 20" xfId="1275" xr:uid="{00000000-0005-0000-0000-000066080000}"/>
    <cellStyle name="Accent4 - 20% 21" xfId="1276" xr:uid="{00000000-0005-0000-0000-000067080000}"/>
    <cellStyle name="Accent4 - 20% 22" xfId="1277" xr:uid="{00000000-0005-0000-0000-000068080000}"/>
    <cellStyle name="Accent4 - 20% 23" xfId="1278" xr:uid="{00000000-0005-0000-0000-000069080000}"/>
    <cellStyle name="Accent4 - 20% 24" xfId="1279" xr:uid="{00000000-0005-0000-0000-00006A080000}"/>
    <cellStyle name="Accent4 - 20% 25" xfId="1280" xr:uid="{00000000-0005-0000-0000-00006B080000}"/>
    <cellStyle name="Accent4 - 20% 26" xfId="1281" xr:uid="{00000000-0005-0000-0000-00006C080000}"/>
    <cellStyle name="Accent4 - 20% 27" xfId="1282" xr:uid="{00000000-0005-0000-0000-00006D080000}"/>
    <cellStyle name="Accent4 - 20% 28" xfId="1283" xr:uid="{00000000-0005-0000-0000-00006E080000}"/>
    <cellStyle name="Accent4 - 20% 29" xfId="1284" xr:uid="{00000000-0005-0000-0000-00006F080000}"/>
    <cellStyle name="Accent4 - 20% 3" xfId="1285" xr:uid="{00000000-0005-0000-0000-000070080000}"/>
    <cellStyle name="Accent4 - 20% 30" xfId="1286" xr:uid="{00000000-0005-0000-0000-000071080000}"/>
    <cellStyle name="Accent4 - 20% 31" xfId="1287" xr:uid="{00000000-0005-0000-0000-000072080000}"/>
    <cellStyle name="Accent4 - 20% 32" xfId="1288" xr:uid="{00000000-0005-0000-0000-000073080000}"/>
    <cellStyle name="Accent4 - 20% 33" xfId="1289" xr:uid="{00000000-0005-0000-0000-000074080000}"/>
    <cellStyle name="Accent4 - 20% 34" xfId="1290" xr:uid="{00000000-0005-0000-0000-000075080000}"/>
    <cellStyle name="Accent4 - 20% 35" xfId="1291" xr:uid="{00000000-0005-0000-0000-000076080000}"/>
    <cellStyle name="Accent4 - 20% 36" xfId="1292" xr:uid="{00000000-0005-0000-0000-000077080000}"/>
    <cellStyle name="Accent4 - 20% 37" xfId="1293" xr:uid="{00000000-0005-0000-0000-000078080000}"/>
    <cellStyle name="Accent4 - 20% 38" xfId="1294" xr:uid="{00000000-0005-0000-0000-000079080000}"/>
    <cellStyle name="Accent4 - 20% 39" xfId="1295" xr:uid="{00000000-0005-0000-0000-00007A080000}"/>
    <cellStyle name="Accent4 - 20% 4" xfId="1296" xr:uid="{00000000-0005-0000-0000-00007B080000}"/>
    <cellStyle name="Accent4 - 20% 40" xfId="1297" xr:uid="{00000000-0005-0000-0000-00007C080000}"/>
    <cellStyle name="Accent4 - 20% 41" xfId="1298" xr:uid="{00000000-0005-0000-0000-00007D080000}"/>
    <cellStyle name="Accent4 - 20% 42" xfId="1299" xr:uid="{00000000-0005-0000-0000-00007E080000}"/>
    <cellStyle name="Accent4 - 20% 43" xfId="1300" xr:uid="{00000000-0005-0000-0000-00007F080000}"/>
    <cellStyle name="Accent4 - 20% 44" xfId="1301" xr:uid="{00000000-0005-0000-0000-000080080000}"/>
    <cellStyle name="Accent4 - 20% 45" xfId="1302" xr:uid="{00000000-0005-0000-0000-000081080000}"/>
    <cellStyle name="Accent4 - 20% 46" xfId="1303" xr:uid="{00000000-0005-0000-0000-000082080000}"/>
    <cellStyle name="Accent4 - 20% 47" xfId="1304" xr:uid="{00000000-0005-0000-0000-000083080000}"/>
    <cellStyle name="Accent4 - 20% 5" xfId="1305" xr:uid="{00000000-0005-0000-0000-000084080000}"/>
    <cellStyle name="Accent4 - 20% 6" xfId="1306" xr:uid="{00000000-0005-0000-0000-000085080000}"/>
    <cellStyle name="Accent4 - 20% 7" xfId="1307" xr:uid="{00000000-0005-0000-0000-000086080000}"/>
    <cellStyle name="Accent4 - 20% 8" xfId="1308" xr:uid="{00000000-0005-0000-0000-000087080000}"/>
    <cellStyle name="Accent4 - 20% 9" xfId="1309" xr:uid="{00000000-0005-0000-0000-000088080000}"/>
    <cellStyle name="Accent4 - 40%" xfId="1310" xr:uid="{00000000-0005-0000-0000-000089080000}"/>
    <cellStyle name="Accent4 - 40% 10" xfId="1311" xr:uid="{00000000-0005-0000-0000-00008A080000}"/>
    <cellStyle name="Accent4 - 40% 11" xfId="1312" xr:uid="{00000000-0005-0000-0000-00008B080000}"/>
    <cellStyle name="Accent4 - 40% 12" xfId="1313" xr:uid="{00000000-0005-0000-0000-00008C080000}"/>
    <cellStyle name="Accent4 - 40% 13" xfId="1314" xr:uid="{00000000-0005-0000-0000-00008D080000}"/>
    <cellStyle name="Accent4 - 40% 14" xfId="1315" xr:uid="{00000000-0005-0000-0000-00008E080000}"/>
    <cellStyle name="Accent4 - 40% 15" xfId="1316" xr:uid="{00000000-0005-0000-0000-00008F080000}"/>
    <cellStyle name="Accent4 - 40% 16" xfId="1317" xr:uid="{00000000-0005-0000-0000-000090080000}"/>
    <cellStyle name="Accent4 - 40% 17" xfId="1318" xr:uid="{00000000-0005-0000-0000-000091080000}"/>
    <cellStyle name="Accent4 - 40% 18" xfId="1319" xr:uid="{00000000-0005-0000-0000-000092080000}"/>
    <cellStyle name="Accent4 - 40% 19" xfId="1320" xr:uid="{00000000-0005-0000-0000-000093080000}"/>
    <cellStyle name="Accent4 - 40% 2" xfId="1321" xr:uid="{00000000-0005-0000-0000-000094080000}"/>
    <cellStyle name="Accent4 - 40% 2 2" xfId="1322" xr:uid="{00000000-0005-0000-0000-000095080000}"/>
    <cellStyle name="Accent4 - 40% 20" xfId="1323" xr:uid="{00000000-0005-0000-0000-000096080000}"/>
    <cellStyle name="Accent4 - 40% 21" xfId="1324" xr:uid="{00000000-0005-0000-0000-000097080000}"/>
    <cellStyle name="Accent4 - 40% 22" xfId="1325" xr:uid="{00000000-0005-0000-0000-000098080000}"/>
    <cellStyle name="Accent4 - 40% 23" xfId="1326" xr:uid="{00000000-0005-0000-0000-000099080000}"/>
    <cellStyle name="Accent4 - 40% 24" xfId="1327" xr:uid="{00000000-0005-0000-0000-00009A080000}"/>
    <cellStyle name="Accent4 - 40% 25" xfId="1328" xr:uid="{00000000-0005-0000-0000-00009B080000}"/>
    <cellStyle name="Accent4 - 40% 26" xfId="1329" xr:uid="{00000000-0005-0000-0000-00009C080000}"/>
    <cellStyle name="Accent4 - 40% 27" xfId="1330" xr:uid="{00000000-0005-0000-0000-00009D080000}"/>
    <cellStyle name="Accent4 - 40% 28" xfId="1331" xr:uid="{00000000-0005-0000-0000-00009E080000}"/>
    <cellStyle name="Accent4 - 40% 29" xfId="1332" xr:uid="{00000000-0005-0000-0000-00009F080000}"/>
    <cellStyle name="Accent4 - 40% 3" xfId="1333" xr:uid="{00000000-0005-0000-0000-0000A0080000}"/>
    <cellStyle name="Accent4 - 40% 30" xfId="1334" xr:uid="{00000000-0005-0000-0000-0000A1080000}"/>
    <cellStyle name="Accent4 - 40% 31" xfId="1335" xr:uid="{00000000-0005-0000-0000-0000A2080000}"/>
    <cellStyle name="Accent4 - 40% 32" xfId="1336" xr:uid="{00000000-0005-0000-0000-0000A3080000}"/>
    <cellStyle name="Accent4 - 40% 33" xfId="1337" xr:uid="{00000000-0005-0000-0000-0000A4080000}"/>
    <cellStyle name="Accent4 - 40% 34" xfId="1338" xr:uid="{00000000-0005-0000-0000-0000A5080000}"/>
    <cellStyle name="Accent4 - 40% 35" xfId="1339" xr:uid="{00000000-0005-0000-0000-0000A6080000}"/>
    <cellStyle name="Accent4 - 40% 36" xfId="1340" xr:uid="{00000000-0005-0000-0000-0000A7080000}"/>
    <cellStyle name="Accent4 - 40% 37" xfId="1341" xr:uid="{00000000-0005-0000-0000-0000A8080000}"/>
    <cellStyle name="Accent4 - 40% 38" xfId="1342" xr:uid="{00000000-0005-0000-0000-0000A9080000}"/>
    <cellStyle name="Accent4 - 40% 39" xfId="1343" xr:uid="{00000000-0005-0000-0000-0000AA080000}"/>
    <cellStyle name="Accent4 - 40% 4" xfId="1344" xr:uid="{00000000-0005-0000-0000-0000AB080000}"/>
    <cellStyle name="Accent4 - 40% 40" xfId="1345" xr:uid="{00000000-0005-0000-0000-0000AC080000}"/>
    <cellStyle name="Accent4 - 40% 41" xfId="1346" xr:uid="{00000000-0005-0000-0000-0000AD080000}"/>
    <cellStyle name="Accent4 - 40% 42" xfId="1347" xr:uid="{00000000-0005-0000-0000-0000AE080000}"/>
    <cellStyle name="Accent4 - 40% 43" xfId="1348" xr:uid="{00000000-0005-0000-0000-0000AF080000}"/>
    <cellStyle name="Accent4 - 40% 44" xfId="1349" xr:uid="{00000000-0005-0000-0000-0000B0080000}"/>
    <cellStyle name="Accent4 - 40% 45" xfId="1350" xr:uid="{00000000-0005-0000-0000-0000B1080000}"/>
    <cellStyle name="Accent4 - 40% 46" xfId="1351" xr:uid="{00000000-0005-0000-0000-0000B2080000}"/>
    <cellStyle name="Accent4 - 40% 47" xfId="1352" xr:uid="{00000000-0005-0000-0000-0000B3080000}"/>
    <cellStyle name="Accent4 - 40% 5" xfId="1353" xr:uid="{00000000-0005-0000-0000-0000B4080000}"/>
    <cellStyle name="Accent4 - 40% 6" xfId="1354" xr:uid="{00000000-0005-0000-0000-0000B5080000}"/>
    <cellStyle name="Accent4 - 40% 7" xfId="1355" xr:uid="{00000000-0005-0000-0000-0000B6080000}"/>
    <cellStyle name="Accent4 - 40% 8" xfId="1356" xr:uid="{00000000-0005-0000-0000-0000B7080000}"/>
    <cellStyle name="Accent4 - 40% 9" xfId="1357" xr:uid="{00000000-0005-0000-0000-0000B8080000}"/>
    <cellStyle name="Accent4 - 60%" xfId="1358" xr:uid="{00000000-0005-0000-0000-0000B9080000}"/>
    <cellStyle name="Accent4 - 60% 10" xfId="1359" xr:uid="{00000000-0005-0000-0000-0000BA080000}"/>
    <cellStyle name="Accent4 - 60% 11" xfId="1360" xr:uid="{00000000-0005-0000-0000-0000BB080000}"/>
    <cellStyle name="Accent4 - 60% 12" xfId="1361" xr:uid="{00000000-0005-0000-0000-0000BC080000}"/>
    <cellStyle name="Accent4 - 60% 13" xfId="1362" xr:uid="{00000000-0005-0000-0000-0000BD080000}"/>
    <cellStyle name="Accent4 - 60% 14" xfId="1363" xr:uid="{00000000-0005-0000-0000-0000BE080000}"/>
    <cellStyle name="Accent4 - 60% 15" xfId="1364" xr:uid="{00000000-0005-0000-0000-0000BF080000}"/>
    <cellStyle name="Accent4 - 60% 16" xfId="1365" xr:uid="{00000000-0005-0000-0000-0000C0080000}"/>
    <cellStyle name="Accent4 - 60% 17" xfId="1366" xr:uid="{00000000-0005-0000-0000-0000C1080000}"/>
    <cellStyle name="Accent4 - 60% 18" xfId="1367" xr:uid="{00000000-0005-0000-0000-0000C2080000}"/>
    <cellStyle name="Accent4 - 60% 19" xfId="1368" xr:uid="{00000000-0005-0000-0000-0000C3080000}"/>
    <cellStyle name="Accent4 - 60% 2" xfId="1369" xr:uid="{00000000-0005-0000-0000-0000C4080000}"/>
    <cellStyle name="Accent4 - 60% 2 2" xfId="1370" xr:uid="{00000000-0005-0000-0000-0000C5080000}"/>
    <cellStyle name="Accent4 - 60% 20" xfId="1371" xr:uid="{00000000-0005-0000-0000-0000C6080000}"/>
    <cellStyle name="Accent4 - 60% 21" xfId="1372" xr:uid="{00000000-0005-0000-0000-0000C7080000}"/>
    <cellStyle name="Accent4 - 60% 22" xfId="1373" xr:uid="{00000000-0005-0000-0000-0000C8080000}"/>
    <cellStyle name="Accent4 - 60% 23" xfId="1374" xr:uid="{00000000-0005-0000-0000-0000C9080000}"/>
    <cellStyle name="Accent4 - 60% 24" xfId="1375" xr:uid="{00000000-0005-0000-0000-0000CA080000}"/>
    <cellStyle name="Accent4 - 60% 25" xfId="1376" xr:uid="{00000000-0005-0000-0000-0000CB080000}"/>
    <cellStyle name="Accent4 - 60% 26" xfId="1377" xr:uid="{00000000-0005-0000-0000-0000CC080000}"/>
    <cellStyle name="Accent4 - 60% 27" xfId="1378" xr:uid="{00000000-0005-0000-0000-0000CD080000}"/>
    <cellStyle name="Accent4 - 60% 28" xfId="1379" xr:uid="{00000000-0005-0000-0000-0000CE080000}"/>
    <cellStyle name="Accent4 - 60% 29" xfId="1380" xr:uid="{00000000-0005-0000-0000-0000CF080000}"/>
    <cellStyle name="Accent4 - 60% 3" xfId="1381" xr:uid="{00000000-0005-0000-0000-0000D0080000}"/>
    <cellStyle name="Accent4 - 60% 30" xfId="1382" xr:uid="{00000000-0005-0000-0000-0000D1080000}"/>
    <cellStyle name="Accent4 - 60% 31" xfId="1383" xr:uid="{00000000-0005-0000-0000-0000D2080000}"/>
    <cellStyle name="Accent4 - 60% 32" xfId="1384" xr:uid="{00000000-0005-0000-0000-0000D3080000}"/>
    <cellStyle name="Accent4 - 60% 33" xfId="1385" xr:uid="{00000000-0005-0000-0000-0000D4080000}"/>
    <cellStyle name="Accent4 - 60% 34" xfId="1386" xr:uid="{00000000-0005-0000-0000-0000D5080000}"/>
    <cellStyle name="Accent4 - 60% 35" xfId="1387" xr:uid="{00000000-0005-0000-0000-0000D6080000}"/>
    <cellStyle name="Accent4 - 60% 36" xfId="1388" xr:uid="{00000000-0005-0000-0000-0000D7080000}"/>
    <cellStyle name="Accent4 - 60% 37" xfId="1389" xr:uid="{00000000-0005-0000-0000-0000D8080000}"/>
    <cellStyle name="Accent4 - 60% 38" xfId="1390" xr:uid="{00000000-0005-0000-0000-0000D9080000}"/>
    <cellStyle name="Accent4 - 60% 39" xfId="1391" xr:uid="{00000000-0005-0000-0000-0000DA080000}"/>
    <cellStyle name="Accent4 - 60% 4" xfId="1392" xr:uid="{00000000-0005-0000-0000-0000DB080000}"/>
    <cellStyle name="Accent4 - 60% 40" xfId="1393" xr:uid="{00000000-0005-0000-0000-0000DC080000}"/>
    <cellStyle name="Accent4 - 60% 41" xfId="1394" xr:uid="{00000000-0005-0000-0000-0000DD080000}"/>
    <cellStyle name="Accent4 - 60% 42" xfId="1395" xr:uid="{00000000-0005-0000-0000-0000DE080000}"/>
    <cellStyle name="Accent4 - 60% 43" xfId="1396" xr:uid="{00000000-0005-0000-0000-0000DF080000}"/>
    <cellStyle name="Accent4 - 60% 44" xfId="1397" xr:uid="{00000000-0005-0000-0000-0000E0080000}"/>
    <cellStyle name="Accent4 - 60% 45" xfId="1398" xr:uid="{00000000-0005-0000-0000-0000E1080000}"/>
    <cellStyle name="Accent4 - 60% 46" xfId="1399" xr:uid="{00000000-0005-0000-0000-0000E2080000}"/>
    <cellStyle name="Accent4 - 60% 5" xfId="1400" xr:uid="{00000000-0005-0000-0000-0000E3080000}"/>
    <cellStyle name="Accent4 - 60% 6" xfId="1401" xr:uid="{00000000-0005-0000-0000-0000E4080000}"/>
    <cellStyle name="Accent4 - 60% 7" xfId="1402" xr:uid="{00000000-0005-0000-0000-0000E5080000}"/>
    <cellStyle name="Accent4 - 60% 8" xfId="1403" xr:uid="{00000000-0005-0000-0000-0000E6080000}"/>
    <cellStyle name="Accent4 - 60% 9" xfId="1404" xr:uid="{00000000-0005-0000-0000-0000E7080000}"/>
    <cellStyle name="Accent4 10" xfId="1405" xr:uid="{00000000-0005-0000-0000-0000E8080000}"/>
    <cellStyle name="Accent4 10 2" xfId="1406" xr:uid="{00000000-0005-0000-0000-0000E9080000}"/>
    <cellStyle name="Accent4 10 3" xfId="1407" xr:uid="{00000000-0005-0000-0000-0000EA080000}"/>
    <cellStyle name="Accent4 10 4" xfId="1408" xr:uid="{00000000-0005-0000-0000-0000EB080000}"/>
    <cellStyle name="Accent4 10 5" xfId="1409" xr:uid="{00000000-0005-0000-0000-0000EC080000}"/>
    <cellStyle name="Accent4 10 6" xfId="1410" xr:uid="{00000000-0005-0000-0000-0000ED080000}"/>
    <cellStyle name="Accent4 10 7" xfId="1411" xr:uid="{00000000-0005-0000-0000-0000EE080000}"/>
    <cellStyle name="Accent4 10 8" xfId="1412" xr:uid="{00000000-0005-0000-0000-0000EF080000}"/>
    <cellStyle name="Accent4 10 9" xfId="1413" xr:uid="{00000000-0005-0000-0000-0000F0080000}"/>
    <cellStyle name="Accent4 11" xfId="1414" xr:uid="{00000000-0005-0000-0000-0000F1080000}"/>
    <cellStyle name="Accent4 11 2" xfId="1415" xr:uid="{00000000-0005-0000-0000-0000F2080000}"/>
    <cellStyle name="Accent4 11 3" xfId="1416" xr:uid="{00000000-0005-0000-0000-0000F3080000}"/>
    <cellStyle name="Accent4 11 4" xfId="1417" xr:uid="{00000000-0005-0000-0000-0000F4080000}"/>
    <cellStyle name="Accent4 11 5" xfId="1418" xr:uid="{00000000-0005-0000-0000-0000F5080000}"/>
    <cellStyle name="Accent4 11 6" xfId="1419" xr:uid="{00000000-0005-0000-0000-0000F6080000}"/>
    <cellStyle name="Accent4 11 7" xfId="1420" xr:uid="{00000000-0005-0000-0000-0000F7080000}"/>
    <cellStyle name="Accent4 11 8" xfId="1421" xr:uid="{00000000-0005-0000-0000-0000F8080000}"/>
    <cellStyle name="Accent4 11 9" xfId="1422" xr:uid="{00000000-0005-0000-0000-0000F9080000}"/>
    <cellStyle name="Accent4 12" xfId="1423" xr:uid="{00000000-0005-0000-0000-0000FA080000}"/>
    <cellStyle name="Accent4 12 2" xfId="1424" xr:uid="{00000000-0005-0000-0000-0000FB080000}"/>
    <cellStyle name="Accent4 13" xfId="1425" xr:uid="{00000000-0005-0000-0000-0000FC080000}"/>
    <cellStyle name="Accent4 14" xfId="1426" xr:uid="{00000000-0005-0000-0000-0000FD080000}"/>
    <cellStyle name="Accent4 15" xfId="1427" xr:uid="{00000000-0005-0000-0000-0000FE080000}"/>
    <cellStyle name="Accent4 16" xfId="1428" xr:uid="{00000000-0005-0000-0000-0000FF080000}"/>
    <cellStyle name="Accent4 17" xfId="1429" xr:uid="{00000000-0005-0000-0000-000000090000}"/>
    <cellStyle name="Accent4 18" xfId="1430" xr:uid="{00000000-0005-0000-0000-000001090000}"/>
    <cellStyle name="Accent4 19" xfId="1431" xr:uid="{00000000-0005-0000-0000-000002090000}"/>
    <cellStyle name="Accent4 2" xfId="1432" xr:uid="{00000000-0005-0000-0000-000003090000}"/>
    <cellStyle name="Accent4 2 2" xfId="1433" xr:uid="{00000000-0005-0000-0000-000004090000}"/>
    <cellStyle name="Accent4 2 2 2" xfId="1434" xr:uid="{00000000-0005-0000-0000-000005090000}"/>
    <cellStyle name="Accent4 2 3" xfId="1435" xr:uid="{00000000-0005-0000-0000-000006090000}"/>
    <cellStyle name="Accent4 2 3 2" xfId="1436" xr:uid="{00000000-0005-0000-0000-000007090000}"/>
    <cellStyle name="Accent4 2 4" xfId="1437" xr:uid="{00000000-0005-0000-0000-000008090000}"/>
    <cellStyle name="Accent4 2 4 2" xfId="1438" xr:uid="{00000000-0005-0000-0000-000009090000}"/>
    <cellStyle name="Accent4 2 5" xfId="1439" xr:uid="{00000000-0005-0000-0000-00000A090000}"/>
    <cellStyle name="Accent4 2 6" xfId="8816" xr:uid="{00000000-0005-0000-0000-00000B090000}"/>
    <cellStyle name="Accent4 20" xfId="1440" xr:uid="{00000000-0005-0000-0000-00000C090000}"/>
    <cellStyle name="Accent4 21" xfId="1441" xr:uid="{00000000-0005-0000-0000-00000D090000}"/>
    <cellStyle name="Accent4 22" xfId="1442" xr:uid="{00000000-0005-0000-0000-00000E090000}"/>
    <cellStyle name="Accent4 23" xfId="1443" xr:uid="{00000000-0005-0000-0000-00000F090000}"/>
    <cellStyle name="Accent4 24" xfId="1444" xr:uid="{00000000-0005-0000-0000-000010090000}"/>
    <cellStyle name="Accent4 24 2" xfId="1445" xr:uid="{00000000-0005-0000-0000-000011090000}"/>
    <cellStyle name="Accent4 25" xfId="1446" xr:uid="{00000000-0005-0000-0000-000012090000}"/>
    <cellStyle name="Accent4 26" xfId="8748" xr:uid="{00000000-0005-0000-0000-000013090000}"/>
    <cellStyle name="Accent4 27" xfId="8822" xr:uid="{00000000-0005-0000-0000-000014090000}"/>
    <cellStyle name="Accent4 28" xfId="8825" xr:uid="{00000000-0005-0000-0000-000015090000}"/>
    <cellStyle name="Accent4 3" xfId="1447" xr:uid="{00000000-0005-0000-0000-000016090000}"/>
    <cellStyle name="Accent4 3 2" xfId="1448" xr:uid="{00000000-0005-0000-0000-000017090000}"/>
    <cellStyle name="Accent4 3 3" xfId="1449" xr:uid="{00000000-0005-0000-0000-000018090000}"/>
    <cellStyle name="Accent4 3 4" xfId="1450" xr:uid="{00000000-0005-0000-0000-000019090000}"/>
    <cellStyle name="Accent4 3 5" xfId="1451" xr:uid="{00000000-0005-0000-0000-00001A090000}"/>
    <cellStyle name="Accent4 4" xfId="1452" xr:uid="{00000000-0005-0000-0000-00001B090000}"/>
    <cellStyle name="Accent4 4 2" xfId="1453" xr:uid="{00000000-0005-0000-0000-00001C090000}"/>
    <cellStyle name="Accent4 4 3" xfId="1454" xr:uid="{00000000-0005-0000-0000-00001D090000}"/>
    <cellStyle name="Accent4 4 4" xfId="1455" xr:uid="{00000000-0005-0000-0000-00001E090000}"/>
    <cellStyle name="Accent4 4 5" xfId="1456" xr:uid="{00000000-0005-0000-0000-00001F090000}"/>
    <cellStyle name="Accent4 5" xfId="1457" xr:uid="{00000000-0005-0000-0000-000020090000}"/>
    <cellStyle name="Accent4 5 2" xfId="1458" xr:uid="{00000000-0005-0000-0000-000021090000}"/>
    <cellStyle name="Accent4 5 3" xfId="1459" xr:uid="{00000000-0005-0000-0000-000022090000}"/>
    <cellStyle name="Accent4 5 4" xfId="1460" xr:uid="{00000000-0005-0000-0000-000023090000}"/>
    <cellStyle name="Accent4 5 5" xfId="1461" xr:uid="{00000000-0005-0000-0000-000024090000}"/>
    <cellStyle name="Accent4 6" xfId="1462" xr:uid="{00000000-0005-0000-0000-000025090000}"/>
    <cellStyle name="Accent4 6 2" xfId="1463" xr:uid="{00000000-0005-0000-0000-000026090000}"/>
    <cellStyle name="Accent4 6 3" xfId="1464" xr:uid="{00000000-0005-0000-0000-000027090000}"/>
    <cellStyle name="Accent4 6 4" xfId="1465" xr:uid="{00000000-0005-0000-0000-000028090000}"/>
    <cellStyle name="Accent4 6 5" xfId="1466" xr:uid="{00000000-0005-0000-0000-000029090000}"/>
    <cellStyle name="Accent4 7" xfId="1467" xr:uid="{00000000-0005-0000-0000-00002A090000}"/>
    <cellStyle name="Accent4 7 2" xfId="1468" xr:uid="{00000000-0005-0000-0000-00002B090000}"/>
    <cellStyle name="Accent4 7 3" xfId="1469" xr:uid="{00000000-0005-0000-0000-00002C090000}"/>
    <cellStyle name="Accent4 7 4" xfId="1470" xr:uid="{00000000-0005-0000-0000-00002D090000}"/>
    <cellStyle name="Accent4 7 5" xfId="1471" xr:uid="{00000000-0005-0000-0000-00002E090000}"/>
    <cellStyle name="Accent4 8" xfId="1472" xr:uid="{00000000-0005-0000-0000-00002F090000}"/>
    <cellStyle name="Accent4 8 2" xfId="1473" xr:uid="{00000000-0005-0000-0000-000030090000}"/>
    <cellStyle name="Accent4 8 3" xfId="1474" xr:uid="{00000000-0005-0000-0000-000031090000}"/>
    <cellStyle name="Accent4 8 4" xfId="1475" xr:uid="{00000000-0005-0000-0000-000032090000}"/>
    <cellStyle name="Accent4 9" xfId="1476" xr:uid="{00000000-0005-0000-0000-000033090000}"/>
    <cellStyle name="Accent4 9 2" xfId="1477" xr:uid="{00000000-0005-0000-0000-000034090000}"/>
    <cellStyle name="Accent4 9 3" xfId="1478" xr:uid="{00000000-0005-0000-0000-000035090000}"/>
    <cellStyle name="Accent4 9 4" xfId="1479" xr:uid="{00000000-0005-0000-0000-000036090000}"/>
    <cellStyle name="Accent4 9 5" xfId="1480" xr:uid="{00000000-0005-0000-0000-000037090000}"/>
    <cellStyle name="Accent4 9 6" xfId="1481" xr:uid="{00000000-0005-0000-0000-000038090000}"/>
    <cellStyle name="Accent4 9 7" xfId="1482" xr:uid="{00000000-0005-0000-0000-000039090000}"/>
    <cellStyle name="Accent4 9 8" xfId="1483" xr:uid="{00000000-0005-0000-0000-00003A090000}"/>
    <cellStyle name="Accent4 9 9" xfId="1484" xr:uid="{00000000-0005-0000-0000-00003B090000}"/>
    <cellStyle name="Accent5" xfId="8276" builtinId="45" customBuiltin="1"/>
    <cellStyle name="Accent5 - 20%" xfId="1485" xr:uid="{00000000-0005-0000-0000-00003D090000}"/>
    <cellStyle name="Accent5 - 20% 10" xfId="1486" xr:uid="{00000000-0005-0000-0000-00003E090000}"/>
    <cellStyle name="Accent5 - 20% 11" xfId="1487" xr:uid="{00000000-0005-0000-0000-00003F090000}"/>
    <cellStyle name="Accent5 - 20% 12" xfId="1488" xr:uid="{00000000-0005-0000-0000-000040090000}"/>
    <cellStyle name="Accent5 - 20% 13" xfId="1489" xr:uid="{00000000-0005-0000-0000-000041090000}"/>
    <cellStyle name="Accent5 - 20% 14" xfId="1490" xr:uid="{00000000-0005-0000-0000-000042090000}"/>
    <cellStyle name="Accent5 - 20% 15" xfId="1491" xr:uid="{00000000-0005-0000-0000-000043090000}"/>
    <cellStyle name="Accent5 - 20% 16" xfId="1492" xr:uid="{00000000-0005-0000-0000-000044090000}"/>
    <cellStyle name="Accent5 - 20% 17" xfId="1493" xr:uid="{00000000-0005-0000-0000-000045090000}"/>
    <cellStyle name="Accent5 - 20% 18" xfId="1494" xr:uid="{00000000-0005-0000-0000-000046090000}"/>
    <cellStyle name="Accent5 - 20% 19" xfId="1495" xr:uid="{00000000-0005-0000-0000-000047090000}"/>
    <cellStyle name="Accent5 - 20% 2" xfId="1496" xr:uid="{00000000-0005-0000-0000-000048090000}"/>
    <cellStyle name="Accent5 - 20% 2 2" xfId="1497" xr:uid="{00000000-0005-0000-0000-000049090000}"/>
    <cellStyle name="Accent5 - 20% 20" xfId="1498" xr:uid="{00000000-0005-0000-0000-00004A090000}"/>
    <cellStyle name="Accent5 - 20% 21" xfId="1499" xr:uid="{00000000-0005-0000-0000-00004B090000}"/>
    <cellStyle name="Accent5 - 20% 22" xfId="1500" xr:uid="{00000000-0005-0000-0000-00004C090000}"/>
    <cellStyle name="Accent5 - 20% 23" xfId="1501" xr:uid="{00000000-0005-0000-0000-00004D090000}"/>
    <cellStyle name="Accent5 - 20% 24" xfId="1502" xr:uid="{00000000-0005-0000-0000-00004E090000}"/>
    <cellStyle name="Accent5 - 20% 25" xfId="1503" xr:uid="{00000000-0005-0000-0000-00004F090000}"/>
    <cellStyle name="Accent5 - 20% 26" xfId="1504" xr:uid="{00000000-0005-0000-0000-000050090000}"/>
    <cellStyle name="Accent5 - 20% 27" xfId="1505" xr:uid="{00000000-0005-0000-0000-000051090000}"/>
    <cellStyle name="Accent5 - 20% 28" xfId="1506" xr:uid="{00000000-0005-0000-0000-000052090000}"/>
    <cellStyle name="Accent5 - 20% 29" xfId="1507" xr:uid="{00000000-0005-0000-0000-000053090000}"/>
    <cellStyle name="Accent5 - 20% 3" xfId="1508" xr:uid="{00000000-0005-0000-0000-000054090000}"/>
    <cellStyle name="Accent5 - 20% 30" xfId="1509" xr:uid="{00000000-0005-0000-0000-000055090000}"/>
    <cellStyle name="Accent5 - 20% 31" xfId="1510" xr:uid="{00000000-0005-0000-0000-000056090000}"/>
    <cellStyle name="Accent5 - 20% 32" xfId="1511" xr:uid="{00000000-0005-0000-0000-000057090000}"/>
    <cellStyle name="Accent5 - 20% 33" xfId="1512" xr:uid="{00000000-0005-0000-0000-000058090000}"/>
    <cellStyle name="Accent5 - 20% 34" xfId="1513" xr:uid="{00000000-0005-0000-0000-000059090000}"/>
    <cellStyle name="Accent5 - 20% 35" xfId="1514" xr:uid="{00000000-0005-0000-0000-00005A090000}"/>
    <cellStyle name="Accent5 - 20% 36" xfId="1515" xr:uid="{00000000-0005-0000-0000-00005B090000}"/>
    <cellStyle name="Accent5 - 20% 37" xfId="1516" xr:uid="{00000000-0005-0000-0000-00005C090000}"/>
    <cellStyle name="Accent5 - 20% 38" xfId="1517" xr:uid="{00000000-0005-0000-0000-00005D090000}"/>
    <cellStyle name="Accent5 - 20% 39" xfId="1518" xr:uid="{00000000-0005-0000-0000-00005E090000}"/>
    <cellStyle name="Accent5 - 20% 4" xfId="1519" xr:uid="{00000000-0005-0000-0000-00005F090000}"/>
    <cellStyle name="Accent5 - 20% 40" xfId="1520" xr:uid="{00000000-0005-0000-0000-000060090000}"/>
    <cellStyle name="Accent5 - 20% 41" xfId="1521" xr:uid="{00000000-0005-0000-0000-000061090000}"/>
    <cellStyle name="Accent5 - 20% 42" xfId="1522" xr:uid="{00000000-0005-0000-0000-000062090000}"/>
    <cellStyle name="Accent5 - 20% 43" xfId="1523" xr:uid="{00000000-0005-0000-0000-000063090000}"/>
    <cellStyle name="Accent5 - 20% 44" xfId="1524" xr:uid="{00000000-0005-0000-0000-000064090000}"/>
    <cellStyle name="Accent5 - 20% 45" xfId="1525" xr:uid="{00000000-0005-0000-0000-000065090000}"/>
    <cellStyle name="Accent5 - 20% 46" xfId="1526" xr:uid="{00000000-0005-0000-0000-000066090000}"/>
    <cellStyle name="Accent5 - 20% 47" xfId="1527" xr:uid="{00000000-0005-0000-0000-000067090000}"/>
    <cellStyle name="Accent5 - 20% 5" xfId="1528" xr:uid="{00000000-0005-0000-0000-000068090000}"/>
    <cellStyle name="Accent5 - 20% 6" xfId="1529" xr:uid="{00000000-0005-0000-0000-000069090000}"/>
    <cellStyle name="Accent5 - 20% 7" xfId="1530" xr:uid="{00000000-0005-0000-0000-00006A090000}"/>
    <cellStyle name="Accent5 - 20% 8" xfId="1531" xr:uid="{00000000-0005-0000-0000-00006B090000}"/>
    <cellStyle name="Accent5 - 20% 9" xfId="1532" xr:uid="{00000000-0005-0000-0000-00006C090000}"/>
    <cellStyle name="Accent5 - 40%" xfId="1533" xr:uid="{00000000-0005-0000-0000-00006D090000}"/>
    <cellStyle name="Accent5 - 40% 10" xfId="1534" xr:uid="{00000000-0005-0000-0000-00006E090000}"/>
    <cellStyle name="Accent5 - 40% 11" xfId="1535" xr:uid="{00000000-0005-0000-0000-00006F090000}"/>
    <cellStyle name="Accent5 - 40% 12" xfId="1536" xr:uid="{00000000-0005-0000-0000-000070090000}"/>
    <cellStyle name="Accent5 - 40% 13" xfId="1537" xr:uid="{00000000-0005-0000-0000-000071090000}"/>
    <cellStyle name="Accent5 - 40% 14" xfId="1538" xr:uid="{00000000-0005-0000-0000-000072090000}"/>
    <cellStyle name="Accent5 - 40% 15" xfId="1539" xr:uid="{00000000-0005-0000-0000-000073090000}"/>
    <cellStyle name="Accent5 - 40% 16" xfId="1540" xr:uid="{00000000-0005-0000-0000-000074090000}"/>
    <cellStyle name="Accent5 - 40% 17" xfId="1541" xr:uid="{00000000-0005-0000-0000-000075090000}"/>
    <cellStyle name="Accent5 - 40% 18" xfId="1542" xr:uid="{00000000-0005-0000-0000-000076090000}"/>
    <cellStyle name="Accent5 - 40% 19" xfId="1543" xr:uid="{00000000-0005-0000-0000-000077090000}"/>
    <cellStyle name="Accent5 - 40% 2" xfId="1544" xr:uid="{00000000-0005-0000-0000-000078090000}"/>
    <cellStyle name="Accent5 - 40% 2 2" xfId="1545" xr:uid="{00000000-0005-0000-0000-000079090000}"/>
    <cellStyle name="Accent5 - 40% 20" xfId="1546" xr:uid="{00000000-0005-0000-0000-00007A090000}"/>
    <cellStyle name="Accent5 - 40% 21" xfId="1547" xr:uid="{00000000-0005-0000-0000-00007B090000}"/>
    <cellStyle name="Accent5 - 40% 22" xfId="1548" xr:uid="{00000000-0005-0000-0000-00007C090000}"/>
    <cellStyle name="Accent5 - 40% 23" xfId="1549" xr:uid="{00000000-0005-0000-0000-00007D090000}"/>
    <cellStyle name="Accent5 - 40% 24" xfId="1550" xr:uid="{00000000-0005-0000-0000-00007E090000}"/>
    <cellStyle name="Accent5 - 40% 3" xfId="1551" xr:uid="{00000000-0005-0000-0000-00007F090000}"/>
    <cellStyle name="Accent5 - 40% 4" xfId="1552" xr:uid="{00000000-0005-0000-0000-000080090000}"/>
    <cellStyle name="Accent5 - 40% 5" xfId="1553" xr:uid="{00000000-0005-0000-0000-000081090000}"/>
    <cellStyle name="Accent5 - 40% 6" xfId="1554" xr:uid="{00000000-0005-0000-0000-000082090000}"/>
    <cellStyle name="Accent5 - 40% 7" xfId="1555" xr:uid="{00000000-0005-0000-0000-000083090000}"/>
    <cellStyle name="Accent5 - 40% 8" xfId="1556" xr:uid="{00000000-0005-0000-0000-000084090000}"/>
    <cellStyle name="Accent5 - 40% 9" xfId="1557" xr:uid="{00000000-0005-0000-0000-000085090000}"/>
    <cellStyle name="Accent5 - 60%" xfId="1558" xr:uid="{00000000-0005-0000-0000-000086090000}"/>
    <cellStyle name="Accent5 - 60% 10" xfId="1559" xr:uid="{00000000-0005-0000-0000-000087090000}"/>
    <cellStyle name="Accent5 - 60% 11" xfId="1560" xr:uid="{00000000-0005-0000-0000-000088090000}"/>
    <cellStyle name="Accent5 - 60% 12" xfId="1561" xr:uid="{00000000-0005-0000-0000-000089090000}"/>
    <cellStyle name="Accent5 - 60% 13" xfId="1562" xr:uid="{00000000-0005-0000-0000-00008A090000}"/>
    <cellStyle name="Accent5 - 60% 14" xfId="1563" xr:uid="{00000000-0005-0000-0000-00008B090000}"/>
    <cellStyle name="Accent5 - 60% 15" xfId="1564" xr:uid="{00000000-0005-0000-0000-00008C090000}"/>
    <cellStyle name="Accent5 - 60% 16" xfId="1565" xr:uid="{00000000-0005-0000-0000-00008D090000}"/>
    <cellStyle name="Accent5 - 60% 17" xfId="1566" xr:uid="{00000000-0005-0000-0000-00008E090000}"/>
    <cellStyle name="Accent5 - 60% 18" xfId="1567" xr:uid="{00000000-0005-0000-0000-00008F090000}"/>
    <cellStyle name="Accent5 - 60% 19" xfId="1568" xr:uid="{00000000-0005-0000-0000-000090090000}"/>
    <cellStyle name="Accent5 - 60% 2" xfId="1569" xr:uid="{00000000-0005-0000-0000-000091090000}"/>
    <cellStyle name="Accent5 - 60% 2 2" xfId="1570" xr:uid="{00000000-0005-0000-0000-000092090000}"/>
    <cellStyle name="Accent5 - 60% 20" xfId="1571" xr:uid="{00000000-0005-0000-0000-000093090000}"/>
    <cellStyle name="Accent5 - 60% 21" xfId="1572" xr:uid="{00000000-0005-0000-0000-000094090000}"/>
    <cellStyle name="Accent5 - 60% 22" xfId="1573" xr:uid="{00000000-0005-0000-0000-000095090000}"/>
    <cellStyle name="Accent5 - 60% 23" xfId="1574" xr:uid="{00000000-0005-0000-0000-000096090000}"/>
    <cellStyle name="Accent5 - 60% 24" xfId="1575" xr:uid="{00000000-0005-0000-0000-000097090000}"/>
    <cellStyle name="Accent5 - 60% 25" xfId="1576" xr:uid="{00000000-0005-0000-0000-000098090000}"/>
    <cellStyle name="Accent5 - 60% 26" xfId="1577" xr:uid="{00000000-0005-0000-0000-000099090000}"/>
    <cellStyle name="Accent5 - 60% 27" xfId="1578" xr:uid="{00000000-0005-0000-0000-00009A090000}"/>
    <cellStyle name="Accent5 - 60% 28" xfId="1579" xr:uid="{00000000-0005-0000-0000-00009B090000}"/>
    <cellStyle name="Accent5 - 60% 29" xfId="1580" xr:uid="{00000000-0005-0000-0000-00009C090000}"/>
    <cellStyle name="Accent5 - 60% 3" xfId="1581" xr:uid="{00000000-0005-0000-0000-00009D090000}"/>
    <cellStyle name="Accent5 - 60% 30" xfId="1582" xr:uid="{00000000-0005-0000-0000-00009E090000}"/>
    <cellStyle name="Accent5 - 60% 31" xfId="1583" xr:uid="{00000000-0005-0000-0000-00009F090000}"/>
    <cellStyle name="Accent5 - 60% 32" xfId="1584" xr:uid="{00000000-0005-0000-0000-0000A0090000}"/>
    <cellStyle name="Accent5 - 60% 33" xfId="1585" xr:uid="{00000000-0005-0000-0000-0000A1090000}"/>
    <cellStyle name="Accent5 - 60% 34" xfId="1586" xr:uid="{00000000-0005-0000-0000-0000A2090000}"/>
    <cellStyle name="Accent5 - 60% 35" xfId="1587" xr:uid="{00000000-0005-0000-0000-0000A3090000}"/>
    <cellStyle name="Accent5 - 60% 36" xfId="1588" xr:uid="{00000000-0005-0000-0000-0000A4090000}"/>
    <cellStyle name="Accent5 - 60% 37" xfId="1589" xr:uid="{00000000-0005-0000-0000-0000A5090000}"/>
    <cellStyle name="Accent5 - 60% 38" xfId="1590" xr:uid="{00000000-0005-0000-0000-0000A6090000}"/>
    <cellStyle name="Accent5 - 60% 39" xfId="1591" xr:uid="{00000000-0005-0000-0000-0000A7090000}"/>
    <cellStyle name="Accent5 - 60% 4" xfId="1592" xr:uid="{00000000-0005-0000-0000-0000A8090000}"/>
    <cellStyle name="Accent5 - 60% 40" xfId="1593" xr:uid="{00000000-0005-0000-0000-0000A9090000}"/>
    <cellStyle name="Accent5 - 60% 41" xfId="1594" xr:uid="{00000000-0005-0000-0000-0000AA090000}"/>
    <cellStyle name="Accent5 - 60% 42" xfId="1595" xr:uid="{00000000-0005-0000-0000-0000AB090000}"/>
    <cellStyle name="Accent5 - 60% 43" xfId="1596" xr:uid="{00000000-0005-0000-0000-0000AC090000}"/>
    <cellStyle name="Accent5 - 60% 44" xfId="1597" xr:uid="{00000000-0005-0000-0000-0000AD090000}"/>
    <cellStyle name="Accent5 - 60% 45" xfId="1598" xr:uid="{00000000-0005-0000-0000-0000AE090000}"/>
    <cellStyle name="Accent5 - 60% 46" xfId="1599" xr:uid="{00000000-0005-0000-0000-0000AF090000}"/>
    <cellStyle name="Accent5 - 60% 5" xfId="1600" xr:uid="{00000000-0005-0000-0000-0000B0090000}"/>
    <cellStyle name="Accent5 - 60% 6" xfId="1601" xr:uid="{00000000-0005-0000-0000-0000B1090000}"/>
    <cellStyle name="Accent5 - 60% 7" xfId="1602" xr:uid="{00000000-0005-0000-0000-0000B2090000}"/>
    <cellStyle name="Accent5 - 60% 8" xfId="1603" xr:uid="{00000000-0005-0000-0000-0000B3090000}"/>
    <cellStyle name="Accent5 - 60% 9" xfId="1604" xr:uid="{00000000-0005-0000-0000-0000B4090000}"/>
    <cellStyle name="Accent5 10" xfId="1605" xr:uid="{00000000-0005-0000-0000-0000B5090000}"/>
    <cellStyle name="Accent5 10 2" xfId="1606" xr:uid="{00000000-0005-0000-0000-0000B6090000}"/>
    <cellStyle name="Accent5 10 3" xfId="1607" xr:uid="{00000000-0005-0000-0000-0000B7090000}"/>
    <cellStyle name="Accent5 10 4" xfId="1608" xr:uid="{00000000-0005-0000-0000-0000B8090000}"/>
    <cellStyle name="Accent5 10 5" xfId="1609" xr:uid="{00000000-0005-0000-0000-0000B9090000}"/>
    <cellStyle name="Accent5 10 6" xfId="1610" xr:uid="{00000000-0005-0000-0000-0000BA090000}"/>
    <cellStyle name="Accent5 10 7" xfId="1611" xr:uid="{00000000-0005-0000-0000-0000BB090000}"/>
    <cellStyle name="Accent5 10 8" xfId="1612" xr:uid="{00000000-0005-0000-0000-0000BC090000}"/>
    <cellStyle name="Accent5 10 9" xfId="1613" xr:uid="{00000000-0005-0000-0000-0000BD090000}"/>
    <cellStyle name="Accent5 11" xfId="1614" xr:uid="{00000000-0005-0000-0000-0000BE090000}"/>
    <cellStyle name="Accent5 11 2" xfId="1615" xr:uid="{00000000-0005-0000-0000-0000BF090000}"/>
    <cellStyle name="Accent5 11 3" xfId="1616" xr:uid="{00000000-0005-0000-0000-0000C0090000}"/>
    <cellStyle name="Accent5 11 4" xfId="1617" xr:uid="{00000000-0005-0000-0000-0000C1090000}"/>
    <cellStyle name="Accent5 11 5" xfId="1618" xr:uid="{00000000-0005-0000-0000-0000C2090000}"/>
    <cellStyle name="Accent5 11 6" xfId="1619" xr:uid="{00000000-0005-0000-0000-0000C3090000}"/>
    <cellStyle name="Accent5 11 7" xfId="1620" xr:uid="{00000000-0005-0000-0000-0000C4090000}"/>
    <cellStyle name="Accent5 11 8" xfId="1621" xr:uid="{00000000-0005-0000-0000-0000C5090000}"/>
    <cellStyle name="Accent5 11 9" xfId="1622" xr:uid="{00000000-0005-0000-0000-0000C6090000}"/>
    <cellStyle name="Accent5 12" xfId="1623" xr:uid="{00000000-0005-0000-0000-0000C7090000}"/>
    <cellStyle name="Accent5 12 2" xfId="1624" xr:uid="{00000000-0005-0000-0000-0000C8090000}"/>
    <cellStyle name="Accent5 13" xfId="1625" xr:uid="{00000000-0005-0000-0000-0000C9090000}"/>
    <cellStyle name="Accent5 14" xfId="1626" xr:uid="{00000000-0005-0000-0000-0000CA090000}"/>
    <cellStyle name="Accent5 15" xfId="1627" xr:uid="{00000000-0005-0000-0000-0000CB090000}"/>
    <cellStyle name="Accent5 16" xfId="1628" xr:uid="{00000000-0005-0000-0000-0000CC090000}"/>
    <cellStyle name="Accent5 17" xfId="1629" xr:uid="{00000000-0005-0000-0000-0000CD090000}"/>
    <cellStyle name="Accent5 18" xfId="1630" xr:uid="{00000000-0005-0000-0000-0000CE090000}"/>
    <cellStyle name="Accent5 19" xfId="1631" xr:uid="{00000000-0005-0000-0000-0000CF090000}"/>
    <cellStyle name="Accent5 2" xfId="1632" xr:uid="{00000000-0005-0000-0000-0000D0090000}"/>
    <cellStyle name="Accent5 2 2" xfId="1633" xr:uid="{00000000-0005-0000-0000-0000D1090000}"/>
    <cellStyle name="Accent5 2 2 2" xfId="1634" xr:uid="{00000000-0005-0000-0000-0000D2090000}"/>
    <cellStyle name="Accent5 2 3" xfId="1635" xr:uid="{00000000-0005-0000-0000-0000D3090000}"/>
    <cellStyle name="Accent5 2 3 2" xfId="1636" xr:uid="{00000000-0005-0000-0000-0000D4090000}"/>
    <cellStyle name="Accent5 2 4" xfId="1637" xr:uid="{00000000-0005-0000-0000-0000D5090000}"/>
    <cellStyle name="Accent5 2 4 2" xfId="1638" xr:uid="{00000000-0005-0000-0000-0000D6090000}"/>
    <cellStyle name="Accent5 2 5" xfId="1639" xr:uid="{00000000-0005-0000-0000-0000D7090000}"/>
    <cellStyle name="Accent5 2 6" xfId="8930" xr:uid="{00000000-0005-0000-0000-0000D8090000}"/>
    <cellStyle name="Accent5 20" xfId="1640" xr:uid="{00000000-0005-0000-0000-0000D9090000}"/>
    <cellStyle name="Accent5 21" xfId="1641" xr:uid="{00000000-0005-0000-0000-0000DA090000}"/>
    <cellStyle name="Accent5 22" xfId="1642" xr:uid="{00000000-0005-0000-0000-0000DB090000}"/>
    <cellStyle name="Accent5 23" xfId="1643" xr:uid="{00000000-0005-0000-0000-0000DC090000}"/>
    <cellStyle name="Accent5 24" xfId="1644" xr:uid="{00000000-0005-0000-0000-0000DD090000}"/>
    <cellStyle name="Accent5 24 2" xfId="1645" xr:uid="{00000000-0005-0000-0000-0000DE090000}"/>
    <cellStyle name="Accent5 25" xfId="1646" xr:uid="{00000000-0005-0000-0000-0000DF090000}"/>
    <cellStyle name="Accent5 26" xfId="8927" xr:uid="{00000000-0005-0000-0000-0000E0090000}"/>
    <cellStyle name="Accent5 27" xfId="8823" xr:uid="{00000000-0005-0000-0000-0000E1090000}"/>
    <cellStyle name="Accent5 28" xfId="8891" xr:uid="{00000000-0005-0000-0000-0000E2090000}"/>
    <cellStyle name="Accent5 3" xfId="1647" xr:uid="{00000000-0005-0000-0000-0000E3090000}"/>
    <cellStyle name="Accent5 3 2" xfId="1648" xr:uid="{00000000-0005-0000-0000-0000E4090000}"/>
    <cellStyle name="Accent5 3 3" xfId="1649" xr:uid="{00000000-0005-0000-0000-0000E5090000}"/>
    <cellStyle name="Accent5 3 4" xfId="1650" xr:uid="{00000000-0005-0000-0000-0000E6090000}"/>
    <cellStyle name="Accent5 3 5" xfId="1651" xr:uid="{00000000-0005-0000-0000-0000E7090000}"/>
    <cellStyle name="Accent5 4" xfId="1652" xr:uid="{00000000-0005-0000-0000-0000E8090000}"/>
    <cellStyle name="Accent5 4 2" xfId="1653" xr:uid="{00000000-0005-0000-0000-0000E9090000}"/>
    <cellStyle name="Accent5 4 3" xfId="1654" xr:uid="{00000000-0005-0000-0000-0000EA090000}"/>
    <cellStyle name="Accent5 4 4" xfId="1655" xr:uid="{00000000-0005-0000-0000-0000EB090000}"/>
    <cellStyle name="Accent5 4 5" xfId="1656" xr:uid="{00000000-0005-0000-0000-0000EC090000}"/>
    <cellStyle name="Accent5 5" xfId="1657" xr:uid="{00000000-0005-0000-0000-0000ED090000}"/>
    <cellStyle name="Accent5 5 2" xfId="1658" xr:uid="{00000000-0005-0000-0000-0000EE090000}"/>
    <cellStyle name="Accent5 5 3" xfId="1659" xr:uid="{00000000-0005-0000-0000-0000EF090000}"/>
    <cellStyle name="Accent5 5 4" xfId="1660" xr:uid="{00000000-0005-0000-0000-0000F0090000}"/>
    <cellStyle name="Accent5 5 5" xfId="1661" xr:uid="{00000000-0005-0000-0000-0000F1090000}"/>
    <cellStyle name="Accent5 6" xfId="1662" xr:uid="{00000000-0005-0000-0000-0000F2090000}"/>
    <cellStyle name="Accent5 6 2" xfId="1663" xr:uid="{00000000-0005-0000-0000-0000F3090000}"/>
    <cellStyle name="Accent5 6 3" xfId="1664" xr:uid="{00000000-0005-0000-0000-0000F4090000}"/>
    <cellStyle name="Accent5 6 4" xfId="1665" xr:uid="{00000000-0005-0000-0000-0000F5090000}"/>
    <cellStyle name="Accent5 6 5" xfId="1666" xr:uid="{00000000-0005-0000-0000-0000F6090000}"/>
    <cellStyle name="Accent5 7" xfId="1667" xr:uid="{00000000-0005-0000-0000-0000F7090000}"/>
    <cellStyle name="Accent5 7 2" xfId="1668" xr:uid="{00000000-0005-0000-0000-0000F8090000}"/>
    <cellStyle name="Accent5 7 3" xfId="1669" xr:uid="{00000000-0005-0000-0000-0000F9090000}"/>
    <cellStyle name="Accent5 7 4" xfId="1670" xr:uid="{00000000-0005-0000-0000-0000FA090000}"/>
    <cellStyle name="Accent5 7 5" xfId="1671" xr:uid="{00000000-0005-0000-0000-0000FB090000}"/>
    <cellStyle name="Accent5 8" xfId="1672" xr:uid="{00000000-0005-0000-0000-0000FC090000}"/>
    <cellStyle name="Accent5 8 2" xfId="1673" xr:uid="{00000000-0005-0000-0000-0000FD090000}"/>
    <cellStyle name="Accent5 8 3" xfId="1674" xr:uid="{00000000-0005-0000-0000-0000FE090000}"/>
    <cellStyle name="Accent5 8 4" xfId="1675" xr:uid="{00000000-0005-0000-0000-0000FF090000}"/>
    <cellStyle name="Accent5 9" xfId="1676" xr:uid="{00000000-0005-0000-0000-0000000A0000}"/>
    <cellStyle name="Accent5 9 2" xfId="1677" xr:uid="{00000000-0005-0000-0000-0000010A0000}"/>
    <cellStyle name="Accent5 9 3" xfId="1678" xr:uid="{00000000-0005-0000-0000-0000020A0000}"/>
    <cellStyle name="Accent5 9 4" xfId="1679" xr:uid="{00000000-0005-0000-0000-0000030A0000}"/>
    <cellStyle name="Accent5 9 5" xfId="1680" xr:uid="{00000000-0005-0000-0000-0000040A0000}"/>
    <cellStyle name="Accent5 9 6" xfId="1681" xr:uid="{00000000-0005-0000-0000-0000050A0000}"/>
    <cellStyle name="Accent5 9 7" xfId="1682" xr:uid="{00000000-0005-0000-0000-0000060A0000}"/>
    <cellStyle name="Accent5 9 8" xfId="1683" xr:uid="{00000000-0005-0000-0000-0000070A0000}"/>
    <cellStyle name="Accent5 9 9" xfId="1684" xr:uid="{00000000-0005-0000-0000-0000080A0000}"/>
    <cellStyle name="Accent6" xfId="8280" builtinId="49" customBuiltin="1"/>
    <cellStyle name="Accent6 - 20%" xfId="1685" xr:uid="{00000000-0005-0000-0000-00000A0A0000}"/>
    <cellStyle name="Accent6 - 20% 10" xfId="1686" xr:uid="{00000000-0005-0000-0000-00000B0A0000}"/>
    <cellStyle name="Accent6 - 20% 11" xfId="1687" xr:uid="{00000000-0005-0000-0000-00000C0A0000}"/>
    <cellStyle name="Accent6 - 20% 12" xfId="1688" xr:uid="{00000000-0005-0000-0000-00000D0A0000}"/>
    <cellStyle name="Accent6 - 20% 13" xfId="1689" xr:uid="{00000000-0005-0000-0000-00000E0A0000}"/>
    <cellStyle name="Accent6 - 20% 14" xfId="1690" xr:uid="{00000000-0005-0000-0000-00000F0A0000}"/>
    <cellStyle name="Accent6 - 20% 15" xfId="1691" xr:uid="{00000000-0005-0000-0000-0000100A0000}"/>
    <cellStyle name="Accent6 - 20% 16" xfId="1692" xr:uid="{00000000-0005-0000-0000-0000110A0000}"/>
    <cellStyle name="Accent6 - 20% 17" xfId="1693" xr:uid="{00000000-0005-0000-0000-0000120A0000}"/>
    <cellStyle name="Accent6 - 20% 18" xfId="1694" xr:uid="{00000000-0005-0000-0000-0000130A0000}"/>
    <cellStyle name="Accent6 - 20% 19" xfId="1695" xr:uid="{00000000-0005-0000-0000-0000140A0000}"/>
    <cellStyle name="Accent6 - 20% 2" xfId="1696" xr:uid="{00000000-0005-0000-0000-0000150A0000}"/>
    <cellStyle name="Accent6 - 20% 2 2" xfId="1697" xr:uid="{00000000-0005-0000-0000-0000160A0000}"/>
    <cellStyle name="Accent6 - 20% 20" xfId="1698" xr:uid="{00000000-0005-0000-0000-0000170A0000}"/>
    <cellStyle name="Accent6 - 20% 21" xfId="1699" xr:uid="{00000000-0005-0000-0000-0000180A0000}"/>
    <cellStyle name="Accent6 - 20% 22" xfId="1700" xr:uid="{00000000-0005-0000-0000-0000190A0000}"/>
    <cellStyle name="Accent6 - 20% 23" xfId="1701" xr:uid="{00000000-0005-0000-0000-00001A0A0000}"/>
    <cellStyle name="Accent6 - 20% 24" xfId="1702" xr:uid="{00000000-0005-0000-0000-00001B0A0000}"/>
    <cellStyle name="Accent6 - 20% 3" xfId="1703" xr:uid="{00000000-0005-0000-0000-00001C0A0000}"/>
    <cellStyle name="Accent6 - 20% 4" xfId="1704" xr:uid="{00000000-0005-0000-0000-00001D0A0000}"/>
    <cellStyle name="Accent6 - 20% 5" xfId="1705" xr:uid="{00000000-0005-0000-0000-00001E0A0000}"/>
    <cellStyle name="Accent6 - 20% 6" xfId="1706" xr:uid="{00000000-0005-0000-0000-00001F0A0000}"/>
    <cellStyle name="Accent6 - 20% 7" xfId="1707" xr:uid="{00000000-0005-0000-0000-0000200A0000}"/>
    <cellStyle name="Accent6 - 20% 8" xfId="1708" xr:uid="{00000000-0005-0000-0000-0000210A0000}"/>
    <cellStyle name="Accent6 - 20% 9" xfId="1709" xr:uid="{00000000-0005-0000-0000-0000220A0000}"/>
    <cellStyle name="Accent6 - 40%" xfId="1710" xr:uid="{00000000-0005-0000-0000-0000230A0000}"/>
    <cellStyle name="Accent6 - 40% 10" xfId="1711" xr:uid="{00000000-0005-0000-0000-0000240A0000}"/>
    <cellStyle name="Accent6 - 40% 11" xfId="1712" xr:uid="{00000000-0005-0000-0000-0000250A0000}"/>
    <cellStyle name="Accent6 - 40% 12" xfId="1713" xr:uid="{00000000-0005-0000-0000-0000260A0000}"/>
    <cellStyle name="Accent6 - 40% 13" xfId="1714" xr:uid="{00000000-0005-0000-0000-0000270A0000}"/>
    <cellStyle name="Accent6 - 40% 14" xfId="1715" xr:uid="{00000000-0005-0000-0000-0000280A0000}"/>
    <cellStyle name="Accent6 - 40% 15" xfId="1716" xr:uid="{00000000-0005-0000-0000-0000290A0000}"/>
    <cellStyle name="Accent6 - 40% 16" xfId="1717" xr:uid="{00000000-0005-0000-0000-00002A0A0000}"/>
    <cellStyle name="Accent6 - 40% 17" xfId="1718" xr:uid="{00000000-0005-0000-0000-00002B0A0000}"/>
    <cellStyle name="Accent6 - 40% 18" xfId="1719" xr:uid="{00000000-0005-0000-0000-00002C0A0000}"/>
    <cellStyle name="Accent6 - 40% 19" xfId="1720" xr:uid="{00000000-0005-0000-0000-00002D0A0000}"/>
    <cellStyle name="Accent6 - 40% 2" xfId="1721" xr:uid="{00000000-0005-0000-0000-00002E0A0000}"/>
    <cellStyle name="Accent6 - 40% 2 2" xfId="1722" xr:uid="{00000000-0005-0000-0000-00002F0A0000}"/>
    <cellStyle name="Accent6 - 40% 20" xfId="1723" xr:uid="{00000000-0005-0000-0000-0000300A0000}"/>
    <cellStyle name="Accent6 - 40% 21" xfId="1724" xr:uid="{00000000-0005-0000-0000-0000310A0000}"/>
    <cellStyle name="Accent6 - 40% 22" xfId="1725" xr:uid="{00000000-0005-0000-0000-0000320A0000}"/>
    <cellStyle name="Accent6 - 40% 23" xfId="1726" xr:uid="{00000000-0005-0000-0000-0000330A0000}"/>
    <cellStyle name="Accent6 - 40% 24" xfId="1727" xr:uid="{00000000-0005-0000-0000-0000340A0000}"/>
    <cellStyle name="Accent6 - 40% 25" xfId="1728" xr:uid="{00000000-0005-0000-0000-0000350A0000}"/>
    <cellStyle name="Accent6 - 40% 26" xfId="1729" xr:uid="{00000000-0005-0000-0000-0000360A0000}"/>
    <cellStyle name="Accent6 - 40% 27" xfId="1730" xr:uid="{00000000-0005-0000-0000-0000370A0000}"/>
    <cellStyle name="Accent6 - 40% 28" xfId="1731" xr:uid="{00000000-0005-0000-0000-0000380A0000}"/>
    <cellStyle name="Accent6 - 40% 29" xfId="1732" xr:uid="{00000000-0005-0000-0000-0000390A0000}"/>
    <cellStyle name="Accent6 - 40% 3" xfId="1733" xr:uid="{00000000-0005-0000-0000-00003A0A0000}"/>
    <cellStyle name="Accent6 - 40% 30" xfId="1734" xr:uid="{00000000-0005-0000-0000-00003B0A0000}"/>
    <cellStyle name="Accent6 - 40% 31" xfId="1735" xr:uid="{00000000-0005-0000-0000-00003C0A0000}"/>
    <cellStyle name="Accent6 - 40% 32" xfId="1736" xr:uid="{00000000-0005-0000-0000-00003D0A0000}"/>
    <cellStyle name="Accent6 - 40% 33" xfId="1737" xr:uid="{00000000-0005-0000-0000-00003E0A0000}"/>
    <cellStyle name="Accent6 - 40% 34" xfId="1738" xr:uid="{00000000-0005-0000-0000-00003F0A0000}"/>
    <cellStyle name="Accent6 - 40% 35" xfId="1739" xr:uid="{00000000-0005-0000-0000-0000400A0000}"/>
    <cellStyle name="Accent6 - 40% 36" xfId="1740" xr:uid="{00000000-0005-0000-0000-0000410A0000}"/>
    <cellStyle name="Accent6 - 40% 37" xfId="1741" xr:uid="{00000000-0005-0000-0000-0000420A0000}"/>
    <cellStyle name="Accent6 - 40% 38" xfId="1742" xr:uid="{00000000-0005-0000-0000-0000430A0000}"/>
    <cellStyle name="Accent6 - 40% 39" xfId="1743" xr:uid="{00000000-0005-0000-0000-0000440A0000}"/>
    <cellStyle name="Accent6 - 40% 4" xfId="1744" xr:uid="{00000000-0005-0000-0000-0000450A0000}"/>
    <cellStyle name="Accent6 - 40% 40" xfId="1745" xr:uid="{00000000-0005-0000-0000-0000460A0000}"/>
    <cellStyle name="Accent6 - 40% 41" xfId="1746" xr:uid="{00000000-0005-0000-0000-0000470A0000}"/>
    <cellStyle name="Accent6 - 40% 42" xfId="1747" xr:uid="{00000000-0005-0000-0000-0000480A0000}"/>
    <cellStyle name="Accent6 - 40% 43" xfId="1748" xr:uid="{00000000-0005-0000-0000-0000490A0000}"/>
    <cellStyle name="Accent6 - 40% 44" xfId="1749" xr:uid="{00000000-0005-0000-0000-00004A0A0000}"/>
    <cellStyle name="Accent6 - 40% 45" xfId="1750" xr:uid="{00000000-0005-0000-0000-00004B0A0000}"/>
    <cellStyle name="Accent6 - 40% 46" xfId="1751" xr:uid="{00000000-0005-0000-0000-00004C0A0000}"/>
    <cellStyle name="Accent6 - 40% 47" xfId="1752" xr:uid="{00000000-0005-0000-0000-00004D0A0000}"/>
    <cellStyle name="Accent6 - 40% 5" xfId="1753" xr:uid="{00000000-0005-0000-0000-00004E0A0000}"/>
    <cellStyle name="Accent6 - 40% 6" xfId="1754" xr:uid="{00000000-0005-0000-0000-00004F0A0000}"/>
    <cellStyle name="Accent6 - 40% 7" xfId="1755" xr:uid="{00000000-0005-0000-0000-0000500A0000}"/>
    <cellStyle name="Accent6 - 40% 8" xfId="1756" xr:uid="{00000000-0005-0000-0000-0000510A0000}"/>
    <cellStyle name="Accent6 - 40% 9" xfId="1757" xr:uid="{00000000-0005-0000-0000-0000520A0000}"/>
    <cellStyle name="Accent6 - 60%" xfId="1758" xr:uid="{00000000-0005-0000-0000-0000530A0000}"/>
    <cellStyle name="Accent6 - 60% 10" xfId="1759" xr:uid="{00000000-0005-0000-0000-0000540A0000}"/>
    <cellStyle name="Accent6 - 60% 11" xfId="1760" xr:uid="{00000000-0005-0000-0000-0000550A0000}"/>
    <cellStyle name="Accent6 - 60% 12" xfId="1761" xr:uid="{00000000-0005-0000-0000-0000560A0000}"/>
    <cellStyle name="Accent6 - 60% 13" xfId="1762" xr:uid="{00000000-0005-0000-0000-0000570A0000}"/>
    <cellStyle name="Accent6 - 60% 14" xfId="1763" xr:uid="{00000000-0005-0000-0000-0000580A0000}"/>
    <cellStyle name="Accent6 - 60% 15" xfId="1764" xr:uid="{00000000-0005-0000-0000-0000590A0000}"/>
    <cellStyle name="Accent6 - 60% 16" xfId="1765" xr:uid="{00000000-0005-0000-0000-00005A0A0000}"/>
    <cellStyle name="Accent6 - 60% 17" xfId="1766" xr:uid="{00000000-0005-0000-0000-00005B0A0000}"/>
    <cellStyle name="Accent6 - 60% 18" xfId="1767" xr:uid="{00000000-0005-0000-0000-00005C0A0000}"/>
    <cellStyle name="Accent6 - 60% 19" xfId="1768" xr:uid="{00000000-0005-0000-0000-00005D0A0000}"/>
    <cellStyle name="Accent6 - 60% 2" xfId="1769" xr:uid="{00000000-0005-0000-0000-00005E0A0000}"/>
    <cellStyle name="Accent6 - 60% 2 2" xfId="1770" xr:uid="{00000000-0005-0000-0000-00005F0A0000}"/>
    <cellStyle name="Accent6 - 60% 20" xfId="1771" xr:uid="{00000000-0005-0000-0000-0000600A0000}"/>
    <cellStyle name="Accent6 - 60% 21" xfId="1772" xr:uid="{00000000-0005-0000-0000-0000610A0000}"/>
    <cellStyle name="Accent6 - 60% 22" xfId="1773" xr:uid="{00000000-0005-0000-0000-0000620A0000}"/>
    <cellStyle name="Accent6 - 60% 23" xfId="1774" xr:uid="{00000000-0005-0000-0000-0000630A0000}"/>
    <cellStyle name="Accent6 - 60% 24" xfId="1775" xr:uid="{00000000-0005-0000-0000-0000640A0000}"/>
    <cellStyle name="Accent6 - 60% 25" xfId="1776" xr:uid="{00000000-0005-0000-0000-0000650A0000}"/>
    <cellStyle name="Accent6 - 60% 26" xfId="1777" xr:uid="{00000000-0005-0000-0000-0000660A0000}"/>
    <cellStyle name="Accent6 - 60% 27" xfId="1778" xr:uid="{00000000-0005-0000-0000-0000670A0000}"/>
    <cellStyle name="Accent6 - 60% 28" xfId="1779" xr:uid="{00000000-0005-0000-0000-0000680A0000}"/>
    <cellStyle name="Accent6 - 60% 29" xfId="1780" xr:uid="{00000000-0005-0000-0000-0000690A0000}"/>
    <cellStyle name="Accent6 - 60% 3" xfId="1781" xr:uid="{00000000-0005-0000-0000-00006A0A0000}"/>
    <cellStyle name="Accent6 - 60% 30" xfId="1782" xr:uid="{00000000-0005-0000-0000-00006B0A0000}"/>
    <cellStyle name="Accent6 - 60% 31" xfId="1783" xr:uid="{00000000-0005-0000-0000-00006C0A0000}"/>
    <cellStyle name="Accent6 - 60% 32" xfId="1784" xr:uid="{00000000-0005-0000-0000-00006D0A0000}"/>
    <cellStyle name="Accent6 - 60% 33" xfId="1785" xr:uid="{00000000-0005-0000-0000-00006E0A0000}"/>
    <cellStyle name="Accent6 - 60% 34" xfId="1786" xr:uid="{00000000-0005-0000-0000-00006F0A0000}"/>
    <cellStyle name="Accent6 - 60% 35" xfId="1787" xr:uid="{00000000-0005-0000-0000-0000700A0000}"/>
    <cellStyle name="Accent6 - 60% 36" xfId="1788" xr:uid="{00000000-0005-0000-0000-0000710A0000}"/>
    <cellStyle name="Accent6 - 60% 37" xfId="1789" xr:uid="{00000000-0005-0000-0000-0000720A0000}"/>
    <cellStyle name="Accent6 - 60% 38" xfId="1790" xr:uid="{00000000-0005-0000-0000-0000730A0000}"/>
    <cellStyle name="Accent6 - 60% 39" xfId="1791" xr:uid="{00000000-0005-0000-0000-0000740A0000}"/>
    <cellStyle name="Accent6 - 60% 4" xfId="1792" xr:uid="{00000000-0005-0000-0000-0000750A0000}"/>
    <cellStyle name="Accent6 - 60% 40" xfId="1793" xr:uid="{00000000-0005-0000-0000-0000760A0000}"/>
    <cellStyle name="Accent6 - 60% 41" xfId="1794" xr:uid="{00000000-0005-0000-0000-0000770A0000}"/>
    <cellStyle name="Accent6 - 60% 42" xfId="1795" xr:uid="{00000000-0005-0000-0000-0000780A0000}"/>
    <cellStyle name="Accent6 - 60% 43" xfId="1796" xr:uid="{00000000-0005-0000-0000-0000790A0000}"/>
    <cellStyle name="Accent6 - 60% 44" xfId="1797" xr:uid="{00000000-0005-0000-0000-00007A0A0000}"/>
    <cellStyle name="Accent6 - 60% 45" xfId="1798" xr:uid="{00000000-0005-0000-0000-00007B0A0000}"/>
    <cellStyle name="Accent6 - 60% 46" xfId="1799" xr:uid="{00000000-0005-0000-0000-00007C0A0000}"/>
    <cellStyle name="Accent6 - 60% 5" xfId="1800" xr:uid="{00000000-0005-0000-0000-00007D0A0000}"/>
    <cellStyle name="Accent6 - 60% 6" xfId="1801" xr:uid="{00000000-0005-0000-0000-00007E0A0000}"/>
    <cellStyle name="Accent6 - 60% 7" xfId="1802" xr:uid="{00000000-0005-0000-0000-00007F0A0000}"/>
    <cellStyle name="Accent6 - 60% 8" xfId="1803" xr:uid="{00000000-0005-0000-0000-0000800A0000}"/>
    <cellStyle name="Accent6 - 60% 9" xfId="1804" xr:uid="{00000000-0005-0000-0000-0000810A0000}"/>
    <cellStyle name="Accent6 10" xfId="1805" xr:uid="{00000000-0005-0000-0000-0000820A0000}"/>
    <cellStyle name="Accent6 10 2" xfId="1806" xr:uid="{00000000-0005-0000-0000-0000830A0000}"/>
    <cellStyle name="Accent6 10 3" xfId="1807" xr:uid="{00000000-0005-0000-0000-0000840A0000}"/>
    <cellStyle name="Accent6 10 4" xfId="1808" xr:uid="{00000000-0005-0000-0000-0000850A0000}"/>
    <cellStyle name="Accent6 11" xfId="1809" xr:uid="{00000000-0005-0000-0000-0000860A0000}"/>
    <cellStyle name="Accent6 11 2" xfId="1810" xr:uid="{00000000-0005-0000-0000-0000870A0000}"/>
    <cellStyle name="Accent6 11 3" xfId="1811" xr:uid="{00000000-0005-0000-0000-0000880A0000}"/>
    <cellStyle name="Accent6 11 4" xfId="1812" xr:uid="{00000000-0005-0000-0000-0000890A0000}"/>
    <cellStyle name="Accent6 12" xfId="1813" xr:uid="{00000000-0005-0000-0000-00008A0A0000}"/>
    <cellStyle name="Accent6 12 2" xfId="1814" xr:uid="{00000000-0005-0000-0000-00008B0A0000}"/>
    <cellStyle name="Accent6 13" xfId="1815" xr:uid="{00000000-0005-0000-0000-00008C0A0000}"/>
    <cellStyle name="Accent6 14" xfId="1816" xr:uid="{00000000-0005-0000-0000-00008D0A0000}"/>
    <cellStyle name="Accent6 15" xfId="1817" xr:uid="{00000000-0005-0000-0000-00008E0A0000}"/>
    <cellStyle name="Accent6 16" xfId="1818" xr:uid="{00000000-0005-0000-0000-00008F0A0000}"/>
    <cellStyle name="Accent6 17" xfId="1819" xr:uid="{00000000-0005-0000-0000-0000900A0000}"/>
    <cellStyle name="Accent6 18" xfId="1820" xr:uid="{00000000-0005-0000-0000-0000910A0000}"/>
    <cellStyle name="Accent6 19" xfId="1821" xr:uid="{00000000-0005-0000-0000-0000920A0000}"/>
    <cellStyle name="Accent6 2" xfId="1822" xr:uid="{00000000-0005-0000-0000-0000930A0000}"/>
    <cellStyle name="Accent6 2 2" xfId="1823" xr:uid="{00000000-0005-0000-0000-0000940A0000}"/>
    <cellStyle name="Accent6 2 2 2" xfId="1824" xr:uid="{00000000-0005-0000-0000-0000950A0000}"/>
    <cellStyle name="Accent6 2 3" xfId="1825" xr:uid="{00000000-0005-0000-0000-0000960A0000}"/>
    <cellStyle name="Accent6 2 3 2" xfId="1826" xr:uid="{00000000-0005-0000-0000-0000970A0000}"/>
    <cellStyle name="Accent6 2 4" xfId="1827" xr:uid="{00000000-0005-0000-0000-0000980A0000}"/>
    <cellStyle name="Accent6 2 4 2" xfId="1828" xr:uid="{00000000-0005-0000-0000-0000990A0000}"/>
    <cellStyle name="Accent6 2 5" xfId="1829" xr:uid="{00000000-0005-0000-0000-00009A0A0000}"/>
    <cellStyle name="Accent6 20" xfId="1830" xr:uid="{00000000-0005-0000-0000-00009B0A0000}"/>
    <cellStyle name="Accent6 21" xfId="1831" xr:uid="{00000000-0005-0000-0000-00009C0A0000}"/>
    <cellStyle name="Accent6 22" xfId="1832" xr:uid="{00000000-0005-0000-0000-00009D0A0000}"/>
    <cellStyle name="Accent6 23" xfId="1833" xr:uid="{00000000-0005-0000-0000-00009E0A0000}"/>
    <cellStyle name="Accent6 24" xfId="1834" xr:uid="{00000000-0005-0000-0000-00009F0A0000}"/>
    <cellStyle name="Accent6 24 2" xfId="1835" xr:uid="{00000000-0005-0000-0000-0000A00A0000}"/>
    <cellStyle name="Accent6 25" xfId="1836" xr:uid="{00000000-0005-0000-0000-0000A10A0000}"/>
    <cellStyle name="Accent6 26" xfId="8723" xr:uid="{00000000-0005-0000-0000-0000A20A0000}"/>
    <cellStyle name="Accent6 27" xfId="8824" xr:uid="{00000000-0005-0000-0000-0000A30A0000}"/>
    <cellStyle name="Accent6 28" xfId="8885" xr:uid="{00000000-0005-0000-0000-0000A40A0000}"/>
    <cellStyle name="Accent6 3" xfId="1837" xr:uid="{00000000-0005-0000-0000-0000A50A0000}"/>
    <cellStyle name="Accent6 3 2" xfId="1838" xr:uid="{00000000-0005-0000-0000-0000A60A0000}"/>
    <cellStyle name="Accent6 3 3" xfId="1839" xr:uid="{00000000-0005-0000-0000-0000A70A0000}"/>
    <cellStyle name="Accent6 3 4" xfId="1840" xr:uid="{00000000-0005-0000-0000-0000A80A0000}"/>
    <cellStyle name="Accent6 3 5" xfId="1841" xr:uid="{00000000-0005-0000-0000-0000A90A0000}"/>
    <cellStyle name="Accent6 4" xfId="1842" xr:uid="{00000000-0005-0000-0000-0000AA0A0000}"/>
    <cellStyle name="Accent6 4 2" xfId="1843" xr:uid="{00000000-0005-0000-0000-0000AB0A0000}"/>
    <cellStyle name="Accent6 4 3" xfId="1844" xr:uid="{00000000-0005-0000-0000-0000AC0A0000}"/>
    <cellStyle name="Accent6 4 4" xfId="1845" xr:uid="{00000000-0005-0000-0000-0000AD0A0000}"/>
    <cellStyle name="Accent6 4 5" xfId="1846" xr:uid="{00000000-0005-0000-0000-0000AE0A0000}"/>
    <cellStyle name="Accent6 5" xfId="1847" xr:uid="{00000000-0005-0000-0000-0000AF0A0000}"/>
    <cellStyle name="Accent6 5 2" xfId="1848" xr:uid="{00000000-0005-0000-0000-0000B00A0000}"/>
    <cellStyle name="Accent6 5 3" xfId="1849" xr:uid="{00000000-0005-0000-0000-0000B10A0000}"/>
    <cellStyle name="Accent6 5 4" xfId="1850" xr:uid="{00000000-0005-0000-0000-0000B20A0000}"/>
    <cellStyle name="Accent6 5 5" xfId="1851" xr:uid="{00000000-0005-0000-0000-0000B30A0000}"/>
    <cellStyle name="Accent6 6" xfId="1852" xr:uid="{00000000-0005-0000-0000-0000B40A0000}"/>
    <cellStyle name="Accent6 6 2" xfId="1853" xr:uid="{00000000-0005-0000-0000-0000B50A0000}"/>
    <cellStyle name="Accent6 6 3" xfId="1854" xr:uid="{00000000-0005-0000-0000-0000B60A0000}"/>
    <cellStyle name="Accent6 6 4" xfId="1855" xr:uid="{00000000-0005-0000-0000-0000B70A0000}"/>
    <cellStyle name="Accent6 6 5" xfId="1856" xr:uid="{00000000-0005-0000-0000-0000B80A0000}"/>
    <cellStyle name="Accent6 7" xfId="1857" xr:uid="{00000000-0005-0000-0000-0000B90A0000}"/>
    <cellStyle name="Accent6 7 2" xfId="1858" xr:uid="{00000000-0005-0000-0000-0000BA0A0000}"/>
    <cellStyle name="Accent6 7 3" xfId="1859" xr:uid="{00000000-0005-0000-0000-0000BB0A0000}"/>
    <cellStyle name="Accent6 7 4" xfId="1860" xr:uid="{00000000-0005-0000-0000-0000BC0A0000}"/>
    <cellStyle name="Accent6 7 5" xfId="1861" xr:uid="{00000000-0005-0000-0000-0000BD0A0000}"/>
    <cellStyle name="Accent6 8" xfId="1862" xr:uid="{00000000-0005-0000-0000-0000BE0A0000}"/>
    <cellStyle name="Accent6 8 2" xfId="1863" xr:uid="{00000000-0005-0000-0000-0000BF0A0000}"/>
    <cellStyle name="Accent6 8 3" xfId="1864" xr:uid="{00000000-0005-0000-0000-0000C00A0000}"/>
    <cellStyle name="Accent6 8 4" xfId="1865" xr:uid="{00000000-0005-0000-0000-0000C10A0000}"/>
    <cellStyle name="Accent6 9" xfId="1866" xr:uid="{00000000-0005-0000-0000-0000C20A0000}"/>
    <cellStyle name="Accent6 9 2" xfId="1867" xr:uid="{00000000-0005-0000-0000-0000C30A0000}"/>
    <cellStyle name="Accent6 9 3" xfId="1868" xr:uid="{00000000-0005-0000-0000-0000C40A0000}"/>
    <cellStyle name="Accent6 9 4" xfId="1869" xr:uid="{00000000-0005-0000-0000-0000C50A0000}"/>
    <cellStyle name="Bad" xfId="8250" builtinId="27" customBuiltin="1"/>
    <cellStyle name="Bad 10" xfId="1870" xr:uid="{00000000-0005-0000-0000-0000C70A0000}"/>
    <cellStyle name="Bad 10 2" xfId="1871" xr:uid="{00000000-0005-0000-0000-0000C80A0000}"/>
    <cellStyle name="Bad 10 3" xfId="1872" xr:uid="{00000000-0005-0000-0000-0000C90A0000}"/>
    <cellStyle name="Bad 10 4" xfId="1873" xr:uid="{00000000-0005-0000-0000-0000CA0A0000}"/>
    <cellStyle name="Bad 10 5" xfId="1874" xr:uid="{00000000-0005-0000-0000-0000CB0A0000}"/>
    <cellStyle name="Bad 10 6" xfId="1875" xr:uid="{00000000-0005-0000-0000-0000CC0A0000}"/>
    <cellStyle name="Bad 10 7" xfId="1876" xr:uid="{00000000-0005-0000-0000-0000CD0A0000}"/>
    <cellStyle name="Bad 10 8" xfId="1877" xr:uid="{00000000-0005-0000-0000-0000CE0A0000}"/>
    <cellStyle name="Bad 10 9" xfId="1878" xr:uid="{00000000-0005-0000-0000-0000CF0A0000}"/>
    <cellStyle name="Bad 11" xfId="1879" xr:uid="{00000000-0005-0000-0000-0000D00A0000}"/>
    <cellStyle name="Bad 11 2" xfId="1880" xr:uid="{00000000-0005-0000-0000-0000D10A0000}"/>
    <cellStyle name="Bad 11 3" xfId="1881" xr:uid="{00000000-0005-0000-0000-0000D20A0000}"/>
    <cellStyle name="Bad 11 4" xfId="1882" xr:uid="{00000000-0005-0000-0000-0000D30A0000}"/>
    <cellStyle name="Bad 11 5" xfId="1883" xr:uid="{00000000-0005-0000-0000-0000D40A0000}"/>
    <cellStyle name="Bad 11 6" xfId="1884" xr:uid="{00000000-0005-0000-0000-0000D50A0000}"/>
    <cellStyle name="Bad 11 7" xfId="1885" xr:uid="{00000000-0005-0000-0000-0000D60A0000}"/>
    <cellStyle name="Bad 11 8" xfId="1886" xr:uid="{00000000-0005-0000-0000-0000D70A0000}"/>
    <cellStyle name="Bad 11 9" xfId="1887" xr:uid="{00000000-0005-0000-0000-0000D80A0000}"/>
    <cellStyle name="Bad 12" xfId="1888" xr:uid="{00000000-0005-0000-0000-0000D90A0000}"/>
    <cellStyle name="Bad 12 2" xfId="1889" xr:uid="{00000000-0005-0000-0000-0000DA0A0000}"/>
    <cellStyle name="Bad 13" xfId="1890" xr:uid="{00000000-0005-0000-0000-0000DB0A0000}"/>
    <cellStyle name="Bad 14" xfId="1891" xr:uid="{00000000-0005-0000-0000-0000DC0A0000}"/>
    <cellStyle name="Bad 15" xfId="1892" xr:uid="{00000000-0005-0000-0000-0000DD0A0000}"/>
    <cellStyle name="Bad 16" xfId="1893" xr:uid="{00000000-0005-0000-0000-0000DE0A0000}"/>
    <cellStyle name="Bad 17" xfId="1894" xr:uid="{00000000-0005-0000-0000-0000DF0A0000}"/>
    <cellStyle name="Bad 18" xfId="1895" xr:uid="{00000000-0005-0000-0000-0000E00A0000}"/>
    <cellStyle name="Bad 19" xfId="1896" xr:uid="{00000000-0005-0000-0000-0000E10A0000}"/>
    <cellStyle name="Bad 2" xfId="1897" xr:uid="{00000000-0005-0000-0000-0000E20A0000}"/>
    <cellStyle name="Bad 2 2" xfId="1898" xr:uid="{00000000-0005-0000-0000-0000E30A0000}"/>
    <cellStyle name="Bad 2 2 2" xfId="1899" xr:uid="{00000000-0005-0000-0000-0000E40A0000}"/>
    <cellStyle name="Bad 2 3" xfId="1900" xr:uid="{00000000-0005-0000-0000-0000E50A0000}"/>
    <cellStyle name="Bad 2 3 2" xfId="1901" xr:uid="{00000000-0005-0000-0000-0000E60A0000}"/>
    <cellStyle name="Bad 2 4" xfId="1902" xr:uid="{00000000-0005-0000-0000-0000E70A0000}"/>
    <cellStyle name="Bad 2 4 2" xfId="1903" xr:uid="{00000000-0005-0000-0000-0000E80A0000}"/>
    <cellStyle name="Bad 2 5" xfId="1904" xr:uid="{00000000-0005-0000-0000-0000E90A0000}"/>
    <cellStyle name="Bad 2 6" xfId="8861" xr:uid="{00000000-0005-0000-0000-0000EA0A0000}"/>
    <cellStyle name="Bad 20" xfId="1905" xr:uid="{00000000-0005-0000-0000-0000EB0A0000}"/>
    <cellStyle name="Bad 21" xfId="1906" xr:uid="{00000000-0005-0000-0000-0000EC0A0000}"/>
    <cellStyle name="Bad 22" xfId="1907" xr:uid="{00000000-0005-0000-0000-0000ED0A0000}"/>
    <cellStyle name="Bad 23" xfId="1908" xr:uid="{00000000-0005-0000-0000-0000EE0A0000}"/>
    <cellStyle name="Bad 24" xfId="1909" xr:uid="{00000000-0005-0000-0000-0000EF0A0000}"/>
    <cellStyle name="Bad 24 2" xfId="1910" xr:uid="{00000000-0005-0000-0000-0000F00A0000}"/>
    <cellStyle name="Bad 25" xfId="1911" xr:uid="{00000000-0005-0000-0000-0000F10A0000}"/>
    <cellStyle name="Bad 26" xfId="8919" xr:uid="{00000000-0005-0000-0000-0000F20A0000}"/>
    <cellStyle name="Bad 3" xfId="1912" xr:uid="{00000000-0005-0000-0000-0000F30A0000}"/>
    <cellStyle name="Bad 3 2" xfId="1913" xr:uid="{00000000-0005-0000-0000-0000F40A0000}"/>
    <cellStyle name="Bad 3 3" xfId="1914" xr:uid="{00000000-0005-0000-0000-0000F50A0000}"/>
    <cellStyle name="Bad 3 4" xfId="1915" xr:uid="{00000000-0005-0000-0000-0000F60A0000}"/>
    <cellStyle name="Bad 3 5" xfId="1916" xr:uid="{00000000-0005-0000-0000-0000F70A0000}"/>
    <cellStyle name="Bad 4" xfId="1917" xr:uid="{00000000-0005-0000-0000-0000F80A0000}"/>
    <cellStyle name="Bad 4 2" xfId="1918" xr:uid="{00000000-0005-0000-0000-0000F90A0000}"/>
    <cellStyle name="Bad 4 3" xfId="1919" xr:uid="{00000000-0005-0000-0000-0000FA0A0000}"/>
    <cellStyle name="Bad 4 4" xfId="1920" xr:uid="{00000000-0005-0000-0000-0000FB0A0000}"/>
    <cellStyle name="Bad 4 5" xfId="1921" xr:uid="{00000000-0005-0000-0000-0000FC0A0000}"/>
    <cellStyle name="Bad 5" xfId="1922" xr:uid="{00000000-0005-0000-0000-0000FD0A0000}"/>
    <cellStyle name="Bad 5 2" xfId="1923" xr:uid="{00000000-0005-0000-0000-0000FE0A0000}"/>
    <cellStyle name="Bad 5 3" xfId="1924" xr:uid="{00000000-0005-0000-0000-0000FF0A0000}"/>
    <cellStyle name="Bad 5 4" xfId="1925" xr:uid="{00000000-0005-0000-0000-0000000B0000}"/>
    <cellStyle name="Bad 5 5" xfId="1926" xr:uid="{00000000-0005-0000-0000-0000010B0000}"/>
    <cellStyle name="Bad 6" xfId="1927" xr:uid="{00000000-0005-0000-0000-0000020B0000}"/>
    <cellStyle name="Bad 6 2" xfId="1928" xr:uid="{00000000-0005-0000-0000-0000030B0000}"/>
    <cellStyle name="Bad 6 3" xfId="1929" xr:uid="{00000000-0005-0000-0000-0000040B0000}"/>
    <cellStyle name="Bad 6 4" xfId="1930" xr:uid="{00000000-0005-0000-0000-0000050B0000}"/>
    <cellStyle name="Bad 6 5" xfId="1931" xr:uid="{00000000-0005-0000-0000-0000060B0000}"/>
    <cellStyle name="Bad 7" xfId="1932" xr:uid="{00000000-0005-0000-0000-0000070B0000}"/>
    <cellStyle name="Bad 7 2" xfId="1933" xr:uid="{00000000-0005-0000-0000-0000080B0000}"/>
    <cellStyle name="Bad 7 3" xfId="1934" xr:uid="{00000000-0005-0000-0000-0000090B0000}"/>
    <cellStyle name="Bad 7 4" xfId="1935" xr:uid="{00000000-0005-0000-0000-00000A0B0000}"/>
    <cellStyle name="Bad 7 5" xfId="1936" xr:uid="{00000000-0005-0000-0000-00000B0B0000}"/>
    <cellStyle name="Bad 8" xfId="1937" xr:uid="{00000000-0005-0000-0000-00000C0B0000}"/>
    <cellStyle name="Bad 8 2" xfId="1938" xr:uid="{00000000-0005-0000-0000-00000D0B0000}"/>
    <cellStyle name="Bad 8 3" xfId="1939" xr:uid="{00000000-0005-0000-0000-00000E0B0000}"/>
    <cellStyle name="Bad 8 4" xfId="1940" xr:uid="{00000000-0005-0000-0000-00000F0B0000}"/>
    <cellStyle name="Bad 9" xfId="1941" xr:uid="{00000000-0005-0000-0000-0000100B0000}"/>
    <cellStyle name="Bad 9 2" xfId="1942" xr:uid="{00000000-0005-0000-0000-0000110B0000}"/>
    <cellStyle name="Bad 9 3" xfId="1943" xr:uid="{00000000-0005-0000-0000-0000120B0000}"/>
    <cellStyle name="Bad 9 4" xfId="1944" xr:uid="{00000000-0005-0000-0000-0000130B0000}"/>
    <cellStyle name="Bad 9 5" xfId="1945" xr:uid="{00000000-0005-0000-0000-0000140B0000}"/>
    <cellStyle name="Bad 9 6" xfId="1946" xr:uid="{00000000-0005-0000-0000-0000150B0000}"/>
    <cellStyle name="Bad 9 7" xfId="1947" xr:uid="{00000000-0005-0000-0000-0000160B0000}"/>
    <cellStyle name="Bad 9 8" xfId="1948" xr:uid="{00000000-0005-0000-0000-0000170B0000}"/>
    <cellStyle name="Bad 9 9" xfId="1949" xr:uid="{00000000-0005-0000-0000-0000180B0000}"/>
    <cellStyle name="Calculation" xfId="8254" builtinId="22" customBuiltin="1"/>
    <cellStyle name="Calculation 10" xfId="1950" xr:uid="{00000000-0005-0000-0000-00001A0B0000}"/>
    <cellStyle name="Calculation 10 2" xfId="1951" xr:uid="{00000000-0005-0000-0000-00001B0B0000}"/>
    <cellStyle name="Calculation 10 3" xfId="1952" xr:uid="{00000000-0005-0000-0000-00001C0B0000}"/>
    <cellStyle name="Calculation 10 4" xfId="1953" xr:uid="{00000000-0005-0000-0000-00001D0B0000}"/>
    <cellStyle name="Calculation 10 5" xfId="1954" xr:uid="{00000000-0005-0000-0000-00001E0B0000}"/>
    <cellStyle name="Calculation 10 6" xfId="1955" xr:uid="{00000000-0005-0000-0000-00001F0B0000}"/>
    <cellStyle name="Calculation 10 7" xfId="1956" xr:uid="{00000000-0005-0000-0000-0000200B0000}"/>
    <cellStyle name="Calculation 10 8" xfId="1957" xr:uid="{00000000-0005-0000-0000-0000210B0000}"/>
    <cellStyle name="Calculation 10 9" xfId="1958" xr:uid="{00000000-0005-0000-0000-0000220B0000}"/>
    <cellStyle name="Calculation 11" xfId="1959" xr:uid="{00000000-0005-0000-0000-0000230B0000}"/>
    <cellStyle name="Calculation 11 2" xfId="1960" xr:uid="{00000000-0005-0000-0000-0000240B0000}"/>
    <cellStyle name="Calculation 11 3" xfId="1961" xr:uid="{00000000-0005-0000-0000-0000250B0000}"/>
    <cellStyle name="Calculation 11 4" xfId="1962" xr:uid="{00000000-0005-0000-0000-0000260B0000}"/>
    <cellStyle name="Calculation 11 5" xfId="1963" xr:uid="{00000000-0005-0000-0000-0000270B0000}"/>
    <cellStyle name="Calculation 11 6" xfId="1964" xr:uid="{00000000-0005-0000-0000-0000280B0000}"/>
    <cellStyle name="Calculation 11 7" xfId="1965" xr:uid="{00000000-0005-0000-0000-0000290B0000}"/>
    <cellStyle name="Calculation 11 8" xfId="1966" xr:uid="{00000000-0005-0000-0000-00002A0B0000}"/>
    <cellStyle name="Calculation 11 9" xfId="1967" xr:uid="{00000000-0005-0000-0000-00002B0B0000}"/>
    <cellStyle name="Calculation 12" xfId="1968" xr:uid="{00000000-0005-0000-0000-00002C0B0000}"/>
    <cellStyle name="Calculation 12 2" xfId="1969" xr:uid="{00000000-0005-0000-0000-00002D0B0000}"/>
    <cellStyle name="Calculation 13" xfId="1970" xr:uid="{00000000-0005-0000-0000-00002E0B0000}"/>
    <cellStyle name="Calculation 14" xfId="1971" xr:uid="{00000000-0005-0000-0000-00002F0B0000}"/>
    <cellStyle name="Calculation 15" xfId="1972" xr:uid="{00000000-0005-0000-0000-0000300B0000}"/>
    <cellStyle name="Calculation 16" xfId="1973" xr:uid="{00000000-0005-0000-0000-0000310B0000}"/>
    <cellStyle name="Calculation 17" xfId="1974" xr:uid="{00000000-0005-0000-0000-0000320B0000}"/>
    <cellStyle name="Calculation 18" xfId="1975" xr:uid="{00000000-0005-0000-0000-0000330B0000}"/>
    <cellStyle name="Calculation 19" xfId="1976" xr:uid="{00000000-0005-0000-0000-0000340B0000}"/>
    <cellStyle name="Calculation 2" xfId="1977" xr:uid="{00000000-0005-0000-0000-0000350B0000}"/>
    <cellStyle name="Calculation 2 10" xfId="1978" xr:uid="{00000000-0005-0000-0000-0000360B0000}"/>
    <cellStyle name="Calculation 2 11" xfId="8851" xr:uid="{00000000-0005-0000-0000-0000370B0000}"/>
    <cellStyle name="Calculation 2 2" xfId="1979" xr:uid="{00000000-0005-0000-0000-0000380B0000}"/>
    <cellStyle name="Calculation 2 2 2" xfId="1980" xr:uid="{00000000-0005-0000-0000-0000390B0000}"/>
    <cellStyle name="Calculation 2 2 2 2" xfId="1981" xr:uid="{00000000-0005-0000-0000-00003A0B0000}"/>
    <cellStyle name="Calculation 2 2 2 3" xfId="1982" xr:uid="{00000000-0005-0000-0000-00003B0B0000}"/>
    <cellStyle name="Calculation 2 2 2 4" xfId="1983" xr:uid="{00000000-0005-0000-0000-00003C0B0000}"/>
    <cellStyle name="Calculation 2 2 2 5" xfId="1984" xr:uid="{00000000-0005-0000-0000-00003D0B0000}"/>
    <cellStyle name="Calculation 2 2 2 6" xfId="1985" xr:uid="{00000000-0005-0000-0000-00003E0B0000}"/>
    <cellStyle name="Calculation 2 2 2 7" xfId="1986" xr:uid="{00000000-0005-0000-0000-00003F0B0000}"/>
    <cellStyle name="Calculation 2 2 2 8" xfId="1987" xr:uid="{00000000-0005-0000-0000-0000400B0000}"/>
    <cellStyle name="Calculation 2 3" xfId="1988" xr:uid="{00000000-0005-0000-0000-0000410B0000}"/>
    <cellStyle name="Calculation 2 3 2" xfId="1989" xr:uid="{00000000-0005-0000-0000-0000420B0000}"/>
    <cellStyle name="Calculation 2 4" xfId="1990" xr:uid="{00000000-0005-0000-0000-0000430B0000}"/>
    <cellStyle name="Calculation 2 4 2" xfId="1991" xr:uid="{00000000-0005-0000-0000-0000440B0000}"/>
    <cellStyle name="Calculation 2 5" xfId="1992" xr:uid="{00000000-0005-0000-0000-0000450B0000}"/>
    <cellStyle name="Calculation 2 6" xfId="1993" xr:uid="{00000000-0005-0000-0000-0000460B0000}"/>
    <cellStyle name="Calculation 2 7" xfId="1994" xr:uid="{00000000-0005-0000-0000-0000470B0000}"/>
    <cellStyle name="Calculation 2 8" xfId="1995" xr:uid="{00000000-0005-0000-0000-0000480B0000}"/>
    <cellStyle name="Calculation 2 9" xfId="1996" xr:uid="{00000000-0005-0000-0000-0000490B0000}"/>
    <cellStyle name="Calculation 20" xfId="1997" xr:uid="{00000000-0005-0000-0000-00004A0B0000}"/>
    <cellStyle name="Calculation 21" xfId="1998" xr:uid="{00000000-0005-0000-0000-00004B0B0000}"/>
    <cellStyle name="Calculation 22" xfId="1999" xr:uid="{00000000-0005-0000-0000-00004C0B0000}"/>
    <cellStyle name="Calculation 23" xfId="2000" xr:uid="{00000000-0005-0000-0000-00004D0B0000}"/>
    <cellStyle name="Calculation 24" xfId="2001" xr:uid="{00000000-0005-0000-0000-00004E0B0000}"/>
    <cellStyle name="Calculation 24 2" xfId="2002" xr:uid="{00000000-0005-0000-0000-00004F0B0000}"/>
    <cellStyle name="Calculation 25" xfId="2003" xr:uid="{00000000-0005-0000-0000-0000500B0000}"/>
    <cellStyle name="Calculation 26" xfId="8852" xr:uid="{00000000-0005-0000-0000-0000510B0000}"/>
    <cellStyle name="Calculation 3" xfId="2004" xr:uid="{00000000-0005-0000-0000-0000520B0000}"/>
    <cellStyle name="Calculation 3 10" xfId="2005" xr:uid="{00000000-0005-0000-0000-0000530B0000}"/>
    <cellStyle name="Calculation 3 2" xfId="2006" xr:uid="{00000000-0005-0000-0000-0000540B0000}"/>
    <cellStyle name="Calculation 3 2 2" xfId="2007" xr:uid="{00000000-0005-0000-0000-0000550B0000}"/>
    <cellStyle name="Calculation 3 2 3" xfId="2008" xr:uid="{00000000-0005-0000-0000-0000560B0000}"/>
    <cellStyle name="Calculation 3 2 4" xfId="2009" xr:uid="{00000000-0005-0000-0000-0000570B0000}"/>
    <cellStyle name="Calculation 3 2 5" xfId="2010" xr:uid="{00000000-0005-0000-0000-0000580B0000}"/>
    <cellStyle name="Calculation 3 2 6" xfId="2011" xr:uid="{00000000-0005-0000-0000-0000590B0000}"/>
    <cellStyle name="Calculation 3 2 7" xfId="2012" xr:uid="{00000000-0005-0000-0000-00005A0B0000}"/>
    <cellStyle name="Calculation 3 2 8" xfId="2013" xr:uid="{00000000-0005-0000-0000-00005B0B0000}"/>
    <cellStyle name="Calculation 3 3" xfId="2014" xr:uid="{00000000-0005-0000-0000-00005C0B0000}"/>
    <cellStyle name="Calculation 3 4" xfId="2015" xr:uid="{00000000-0005-0000-0000-00005D0B0000}"/>
    <cellStyle name="Calculation 3 5" xfId="2016" xr:uid="{00000000-0005-0000-0000-00005E0B0000}"/>
    <cellStyle name="Calculation 3 6" xfId="2017" xr:uid="{00000000-0005-0000-0000-00005F0B0000}"/>
    <cellStyle name="Calculation 3 7" xfId="2018" xr:uid="{00000000-0005-0000-0000-0000600B0000}"/>
    <cellStyle name="Calculation 3 8" xfId="2019" xr:uid="{00000000-0005-0000-0000-0000610B0000}"/>
    <cellStyle name="Calculation 3 9" xfId="2020" xr:uid="{00000000-0005-0000-0000-0000620B0000}"/>
    <cellStyle name="Calculation 4" xfId="2021" xr:uid="{00000000-0005-0000-0000-0000630B0000}"/>
    <cellStyle name="Calculation 4 10" xfId="2022" xr:uid="{00000000-0005-0000-0000-0000640B0000}"/>
    <cellStyle name="Calculation 4 2" xfId="2023" xr:uid="{00000000-0005-0000-0000-0000650B0000}"/>
    <cellStyle name="Calculation 4 2 2" xfId="2024" xr:uid="{00000000-0005-0000-0000-0000660B0000}"/>
    <cellStyle name="Calculation 4 2 3" xfId="2025" xr:uid="{00000000-0005-0000-0000-0000670B0000}"/>
    <cellStyle name="Calculation 4 2 4" xfId="2026" xr:uid="{00000000-0005-0000-0000-0000680B0000}"/>
    <cellStyle name="Calculation 4 2 5" xfId="2027" xr:uid="{00000000-0005-0000-0000-0000690B0000}"/>
    <cellStyle name="Calculation 4 2 6" xfId="2028" xr:uid="{00000000-0005-0000-0000-00006A0B0000}"/>
    <cellStyle name="Calculation 4 2 7" xfId="2029" xr:uid="{00000000-0005-0000-0000-00006B0B0000}"/>
    <cellStyle name="Calculation 4 2 8" xfId="2030" xr:uid="{00000000-0005-0000-0000-00006C0B0000}"/>
    <cellStyle name="Calculation 4 3" xfId="2031" xr:uid="{00000000-0005-0000-0000-00006D0B0000}"/>
    <cellStyle name="Calculation 4 4" xfId="2032" xr:uid="{00000000-0005-0000-0000-00006E0B0000}"/>
    <cellStyle name="Calculation 4 5" xfId="2033" xr:uid="{00000000-0005-0000-0000-00006F0B0000}"/>
    <cellStyle name="Calculation 4 6" xfId="2034" xr:uid="{00000000-0005-0000-0000-0000700B0000}"/>
    <cellStyle name="Calculation 4 7" xfId="2035" xr:uid="{00000000-0005-0000-0000-0000710B0000}"/>
    <cellStyle name="Calculation 4 8" xfId="2036" xr:uid="{00000000-0005-0000-0000-0000720B0000}"/>
    <cellStyle name="Calculation 4 9" xfId="2037" xr:uid="{00000000-0005-0000-0000-0000730B0000}"/>
    <cellStyle name="Calculation 5" xfId="2038" xr:uid="{00000000-0005-0000-0000-0000740B0000}"/>
    <cellStyle name="Calculation 5 10" xfId="2039" xr:uid="{00000000-0005-0000-0000-0000750B0000}"/>
    <cellStyle name="Calculation 5 2" xfId="2040" xr:uid="{00000000-0005-0000-0000-0000760B0000}"/>
    <cellStyle name="Calculation 5 2 2" xfId="2041" xr:uid="{00000000-0005-0000-0000-0000770B0000}"/>
    <cellStyle name="Calculation 5 2 3" xfId="2042" xr:uid="{00000000-0005-0000-0000-0000780B0000}"/>
    <cellStyle name="Calculation 5 2 4" xfId="2043" xr:uid="{00000000-0005-0000-0000-0000790B0000}"/>
    <cellStyle name="Calculation 5 2 5" xfId="2044" xr:uid="{00000000-0005-0000-0000-00007A0B0000}"/>
    <cellStyle name="Calculation 5 2 6" xfId="2045" xr:uid="{00000000-0005-0000-0000-00007B0B0000}"/>
    <cellStyle name="Calculation 5 2 7" xfId="2046" xr:uid="{00000000-0005-0000-0000-00007C0B0000}"/>
    <cellStyle name="Calculation 5 2 8" xfId="2047" xr:uid="{00000000-0005-0000-0000-00007D0B0000}"/>
    <cellStyle name="Calculation 5 3" xfId="2048" xr:uid="{00000000-0005-0000-0000-00007E0B0000}"/>
    <cellStyle name="Calculation 5 4" xfId="2049" xr:uid="{00000000-0005-0000-0000-00007F0B0000}"/>
    <cellStyle name="Calculation 5 5" xfId="2050" xr:uid="{00000000-0005-0000-0000-0000800B0000}"/>
    <cellStyle name="Calculation 5 6" xfId="2051" xr:uid="{00000000-0005-0000-0000-0000810B0000}"/>
    <cellStyle name="Calculation 5 7" xfId="2052" xr:uid="{00000000-0005-0000-0000-0000820B0000}"/>
    <cellStyle name="Calculation 5 8" xfId="2053" xr:uid="{00000000-0005-0000-0000-0000830B0000}"/>
    <cellStyle name="Calculation 5 9" xfId="2054" xr:uid="{00000000-0005-0000-0000-0000840B0000}"/>
    <cellStyle name="Calculation 6" xfId="2055" xr:uid="{00000000-0005-0000-0000-0000850B0000}"/>
    <cellStyle name="Calculation 6 10" xfId="2056" xr:uid="{00000000-0005-0000-0000-0000860B0000}"/>
    <cellStyle name="Calculation 6 2" xfId="2057" xr:uid="{00000000-0005-0000-0000-0000870B0000}"/>
    <cellStyle name="Calculation 6 2 2" xfId="2058" xr:uid="{00000000-0005-0000-0000-0000880B0000}"/>
    <cellStyle name="Calculation 6 2 3" xfId="2059" xr:uid="{00000000-0005-0000-0000-0000890B0000}"/>
    <cellStyle name="Calculation 6 2 4" xfId="2060" xr:uid="{00000000-0005-0000-0000-00008A0B0000}"/>
    <cellStyle name="Calculation 6 2 5" xfId="2061" xr:uid="{00000000-0005-0000-0000-00008B0B0000}"/>
    <cellStyle name="Calculation 6 2 6" xfId="2062" xr:uid="{00000000-0005-0000-0000-00008C0B0000}"/>
    <cellStyle name="Calculation 6 2 7" xfId="2063" xr:uid="{00000000-0005-0000-0000-00008D0B0000}"/>
    <cellStyle name="Calculation 6 2 8" xfId="2064" xr:uid="{00000000-0005-0000-0000-00008E0B0000}"/>
    <cellStyle name="Calculation 6 3" xfId="2065" xr:uid="{00000000-0005-0000-0000-00008F0B0000}"/>
    <cellStyle name="Calculation 6 4" xfId="2066" xr:uid="{00000000-0005-0000-0000-0000900B0000}"/>
    <cellStyle name="Calculation 6 5" xfId="2067" xr:uid="{00000000-0005-0000-0000-0000910B0000}"/>
    <cellStyle name="Calculation 6 6" xfId="2068" xr:uid="{00000000-0005-0000-0000-0000920B0000}"/>
    <cellStyle name="Calculation 6 7" xfId="2069" xr:uid="{00000000-0005-0000-0000-0000930B0000}"/>
    <cellStyle name="Calculation 6 8" xfId="2070" xr:uid="{00000000-0005-0000-0000-0000940B0000}"/>
    <cellStyle name="Calculation 6 9" xfId="2071" xr:uid="{00000000-0005-0000-0000-0000950B0000}"/>
    <cellStyle name="Calculation 7" xfId="2072" xr:uid="{00000000-0005-0000-0000-0000960B0000}"/>
    <cellStyle name="Calculation 7 10" xfId="2073" xr:uid="{00000000-0005-0000-0000-0000970B0000}"/>
    <cellStyle name="Calculation 7 2" xfId="2074" xr:uid="{00000000-0005-0000-0000-0000980B0000}"/>
    <cellStyle name="Calculation 7 2 2" xfId="2075" xr:uid="{00000000-0005-0000-0000-0000990B0000}"/>
    <cellStyle name="Calculation 7 2 3" xfId="2076" xr:uid="{00000000-0005-0000-0000-00009A0B0000}"/>
    <cellStyle name="Calculation 7 2 4" xfId="2077" xr:uid="{00000000-0005-0000-0000-00009B0B0000}"/>
    <cellStyle name="Calculation 7 2 5" xfId="2078" xr:uid="{00000000-0005-0000-0000-00009C0B0000}"/>
    <cellStyle name="Calculation 7 2 6" xfId="2079" xr:uid="{00000000-0005-0000-0000-00009D0B0000}"/>
    <cellStyle name="Calculation 7 2 7" xfId="2080" xr:uid="{00000000-0005-0000-0000-00009E0B0000}"/>
    <cellStyle name="Calculation 7 2 8" xfId="2081" xr:uid="{00000000-0005-0000-0000-00009F0B0000}"/>
    <cellStyle name="Calculation 7 3" xfId="2082" xr:uid="{00000000-0005-0000-0000-0000A00B0000}"/>
    <cellStyle name="Calculation 7 4" xfId="2083" xr:uid="{00000000-0005-0000-0000-0000A10B0000}"/>
    <cellStyle name="Calculation 7 5" xfId="2084" xr:uid="{00000000-0005-0000-0000-0000A20B0000}"/>
    <cellStyle name="Calculation 7 6" xfId="2085" xr:uid="{00000000-0005-0000-0000-0000A30B0000}"/>
    <cellStyle name="Calculation 7 7" xfId="2086" xr:uid="{00000000-0005-0000-0000-0000A40B0000}"/>
    <cellStyle name="Calculation 7 8" xfId="2087" xr:uid="{00000000-0005-0000-0000-0000A50B0000}"/>
    <cellStyle name="Calculation 7 9" xfId="2088" xr:uid="{00000000-0005-0000-0000-0000A60B0000}"/>
    <cellStyle name="Calculation 8" xfId="2089" xr:uid="{00000000-0005-0000-0000-0000A70B0000}"/>
    <cellStyle name="Calculation 8 2" xfId="2090" xr:uid="{00000000-0005-0000-0000-0000A80B0000}"/>
    <cellStyle name="Calculation 8 3" xfId="2091" xr:uid="{00000000-0005-0000-0000-0000A90B0000}"/>
    <cellStyle name="Calculation 8 4" xfId="2092" xr:uid="{00000000-0005-0000-0000-0000AA0B0000}"/>
    <cellStyle name="Calculation 9" xfId="2093" xr:uid="{00000000-0005-0000-0000-0000AB0B0000}"/>
    <cellStyle name="Calculation 9 2" xfId="2094" xr:uid="{00000000-0005-0000-0000-0000AC0B0000}"/>
    <cellStyle name="Calculation 9 3" xfId="2095" xr:uid="{00000000-0005-0000-0000-0000AD0B0000}"/>
    <cellStyle name="Calculation 9 4" xfId="2096" xr:uid="{00000000-0005-0000-0000-0000AE0B0000}"/>
    <cellStyle name="Calculation 9 5" xfId="2097" xr:uid="{00000000-0005-0000-0000-0000AF0B0000}"/>
    <cellStyle name="Calculation 9 6" xfId="2098" xr:uid="{00000000-0005-0000-0000-0000B00B0000}"/>
    <cellStyle name="Calculation 9 7" xfId="2099" xr:uid="{00000000-0005-0000-0000-0000B10B0000}"/>
    <cellStyle name="Calculation 9 8" xfId="2100" xr:uid="{00000000-0005-0000-0000-0000B20B0000}"/>
    <cellStyle name="Calculation 9 9" xfId="2101" xr:uid="{00000000-0005-0000-0000-0000B30B0000}"/>
    <cellStyle name="Check Cell" xfId="8256" builtinId="23" customBuiltin="1"/>
    <cellStyle name="Check Cell 10" xfId="2102" xr:uid="{00000000-0005-0000-0000-0000B50B0000}"/>
    <cellStyle name="Check Cell 10 2" xfId="2103" xr:uid="{00000000-0005-0000-0000-0000B60B0000}"/>
    <cellStyle name="Check Cell 10 3" xfId="2104" xr:uid="{00000000-0005-0000-0000-0000B70B0000}"/>
    <cellStyle name="Check Cell 10 4" xfId="2105" xr:uid="{00000000-0005-0000-0000-0000B80B0000}"/>
    <cellStyle name="Check Cell 10 5" xfId="2106" xr:uid="{00000000-0005-0000-0000-0000B90B0000}"/>
    <cellStyle name="Check Cell 10 6" xfId="2107" xr:uid="{00000000-0005-0000-0000-0000BA0B0000}"/>
    <cellStyle name="Check Cell 10 7" xfId="2108" xr:uid="{00000000-0005-0000-0000-0000BB0B0000}"/>
    <cellStyle name="Check Cell 10 8" xfId="2109" xr:uid="{00000000-0005-0000-0000-0000BC0B0000}"/>
    <cellStyle name="Check Cell 10 9" xfId="2110" xr:uid="{00000000-0005-0000-0000-0000BD0B0000}"/>
    <cellStyle name="Check Cell 11" xfId="2111" xr:uid="{00000000-0005-0000-0000-0000BE0B0000}"/>
    <cellStyle name="Check Cell 11 2" xfId="2112" xr:uid="{00000000-0005-0000-0000-0000BF0B0000}"/>
    <cellStyle name="Check Cell 11 3" xfId="2113" xr:uid="{00000000-0005-0000-0000-0000C00B0000}"/>
    <cellStyle name="Check Cell 11 4" xfId="2114" xr:uid="{00000000-0005-0000-0000-0000C10B0000}"/>
    <cellStyle name="Check Cell 11 5" xfId="2115" xr:uid="{00000000-0005-0000-0000-0000C20B0000}"/>
    <cellStyle name="Check Cell 11 6" xfId="2116" xr:uid="{00000000-0005-0000-0000-0000C30B0000}"/>
    <cellStyle name="Check Cell 11 7" xfId="2117" xr:uid="{00000000-0005-0000-0000-0000C40B0000}"/>
    <cellStyle name="Check Cell 11 8" xfId="2118" xr:uid="{00000000-0005-0000-0000-0000C50B0000}"/>
    <cellStyle name="Check Cell 11 9" xfId="2119" xr:uid="{00000000-0005-0000-0000-0000C60B0000}"/>
    <cellStyle name="Check Cell 12" xfId="2120" xr:uid="{00000000-0005-0000-0000-0000C70B0000}"/>
    <cellStyle name="Check Cell 12 2" xfId="2121" xr:uid="{00000000-0005-0000-0000-0000C80B0000}"/>
    <cellStyle name="Check Cell 13" xfId="2122" xr:uid="{00000000-0005-0000-0000-0000C90B0000}"/>
    <cellStyle name="Check Cell 14" xfId="2123" xr:uid="{00000000-0005-0000-0000-0000CA0B0000}"/>
    <cellStyle name="Check Cell 15" xfId="2124" xr:uid="{00000000-0005-0000-0000-0000CB0B0000}"/>
    <cellStyle name="Check Cell 16" xfId="2125" xr:uid="{00000000-0005-0000-0000-0000CC0B0000}"/>
    <cellStyle name="Check Cell 17" xfId="2126" xr:uid="{00000000-0005-0000-0000-0000CD0B0000}"/>
    <cellStyle name="Check Cell 18" xfId="2127" xr:uid="{00000000-0005-0000-0000-0000CE0B0000}"/>
    <cellStyle name="Check Cell 19" xfId="2128" xr:uid="{00000000-0005-0000-0000-0000CF0B0000}"/>
    <cellStyle name="Check Cell 2" xfId="2129" xr:uid="{00000000-0005-0000-0000-0000D00B0000}"/>
    <cellStyle name="Check Cell 2 2" xfId="2130" xr:uid="{00000000-0005-0000-0000-0000D10B0000}"/>
    <cellStyle name="Check Cell 2 2 2" xfId="2131" xr:uid="{00000000-0005-0000-0000-0000D20B0000}"/>
    <cellStyle name="Check Cell 2 3" xfId="2132" xr:uid="{00000000-0005-0000-0000-0000D30B0000}"/>
    <cellStyle name="Check Cell 2 3 2" xfId="2133" xr:uid="{00000000-0005-0000-0000-0000D40B0000}"/>
    <cellStyle name="Check Cell 2 4" xfId="2134" xr:uid="{00000000-0005-0000-0000-0000D50B0000}"/>
    <cellStyle name="Check Cell 2 4 2" xfId="2135" xr:uid="{00000000-0005-0000-0000-0000D60B0000}"/>
    <cellStyle name="Check Cell 2 5" xfId="2136" xr:uid="{00000000-0005-0000-0000-0000D70B0000}"/>
    <cellStyle name="Check Cell 2 6" xfId="8904" xr:uid="{00000000-0005-0000-0000-0000D80B0000}"/>
    <cellStyle name="Check Cell 20" xfId="2137" xr:uid="{00000000-0005-0000-0000-0000D90B0000}"/>
    <cellStyle name="Check Cell 21" xfId="2138" xr:uid="{00000000-0005-0000-0000-0000DA0B0000}"/>
    <cellStyle name="Check Cell 22" xfId="2139" xr:uid="{00000000-0005-0000-0000-0000DB0B0000}"/>
    <cellStyle name="Check Cell 23" xfId="2140" xr:uid="{00000000-0005-0000-0000-0000DC0B0000}"/>
    <cellStyle name="Check Cell 24" xfId="2141" xr:uid="{00000000-0005-0000-0000-0000DD0B0000}"/>
    <cellStyle name="Check Cell 24 2" xfId="2142" xr:uid="{00000000-0005-0000-0000-0000DE0B0000}"/>
    <cellStyle name="Check Cell 25" xfId="2143" xr:uid="{00000000-0005-0000-0000-0000DF0B0000}"/>
    <cellStyle name="Check Cell 26" xfId="8924" xr:uid="{00000000-0005-0000-0000-0000E00B0000}"/>
    <cellStyle name="Check Cell 3" xfId="2144" xr:uid="{00000000-0005-0000-0000-0000E10B0000}"/>
    <cellStyle name="Check Cell 3 2" xfId="2145" xr:uid="{00000000-0005-0000-0000-0000E20B0000}"/>
    <cellStyle name="Check Cell 3 3" xfId="2146" xr:uid="{00000000-0005-0000-0000-0000E30B0000}"/>
    <cellStyle name="Check Cell 3 4" xfId="2147" xr:uid="{00000000-0005-0000-0000-0000E40B0000}"/>
    <cellStyle name="Check Cell 3 5" xfId="2148" xr:uid="{00000000-0005-0000-0000-0000E50B0000}"/>
    <cellStyle name="Check Cell 4" xfId="2149" xr:uid="{00000000-0005-0000-0000-0000E60B0000}"/>
    <cellStyle name="Check Cell 4 2" xfId="2150" xr:uid="{00000000-0005-0000-0000-0000E70B0000}"/>
    <cellStyle name="Check Cell 4 3" xfId="2151" xr:uid="{00000000-0005-0000-0000-0000E80B0000}"/>
    <cellStyle name="Check Cell 4 4" xfId="2152" xr:uid="{00000000-0005-0000-0000-0000E90B0000}"/>
    <cellStyle name="Check Cell 4 5" xfId="2153" xr:uid="{00000000-0005-0000-0000-0000EA0B0000}"/>
    <cellStyle name="Check Cell 5" xfId="2154" xr:uid="{00000000-0005-0000-0000-0000EB0B0000}"/>
    <cellStyle name="Check Cell 5 2" xfId="2155" xr:uid="{00000000-0005-0000-0000-0000EC0B0000}"/>
    <cellStyle name="Check Cell 5 3" xfId="2156" xr:uid="{00000000-0005-0000-0000-0000ED0B0000}"/>
    <cellStyle name="Check Cell 5 4" xfId="2157" xr:uid="{00000000-0005-0000-0000-0000EE0B0000}"/>
    <cellStyle name="Check Cell 5 5" xfId="2158" xr:uid="{00000000-0005-0000-0000-0000EF0B0000}"/>
    <cellStyle name="Check Cell 6" xfId="2159" xr:uid="{00000000-0005-0000-0000-0000F00B0000}"/>
    <cellStyle name="Check Cell 6 2" xfId="2160" xr:uid="{00000000-0005-0000-0000-0000F10B0000}"/>
    <cellStyle name="Check Cell 6 3" xfId="2161" xr:uid="{00000000-0005-0000-0000-0000F20B0000}"/>
    <cellStyle name="Check Cell 6 4" xfId="2162" xr:uid="{00000000-0005-0000-0000-0000F30B0000}"/>
    <cellStyle name="Check Cell 6 5" xfId="2163" xr:uid="{00000000-0005-0000-0000-0000F40B0000}"/>
    <cellStyle name="Check Cell 7" xfId="2164" xr:uid="{00000000-0005-0000-0000-0000F50B0000}"/>
    <cellStyle name="Check Cell 7 2" xfId="2165" xr:uid="{00000000-0005-0000-0000-0000F60B0000}"/>
    <cellStyle name="Check Cell 7 3" xfId="2166" xr:uid="{00000000-0005-0000-0000-0000F70B0000}"/>
    <cellStyle name="Check Cell 7 4" xfId="2167" xr:uid="{00000000-0005-0000-0000-0000F80B0000}"/>
    <cellStyle name="Check Cell 7 5" xfId="2168" xr:uid="{00000000-0005-0000-0000-0000F90B0000}"/>
    <cellStyle name="Check Cell 8" xfId="2169" xr:uid="{00000000-0005-0000-0000-0000FA0B0000}"/>
    <cellStyle name="Check Cell 8 2" xfId="2170" xr:uid="{00000000-0005-0000-0000-0000FB0B0000}"/>
    <cellStyle name="Check Cell 8 3" xfId="2171" xr:uid="{00000000-0005-0000-0000-0000FC0B0000}"/>
    <cellStyle name="Check Cell 8 4" xfId="2172" xr:uid="{00000000-0005-0000-0000-0000FD0B0000}"/>
    <cellStyle name="Check Cell 9" xfId="2173" xr:uid="{00000000-0005-0000-0000-0000FE0B0000}"/>
    <cellStyle name="Check Cell 9 2" xfId="2174" xr:uid="{00000000-0005-0000-0000-0000FF0B0000}"/>
    <cellStyle name="Check Cell 9 3" xfId="2175" xr:uid="{00000000-0005-0000-0000-0000000C0000}"/>
    <cellStyle name="Check Cell 9 4" xfId="2176" xr:uid="{00000000-0005-0000-0000-0000010C0000}"/>
    <cellStyle name="Check Cell 9 5" xfId="2177" xr:uid="{00000000-0005-0000-0000-0000020C0000}"/>
    <cellStyle name="Check Cell 9 6" xfId="2178" xr:uid="{00000000-0005-0000-0000-0000030C0000}"/>
    <cellStyle name="Check Cell 9 7" xfId="2179" xr:uid="{00000000-0005-0000-0000-0000040C0000}"/>
    <cellStyle name="Check Cell 9 8" xfId="2180" xr:uid="{00000000-0005-0000-0000-0000050C0000}"/>
    <cellStyle name="Check Cell 9 9" xfId="2181" xr:uid="{00000000-0005-0000-0000-0000060C0000}"/>
    <cellStyle name="ColumnHeading" xfId="2182" xr:uid="{00000000-0005-0000-0000-0000070C0000}"/>
    <cellStyle name="coma 5" xfId="1" xr:uid="{00000000-0005-0000-0000-0000080C0000}"/>
    <cellStyle name="coma 5 2" xfId="8284" xr:uid="{00000000-0005-0000-0000-0000090C0000}"/>
    <cellStyle name="coma 5 3" xfId="8752" xr:uid="{00000000-0005-0000-0000-00000A0C0000}"/>
    <cellStyle name="Comma" xfId="2" builtinId="3"/>
    <cellStyle name="Comma [0] 2" xfId="8769" xr:uid="{00000000-0005-0000-0000-00000C0C0000}"/>
    <cellStyle name="Comma 10" xfId="2183" xr:uid="{00000000-0005-0000-0000-00000D0C0000}"/>
    <cellStyle name="Comma 10 2" xfId="2184" xr:uid="{00000000-0005-0000-0000-00000E0C0000}"/>
    <cellStyle name="Comma 11" xfId="2185" xr:uid="{00000000-0005-0000-0000-00000F0C0000}"/>
    <cellStyle name="Comma 11 2" xfId="8737" xr:uid="{00000000-0005-0000-0000-0000100C0000}"/>
    <cellStyle name="Comma 11 3" xfId="9417" xr:uid="{00000000-0005-0000-0000-0000110C0000}"/>
    <cellStyle name="Comma 12" xfId="2186" xr:uid="{00000000-0005-0000-0000-0000120C0000}"/>
    <cellStyle name="Comma 13" xfId="2187" xr:uid="{00000000-0005-0000-0000-0000130C0000}"/>
    <cellStyle name="Comma 13 2" xfId="2188" xr:uid="{00000000-0005-0000-0000-0000140C0000}"/>
    <cellStyle name="Comma 13 3" xfId="8945" xr:uid="{00000000-0005-0000-0000-0000150C0000}"/>
    <cellStyle name="Comma 13 4" xfId="9448" xr:uid="{00000000-0005-0000-0000-0000160C0000}"/>
    <cellStyle name="Comma 14" xfId="2189" xr:uid="{00000000-0005-0000-0000-0000170C0000}"/>
    <cellStyle name="Comma 14 2" xfId="2190" xr:uid="{00000000-0005-0000-0000-0000180C0000}"/>
    <cellStyle name="Comma 15" xfId="2191" xr:uid="{00000000-0005-0000-0000-0000190C0000}"/>
    <cellStyle name="Comma 15 2" xfId="8950" xr:uid="{00000000-0005-0000-0000-00001A0C0000}"/>
    <cellStyle name="Comma 15 3" xfId="9452" xr:uid="{00000000-0005-0000-0000-00001B0C0000}"/>
    <cellStyle name="Comma 16" xfId="8956" xr:uid="{00000000-0005-0000-0000-00001C0C0000}"/>
    <cellStyle name="Comma 16 2" xfId="9467" xr:uid="{00000000-0005-0000-0000-00001D0C0000}"/>
    <cellStyle name="Comma 17" xfId="8285" xr:uid="{00000000-0005-0000-0000-00001E0C0000}"/>
    <cellStyle name="Comma 18" xfId="8762" xr:uid="{00000000-0005-0000-0000-00001F0C0000}"/>
    <cellStyle name="Comma 19" xfId="8991" xr:uid="{00000000-0005-0000-0000-0000200C0000}"/>
    <cellStyle name="Comma 2" xfId="27" xr:uid="{00000000-0005-0000-0000-0000210C0000}"/>
    <cellStyle name="Comma 2 2" xfId="2192" xr:uid="{00000000-0005-0000-0000-0000220C0000}"/>
    <cellStyle name="Comma 2 2 2" xfId="2193" xr:uid="{00000000-0005-0000-0000-0000230C0000}"/>
    <cellStyle name="Comma 2 2 2 2" xfId="2194" xr:uid="{00000000-0005-0000-0000-0000240C0000}"/>
    <cellStyle name="Comma 2 3" xfId="2195" xr:uid="{00000000-0005-0000-0000-0000250C0000}"/>
    <cellStyle name="Comma 2 3 2" xfId="2196" xr:uid="{00000000-0005-0000-0000-0000260C0000}"/>
    <cellStyle name="Comma 2 4" xfId="2197" xr:uid="{00000000-0005-0000-0000-0000270C0000}"/>
    <cellStyle name="Comma 2 4 2" xfId="2198" xr:uid="{00000000-0005-0000-0000-0000280C0000}"/>
    <cellStyle name="Comma 2 4 3" xfId="2199" xr:uid="{00000000-0005-0000-0000-0000290C0000}"/>
    <cellStyle name="Comma 2 5" xfId="2200" xr:uid="{00000000-0005-0000-0000-00002A0C0000}"/>
    <cellStyle name="Comma 2 6" xfId="2201" xr:uid="{00000000-0005-0000-0000-00002B0C0000}"/>
    <cellStyle name="Comma 2 7" xfId="8753" xr:uid="{00000000-0005-0000-0000-00002C0C0000}"/>
    <cellStyle name="Comma 20" xfId="8827" xr:uid="{00000000-0005-0000-0000-00002D0C0000}"/>
    <cellStyle name="Comma 21" xfId="8826" xr:uid="{00000000-0005-0000-0000-00002E0C0000}"/>
    <cellStyle name="Comma 22" xfId="9001" xr:uid="{00000000-0005-0000-0000-00002F0C0000}"/>
    <cellStyle name="Comma 23" xfId="8725" xr:uid="{00000000-0005-0000-0000-0000300C0000}"/>
    <cellStyle name="Comma 24" xfId="8834" xr:uid="{00000000-0005-0000-0000-0000310C0000}"/>
    <cellStyle name="Comma 25" xfId="8837" xr:uid="{00000000-0005-0000-0000-0000320C0000}"/>
    <cellStyle name="Comma 26" xfId="8836" xr:uid="{00000000-0005-0000-0000-0000330C0000}"/>
    <cellStyle name="Comma 27" xfId="8732" xr:uid="{00000000-0005-0000-0000-0000340C0000}"/>
    <cellStyle name="Comma 28" xfId="9003" xr:uid="{00000000-0005-0000-0000-0000350C0000}"/>
    <cellStyle name="Comma 29" xfId="9446" xr:uid="{00000000-0005-0000-0000-0000360C0000}"/>
    <cellStyle name="Comma 3" xfId="2202" xr:uid="{00000000-0005-0000-0000-0000370C0000}"/>
    <cellStyle name="Comma 3 2" xfId="2203" xr:uid="{00000000-0005-0000-0000-0000380C0000}"/>
    <cellStyle name="Comma 3 2 2" xfId="2204" xr:uid="{00000000-0005-0000-0000-0000390C0000}"/>
    <cellStyle name="Comma 3 2 3" xfId="8771" xr:uid="{00000000-0005-0000-0000-00003A0C0000}"/>
    <cellStyle name="Comma 3 3" xfId="2205" xr:uid="{00000000-0005-0000-0000-00003B0C0000}"/>
    <cellStyle name="Comma 3 3 2" xfId="8772" xr:uid="{00000000-0005-0000-0000-00003C0C0000}"/>
    <cellStyle name="Comma 3 4" xfId="8303" xr:uid="{00000000-0005-0000-0000-00003D0C0000}"/>
    <cellStyle name="Comma 3 5" xfId="8872" xr:uid="{00000000-0005-0000-0000-00003E0C0000}"/>
    <cellStyle name="Comma 3 6" xfId="9006" xr:uid="{00000000-0005-0000-0000-00003F0C0000}"/>
    <cellStyle name="Comma 30" xfId="9486" xr:uid="{00000000-0005-0000-0000-0000400C0000}"/>
    <cellStyle name="Comma 31" xfId="9487" xr:uid="{00000000-0005-0000-0000-0000410C0000}"/>
    <cellStyle name="Comma 32" xfId="9484" xr:uid="{00000000-0005-0000-0000-0000420C0000}"/>
    <cellStyle name="Comma 4" xfId="2206" xr:uid="{00000000-0005-0000-0000-0000430C0000}"/>
    <cellStyle name="Comma 4 2" xfId="2207" xr:uid="{00000000-0005-0000-0000-0000440C0000}"/>
    <cellStyle name="Comma 4 3" xfId="2208" xr:uid="{00000000-0005-0000-0000-0000450C0000}"/>
    <cellStyle name="Comma 4 4" xfId="8768" xr:uid="{00000000-0005-0000-0000-0000460C0000}"/>
    <cellStyle name="Comma 5" xfId="2209" xr:uid="{00000000-0005-0000-0000-0000470C0000}"/>
    <cellStyle name="Comma 6" xfId="2210" xr:uid="{00000000-0005-0000-0000-0000480C0000}"/>
    <cellStyle name="Comma 6 2" xfId="8968" xr:uid="{00000000-0005-0000-0000-0000490C0000}"/>
    <cellStyle name="Comma 7" xfId="2211" xr:uid="{00000000-0005-0000-0000-00004A0C0000}"/>
    <cellStyle name="Comma 8" xfId="2212" xr:uid="{00000000-0005-0000-0000-00004B0C0000}"/>
    <cellStyle name="Comma 9" xfId="2213" xr:uid="{00000000-0005-0000-0000-00004C0C0000}"/>
    <cellStyle name="Comma_Oregon Earnings Test 2003" xfId="3" xr:uid="{00000000-0005-0000-0000-00004D0C0000}"/>
    <cellStyle name="Comma_Rev &amp; Cost Model b" xfId="4" xr:uid="{00000000-0005-0000-0000-00004E0C0000}"/>
    <cellStyle name="Comma0" xfId="5" xr:uid="{00000000-0005-0000-0000-00004F0C0000}"/>
    <cellStyle name="Comma0 2" xfId="2214" xr:uid="{00000000-0005-0000-0000-0000500C0000}"/>
    <cellStyle name="Comma0 3" xfId="2215" xr:uid="{00000000-0005-0000-0000-0000510C0000}"/>
    <cellStyle name="Comma0 4" xfId="2216" xr:uid="{00000000-0005-0000-0000-0000520C0000}"/>
    <cellStyle name="Comma0 5" xfId="2217" xr:uid="{00000000-0005-0000-0000-0000530C0000}"/>
    <cellStyle name="Comma0 6" xfId="2218" xr:uid="{00000000-0005-0000-0000-0000540C0000}"/>
    <cellStyle name="Comma0 7" xfId="2219" xr:uid="{00000000-0005-0000-0000-0000550C0000}"/>
    <cellStyle name="Comma0 8" xfId="2220" xr:uid="{00000000-0005-0000-0000-0000560C0000}"/>
    <cellStyle name="Comma0 9" xfId="8286" xr:uid="{00000000-0005-0000-0000-0000570C0000}"/>
    <cellStyle name="Comma4" xfId="6" xr:uid="{00000000-0005-0000-0000-0000580C0000}"/>
    <cellStyle name="Comma4 2" xfId="8971" xr:uid="{00000000-0005-0000-0000-0000590C0000}"/>
    <cellStyle name="Comma4 3" xfId="8287" xr:uid="{00000000-0005-0000-0000-00005A0C0000}"/>
    <cellStyle name="Comma4 4" xfId="8754" xr:uid="{00000000-0005-0000-0000-00005B0C0000}"/>
    <cellStyle name="CountryTitle" xfId="2221" xr:uid="{00000000-0005-0000-0000-00005C0C0000}"/>
    <cellStyle name="Currency" xfId="7" builtinId="4"/>
    <cellStyle name="currency 0" xfId="8" xr:uid="{00000000-0005-0000-0000-00005E0C0000}"/>
    <cellStyle name="currency 0 2" xfId="8289" xr:uid="{00000000-0005-0000-0000-00005F0C0000}"/>
    <cellStyle name="currency 0 3" xfId="8755" xr:uid="{00000000-0005-0000-0000-0000600C0000}"/>
    <cellStyle name="Currency 10" xfId="2222" xr:uid="{00000000-0005-0000-0000-0000610C0000}"/>
    <cellStyle name="Currency 11" xfId="2223" xr:uid="{00000000-0005-0000-0000-0000620C0000}"/>
    <cellStyle name="Currency 12" xfId="2224" xr:uid="{00000000-0005-0000-0000-0000630C0000}"/>
    <cellStyle name="Currency 13" xfId="2225" xr:uid="{00000000-0005-0000-0000-0000640C0000}"/>
    <cellStyle name="Currency 14" xfId="2226" xr:uid="{00000000-0005-0000-0000-0000650C0000}"/>
    <cellStyle name="Currency 15" xfId="2227" xr:uid="{00000000-0005-0000-0000-0000660C0000}"/>
    <cellStyle name="Currency 16" xfId="2228" xr:uid="{00000000-0005-0000-0000-0000670C0000}"/>
    <cellStyle name="Currency 17" xfId="2229" xr:uid="{00000000-0005-0000-0000-0000680C0000}"/>
    <cellStyle name="Currency 18" xfId="2230" xr:uid="{00000000-0005-0000-0000-0000690C0000}"/>
    <cellStyle name="Currency 19" xfId="8957" xr:uid="{00000000-0005-0000-0000-00006A0C0000}"/>
    <cellStyle name="Currency 19 2" xfId="9468" xr:uid="{00000000-0005-0000-0000-00006B0C0000}"/>
    <cellStyle name="Currency 2" xfId="2231" xr:uid="{00000000-0005-0000-0000-00006C0C0000}"/>
    <cellStyle name="Currency 2 2" xfId="2232" xr:uid="{00000000-0005-0000-0000-00006D0C0000}"/>
    <cellStyle name="Currency 2 3" xfId="2233" xr:uid="{00000000-0005-0000-0000-00006E0C0000}"/>
    <cellStyle name="Currency 2 4" xfId="2234" xr:uid="{00000000-0005-0000-0000-00006F0C0000}"/>
    <cellStyle name="Currency 2 5" xfId="2235" xr:uid="{00000000-0005-0000-0000-0000700C0000}"/>
    <cellStyle name="Currency 2 6" xfId="8305" xr:uid="{00000000-0005-0000-0000-0000710C0000}"/>
    <cellStyle name="Currency 2 7" xfId="9008" xr:uid="{00000000-0005-0000-0000-0000720C0000}"/>
    <cellStyle name="Currency 20" xfId="8958" xr:uid="{00000000-0005-0000-0000-0000730C0000}"/>
    <cellStyle name="Currency 20 2" xfId="9469" xr:uid="{00000000-0005-0000-0000-0000740C0000}"/>
    <cellStyle name="Currency 21" xfId="8965" xr:uid="{00000000-0005-0000-0000-0000750C0000}"/>
    <cellStyle name="Currency 21 2" xfId="9476" xr:uid="{00000000-0005-0000-0000-0000760C0000}"/>
    <cellStyle name="Currency 22" xfId="8962" xr:uid="{00000000-0005-0000-0000-0000770C0000}"/>
    <cellStyle name="Currency 22 2" xfId="9473" xr:uid="{00000000-0005-0000-0000-0000780C0000}"/>
    <cellStyle name="Currency 23" xfId="8963" xr:uid="{00000000-0005-0000-0000-0000790C0000}"/>
    <cellStyle name="Currency 23 2" xfId="9474" xr:uid="{00000000-0005-0000-0000-00007A0C0000}"/>
    <cellStyle name="Currency 24" xfId="8974" xr:uid="{00000000-0005-0000-0000-00007B0C0000}"/>
    <cellStyle name="Currency 24 2" xfId="9479" xr:uid="{00000000-0005-0000-0000-00007C0C0000}"/>
    <cellStyle name="Currency 25" xfId="8288" xr:uid="{00000000-0005-0000-0000-00007D0C0000}"/>
    <cellStyle name="Currency 26" xfId="8943" xr:uid="{00000000-0005-0000-0000-00007E0C0000}"/>
    <cellStyle name="Currency 27" xfId="8997" xr:uid="{00000000-0005-0000-0000-00007F0C0000}"/>
    <cellStyle name="Currency 28" xfId="8938" xr:uid="{00000000-0005-0000-0000-0000800C0000}"/>
    <cellStyle name="Currency 29" xfId="8996" xr:uid="{00000000-0005-0000-0000-0000810C0000}"/>
    <cellStyle name="Currency 3" xfId="2236" xr:uid="{00000000-0005-0000-0000-0000820C0000}"/>
    <cellStyle name="Currency 3 2" xfId="2237" xr:uid="{00000000-0005-0000-0000-0000830C0000}"/>
    <cellStyle name="Currency 30" xfId="8917" xr:uid="{00000000-0005-0000-0000-0000840C0000}"/>
    <cellStyle name="Currency 31" xfId="8982" xr:uid="{00000000-0005-0000-0000-0000850C0000}"/>
    <cellStyle name="Currency 32" xfId="8896" xr:uid="{00000000-0005-0000-0000-0000860C0000}"/>
    <cellStyle name="Currency 33" xfId="8650" xr:uid="{00000000-0005-0000-0000-0000870C0000}"/>
    <cellStyle name="Currency 34" xfId="8894" xr:uid="{00000000-0005-0000-0000-0000880C0000}"/>
    <cellStyle name="Currency 35" xfId="8715" xr:uid="{00000000-0005-0000-0000-0000890C0000}"/>
    <cellStyle name="Currency 36" xfId="8892" xr:uid="{00000000-0005-0000-0000-00008A0C0000}"/>
    <cellStyle name="Currency 37" xfId="8940" xr:uid="{00000000-0005-0000-0000-00008B0C0000}"/>
    <cellStyle name="Currency 38" xfId="8889" xr:uid="{00000000-0005-0000-0000-00008C0C0000}"/>
    <cellStyle name="Currency 39" xfId="8717" xr:uid="{00000000-0005-0000-0000-00008D0C0000}"/>
    <cellStyle name="Currency 4" xfId="2238" xr:uid="{00000000-0005-0000-0000-00008E0C0000}"/>
    <cellStyle name="Currency 40" xfId="8884" xr:uid="{00000000-0005-0000-0000-00008F0C0000}"/>
    <cellStyle name="Currency 41" xfId="8718" xr:uid="{00000000-0005-0000-0000-0000900C0000}"/>
    <cellStyle name="Currency 42" xfId="8883" xr:uid="{00000000-0005-0000-0000-0000910C0000}"/>
    <cellStyle name="Currency 43" xfId="8719" xr:uid="{00000000-0005-0000-0000-0000920C0000}"/>
    <cellStyle name="Currency 44" xfId="8881" xr:uid="{00000000-0005-0000-0000-0000930C0000}"/>
    <cellStyle name="Currency 45" xfId="8720" xr:uid="{00000000-0005-0000-0000-0000940C0000}"/>
    <cellStyle name="Currency 46" xfId="8879" xr:uid="{00000000-0005-0000-0000-0000950C0000}"/>
    <cellStyle name="Currency 47" xfId="8724" xr:uid="{00000000-0005-0000-0000-0000960C0000}"/>
    <cellStyle name="Currency 48" xfId="8877" xr:uid="{00000000-0005-0000-0000-0000970C0000}"/>
    <cellStyle name="Currency 49" xfId="8726" xr:uid="{00000000-0005-0000-0000-0000980C0000}"/>
    <cellStyle name="Currency 5" xfId="2239" xr:uid="{00000000-0005-0000-0000-0000990C0000}"/>
    <cellStyle name="Currency 50" xfId="8875" xr:uid="{00000000-0005-0000-0000-00009A0C0000}"/>
    <cellStyle name="Currency 51" xfId="8727" xr:uid="{00000000-0005-0000-0000-00009B0C0000}"/>
    <cellStyle name="Currency 52" xfId="8873" xr:uid="{00000000-0005-0000-0000-00009C0C0000}"/>
    <cellStyle name="Currency 53" xfId="8729" xr:uid="{00000000-0005-0000-0000-00009D0C0000}"/>
    <cellStyle name="Currency 54" xfId="8722" xr:uid="{00000000-0005-0000-0000-00009E0C0000}"/>
    <cellStyle name="Currency 55" xfId="8730" xr:uid="{00000000-0005-0000-0000-00009F0C0000}"/>
    <cellStyle name="Currency 56" xfId="8869" xr:uid="{00000000-0005-0000-0000-0000A00C0000}"/>
    <cellStyle name="Currency 57" xfId="8733" xr:uid="{00000000-0005-0000-0000-0000A10C0000}"/>
    <cellStyle name="Currency 58" xfId="8864" xr:uid="{00000000-0005-0000-0000-0000A20C0000}"/>
    <cellStyle name="Currency 59" xfId="8735" xr:uid="{00000000-0005-0000-0000-0000A30C0000}"/>
    <cellStyle name="Currency 6" xfId="2240" xr:uid="{00000000-0005-0000-0000-0000A40C0000}"/>
    <cellStyle name="Currency 6 2" xfId="8946" xr:uid="{00000000-0005-0000-0000-0000A50C0000}"/>
    <cellStyle name="Currency 6 3" xfId="9449" xr:uid="{00000000-0005-0000-0000-0000A60C0000}"/>
    <cellStyle name="Currency 60" xfId="8858" xr:uid="{00000000-0005-0000-0000-0000A70C0000}"/>
    <cellStyle name="Currency 61" xfId="8736" xr:uid="{00000000-0005-0000-0000-0000A80C0000}"/>
    <cellStyle name="Currency 62" xfId="8942" xr:uid="{00000000-0005-0000-0000-0000A90C0000}"/>
    <cellStyle name="Currency 63" xfId="8739" xr:uid="{00000000-0005-0000-0000-0000AA0C0000}"/>
    <cellStyle name="Currency 64" xfId="8849" xr:uid="{00000000-0005-0000-0000-0000AB0C0000}"/>
    <cellStyle name="Currency 65" xfId="8952" xr:uid="{00000000-0005-0000-0000-0000AC0C0000}"/>
    <cellStyle name="Currency 66" xfId="9000" xr:uid="{00000000-0005-0000-0000-0000AD0C0000}"/>
    <cellStyle name="Currency 67" xfId="8871" xr:uid="{00000000-0005-0000-0000-0000AE0C0000}"/>
    <cellStyle name="Currency 68" xfId="9002" xr:uid="{00000000-0005-0000-0000-0000AF0C0000}"/>
    <cellStyle name="Currency 69" xfId="8833" xr:uid="{00000000-0005-0000-0000-0000B00C0000}"/>
    <cellStyle name="Currency 7" xfId="2241" xr:uid="{00000000-0005-0000-0000-0000B10C0000}"/>
    <cellStyle name="Currency 70" xfId="8838" xr:uid="{00000000-0005-0000-0000-0000B20C0000}"/>
    <cellStyle name="Currency 71" xfId="8839" xr:uid="{00000000-0005-0000-0000-0000B30C0000}"/>
    <cellStyle name="Currency 72" xfId="9004" xr:uid="{00000000-0005-0000-0000-0000B40C0000}"/>
    <cellStyle name="Currency 73" xfId="9445" xr:uid="{00000000-0005-0000-0000-0000B50C0000}"/>
    <cellStyle name="Currency 74" xfId="9485" xr:uid="{00000000-0005-0000-0000-0000B60C0000}"/>
    <cellStyle name="Currency 75" xfId="9444" xr:uid="{00000000-0005-0000-0000-0000B70C0000}"/>
    <cellStyle name="Currency 76" xfId="9483" xr:uid="{00000000-0005-0000-0000-0000B80C0000}"/>
    <cellStyle name="Currency 8" xfId="2242" xr:uid="{00000000-0005-0000-0000-0000B90C0000}"/>
    <cellStyle name="Currency 9" xfId="2243" xr:uid="{00000000-0005-0000-0000-0000BA0C0000}"/>
    <cellStyle name="Currency0" xfId="9" xr:uid="{00000000-0005-0000-0000-0000BB0C0000}"/>
    <cellStyle name="Currency0 2" xfId="28" xr:uid="{00000000-0005-0000-0000-0000BC0C0000}"/>
    <cellStyle name="Currency0 3" xfId="2244" xr:uid="{00000000-0005-0000-0000-0000BD0C0000}"/>
    <cellStyle name="Currency0 4" xfId="2245" xr:uid="{00000000-0005-0000-0000-0000BE0C0000}"/>
    <cellStyle name="Currency0 5" xfId="2246" xr:uid="{00000000-0005-0000-0000-0000BF0C0000}"/>
    <cellStyle name="Currency0 6" xfId="2247" xr:uid="{00000000-0005-0000-0000-0000C00C0000}"/>
    <cellStyle name="Currency0 7" xfId="2248" xr:uid="{00000000-0005-0000-0000-0000C10C0000}"/>
    <cellStyle name="Currency0 8" xfId="2249" xr:uid="{00000000-0005-0000-0000-0000C20C0000}"/>
    <cellStyle name="Currency0 9" xfId="8290" xr:uid="{00000000-0005-0000-0000-0000C30C0000}"/>
    <cellStyle name="Currency4" xfId="10" xr:uid="{00000000-0005-0000-0000-0000C40C0000}"/>
    <cellStyle name="Currency4 2" xfId="8972" xr:uid="{00000000-0005-0000-0000-0000C50C0000}"/>
    <cellStyle name="Currency4 3" xfId="8291" xr:uid="{00000000-0005-0000-0000-0000C60C0000}"/>
    <cellStyle name="Currency4 4" xfId="8993" xr:uid="{00000000-0005-0000-0000-0000C70C0000}"/>
    <cellStyle name="Date" xfId="11" xr:uid="{00000000-0005-0000-0000-0000C80C0000}"/>
    <cellStyle name="Date 10" xfId="8830" xr:uid="{00000000-0005-0000-0000-0000C90C0000}"/>
    <cellStyle name="Date 11" xfId="9482" xr:uid="{00000000-0005-0000-0000-0000CA0C0000}"/>
    <cellStyle name="Date 2" xfId="2250" xr:uid="{00000000-0005-0000-0000-0000CB0C0000}"/>
    <cellStyle name="Date 2 2" xfId="2251" xr:uid="{00000000-0005-0000-0000-0000CC0C0000}"/>
    <cellStyle name="Date 2 2 2" xfId="2252" xr:uid="{00000000-0005-0000-0000-0000CD0C0000}"/>
    <cellStyle name="Date 2 2 3" xfId="2253" xr:uid="{00000000-0005-0000-0000-0000CE0C0000}"/>
    <cellStyle name="Date 2 2 4" xfId="2254" xr:uid="{00000000-0005-0000-0000-0000CF0C0000}"/>
    <cellStyle name="Date 2 2 5" xfId="2255" xr:uid="{00000000-0005-0000-0000-0000D00C0000}"/>
    <cellStyle name="Date 2 2 6" xfId="2256" xr:uid="{00000000-0005-0000-0000-0000D10C0000}"/>
    <cellStyle name="Date 2 2 7" xfId="2257" xr:uid="{00000000-0005-0000-0000-0000D20C0000}"/>
    <cellStyle name="Date 2 3" xfId="2258" xr:uid="{00000000-0005-0000-0000-0000D30C0000}"/>
    <cellStyle name="Date 2 4" xfId="2259" xr:uid="{00000000-0005-0000-0000-0000D40C0000}"/>
    <cellStyle name="Date 2 5" xfId="2260" xr:uid="{00000000-0005-0000-0000-0000D50C0000}"/>
    <cellStyle name="Date 2 6" xfId="2261" xr:uid="{00000000-0005-0000-0000-0000D60C0000}"/>
    <cellStyle name="Date 2 7" xfId="2262" xr:uid="{00000000-0005-0000-0000-0000D70C0000}"/>
    <cellStyle name="Date 3" xfId="2263" xr:uid="{00000000-0005-0000-0000-0000D80C0000}"/>
    <cellStyle name="Date 4" xfId="2264" xr:uid="{00000000-0005-0000-0000-0000D90C0000}"/>
    <cellStyle name="Date 5" xfId="2265" xr:uid="{00000000-0005-0000-0000-0000DA0C0000}"/>
    <cellStyle name="Date 6" xfId="2266" xr:uid="{00000000-0005-0000-0000-0000DB0C0000}"/>
    <cellStyle name="Date 7" xfId="2267" xr:uid="{00000000-0005-0000-0000-0000DC0C0000}"/>
    <cellStyle name="Date 8" xfId="2268" xr:uid="{00000000-0005-0000-0000-0000DD0C0000}"/>
    <cellStyle name="Date 9" xfId="8292" xr:uid="{00000000-0005-0000-0000-0000DE0C0000}"/>
    <cellStyle name="Emphasis 1" xfId="2269" xr:uid="{00000000-0005-0000-0000-0000DF0C0000}"/>
    <cellStyle name="Emphasis 1 10" xfId="2270" xr:uid="{00000000-0005-0000-0000-0000E00C0000}"/>
    <cellStyle name="Emphasis 1 11" xfId="2271" xr:uid="{00000000-0005-0000-0000-0000E10C0000}"/>
    <cellStyle name="Emphasis 1 12" xfId="2272" xr:uid="{00000000-0005-0000-0000-0000E20C0000}"/>
    <cellStyle name="Emphasis 1 13" xfId="2273" xr:uid="{00000000-0005-0000-0000-0000E30C0000}"/>
    <cellStyle name="Emphasis 1 14" xfId="2274" xr:uid="{00000000-0005-0000-0000-0000E40C0000}"/>
    <cellStyle name="Emphasis 1 15" xfId="2275" xr:uid="{00000000-0005-0000-0000-0000E50C0000}"/>
    <cellStyle name="Emphasis 1 16" xfId="2276" xr:uid="{00000000-0005-0000-0000-0000E60C0000}"/>
    <cellStyle name="Emphasis 1 17" xfId="2277" xr:uid="{00000000-0005-0000-0000-0000E70C0000}"/>
    <cellStyle name="Emphasis 1 18" xfId="2278" xr:uid="{00000000-0005-0000-0000-0000E80C0000}"/>
    <cellStyle name="Emphasis 1 19" xfId="2279" xr:uid="{00000000-0005-0000-0000-0000E90C0000}"/>
    <cellStyle name="Emphasis 1 2" xfId="2280" xr:uid="{00000000-0005-0000-0000-0000EA0C0000}"/>
    <cellStyle name="Emphasis 1 20" xfId="2281" xr:uid="{00000000-0005-0000-0000-0000EB0C0000}"/>
    <cellStyle name="Emphasis 1 21" xfId="2282" xr:uid="{00000000-0005-0000-0000-0000EC0C0000}"/>
    <cellStyle name="Emphasis 1 22" xfId="2283" xr:uid="{00000000-0005-0000-0000-0000ED0C0000}"/>
    <cellStyle name="Emphasis 1 23" xfId="2284" xr:uid="{00000000-0005-0000-0000-0000EE0C0000}"/>
    <cellStyle name="Emphasis 1 24" xfId="2285" xr:uid="{00000000-0005-0000-0000-0000EF0C0000}"/>
    <cellStyle name="Emphasis 1 25" xfId="2286" xr:uid="{00000000-0005-0000-0000-0000F00C0000}"/>
    <cellStyle name="Emphasis 1 26" xfId="2287" xr:uid="{00000000-0005-0000-0000-0000F10C0000}"/>
    <cellStyle name="Emphasis 1 27" xfId="2288" xr:uid="{00000000-0005-0000-0000-0000F20C0000}"/>
    <cellStyle name="Emphasis 1 28" xfId="2289" xr:uid="{00000000-0005-0000-0000-0000F30C0000}"/>
    <cellStyle name="Emphasis 1 29" xfId="2290" xr:uid="{00000000-0005-0000-0000-0000F40C0000}"/>
    <cellStyle name="Emphasis 1 3" xfId="2291" xr:uid="{00000000-0005-0000-0000-0000F50C0000}"/>
    <cellStyle name="Emphasis 1 30" xfId="2292" xr:uid="{00000000-0005-0000-0000-0000F60C0000}"/>
    <cellStyle name="Emphasis 1 31" xfId="2293" xr:uid="{00000000-0005-0000-0000-0000F70C0000}"/>
    <cellStyle name="Emphasis 1 32" xfId="2294" xr:uid="{00000000-0005-0000-0000-0000F80C0000}"/>
    <cellStyle name="Emphasis 1 33" xfId="2295" xr:uid="{00000000-0005-0000-0000-0000F90C0000}"/>
    <cellStyle name="Emphasis 1 34" xfId="2296" xr:uid="{00000000-0005-0000-0000-0000FA0C0000}"/>
    <cellStyle name="Emphasis 1 35" xfId="2297" xr:uid="{00000000-0005-0000-0000-0000FB0C0000}"/>
    <cellStyle name="Emphasis 1 36" xfId="2298" xr:uid="{00000000-0005-0000-0000-0000FC0C0000}"/>
    <cellStyle name="Emphasis 1 37" xfId="2299" xr:uid="{00000000-0005-0000-0000-0000FD0C0000}"/>
    <cellStyle name="Emphasis 1 38" xfId="2300" xr:uid="{00000000-0005-0000-0000-0000FE0C0000}"/>
    <cellStyle name="Emphasis 1 39" xfId="2301" xr:uid="{00000000-0005-0000-0000-0000FF0C0000}"/>
    <cellStyle name="Emphasis 1 4" xfId="2302" xr:uid="{00000000-0005-0000-0000-0000000D0000}"/>
    <cellStyle name="Emphasis 1 40" xfId="2303" xr:uid="{00000000-0005-0000-0000-0000010D0000}"/>
    <cellStyle name="Emphasis 1 41" xfId="2304" xr:uid="{00000000-0005-0000-0000-0000020D0000}"/>
    <cellStyle name="Emphasis 1 42" xfId="2305" xr:uid="{00000000-0005-0000-0000-0000030D0000}"/>
    <cellStyle name="Emphasis 1 43" xfId="2306" xr:uid="{00000000-0005-0000-0000-0000040D0000}"/>
    <cellStyle name="Emphasis 1 44" xfId="2307" xr:uid="{00000000-0005-0000-0000-0000050D0000}"/>
    <cellStyle name="Emphasis 1 45" xfId="2308" xr:uid="{00000000-0005-0000-0000-0000060D0000}"/>
    <cellStyle name="Emphasis 1 46" xfId="2309" xr:uid="{00000000-0005-0000-0000-0000070D0000}"/>
    <cellStyle name="Emphasis 1 5" xfId="2310" xr:uid="{00000000-0005-0000-0000-0000080D0000}"/>
    <cellStyle name="Emphasis 1 6" xfId="2311" xr:uid="{00000000-0005-0000-0000-0000090D0000}"/>
    <cellStyle name="Emphasis 1 7" xfId="2312" xr:uid="{00000000-0005-0000-0000-00000A0D0000}"/>
    <cellStyle name="Emphasis 1 8" xfId="2313" xr:uid="{00000000-0005-0000-0000-00000B0D0000}"/>
    <cellStyle name="Emphasis 1 9" xfId="2314" xr:uid="{00000000-0005-0000-0000-00000C0D0000}"/>
    <cellStyle name="Emphasis 2" xfId="2315" xr:uid="{00000000-0005-0000-0000-00000D0D0000}"/>
    <cellStyle name="Emphasis 2 10" xfId="2316" xr:uid="{00000000-0005-0000-0000-00000E0D0000}"/>
    <cellStyle name="Emphasis 2 11" xfId="2317" xr:uid="{00000000-0005-0000-0000-00000F0D0000}"/>
    <cellStyle name="Emphasis 2 12" xfId="2318" xr:uid="{00000000-0005-0000-0000-0000100D0000}"/>
    <cellStyle name="Emphasis 2 13" xfId="2319" xr:uid="{00000000-0005-0000-0000-0000110D0000}"/>
    <cellStyle name="Emphasis 2 14" xfId="2320" xr:uid="{00000000-0005-0000-0000-0000120D0000}"/>
    <cellStyle name="Emphasis 2 15" xfId="2321" xr:uid="{00000000-0005-0000-0000-0000130D0000}"/>
    <cellStyle name="Emphasis 2 16" xfId="2322" xr:uid="{00000000-0005-0000-0000-0000140D0000}"/>
    <cellStyle name="Emphasis 2 17" xfId="2323" xr:uid="{00000000-0005-0000-0000-0000150D0000}"/>
    <cellStyle name="Emphasis 2 18" xfId="2324" xr:uid="{00000000-0005-0000-0000-0000160D0000}"/>
    <cellStyle name="Emphasis 2 19" xfId="2325" xr:uid="{00000000-0005-0000-0000-0000170D0000}"/>
    <cellStyle name="Emphasis 2 2" xfId="2326" xr:uid="{00000000-0005-0000-0000-0000180D0000}"/>
    <cellStyle name="Emphasis 2 20" xfId="2327" xr:uid="{00000000-0005-0000-0000-0000190D0000}"/>
    <cellStyle name="Emphasis 2 21" xfId="2328" xr:uid="{00000000-0005-0000-0000-00001A0D0000}"/>
    <cellStyle name="Emphasis 2 22" xfId="2329" xr:uid="{00000000-0005-0000-0000-00001B0D0000}"/>
    <cellStyle name="Emphasis 2 23" xfId="2330" xr:uid="{00000000-0005-0000-0000-00001C0D0000}"/>
    <cellStyle name="Emphasis 2 24" xfId="2331" xr:uid="{00000000-0005-0000-0000-00001D0D0000}"/>
    <cellStyle name="Emphasis 2 25" xfId="2332" xr:uid="{00000000-0005-0000-0000-00001E0D0000}"/>
    <cellStyle name="Emphasis 2 26" xfId="2333" xr:uid="{00000000-0005-0000-0000-00001F0D0000}"/>
    <cellStyle name="Emphasis 2 27" xfId="2334" xr:uid="{00000000-0005-0000-0000-0000200D0000}"/>
    <cellStyle name="Emphasis 2 28" xfId="2335" xr:uid="{00000000-0005-0000-0000-0000210D0000}"/>
    <cellStyle name="Emphasis 2 29" xfId="2336" xr:uid="{00000000-0005-0000-0000-0000220D0000}"/>
    <cellStyle name="Emphasis 2 3" xfId="2337" xr:uid="{00000000-0005-0000-0000-0000230D0000}"/>
    <cellStyle name="Emphasis 2 30" xfId="2338" xr:uid="{00000000-0005-0000-0000-0000240D0000}"/>
    <cellStyle name="Emphasis 2 31" xfId="2339" xr:uid="{00000000-0005-0000-0000-0000250D0000}"/>
    <cellStyle name="Emphasis 2 32" xfId="2340" xr:uid="{00000000-0005-0000-0000-0000260D0000}"/>
    <cellStyle name="Emphasis 2 33" xfId="2341" xr:uid="{00000000-0005-0000-0000-0000270D0000}"/>
    <cellStyle name="Emphasis 2 34" xfId="2342" xr:uid="{00000000-0005-0000-0000-0000280D0000}"/>
    <cellStyle name="Emphasis 2 35" xfId="2343" xr:uid="{00000000-0005-0000-0000-0000290D0000}"/>
    <cellStyle name="Emphasis 2 36" xfId="2344" xr:uid="{00000000-0005-0000-0000-00002A0D0000}"/>
    <cellStyle name="Emphasis 2 37" xfId="2345" xr:uid="{00000000-0005-0000-0000-00002B0D0000}"/>
    <cellStyle name="Emphasis 2 38" xfId="2346" xr:uid="{00000000-0005-0000-0000-00002C0D0000}"/>
    <cellStyle name="Emphasis 2 39" xfId="2347" xr:uid="{00000000-0005-0000-0000-00002D0D0000}"/>
    <cellStyle name="Emphasis 2 4" xfId="2348" xr:uid="{00000000-0005-0000-0000-00002E0D0000}"/>
    <cellStyle name="Emphasis 2 40" xfId="2349" xr:uid="{00000000-0005-0000-0000-00002F0D0000}"/>
    <cellStyle name="Emphasis 2 41" xfId="2350" xr:uid="{00000000-0005-0000-0000-0000300D0000}"/>
    <cellStyle name="Emphasis 2 42" xfId="2351" xr:uid="{00000000-0005-0000-0000-0000310D0000}"/>
    <cellStyle name="Emphasis 2 43" xfId="2352" xr:uid="{00000000-0005-0000-0000-0000320D0000}"/>
    <cellStyle name="Emphasis 2 44" xfId="2353" xr:uid="{00000000-0005-0000-0000-0000330D0000}"/>
    <cellStyle name="Emphasis 2 45" xfId="2354" xr:uid="{00000000-0005-0000-0000-0000340D0000}"/>
    <cellStyle name="Emphasis 2 46" xfId="2355" xr:uid="{00000000-0005-0000-0000-0000350D0000}"/>
    <cellStyle name="Emphasis 2 5" xfId="2356" xr:uid="{00000000-0005-0000-0000-0000360D0000}"/>
    <cellStyle name="Emphasis 2 6" xfId="2357" xr:uid="{00000000-0005-0000-0000-0000370D0000}"/>
    <cellStyle name="Emphasis 2 7" xfId="2358" xr:uid="{00000000-0005-0000-0000-0000380D0000}"/>
    <cellStyle name="Emphasis 2 8" xfId="2359" xr:uid="{00000000-0005-0000-0000-0000390D0000}"/>
    <cellStyle name="Emphasis 2 9" xfId="2360" xr:uid="{00000000-0005-0000-0000-00003A0D0000}"/>
    <cellStyle name="Emphasis 3" xfId="2361" xr:uid="{00000000-0005-0000-0000-00003B0D0000}"/>
    <cellStyle name="Explanatory Text" xfId="8259" builtinId="53" customBuiltin="1"/>
    <cellStyle name="Explanatory Text 10" xfId="2362" xr:uid="{00000000-0005-0000-0000-00003D0D0000}"/>
    <cellStyle name="Explanatory Text 11" xfId="2363" xr:uid="{00000000-0005-0000-0000-00003E0D0000}"/>
    <cellStyle name="Explanatory Text 12" xfId="2364" xr:uid="{00000000-0005-0000-0000-00003F0D0000}"/>
    <cellStyle name="Explanatory Text 13" xfId="2365" xr:uid="{00000000-0005-0000-0000-0000400D0000}"/>
    <cellStyle name="Explanatory Text 14" xfId="8926" xr:uid="{00000000-0005-0000-0000-0000410D0000}"/>
    <cellStyle name="Explanatory Text 2" xfId="2366" xr:uid="{00000000-0005-0000-0000-0000420D0000}"/>
    <cellStyle name="Explanatory Text 2 2" xfId="2367" xr:uid="{00000000-0005-0000-0000-0000430D0000}"/>
    <cellStyle name="Explanatory Text 2 2 2" xfId="2368" xr:uid="{00000000-0005-0000-0000-0000440D0000}"/>
    <cellStyle name="Explanatory Text 2 2 3" xfId="2369" xr:uid="{00000000-0005-0000-0000-0000450D0000}"/>
    <cellStyle name="Explanatory Text 2 2 4" xfId="2370" xr:uid="{00000000-0005-0000-0000-0000460D0000}"/>
    <cellStyle name="Explanatory Text 2 2 5" xfId="2371" xr:uid="{00000000-0005-0000-0000-0000470D0000}"/>
    <cellStyle name="Explanatory Text 2 2 6" xfId="2372" xr:uid="{00000000-0005-0000-0000-0000480D0000}"/>
    <cellStyle name="Explanatory Text 2 2 7" xfId="2373" xr:uid="{00000000-0005-0000-0000-0000490D0000}"/>
    <cellStyle name="Explanatory Text 2 2 8" xfId="2374" xr:uid="{00000000-0005-0000-0000-00004A0D0000}"/>
    <cellStyle name="Explanatory Text 2 3" xfId="2375" xr:uid="{00000000-0005-0000-0000-00004B0D0000}"/>
    <cellStyle name="Explanatory Text 2 4" xfId="2376" xr:uid="{00000000-0005-0000-0000-00004C0D0000}"/>
    <cellStyle name="Explanatory Text 2 5" xfId="2377" xr:uid="{00000000-0005-0000-0000-00004D0D0000}"/>
    <cellStyle name="Explanatory Text 2 6" xfId="8907" xr:uid="{00000000-0005-0000-0000-00004E0D0000}"/>
    <cellStyle name="Explanatory Text 3" xfId="2378" xr:uid="{00000000-0005-0000-0000-00004F0D0000}"/>
    <cellStyle name="Explanatory Text 3 2" xfId="2379" xr:uid="{00000000-0005-0000-0000-0000500D0000}"/>
    <cellStyle name="Explanatory Text 3 3" xfId="2380" xr:uid="{00000000-0005-0000-0000-0000510D0000}"/>
    <cellStyle name="Explanatory Text 3 4" xfId="2381" xr:uid="{00000000-0005-0000-0000-0000520D0000}"/>
    <cellStyle name="Explanatory Text 3 5" xfId="2382" xr:uid="{00000000-0005-0000-0000-0000530D0000}"/>
    <cellStyle name="Explanatory Text 3 6" xfId="2383" xr:uid="{00000000-0005-0000-0000-0000540D0000}"/>
    <cellStyle name="Explanatory Text 3 7" xfId="2384" xr:uid="{00000000-0005-0000-0000-0000550D0000}"/>
    <cellStyle name="Explanatory Text 3 8" xfId="2385" xr:uid="{00000000-0005-0000-0000-0000560D0000}"/>
    <cellStyle name="Explanatory Text 4" xfId="2386" xr:uid="{00000000-0005-0000-0000-0000570D0000}"/>
    <cellStyle name="Explanatory Text 4 2" xfId="2387" xr:uid="{00000000-0005-0000-0000-0000580D0000}"/>
    <cellStyle name="Explanatory Text 4 3" xfId="2388" xr:uid="{00000000-0005-0000-0000-0000590D0000}"/>
    <cellStyle name="Explanatory Text 4 4" xfId="2389" xr:uid="{00000000-0005-0000-0000-00005A0D0000}"/>
    <cellStyle name="Explanatory Text 4 5" xfId="2390" xr:uid="{00000000-0005-0000-0000-00005B0D0000}"/>
    <cellStyle name="Explanatory Text 4 6" xfId="2391" xr:uid="{00000000-0005-0000-0000-00005C0D0000}"/>
    <cellStyle name="Explanatory Text 4 7" xfId="2392" xr:uid="{00000000-0005-0000-0000-00005D0D0000}"/>
    <cellStyle name="Explanatory Text 4 8" xfId="2393" xr:uid="{00000000-0005-0000-0000-00005E0D0000}"/>
    <cellStyle name="Explanatory Text 5" xfId="2394" xr:uid="{00000000-0005-0000-0000-00005F0D0000}"/>
    <cellStyle name="Explanatory Text 5 2" xfId="2395" xr:uid="{00000000-0005-0000-0000-0000600D0000}"/>
    <cellStyle name="Explanatory Text 5 3" xfId="2396" xr:uid="{00000000-0005-0000-0000-0000610D0000}"/>
    <cellStyle name="Explanatory Text 5 4" xfId="2397" xr:uid="{00000000-0005-0000-0000-0000620D0000}"/>
    <cellStyle name="Explanatory Text 5 5" xfId="2398" xr:uid="{00000000-0005-0000-0000-0000630D0000}"/>
    <cellStyle name="Explanatory Text 5 6" xfId="2399" xr:uid="{00000000-0005-0000-0000-0000640D0000}"/>
    <cellStyle name="Explanatory Text 5 7" xfId="2400" xr:uid="{00000000-0005-0000-0000-0000650D0000}"/>
    <cellStyle name="Explanatory Text 5 8" xfId="2401" xr:uid="{00000000-0005-0000-0000-0000660D0000}"/>
    <cellStyle name="Explanatory Text 6" xfId="2402" xr:uid="{00000000-0005-0000-0000-0000670D0000}"/>
    <cellStyle name="Explanatory Text 7" xfId="2403" xr:uid="{00000000-0005-0000-0000-0000680D0000}"/>
    <cellStyle name="Explanatory Text 8" xfId="2404" xr:uid="{00000000-0005-0000-0000-0000690D0000}"/>
    <cellStyle name="Explanatory Text 9" xfId="2405" xr:uid="{00000000-0005-0000-0000-00006A0D0000}"/>
    <cellStyle name="Fixed" xfId="12" xr:uid="{00000000-0005-0000-0000-00006B0D0000}"/>
    <cellStyle name="Fixed 2" xfId="8293" xr:uid="{00000000-0005-0000-0000-00006C0D0000}"/>
    <cellStyle name="Fixed 3" xfId="8992" xr:uid="{00000000-0005-0000-0000-00006D0D0000}"/>
    <cellStyle name="Footnote" xfId="2406" xr:uid="{00000000-0005-0000-0000-00006E0D0000}"/>
    <cellStyle name="Footnote 2" xfId="2407" xr:uid="{00000000-0005-0000-0000-00006F0D0000}"/>
    <cellStyle name="Footnote 3" xfId="2408" xr:uid="{00000000-0005-0000-0000-0000700D0000}"/>
    <cellStyle name="Footnote 4" xfId="2409" xr:uid="{00000000-0005-0000-0000-0000710D0000}"/>
    <cellStyle name="Footnote 5" xfId="2410" xr:uid="{00000000-0005-0000-0000-0000720D0000}"/>
    <cellStyle name="Footnote 6" xfId="2411" xr:uid="{00000000-0005-0000-0000-0000730D0000}"/>
    <cellStyle name="Footnote 7" xfId="2412" xr:uid="{00000000-0005-0000-0000-0000740D0000}"/>
    <cellStyle name="Good" xfId="8249" builtinId="26" customBuiltin="1"/>
    <cellStyle name="Good 10" xfId="2413" xr:uid="{00000000-0005-0000-0000-0000760D0000}"/>
    <cellStyle name="Good 10 2" xfId="2414" xr:uid="{00000000-0005-0000-0000-0000770D0000}"/>
    <cellStyle name="Good 10 3" xfId="2415" xr:uid="{00000000-0005-0000-0000-0000780D0000}"/>
    <cellStyle name="Good 10 4" xfId="2416" xr:uid="{00000000-0005-0000-0000-0000790D0000}"/>
    <cellStyle name="Good 10 5" xfId="2417" xr:uid="{00000000-0005-0000-0000-00007A0D0000}"/>
    <cellStyle name="Good 10 6" xfId="2418" xr:uid="{00000000-0005-0000-0000-00007B0D0000}"/>
    <cellStyle name="Good 10 7" xfId="2419" xr:uid="{00000000-0005-0000-0000-00007C0D0000}"/>
    <cellStyle name="Good 10 8" xfId="2420" xr:uid="{00000000-0005-0000-0000-00007D0D0000}"/>
    <cellStyle name="Good 10 9" xfId="2421" xr:uid="{00000000-0005-0000-0000-00007E0D0000}"/>
    <cellStyle name="Good 11" xfId="2422" xr:uid="{00000000-0005-0000-0000-00007F0D0000}"/>
    <cellStyle name="Good 11 2" xfId="2423" xr:uid="{00000000-0005-0000-0000-0000800D0000}"/>
    <cellStyle name="Good 11 3" xfId="2424" xr:uid="{00000000-0005-0000-0000-0000810D0000}"/>
    <cellStyle name="Good 11 4" xfId="2425" xr:uid="{00000000-0005-0000-0000-0000820D0000}"/>
    <cellStyle name="Good 11 5" xfId="2426" xr:uid="{00000000-0005-0000-0000-0000830D0000}"/>
    <cellStyle name="Good 11 6" xfId="2427" xr:uid="{00000000-0005-0000-0000-0000840D0000}"/>
    <cellStyle name="Good 11 7" xfId="2428" xr:uid="{00000000-0005-0000-0000-0000850D0000}"/>
    <cellStyle name="Good 11 8" xfId="2429" xr:uid="{00000000-0005-0000-0000-0000860D0000}"/>
    <cellStyle name="Good 11 9" xfId="2430" xr:uid="{00000000-0005-0000-0000-0000870D0000}"/>
    <cellStyle name="Good 12" xfId="2431" xr:uid="{00000000-0005-0000-0000-0000880D0000}"/>
    <cellStyle name="Good 12 2" xfId="2432" xr:uid="{00000000-0005-0000-0000-0000890D0000}"/>
    <cellStyle name="Good 13" xfId="2433" xr:uid="{00000000-0005-0000-0000-00008A0D0000}"/>
    <cellStyle name="Good 14" xfId="2434" xr:uid="{00000000-0005-0000-0000-00008B0D0000}"/>
    <cellStyle name="Good 15" xfId="2435" xr:uid="{00000000-0005-0000-0000-00008C0D0000}"/>
    <cellStyle name="Good 16" xfId="2436" xr:uid="{00000000-0005-0000-0000-00008D0D0000}"/>
    <cellStyle name="Good 17" xfId="2437" xr:uid="{00000000-0005-0000-0000-00008E0D0000}"/>
    <cellStyle name="Good 18" xfId="2438" xr:uid="{00000000-0005-0000-0000-00008F0D0000}"/>
    <cellStyle name="Good 19" xfId="2439" xr:uid="{00000000-0005-0000-0000-0000900D0000}"/>
    <cellStyle name="Good 2" xfId="2440" xr:uid="{00000000-0005-0000-0000-0000910D0000}"/>
    <cellStyle name="Good 2 10" xfId="2441" xr:uid="{00000000-0005-0000-0000-0000920D0000}"/>
    <cellStyle name="Good 2 11" xfId="2442" xr:uid="{00000000-0005-0000-0000-0000930D0000}"/>
    <cellStyle name="Good 2 12" xfId="2443" xr:uid="{00000000-0005-0000-0000-0000940D0000}"/>
    <cellStyle name="Good 2 13" xfId="2444" xr:uid="{00000000-0005-0000-0000-0000950D0000}"/>
    <cellStyle name="Good 2 14" xfId="2445" xr:uid="{00000000-0005-0000-0000-0000960D0000}"/>
    <cellStyle name="Good 2 15" xfId="2446" xr:uid="{00000000-0005-0000-0000-0000970D0000}"/>
    <cellStyle name="Good 2 16" xfId="2447" xr:uid="{00000000-0005-0000-0000-0000980D0000}"/>
    <cellStyle name="Good 2 17" xfId="2448" xr:uid="{00000000-0005-0000-0000-0000990D0000}"/>
    <cellStyle name="Good 2 18" xfId="2449" xr:uid="{00000000-0005-0000-0000-00009A0D0000}"/>
    <cellStyle name="Good 2 19" xfId="2450" xr:uid="{00000000-0005-0000-0000-00009B0D0000}"/>
    <cellStyle name="Good 2 2" xfId="2451" xr:uid="{00000000-0005-0000-0000-00009C0D0000}"/>
    <cellStyle name="Good 2 2 2" xfId="2452" xr:uid="{00000000-0005-0000-0000-00009D0D0000}"/>
    <cellStyle name="Good 2 20" xfId="2453" xr:uid="{00000000-0005-0000-0000-00009E0D0000}"/>
    <cellStyle name="Good 2 21" xfId="2454" xr:uid="{00000000-0005-0000-0000-00009F0D0000}"/>
    <cellStyle name="Good 2 22" xfId="2455" xr:uid="{00000000-0005-0000-0000-0000A00D0000}"/>
    <cellStyle name="Good 2 23" xfId="2456" xr:uid="{00000000-0005-0000-0000-0000A10D0000}"/>
    <cellStyle name="Good 2 24" xfId="2457" xr:uid="{00000000-0005-0000-0000-0000A20D0000}"/>
    <cellStyle name="Good 2 25" xfId="2458" xr:uid="{00000000-0005-0000-0000-0000A30D0000}"/>
    <cellStyle name="Good 2 26" xfId="2459" xr:uid="{00000000-0005-0000-0000-0000A40D0000}"/>
    <cellStyle name="Good 2 27" xfId="8981" xr:uid="{00000000-0005-0000-0000-0000A50D0000}"/>
    <cellStyle name="Good 2 3" xfId="2460" xr:uid="{00000000-0005-0000-0000-0000A60D0000}"/>
    <cellStyle name="Good 2 3 2" xfId="2461" xr:uid="{00000000-0005-0000-0000-0000A70D0000}"/>
    <cellStyle name="Good 2 4" xfId="2462" xr:uid="{00000000-0005-0000-0000-0000A80D0000}"/>
    <cellStyle name="Good 2 4 2" xfId="2463" xr:uid="{00000000-0005-0000-0000-0000A90D0000}"/>
    <cellStyle name="Good 2 5" xfId="2464" xr:uid="{00000000-0005-0000-0000-0000AA0D0000}"/>
    <cellStyle name="Good 2 6" xfId="2465" xr:uid="{00000000-0005-0000-0000-0000AB0D0000}"/>
    <cellStyle name="Good 2 7" xfId="2466" xr:uid="{00000000-0005-0000-0000-0000AC0D0000}"/>
    <cellStyle name="Good 2 8" xfId="2467" xr:uid="{00000000-0005-0000-0000-0000AD0D0000}"/>
    <cellStyle name="Good 2 9" xfId="2468" xr:uid="{00000000-0005-0000-0000-0000AE0D0000}"/>
    <cellStyle name="Good 20" xfId="2469" xr:uid="{00000000-0005-0000-0000-0000AF0D0000}"/>
    <cellStyle name="Good 21" xfId="2470" xr:uid="{00000000-0005-0000-0000-0000B00D0000}"/>
    <cellStyle name="Good 22" xfId="2471" xr:uid="{00000000-0005-0000-0000-0000B10D0000}"/>
    <cellStyle name="Good 23" xfId="2472" xr:uid="{00000000-0005-0000-0000-0000B20D0000}"/>
    <cellStyle name="Good 24" xfId="2473" xr:uid="{00000000-0005-0000-0000-0000B30D0000}"/>
    <cellStyle name="Good 24 2" xfId="2474" xr:uid="{00000000-0005-0000-0000-0000B40D0000}"/>
    <cellStyle name="Good 25" xfId="2475" xr:uid="{00000000-0005-0000-0000-0000B50D0000}"/>
    <cellStyle name="Good 26" xfId="8866" xr:uid="{00000000-0005-0000-0000-0000B60D0000}"/>
    <cellStyle name="Good 3" xfId="2476" xr:uid="{00000000-0005-0000-0000-0000B70D0000}"/>
    <cellStyle name="Good 3 2" xfId="2477" xr:uid="{00000000-0005-0000-0000-0000B80D0000}"/>
    <cellStyle name="Good 3 3" xfId="2478" xr:uid="{00000000-0005-0000-0000-0000B90D0000}"/>
    <cellStyle name="Good 3 4" xfId="2479" xr:uid="{00000000-0005-0000-0000-0000BA0D0000}"/>
    <cellStyle name="Good 3 5" xfId="2480" xr:uid="{00000000-0005-0000-0000-0000BB0D0000}"/>
    <cellStyle name="Good 4" xfId="2481" xr:uid="{00000000-0005-0000-0000-0000BC0D0000}"/>
    <cellStyle name="Good 4 2" xfId="2482" xr:uid="{00000000-0005-0000-0000-0000BD0D0000}"/>
    <cellStyle name="Good 4 3" xfId="2483" xr:uid="{00000000-0005-0000-0000-0000BE0D0000}"/>
    <cellStyle name="Good 4 4" xfId="2484" xr:uid="{00000000-0005-0000-0000-0000BF0D0000}"/>
    <cellStyle name="Good 4 5" xfId="2485" xr:uid="{00000000-0005-0000-0000-0000C00D0000}"/>
    <cellStyle name="Good 5" xfId="2486" xr:uid="{00000000-0005-0000-0000-0000C10D0000}"/>
    <cellStyle name="Good 5 2" xfId="2487" xr:uid="{00000000-0005-0000-0000-0000C20D0000}"/>
    <cellStyle name="Good 5 3" xfId="2488" xr:uid="{00000000-0005-0000-0000-0000C30D0000}"/>
    <cellStyle name="Good 5 4" xfId="2489" xr:uid="{00000000-0005-0000-0000-0000C40D0000}"/>
    <cellStyle name="Good 5 5" xfId="2490" xr:uid="{00000000-0005-0000-0000-0000C50D0000}"/>
    <cellStyle name="Good 6" xfId="2491" xr:uid="{00000000-0005-0000-0000-0000C60D0000}"/>
    <cellStyle name="Good 6 2" xfId="2492" xr:uid="{00000000-0005-0000-0000-0000C70D0000}"/>
    <cellStyle name="Good 6 3" xfId="2493" xr:uid="{00000000-0005-0000-0000-0000C80D0000}"/>
    <cellStyle name="Good 6 4" xfId="2494" xr:uid="{00000000-0005-0000-0000-0000C90D0000}"/>
    <cellStyle name="Good 6 5" xfId="2495" xr:uid="{00000000-0005-0000-0000-0000CA0D0000}"/>
    <cellStyle name="Good 7" xfId="2496" xr:uid="{00000000-0005-0000-0000-0000CB0D0000}"/>
    <cellStyle name="Good 7 2" xfId="2497" xr:uid="{00000000-0005-0000-0000-0000CC0D0000}"/>
    <cellStyle name="Good 7 3" xfId="2498" xr:uid="{00000000-0005-0000-0000-0000CD0D0000}"/>
    <cellStyle name="Good 7 4" xfId="2499" xr:uid="{00000000-0005-0000-0000-0000CE0D0000}"/>
    <cellStyle name="Good 7 5" xfId="2500" xr:uid="{00000000-0005-0000-0000-0000CF0D0000}"/>
    <cellStyle name="Good 8" xfId="2501" xr:uid="{00000000-0005-0000-0000-0000D00D0000}"/>
    <cellStyle name="Good 8 2" xfId="2502" xr:uid="{00000000-0005-0000-0000-0000D10D0000}"/>
    <cellStyle name="Good 8 3" xfId="2503" xr:uid="{00000000-0005-0000-0000-0000D20D0000}"/>
    <cellStyle name="Good 8 4" xfId="2504" xr:uid="{00000000-0005-0000-0000-0000D30D0000}"/>
    <cellStyle name="Good 9" xfId="2505" xr:uid="{00000000-0005-0000-0000-0000D40D0000}"/>
    <cellStyle name="Good 9 2" xfId="2506" xr:uid="{00000000-0005-0000-0000-0000D50D0000}"/>
    <cellStyle name="Good 9 3" xfId="2507" xr:uid="{00000000-0005-0000-0000-0000D60D0000}"/>
    <cellStyle name="Good 9 4" xfId="2508" xr:uid="{00000000-0005-0000-0000-0000D70D0000}"/>
    <cellStyle name="Good 9 5" xfId="2509" xr:uid="{00000000-0005-0000-0000-0000D80D0000}"/>
    <cellStyle name="Good 9 6" xfId="2510" xr:uid="{00000000-0005-0000-0000-0000D90D0000}"/>
    <cellStyle name="Good 9 7" xfId="2511" xr:uid="{00000000-0005-0000-0000-0000DA0D0000}"/>
    <cellStyle name="Good 9 8" xfId="2512" xr:uid="{00000000-0005-0000-0000-0000DB0D0000}"/>
    <cellStyle name="Good 9 9" xfId="2513" xr:uid="{00000000-0005-0000-0000-0000DC0D0000}"/>
    <cellStyle name="Heading 1" xfId="13" builtinId="16" customBuiltin="1"/>
    <cellStyle name="Heading 1 10" xfId="2514" xr:uid="{00000000-0005-0000-0000-0000DE0D0000}"/>
    <cellStyle name="Heading 1 10 2" xfId="2515" xr:uid="{00000000-0005-0000-0000-0000DF0D0000}"/>
    <cellStyle name="Heading 1 10 3" xfId="2516" xr:uid="{00000000-0005-0000-0000-0000E00D0000}"/>
    <cellStyle name="Heading 1 10 4" xfId="2517" xr:uid="{00000000-0005-0000-0000-0000E10D0000}"/>
    <cellStyle name="Heading 1 10 5" xfId="2518" xr:uid="{00000000-0005-0000-0000-0000E20D0000}"/>
    <cellStyle name="Heading 1 10 6" xfId="2519" xr:uid="{00000000-0005-0000-0000-0000E30D0000}"/>
    <cellStyle name="Heading 1 10 7" xfId="2520" xr:uid="{00000000-0005-0000-0000-0000E40D0000}"/>
    <cellStyle name="Heading 1 10 8" xfId="2521" xr:uid="{00000000-0005-0000-0000-0000E50D0000}"/>
    <cellStyle name="Heading 1 11" xfId="2522" xr:uid="{00000000-0005-0000-0000-0000E60D0000}"/>
    <cellStyle name="Heading 1 12" xfId="8937" xr:uid="{00000000-0005-0000-0000-0000E70D0000}"/>
    <cellStyle name="Heading 1 2" xfId="2523" xr:uid="{00000000-0005-0000-0000-0000E80D0000}"/>
    <cellStyle name="Heading 1 2 2" xfId="2524" xr:uid="{00000000-0005-0000-0000-0000E90D0000}"/>
    <cellStyle name="Heading 1 2 2 2" xfId="2525" xr:uid="{00000000-0005-0000-0000-0000EA0D0000}"/>
    <cellStyle name="Heading 1 2 3" xfId="2526" xr:uid="{00000000-0005-0000-0000-0000EB0D0000}"/>
    <cellStyle name="Heading 1 2 3 2" xfId="2527" xr:uid="{00000000-0005-0000-0000-0000EC0D0000}"/>
    <cellStyle name="Heading 1 2 4" xfId="2528" xr:uid="{00000000-0005-0000-0000-0000ED0D0000}"/>
    <cellStyle name="Heading 1 2 4 2" xfId="2529" xr:uid="{00000000-0005-0000-0000-0000EE0D0000}"/>
    <cellStyle name="Heading 1 2 5" xfId="2530" xr:uid="{00000000-0005-0000-0000-0000EF0D0000}"/>
    <cellStyle name="Heading 1 2 6" xfId="8865" xr:uid="{00000000-0005-0000-0000-0000F00D0000}"/>
    <cellStyle name="Heading 1 3" xfId="2531" xr:uid="{00000000-0005-0000-0000-0000F10D0000}"/>
    <cellStyle name="Heading 1 3 2" xfId="2532" xr:uid="{00000000-0005-0000-0000-0000F20D0000}"/>
    <cellStyle name="Heading 1 3 2 2" xfId="2533" xr:uid="{00000000-0005-0000-0000-0000F30D0000}"/>
    <cellStyle name="Heading 1 3 3" xfId="2534" xr:uid="{00000000-0005-0000-0000-0000F40D0000}"/>
    <cellStyle name="Heading 1 3 4" xfId="2535" xr:uid="{00000000-0005-0000-0000-0000F50D0000}"/>
    <cellStyle name="Heading 1 3 5" xfId="2536" xr:uid="{00000000-0005-0000-0000-0000F60D0000}"/>
    <cellStyle name="Heading 1 4" xfId="2537" xr:uid="{00000000-0005-0000-0000-0000F70D0000}"/>
    <cellStyle name="Heading 1 4 2" xfId="2538" xr:uid="{00000000-0005-0000-0000-0000F80D0000}"/>
    <cellStyle name="Heading 1 4 3" xfId="2539" xr:uid="{00000000-0005-0000-0000-0000F90D0000}"/>
    <cellStyle name="Heading 1 4 4" xfId="2540" xr:uid="{00000000-0005-0000-0000-0000FA0D0000}"/>
    <cellStyle name="Heading 1 4 5" xfId="2541" xr:uid="{00000000-0005-0000-0000-0000FB0D0000}"/>
    <cellStyle name="Heading 1 5" xfId="2542" xr:uid="{00000000-0005-0000-0000-0000FC0D0000}"/>
    <cellStyle name="Heading 1 5 2" xfId="2543" xr:uid="{00000000-0005-0000-0000-0000FD0D0000}"/>
    <cellStyle name="Heading 1 5 3" xfId="2544" xr:uid="{00000000-0005-0000-0000-0000FE0D0000}"/>
    <cellStyle name="Heading 1 5 4" xfId="2545" xr:uid="{00000000-0005-0000-0000-0000FF0D0000}"/>
    <cellStyle name="Heading 1 6" xfId="2546" xr:uid="{00000000-0005-0000-0000-0000000E0000}"/>
    <cellStyle name="Heading 1 6 2" xfId="2547" xr:uid="{00000000-0005-0000-0000-0000010E0000}"/>
    <cellStyle name="Heading 1 6 3" xfId="2548" xr:uid="{00000000-0005-0000-0000-0000020E0000}"/>
    <cellStyle name="Heading 1 6 4" xfId="2549" xr:uid="{00000000-0005-0000-0000-0000030E0000}"/>
    <cellStyle name="Heading 1 7" xfId="2550" xr:uid="{00000000-0005-0000-0000-0000040E0000}"/>
    <cellStyle name="Heading 1 7 2" xfId="2551" xr:uid="{00000000-0005-0000-0000-0000050E0000}"/>
    <cellStyle name="Heading 1 7 3" xfId="2552" xr:uid="{00000000-0005-0000-0000-0000060E0000}"/>
    <cellStyle name="Heading 1 7 4" xfId="2553" xr:uid="{00000000-0005-0000-0000-0000070E0000}"/>
    <cellStyle name="Heading 1 8" xfId="2554" xr:uid="{00000000-0005-0000-0000-0000080E0000}"/>
    <cellStyle name="Heading 1 8 2" xfId="2555" xr:uid="{00000000-0005-0000-0000-0000090E0000}"/>
    <cellStyle name="Heading 1 8 3" xfId="2556" xr:uid="{00000000-0005-0000-0000-00000A0E0000}"/>
    <cellStyle name="Heading 1 8 4" xfId="2557" xr:uid="{00000000-0005-0000-0000-00000B0E0000}"/>
    <cellStyle name="Heading 1 8 5" xfId="2558" xr:uid="{00000000-0005-0000-0000-00000C0E0000}"/>
    <cellStyle name="Heading 1 8 6" xfId="2559" xr:uid="{00000000-0005-0000-0000-00000D0E0000}"/>
    <cellStyle name="Heading 1 8 7" xfId="2560" xr:uid="{00000000-0005-0000-0000-00000E0E0000}"/>
    <cellStyle name="Heading 1 8 8" xfId="2561" xr:uid="{00000000-0005-0000-0000-00000F0E0000}"/>
    <cellStyle name="Heading 1 9" xfId="2562" xr:uid="{00000000-0005-0000-0000-0000100E0000}"/>
    <cellStyle name="Heading 1 9 2" xfId="2563" xr:uid="{00000000-0005-0000-0000-0000110E0000}"/>
    <cellStyle name="Heading 1 9 3" xfId="2564" xr:uid="{00000000-0005-0000-0000-0000120E0000}"/>
    <cellStyle name="Heading 1 9 4" xfId="2565" xr:uid="{00000000-0005-0000-0000-0000130E0000}"/>
    <cellStyle name="Heading 1 9 5" xfId="2566" xr:uid="{00000000-0005-0000-0000-0000140E0000}"/>
    <cellStyle name="Heading 1 9 6" xfId="2567" xr:uid="{00000000-0005-0000-0000-0000150E0000}"/>
    <cellStyle name="Heading 1 9 7" xfId="2568" xr:uid="{00000000-0005-0000-0000-0000160E0000}"/>
    <cellStyle name="Heading 1 9 8" xfId="2569" xr:uid="{00000000-0005-0000-0000-0000170E0000}"/>
    <cellStyle name="Heading 2" xfId="14" builtinId="17" customBuiltin="1"/>
    <cellStyle name="Heading 2 10" xfId="2570" xr:uid="{00000000-0005-0000-0000-0000190E0000}"/>
    <cellStyle name="Heading 2 10 2" xfId="2571" xr:uid="{00000000-0005-0000-0000-00001A0E0000}"/>
    <cellStyle name="Heading 2 10 3" xfId="2572" xr:uid="{00000000-0005-0000-0000-00001B0E0000}"/>
    <cellStyle name="Heading 2 10 4" xfId="2573" xr:uid="{00000000-0005-0000-0000-00001C0E0000}"/>
    <cellStyle name="Heading 2 10 5" xfId="2574" xr:uid="{00000000-0005-0000-0000-00001D0E0000}"/>
    <cellStyle name="Heading 2 10 6" xfId="2575" xr:uid="{00000000-0005-0000-0000-00001E0E0000}"/>
    <cellStyle name="Heading 2 10 7" xfId="2576" xr:uid="{00000000-0005-0000-0000-00001F0E0000}"/>
    <cellStyle name="Heading 2 10 8" xfId="2577" xr:uid="{00000000-0005-0000-0000-0000200E0000}"/>
    <cellStyle name="Heading 2 10 9" xfId="2578" xr:uid="{00000000-0005-0000-0000-0000210E0000}"/>
    <cellStyle name="Heading 2 11" xfId="2579" xr:uid="{00000000-0005-0000-0000-0000220E0000}"/>
    <cellStyle name="Heading 2 11 2" xfId="2580" xr:uid="{00000000-0005-0000-0000-0000230E0000}"/>
    <cellStyle name="Heading 2 12" xfId="2581" xr:uid="{00000000-0005-0000-0000-0000240E0000}"/>
    <cellStyle name="Heading 2 13" xfId="2582" xr:uid="{00000000-0005-0000-0000-0000250E0000}"/>
    <cellStyle name="Heading 2 14" xfId="2583" xr:uid="{00000000-0005-0000-0000-0000260E0000}"/>
    <cellStyle name="Heading 2 15" xfId="2584" xr:uid="{00000000-0005-0000-0000-0000270E0000}"/>
    <cellStyle name="Heading 2 16" xfId="2585" xr:uid="{00000000-0005-0000-0000-0000280E0000}"/>
    <cellStyle name="Heading 2 17" xfId="2586" xr:uid="{00000000-0005-0000-0000-0000290E0000}"/>
    <cellStyle name="Heading 2 18" xfId="2587" xr:uid="{00000000-0005-0000-0000-00002A0E0000}"/>
    <cellStyle name="Heading 2 19" xfId="2588" xr:uid="{00000000-0005-0000-0000-00002B0E0000}"/>
    <cellStyle name="Heading 2 2" xfId="2589" xr:uid="{00000000-0005-0000-0000-00002C0E0000}"/>
    <cellStyle name="Heading 2 2 2" xfId="2590" xr:uid="{00000000-0005-0000-0000-00002D0E0000}"/>
    <cellStyle name="Heading 2 2 2 2" xfId="2591" xr:uid="{00000000-0005-0000-0000-00002E0E0000}"/>
    <cellStyle name="Heading 2 2 3" xfId="2592" xr:uid="{00000000-0005-0000-0000-00002F0E0000}"/>
    <cellStyle name="Heading 2 2 3 2" xfId="2593" xr:uid="{00000000-0005-0000-0000-0000300E0000}"/>
    <cellStyle name="Heading 2 2 4" xfId="2594" xr:uid="{00000000-0005-0000-0000-0000310E0000}"/>
    <cellStyle name="Heading 2 2 4 2" xfId="2595" xr:uid="{00000000-0005-0000-0000-0000320E0000}"/>
    <cellStyle name="Heading 2 2 5" xfId="2596" xr:uid="{00000000-0005-0000-0000-0000330E0000}"/>
    <cellStyle name="Heading 2 2 6" xfId="8983" xr:uid="{00000000-0005-0000-0000-0000340E0000}"/>
    <cellStyle name="Heading 2 20" xfId="2597" xr:uid="{00000000-0005-0000-0000-0000350E0000}"/>
    <cellStyle name="Heading 2 21" xfId="2598" xr:uid="{00000000-0005-0000-0000-0000360E0000}"/>
    <cellStyle name="Heading 2 22" xfId="2599" xr:uid="{00000000-0005-0000-0000-0000370E0000}"/>
    <cellStyle name="Heading 2 23" xfId="2600" xr:uid="{00000000-0005-0000-0000-0000380E0000}"/>
    <cellStyle name="Heading 2 24" xfId="2601" xr:uid="{00000000-0005-0000-0000-0000390E0000}"/>
    <cellStyle name="Heading 2 24 2" xfId="2602" xr:uid="{00000000-0005-0000-0000-00003A0E0000}"/>
    <cellStyle name="Heading 2 25" xfId="2603" xr:uid="{00000000-0005-0000-0000-00003B0E0000}"/>
    <cellStyle name="Heading 2 26" xfId="8294" xr:uid="{00000000-0005-0000-0000-00003C0E0000}"/>
    <cellStyle name="Heading 2 27" xfId="8742" xr:uid="{00000000-0005-0000-0000-00003D0E0000}"/>
    <cellStyle name="Heading 2 3" xfId="2604" xr:uid="{00000000-0005-0000-0000-00003E0E0000}"/>
    <cellStyle name="Heading 2 3 2" xfId="2605" xr:uid="{00000000-0005-0000-0000-00003F0E0000}"/>
    <cellStyle name="Heading 2 3 3" xfId="2606" xr:uid="{00000000-0005-0000-0000-0000400E0000}"/>
    <cellStyle name="Heading 2 3 4" xfId="2607" xr:uid="{00000000-0005-0000-0000-0000410E0000}"/>
    <cellStyle name="Heading 2 3 5" xfId="2608" xr:uid="{00000000-0005-0000-0000-0000420E0000}"/>
    <cellStyle name="Heading 2 4" xfId="2609" xr:uid="{00000000-0005-0000-0000-0000430E0000}"/>
    <cellStyle name="Heading 2 4 2" xfId="2610" xr:uid="{00000000-0005-0000-0000-0000440E0000}"/>
    <cellStyle name="Heading 2 4 3" xfId="2611" xr:uid="{00000000-0005-0000-0000-0000450E0000}"/>
    <cellStyle name="Heading 2 4 4" xfId="2612" xr:uid="{00000000-0005-0000-0000-0000460E0000}"/>
    <cellStyle name="Heading 2 4 5" xfId="2613" xr:uid="{00000000-0005-0000-0000-0000470E0000}"/>
    <cellStyle name="Heading 2 5" xfId="2614" xr:uid="{00000000-0005-0000-0000-0000480E0000}"/>
    <cellStyle name="Heading 2 5 2" xfId="2615" xr:uid="{00000000-0005-0000-0000-0000490E0000}"/>
    <cellStyle name="Heading 2 5 3" xfId="2616" xr:uid="{00000000-0005-0000-0000-00004A0E0000}"/>
    <cellStyle name="Heading 2 5 4" xfId="2617" xr:uid="{00000000-0005-0000-0000-00004B0E0000}"/>
    <cellStyle name="Heading 2 5 5" xfId="2618" xr:uid="{00000000-0005-0000-0000-00004C0E0000}"/>
    <cellStyle name="Heading 2 6" xfId="2619" xr:uid="{00000000-0005-0000-0000-00004D0E0000}"/>
    <cellStyle name="Heading 2 6 2" xfId="2620" xr:uid="{00000000-0005-0000-0000-00004E0E0000}"/>
    <cellStyle name="Heading 2 6 3" xfId="2621" xr:uid="{00000000-0005-0000-0000-00004F0E0000}"/>
    <cellStyle name="Heading 2 6 4" xfId="2622" xr:uid="{00000000-0005-0000-0000-0000500E0000}"/>
    <cellStyle name="Heading 2 6 5" xfId="2623" xr:uid="{00000000-0005-0000-0000-0000510E0000}"/>
    <cellStyle name="Heading 2 7" xfId="2624" xr:uid="{00000000-0005-0000-0000-0000520E0000}"/>
    <cellStyle name="Heading 2 7 2" xfId="2625" xr:uid="{00000000-0005-0000-0000-0000530E0000}"/>
    <cellStyle name="Heading 2 7 3" xfId="2626" xr:uid="{00000000-0005-0000-0000-0000540E0000}"/>
    <cellStyle name="Heading 2 7 4" xfId="2627" xr:uid="{00000000-0005-0000-0000-0000550E0000}"/>
    <cellStyle name="Heading 2 7 5" xfId="2628" xr:uid="{00000000-0005-0000-0000-0000560E0000}"/>
    <cellStyle name="Heading 2 8" xfId="2629" xr:uid="{00000000-0005-0000-0000-0000570E0000}"/>
    <cellStyle name="Heading 2 8 2" xfId="2630" xr:uid="{00000000-0005-0000-0000-0000580E0000}"/>
    <cellStyle name="Heading 2 8 3" xfId="2631" xr:uid="{00000000-0005-0000-0000-0000590E0000}"/>
    <cellStyle name="Heading 2 8 4" xfId="2632" xr:uid="{00000000-0005-0000-0000-00005A0E0000}"/>
    <cellStyle name="Heading 2 8 5" xfId="2633" xr:uid="{00000000-0005-0000-0000-00005B0E0000}"/>
    <cellStyle name="Heading 2 8 6" xfId="2634" xr:uid="{00000000-0005-0000-0000-00005C0E0000}"/>
    <cellStyle name="Heading 2 8 7" xfId="2635" xr:uid="{00000000-0005-0000-0000-00005D0E0000}"/>
    <cellStyle name="Heading 2 8 8" xfId="2636" xr:uid="{00000000-0005-0000-0000-00005E0E0000}"/>
    <cellStyle name="Heading 2 8 9" xfId="2637" xr:uid="{00000000-0005-0000-0000-00005F0E0000}"/>
    <cellStyle name="Heading 2 9" xfId="2638" xr:uid="{00000000-0005-0000-0000-0000600E0000}"/>
    <cellStyle name="Heading 2 9 2" xfId="2639" xr:uid="{00000000-0005-0000-0000-0000610E0000}"/>
    <cellStyle name="Heading 2 9 3" xfId="2640" xr:uid="{00000000-0005-0000-0000-0000620E0000}"/>
    <cellStyle name="Heading 2 9 4" xfId="2641" xr:uid="{00000000-0005-0000-0000-0000630E0000}"/>
    <cellStyle name="Heading 2 9 5" xfId="2642" xr:uid="{00000000-0005-0000-0000-0000640E0000}"/>
    <cellStyle name="Heading 2 9 6" xfId="2643" xr:uid="{00000000-0005-0000-0000-0000650E0000}"/>
    <cellStyle name="Heading 2 9 7" xfId="2644" xr:uid="{00000000-0005-0000-0000-0000660E0000}"/>
    <cellStyle name="Heading 2 9 8" xfId="2645" xr:uid="{00000000-0005-0000-0000-0000670E0000}"/>
    <cellStyle name="Heading 2 9 9" xfId="2646" xr:uid="{00000000-0005-0000-0000-0000680E0000}"/>
    <cellStyle name="Heading 3" xfId="8247" builtinId="18" customBuiltin="1"/>
    <cellStyle name="Heading 3 10" xfId="2647" xr:uid="{00000000-0005-0000-0000-00006A0E0000}"/>
    <cellStyle name="Heading 3 10 2" xfId="2648" xr:uid="{00000000-0005-0000-0000-00006B0E0000}"/>
    <cellStyle name="Heading 3 10 3" xfId="2649" xr:uid="{00000000-0005-0000-0000-00006C0E0000}"/>
    <cellStyle name="Heading 3 10 4" xfId="2650" xr:uid="{00000000-0005-0000-0000-00006D0E0000}"/>
    <cellStyle name="Heading 3 10 5" xfId="2651" xr:uid="{00000000-0005-0000-0000-00006E0E0000}"/>
    <cellStyle name="Heading 3 10 6" xfId="2652" xr:uid="{00000000-0005-0000-0000-00006F0E0000}"/>
    <cellStyle name="Heading 3 10 7" xfId="2653" xr:uid="{00000000-0005-0000-0000-0000700E0000}"/>
    <cellStyle name="Heading 3 10 8" xfId="2654" xr:uid="{00000000-0005-0000-0000-0000710E0000}"/>
    <cellStyle name="Heading 3 11" xfId="2655" xr:uid="{00000000-0005-0000-0000-0000720E0000}"/>
    <cellStyle name="Heading 3 11 2" xfId="2656" xr:uid="{00000000-0005-0000-0000-0000730E0000}"/>
    <cellStyle name="Heading 3 12" xfId="2657" xr:uid="{00000000-0005-0000-0000-0000740E0000}"/>
    <cellStyle name="Heading 3 13" xfId="2658" xr:uid="{00000000-0005-0000-0000-0000750E0000}"/>
    <cellStyle name="Heading 3 14" xfId="2659" xr:uid="{00000000-0005-0000-0000-0000760E0000}"/>
    <cellStyle name="Heading 3 15" xfId="2660" xr:uid="{00000000-0005-0000-0000-0000770E0000}"/>
    <cellStyle name="Heading 3 16" xfId="2661" xr:uid="{00000000-0005-0000-0000-0000780E0000}"/>
    <cellStyle name="Heading 3 17" xfId="2662" xr:uid="{00000000-0005-0000-0000-0000790E0000}"/>
    <cellStyle name="Heading 3 18" xfId="2663" xr:uid="{00000000-0005-0000-0000-00007A0E0000}"/>
    <cellStyle name="Heading 3 19" xfId="2664" xr:uid="{00000000-0005-0000-0000-00007B0E0000}"/>
    <cellStyle name="Heading 3 2" xfId="2665" xr:uid="{00000000-0005-0000-0000-00007C0E0000}"/>
    <cellStyle name="Heading 3 2 10" xfId="2666" xr:uid="{00000000-0005-0000-0000-00007D0E0000}"/>
    <cellStyle name="Heading 3 2 11" xfId="8916" xr:uid="{00000000-0005-0000-0000-00007E0E0000}"/>
    <cellStyle name="Heading 3 2 2" xfId="2667" xr:uid="{00000000-0005-0000-0000-00007F0E0000}"/>
    <cellStyle name="Heading 3 2 2 2" xfId="2668" xr:uid="{00000000-0005-0000-0000-0000800E0000}"/>
    <cellStyle name="Heading 3 2 2 3" xfId="2669" xr:uid="{00000000-0005-0000-0000-0000810E0000}"/>
    <cellStyle name="Heading 3 2 2 4" xfId="2670" xr:uid="{00000000-0005-0000-0000-0000820E0000}"/>
    <cellStyle name="Heading 3 2 2 5" xfId="2671" xr:uid="{00000000-0005-0000-0000-0000830E0000}"/>
    <cellStyle name="Heading 3 2 2 6" xfId="2672" xr:uid="{00000000-0005-0000-0000-0000840E0000}"/>
    <cellStyle name="Heading 3 2 2 7" xfId="2673" xr:uid="{00000000-0005-0000-0000-0000850E0000}"/>
    <cellStyle name="Heading 3 2 2 8" xfId="2674" xr:uid="{00000000-0005-0000-0000-0000860E0000}"/>
    <cellStyle name="Heading 3 2 3" xfId="2675" xr:uid="{00000000-0005-0000-0000-0000870E0000}"/>
    <cellStyle name="Heading 3 2 4" xfId="2676" xr:uid="{00000000-0005-0000-0000-0000880E0000}"/>
    <cellStyle name="Heading 3 2 4 2" xfId="2677" xr:uid="{00000000-0005-0000-0000-0000890E0000}"/>
    <cellStyle name="Heading 3 2 5" xfId="2678" xr:uid="{00000000-0005-0000-0000-00008A0E0000}"/>
    <cellStyle name="Heading 3 2 6" xfId="2679" xr:uid="{00000000-0005-0000-0000-00008B0E0000}"/>
    <cellStyle name="Heading 3 2 7" xfId="2680" xr:uid="{00000000-0005-0000-0000-00008C0E0000}"/>
    <cellStyle name="Heading 3 2 8" xfId="2681" xr:uid="{00000000-0005-0000-0000-00008D0E0000}"/>
    <cellStyle name="Heading 3 2 9" xfId="2682" xr:uid="{00000000-0005-0000-0000-00008E0E0000}"/>
    <cellStyle name="Heading 3 20" xfId="2683" xr:uid="{00000000-0005-0000-0000-00008F0E0000}"/>
    <cellStyle name="Heading 3 21" xfId="2684" xr:uid="{00000000-0005-0000-0000-0000900E0000}"/>
    <cellStyle name="Heading 3 22" xfId="2685" xr:uid="{00000000-0005-0000-0000-0000910E0000}"/>
    <cellStyle name="Heading 3 23" xfId="2686" xr:uid="{00000000-0005-0000-0000-0000920E0000}"/>
    <cellStyle name="Heading 3 24" xfId="2687" xr:uid="{00000000-0005-0000-0000-0000930E0000}"/>
    <cellStyle name="Heading 3 24 2" xfId="2688" xr:uid="{00000000-0005-0000-0000-0000940E0000}"/>
    <cellStyle name="Heading 3 25" xfId="2689" xr:uid="{00000000-0005-0000-0000-0000950E0000}"/>
    <cellStyle name="Heading 3 26" xfId="8995" xr:uid="{00000000-0005-0000-0000-0000960E0000}"/>
    <cellStyle name="Heading 3 3" xfId="2690" xr:uid="{00000000-0005-0000-0000-0000970E0000}"/>
    <cellStyle name="Heading 3 3 2" xfId="2691" xr:uid="{00000000-0005-0000-0000-0000980E0000}"/>
    <cellStyle name="Heading 3 3 2 2" xfId="2692" xr:uid="{00000000-0005-0000-0000-0000990E0000}"/>
    <cellStyle name="Heading 3 3 2 3" xfId="2693" xr:uid="{00000000-0005-0000-0000-00009A0E0000}"/>
    <cellStyle name="Heading 3 3 2 4" xfId="2694" xr:uid="{00000000-0005-0000-0000-00009B0E0000}"/>
    <cellStyle name="Heading 3 3 2 5" xfId="2695" xr:uid="{00000000-0005-0000-0000-00009C0E0000}"/>
    <cellStyle name="Heading 3 3 2 6" xfId="2696" xr:uid="{00000000-0005-0000-0000-00009D0E0000}"/>
    <cellStyle name="Heading 3 3 2 7" xfId="2697" xr:uid="{00000000-0005-0000-0000-00009E0E0000}"/>
    <cellStyle name="Heading 3 3 2 8" xfId="2698" xr:uid="{00000000-0005-0000-0000-00009F0E0000}"/>
    <cellStyle name="Heading 3 3 3" xfId="2699" xr:uid="{00000000-0005-0000-0000-0000A00E0000}"/>
    <cellStyle name="Heading 3 3 4" xfId="2700" xr:uid="{00000000-0005-0000-0000-0000A10E0000}"/>
    <cellStyle name="Heading 3 3 5" xfId="2701" xr:uid="{00000000-0005-0000-0000-0000A20E0000}"/>
    <cellStyle name="Heading 3 3 6" xfId="2702" xr:uid="{00000000-0005-0000-0000-0000A30E0000}"/>
    <cellStyle name="Heading 3 3 7" xfId="2703" xr:uid="{00000000-0005-0000-0000-0000A40E0000}"/>
    <cellStyle name="Heading 3 3 8" xfId="2704" xr:uid="{00000000-0005-0000-0000-0000A50E0000}"/>
    <cellStyle name="Heading 3 3 9" xfId="2705" xr:uid="{00000000-0005-0000-0000-0000A60E0000}"/>
    <cellStyle name="Heading 3 4" xfId="2706" xr:uid="{00000000-0005-0000-0000-0000A70E0000}"/>
    <cellStyle name="Heading 3 4 2" xfId="2707" xr:uid="{00000000-0005-0000-0000-0000A80E0000}"/>
    <cellStyle name="Heading 3 4 2 2" xfId="2708" xr:uid="{00000000-0005-0000-0000-0000A90E0000}"/>
    <cellStyle name="Heading 3 4 2 3" xfId="2709" xr:uid="{00000000-0005-0000-0000-0000AA0E0000}"/>
    <cellStyle name="Heading 3 4 2 4" xfId="2710" xr:uid="{00000000-0005-0000-0000-0000AB0E0000}"/>
    <cellStyle name="Heading 3 4 2 5" xfId="2711" xr:uid="{00000000-0005-0000-0000-0000AC0E0000}"/>
    <cellStyle name="Heading 3 4 2 6" xfId="2712" xr:uid="{00000000-0005-0000-0000-0000AD0E0000}"/>
    <cellStyle name="Heading 3 4 2 7" xfId="2713" xr:uid="{00000000-0005-0000-0000-0000AE0E0000}"/>
    <cellStyle name="Heading 3 4 2 8" xfId="2714" xr:uid="{00000000-0005-0000-0000-0000AF0E0000}"/>
    <cellStyle name="Heading 3 4 3" xfId="2715" xr:uid="{00000000-0005-0000-0000-0000B00E0000}"/>
    <cellStyle name="Heading 3 4 4" xfId="2716" xr:uid="{00000000-0005-0000-0000-0000B10E0000}"/>
    <cellStyle name="Heading 3 4 5" xfId="2717" xr:uid="{00000000-0005-0000-0000-0000B20E0000}"/>
    <cellStyle name="Heading 3 4 6" xfId="2718" xr:uid="{00000000-0005-0000-0000-0000B30E0000}"/>
    <cellStyle name="Heading 3 4 7" xfId="2719" xr:uid="{00000000-0005-0000-0000-0000B40E0000}"/>
    <cellStyle name="Heading 3 4 8" xfId="2720" xr:uid="{00000000-0005-0000-0000-0000B50E0000}"/>
    <cellStyle name="Heading 3 4 9" xfId="2721" xr:uid="{00000000-0005-0000-0000-0000B60E0000}"/>
    <cellStyle name="Heading 3 5" xfId="2722" xr:uid="{00000000-0005-0000-0000-0000B70E0000}"/>
    <cellStyle name="Heading 3 5 2" xfId="2723" xr:uid="{00000000-0005-0000-0000-0000B80E0000}"/>
    <cellStyle name="Heading 3 5 2 2" xfId="2724" xr:uid="{00000000-0005-0000-0000-0000B90E0000}"/>
    <cellStyle name="Heading 3 5 2 3" xfId="2725" xr:uid="{00000000-0005-0000-0000-0000BA0E0000}"/>
    <cellStyle name="Heading 3 5 2 4" xfId="2726" xr:uid="{00000000-0005-0000-0000-0000BB0E0000}"/>
    <cellStyle name="Heading 3 5 2 5" xfId="2727" xr:uid="{00000000-0005-0000-0000-0000BC0E0000}"/>
    <cellStyle name="Heading 3 5 2 6" xfId="2728" xr:uid="{00000000-0005-0000-0000-0000BD0E0000}"/>
    <cellStyle name="Heading 3 5 2 7" xfId="2729" xr:uid="{00000000-0005-0000-0000-0000BE0E0000}"/>
    <cellStyle name="Heading 3 5 2 8" xfId="2730" xr:uid="{00000000-0005-0000-0000-0000BF0E0000}"/>
    <cellStyle name="Heading 3 5 3" xfId="2731" xr:uid="{00000000-0005-0000-0000-0000C00E0000}"/>
    <cellStyle name="Heading 3 5 4" xfId="2732" xr:uid="{00000000-0005-0000-0000-0000C10E0000}"/>
    <cellStyle name="Heading 3 5 5" xfId="2733" xr:uid="{00000000-0005-0000-0000-0000C20E0000}"/>
    <cellStyle name="Heading 3 5 6" xfId="2734" xr:uid="{00000000-0005-0000-0000-0000C30E0000}"/>
    <cellStyle name="Heading 3 5 7" xfId="2735" xr:uid="{00000000-0005-0000-0000-0000C40E0000}"/>
    <cellStyle name="Heading 3 5 8" xfId="2736" xr:uid="{00000000-0005-0000-0000-0000C50E0000}"/>
    <cellStyle name="Heading 3 5 9" xfId="2737" xr:uid="{00000000-0005-0000-0000-0000C60E0000}"/>
    <cellStyle name="Heading 3 6" xfId="2738" xr:uid="{00000000-0005-0000-0000-0000C70E0000}"/>
    <cellStyle name="Heading 3 6 2" xfId="2739" xr:uid="{00000000-0005-0000-0000-0000C80E0000}"/>
    <cellStyle name="Heading 3 6 2 2" xfId="2740" xr:uid="{00000000-0005-0000-0000-0000C90E0000}"/>
    <cellStyle name="Heading 3 6 2 3" xfId="2741" xr:uid="{00000000-0005-0000-0000-0000CA0E0000}"/>
    <cellStyle name="Heading 3 6 2 4" xfId="2742" xr:uid="{00000000-0005-0000-0000-0000CB0E0000}"/>
    <cellStyle name="Heading 3 6 2 5" xfId="2743" xr:uid="{00000000-0005-0000-0000-0000CC0E0000}"/>
    <cellStyle name="Heading 3 6 2 6" xfId="2744" xr:uid="{00000000-0005-0000-0000-0000CD0E0000}"/>
    <cellStyle name="Heading 3 6 2 7" xfId="2745" xr:uid="{00000000-0005-0000-0000-0000CE0E0000}"/>
    <cellStyle name="Heading 3 6 2 8" xfId="2746" xr:uid="{00000000-0005-0000-0000-0000CF0E0000}"/>
    <cellStyle name="Heading 3 6 3" xfId="2747" xr:uid="{00000000-0005-0000-0000-0000D00E0000}"/>
    <cellStyle name="Heading 3 6 4" xfId="2748" xr:uid="{00000000-0005-0000-0000-0000D10E0000}"/>
    <cellStyle name="Heading 3 6 5" xfId="2749" xr:uid="{00000000-0005-0000-0000-0000D20E0000}"/>
    <cellStyle name="Heading 3 6 6" xfId="2750" xr:uid="{00000000-0005-0000-0000-0000D30E0000}"/>
    <cellStyle name="Heading 3 6 7" xfId="2751" xr:uid="{00000000-0005-0000-0000-0000D40E0000}"/>
    <cellStyle name="Heading 3 6 8" xfId="2752" xr:uid="{00000000-0005-0000-0000-0000D50E0000}"/>
    <cellStyle name="Heading 3 6 9" xfId="2753" xr:uid="{00000000-0005-0000-0000-0000D60E0000}"/>
    <cellStyle name="Heading 3 7" xfId="2754" xr:uid="{00000000-0005-0000-0000-0000D70E0000}"/>
    <cellStyle name="Heading 3 7 2" xfId="2755" xr:uid="{00000000-0005-0000-0000-0000D80E0000}"/>
    <cellStyle name="Heading 3 7 2 2" xfId="2756" xr:uid="{00000000-0005-0000-0000-0000D90E0000}"/>
    <cellStyle name="Heading 3 7 2 3" xfId="2757" xr:uid="{00000000-0005-0000-0000-0000DA0E0000}"/>
    <cellStyle name="Heading 3 7 2 4" xfId="2758" xr:uid="{00000000-0005-0000-0000-0000DB0E0000}"/>
    <cellStyle name="Heading 3 7 2 5" xfId="2759" xr:uid="{00000000-0005-0000-0000-0000DC0E0000}"/>
    <cellStyle name="Heading 3 7 2 6" xfId="2760" xr:uid="{00000000-0005-0000-0000-0000DD0E0000}"/>
    <cellStyle name="Heading 3 7 2 7" xfId="2761" xr:uid="{00000000-0005-0000-0000-0000DE0E0000}"/>
    <cellStyle name="Heading 3 7 2 8" xfId="2762" xr:uid="{00000000-0005-0000-0000-0000DF0E0000}"/>
    <cellStyle name="Heading 3 7 3" xfId="2763" xr:uid="{00000000-0005-0000-0000-0000E00E0000}"/>
    <cellStyle name="Heading 3 7 4" xfId="2764" xr:uid="{00000000-0005-0000-0000-0000E10E0000}"/>
    <cellStyle name="Heading 3 7 5" xfId="2765" xr:uid="{00000000-0005-0000-0000-0000E20E0000}"/>
    <cellStyle name="Heading 3 7 6" xfId="2766" xr:uid="{00000000-0005-0000-0000-0000E30E0000}"/>
    <cellStyle name="Heading 3 7 7" xfId="2767" xr:uid="{00000000-0005-0000-0000-0000E40E0000}"/>
    <cellStyle name="Heading 3 7 8" xfId="2768" xr:uid="{00000000-0005-0000-0000-0000E50E0000}"/>
    <cellStyle name="Heading 3 7 9" xfId="2769" xr:uid="{00000000-0005-0000-0000-0000E60E0000}"/>
    <cellStyle name="Heading 3 8" xfId="2770" xr:uid="{00000000-0005-0000-0000-0000E70E0000}"/>
    <cellStyle name="Heading 3 8 2" xfId="2771" xr:uid="{00000000-0005-0000-0000-0000E80E0000}"/>
    <cellStyle name="Heading 3 8 3" xfId="2772" xr:uid="{00000000-0005-0000-0000-0000E90E0000}"/>
    <cellStyle name="Heading 3 8 4" xfId="2773" xr:uid="{00000000-0005-0000-0000-0000EA0E0000}"/>
    <cellStyle name="Heading 3 8 5" xfId="2774" xr:uid="{00000000-0005-0000-0000-0000EB0E0000}"/>
    <cellStyle name="Heading 3 8 6" xfId="2775" xr:uid="{00000000-0005-0000-0000-0000EC0E0000}"/>
    <cellStyle name="Heading 3 8 7" xfId="2776" xr:uid="{00000000-0005-0000-0000-0000ED0E0000}"/>
    <cellStyle name="Heading 3 8 8" xfId="2777" xr:uid="{00000000-0005-0000-0000-0000EE0E0000}"/>
    <cellStyle name="Heading 3 9" xfId="2778" xr:uid="{00000000-0005-0000-0000-0000EF0E0000}"/>
    <cellStyle name="Heading 3 9 2" xfId="2779" xr:uid="{00000000-0005-0000-0000-0000F00E0000}"/>
    <cellStyle name="Heading 3 9 3" xfId="2780" xr:uid="{00000000-0005-0000-0000-0000F10E0000}"/>
    <cellStyle name="Heading 3 9 4" xfId="2781" xr:uid="{00000000-0005-0000-0000-0000F20E0000}"/>
    <cellStyle name="Heading 3 9 5" xfId="2782" xr:uid="{00000000-0005-0000-0000-0000F30E0000}"/>
    <cellStyle name="Heading 3 9 6" xfId="2783" xr:uid="{00000000-0005-0000-0000-0000F40E0000}"/>
    <cellStyle name="Heading 3 9 7" xfId="2784" xr:uid="{00000000-0005-0000-0000-0000F50E0000}"/>
    <cellStyle name="Heading 3 9 8" xfId="2785" xr:uid="{00000000-0005-0000-0000-0000F60E0000}"/>
    <cellStyle name="Heading 4" xfId="8248" builtinId="19" customBuiltin="1"/>
    <cellStyle name="Heading 4 10" xfId="2786" xr:uid="{00000000-0005-0000-0000-0000F80E0000}"/>
    <cellStyle name="Heading 4 10 2" xfId="2787" xr:uid="{00000000-0005-0000-0000-0000F90E0000}"/>
    <cellStyle name="Heading 4 10 3" xfId="2788" xr:uid="{00000000-0005-0000-0000-0000FA0E0000}"/>
    <cellStyle name="Heading 4 10 4" xfId="2789" xr:uid="{00000000-0005-0000-0000-0000FB0E0000}"/>
    <cellStyle name="Heading 4 10 5" xfId="2790" xr:uid="{00000000-0005-0000-0000-0000FC0E0000}"/>
    <cellStyle name="Heading 4 10 6" xfId="2791" xr:uid="{00000000-0005-0000-0000-0000FD0E0000}"/>
    <cellStyle name="Heading 4 10 7" xfId="2792" xr:uid="{00000000-0005-0000-0000-0000FE0E0000}"/>
    <cellStyle name="Heading 4 10 8" xfId="2793" xr:uid="{00000000-0005-0000-0000-0000FF0E0000}"/>
    <cellStyle name="Heading 4 11" xfId="2794" xr:uid="{00000000-0005-0000-0000-0000000F0000}"/>
    <cellStyle name="Heading 4 12" xfId="8854" xr:uid="{00000000-0005-0000-0000-0000010F0000}"/>
    <cellStyle name="Heading 4 2" xfId="2795" xr:uid="{00000000-0005-0000-0000-0000020F0000}"/>
    <cellStyle name="Heading 4 2 10" xfId="8811" xr:uid="{00000000-0005-0000-0000-0000030F0000}"/>
    <cellStyle name="Heading 4 2 2" xfId="2796" xr:uid="{00000000-0005-0000-0000-0000040F0000}"/>
    <cellStyle name="Heading 4 2 2 2" xfId="2797" xr:uid="{00000000-0005-0000-0000-0000050F0000}"/>
    <cellStyle name="Heading 4 2 2 3" xfId="2798" xr:uid="{00000000-0005-0000-0000-0000060F0000}"/>
    <cellStyle name="Heading 4 2 2 4" xfId="2799" xr:uid="{00000000-0005-0000-0000-0000070F0000}"/>
    <cellStyle name="Heading 4 2 2 5" xfId="2800" xr:uid="{00000000-0005-0000-0000-0000080F0000}"/>
    <cellStyle name="Heading 4 2 2 6" xfId="2801" xr:uid="{00000000-0005-0000-0000-0000090F0000}"/>
    <cellStyle name="Heading 4 2 2 7" xfId="2802" xr:uid="{00000000-0005-0000-0000-00000A0F0000}"/>
    <cellStyle name="Heading 4 2 2 8" xfId="2803" xr:uid="{00000000-0005-0000-0000-00000B0F0000}"/>
    <cellStyle name="Heading 4 2 3" xfId="2804" xr:uid="{00000000-0005-0000-0000-00000C0F0000}"/>
    <cellStyle name="Heading 4 2 4" xfId="2805" xr:uid="{00000000-0005-0000-0000-00000D0F0000}"/>
    <cellStyle name="Heading 4 2 5" xfId="2806" xr:uid="{00000000-0005-0000-0000-00000E0F0000}"/>
    <cellStyle name="Heading 4 2 6" xfId="2807" xr:uid="{00000000-0005-0000-0000-00000F0F0000}"/>
    <cellStyle name="Heading 4 2 7" xfId="2808" xr:uid="{00000000-0005-0000-0000-0000100F0000}"/>
    <cellStyle name="Heading 4 2 8" xfId="2809" xr:uid="{00000000-0005-0000-0000-0000110F0000}"/>
    <cellStyle name="Heading 4 2 9" xfId="2810" xr:uid="{00000000-0005-0000-0000-0000120F0000}"/>
    <cellStyle name="Heading 4 3" xfId="2811" xr:uid="{00000000-0005-0000-0000-0000130F0000}"/>
    <cellStyle name="Heading 4 3 2" xfId="2812" xr:uid="{00000000-0005-0000-0000-0000140F0000}"/>
    <cellStyle name="Heading 4 3 2 2" xfId="2813" xr:uid="{00000000-0005-0000-0000-0000150F0000}"/>
    <cellStyle name="Heading 4 3 2 3" xfId="2814" xr:uid="{00000000-0005-0000-0000-0000160F0000}"/>
    <cellStyle name="Heading 4 3 2 4" xfId="2815" xr:uid="{00000000-0005-0000-0000-0000170F0000}"/>
    <cellStyle name="Heading 4 3 2 5" xfId="2816" xr:uid="{00000000-0005-0000-0000-0000180F0000}"/>
    <cellStyle name="Heading 4 3 2 6" xfId="2817" xr:uid="{00000000-0005-0000-0000-0000190F0000}"/>
    <cellStyle name="Heading 4 3 2 7" xfId="2818" xr:uid="{00000000-0005-0000-0000-00001A0F0000}"/>
    <cellStyle name="Heading 4 3 2 8" xfId="2819" xr:uid="{00000000-0005-0000-0000-00001B0F0000}"/>
    <cellStyle name="Heading 4 3 3" xfId="2820" xr:uid="{00000000-0005-0000-0000-00001C0F0000}"/>
    <cellStyle name="Heading 4 3 4" xfId="2821" xr:uid="{00000000-0005-0000-0000-00001D0F0000}"/>
    <cellStyle name="Heading 4 3 5" xfId="2822" xr:uid="{00000000-0005-0000-0000-00001E0F0000}"/>
    <cellStyle name="Heading 4 3 6" xfId="2823" xr:uid="{00000000-0005-0000-0000-00001F0F0000}"/>
    <cellStyle name="Heading 4 3 7" xfId="2824" xr:uid="{00000000-0005-0000-0000-0000200F0000}"/>
    <cellStyle name="Heading 4 3 8" xfId="2825" xr:uid="{00000000-0005-0000-0000-0000210F0000}"/>
    <cellStyle name="Heading 4 3 9" xfId="2826" xr:uid="{00000000-0005-0000-0000-0000220F0000}"/>
    <cellStyle name="Heading 4 4" xfId="2827" xr:uid="{00000000-0005-0000-0000-0000230F0000}"/>
    <cellStyle name="Heading 4 4 2" xfId="2828" xr:uid="{00000000-0005-0000-0000-0000240F0000}"/>
    <cellStyle name="Heading 4 4 2 2" xfId="2829" xr:uid="{00000000-0005-0000-0000-0000250F0000}"/>
    <cellStyle name="Heading 4 4 2 3" xfId="2830" xr:uid="{00000000-0005-0000-0000-0000260F0000}"/>
    <cellStyle name="Heading 4 4 2 4" xfId="2831" xr:uid="{00000000-0005-0000-0000-0000270F0000}"/>
    <cellStyle name="Heading 4 4 2 5" xfId="2832" xr:uid="{00000000-0005-0000-0000-0000280F0000}"/>
    <cellStyle name="Heading 4 4 2 6" xfId="2833" xr:uid="{00000000-0005-0000-0000-0000290F0000}"/>
    <cellStyle name="Heading 4 4 2 7" xfId="2834" xr:uid="{00000000-0005-0000-0000-00002A0F0000}"/>
    <cellStyle name="Heading 4 4 2 8" xfId="2835" xr:uid="{00000000-0005-0000-0000-00002B0F0000}"/>
    <cellStyle name="Heading 4 4 3" xfId="2836" xr:uid="{00000000-0005-0000-0000-00002C0F0000}"/>
    <cellStyle name="Heading 4 4 4" xfId="2837" xr:uid="{00000000-0005-0000-0000-00002D0F0000}"/>
    <cellStyle name="Heading 4 4 5" xfId="2838" xr:uid="{00000000-0005-0000-0000-00002E0F0000}"/>
    <cellStyle name="Heading 4 4 6" xfId="2839" xr:uid="{00000000-0005-0000-0000-00002F0F0000}"/>
    <cellStyle name="Heading 4 4 7" xfId="2840" xr:uid="{00000000-0005-0000-0000-0000300F0000}"/>
    <cellStyle name="Heading 4 4 8" xfId="2841" xr:uid="{00000000-0005-0000-0000-0000310F0000}"/>
    <cellStyle name="Heading 4 4 9" xfId="2842" xr:uid="{00000000-0005-0000-0000-0000320F0000}"/>
    <cellStyle name="Heading 4 5" xfId="2843" xr:uid="{00000000-0005-0000-0000-0000330F0000}"/>
    <cellStyle name="Heading 4 5 2" xfId="2844" xr:uid="{00000000-0005-0000-0000-0000340F0000}"/>
    <cellStyle name="Heading 4 5 2 2" xfId="2845" xr:uid="{00000000-0005-0000-0000-0000350F0000}"/>
    <cellStyle name="Heading 4 5 2 3" xfId="2846" xr:uid="{00000000-0005-0000-0000-0000360F0000}"/>
    <cellStyle name="Heading 4 5 2 4" xfId="2847" xr:uid="{00000000-0005-0000-0000-0000370F0000}"/>
    <cellStyle name="Heading 4 5 2 5" xfId="2848" xr:uid="{00000000-0005-0000-0000-0000380F0000}"/>
    <cellStyle name="Heading 4 5 2 6" xfId="2849" xr:uid="{00000000-0005-0000-0000-0000390F0000}"/>
    <cellStyle name="Heading 4 5 2 7" xfId="2850" xr:uid="{00000000-0005-0000-0000-00003A0F0000}"/>
    <cellStyle name="Heading 4 5 2 8" xfId="2851" xr:uid="{00000000-0005-0000-0000-00003B0F0000}"/>
    <cellStyle name="Heading 4 5 3" xfId="2852" xr:uid="{00000000-0005-0000-0000-00003C0F0000}"/>
    <cellStyle name="Heading 4 5 4" xfId="2853" xr:uid="{00000000-0005-0000-0000-00003D0F0000}"/>
    <cellStyle name="Heading 4 5 5" xfId="2854" xr:uid="{00000000-0005-0000-0000-00003E0F0000}"/>
    <cellStyle name="Heading 4 5 6" xfId="2855" xr:uid="{00000000-0005-0000-0000-00003F0F0000}"/>
    <cellStyle name="Heading 4 5 7" xfId="2856" xr:uid="{00000000-0005-0000-0000-0000400F0000}"/>
    <cellStyle name="Heading 4 5 8" xfId="2857" xr:uid="{00000000-0005-0000-0000-0000410F0000}"/>
    <cellStyle name="Heading 4 5 9" xfId="2858" xr:uid="{00000000-0005-0000-0000-0000420F0000}"/>
    <cellStyle name="Heading 4 6" xfId="2859" xr:uid="{00000000-0005-0000-0000-0000430F0000}"/>
    <cellStyle name="Heading 4 6 2" xfId="2860" xr:uid="{00000000-0005-0000-0000-0000440F0000}"/>
    <cellStyle name="Heading 4 6 2 2" xfId="2861" xr:uid="{00000000-0005-0000-0000-0000450F0000}"/>
    <cellStyle name="Heading 4 6 2 3" xfId="2862" xr:uid="{00000000-0005-0000-0000-0000460F0000}"/>
    <cellStyle name="Heading 4 6 2 4" xfId="2863" xr:uid="{00000000-0005-0000-0000-0000470F0000}"/>
    <cellStyle name="Heading 4 6 2 5" xfId="2864" xr:uid="{00000000-0005-0000-0000-0000480F0000}"/>
    <cellStyle name="Heading 4 6 2 6" xfId="2865" xr:uid="{00000000-0005-0000-0000-0000490F0000}"/>
    <cellStyle name="Heading 4 6 2 7" xfId="2866" xr:uid="{00000000-0005-0000-0000-00004A0F0000}"/>
    <cellStyle name="Heading 4 6 2 8" xfId="2867" xr:uid="{00000000-0005-0000-0000-00004B0F0000}"/>
    <cellStyle name="Heading 4 6 3" xfId="2868" xr:uid="{00000000-0005-0000-0000-00004C0F0000}"/>
    <cellStyle name="Heading 4 6 4" xfId="2869" xr:uid="{00000000-0005-0000-0000-00004D0F0000}"/>
    <cellStyle name="Heading 4 6 5" xfId="2870" xr:uid="{00000000-0005-0000-0000-00004E0F0000}"/>
    <cellStyle name="Heading 4 6 6" xfId="2871" xr:uid="{00000000-0005-0000-0000-00004F0F0000}"/>
    <cellStyle name="Heading 4 6 7" xfId="2872" xr:uid="{00000000-0005-0000-0000-0000500F0000}"/>
    <cellStyle name="Heading 4 6 8" xfId="2873" xr:uid="{00000000-0005-0000-0000-0000510F0000}"/>
    <cellStyle name="Heading 4 6 9" xfId="2874" xr:uid="{00000000-0005-0000-0000-0000520F0000}"/>
    <cellStyle name="Heading 4 7" xfId="2875" xr:uid="{00000000-0005-0000-0000-0000530F0000}"/>
    <cellStyle name="Heading 4 7 2" xfId="2876" xr:uid="{00000000-0005-0000-0000-0000540F0000}"/>
    <cellStyle name="Heading 4 7 2 2" xfId="2877" xr:uid="{00000000-0005-0000-0000-0000550F0000}"/>
    <cellStyle name="Heading 4 7 2 3" xfId="2878" xr:uid="{00000000-0005-0000-0000-0000560F0000}"/>
    <cellStyle name="Heading 4 7 2 4" xfId="2879" xr:uid="{00000000-0005-0000-0000-0000570F0000}"/>
    <cellStyle name="Heading 4 7 2 5" xfId="2880" xr:uid="{00000000-0005-0000-0000-0000580F0000}"/>
    <cellStyle name="Heading 4 7 2 6" xfId="2881" xr:uid="{00000000-0005-0000-0000-0000590F0000}"/>
    <cellStyle name="Heading 4 7 2 7" xfId="2882" xr:uid="{00000000-0005-0000-0000-00005A0F0000}"/>
    <cellStyle name="Heading 4 7 2 8" xfId="2883" xr:uid="{00000000-0005-0000-0000-00005B0F0000}"/>
    <cellStyle name="Heading 4 7 3" xfId="2884" xr:uid="{00000000-0005-0000-0000-00005C0F0000}"/>
    <cellStyle name="Heading 4 7 4" xfId="2885" xr:uid="{00000000-0005-0000-0000-00005D0F0000}"/>
    <cellStyle name="Heading 4 7 5" xfId="2886" xr:uid="{00000000-0005-0000-0000-00005E0F0000}"/>
    <cellStyle name="Heading 4 7 6" xfId="2887" xr:uid="{00000000-0005-0000-0000-00005F0F0000}"/>
    <cellStyle name="Heading 4 7 7" xfId="2888" xr:uid="{00000000-0005-0000-0000-0000600F0000}"/>
    <cellStyle name="Heading 4 7 8" xfId="2889" xr:uid="{00000000-0005-0000-0000-0000610F0000}"/>
    <cellStyle name="Heading 4 7 9" xfId="2890" xr:uid="{00000000-0005-0000-0000-0000620F0000}"/>
    <cellStyle name="Heading 4 8" xfId="2891" xr:uid="{00000000-0005-0000-0000-0000630F0000}"/>
    <cellStyle name="Heading 4 8 2" xfId="2892" xr:uid="{00000000-0005-0000-0000-0000640F0000}"/>
    <cellStyle name="Heading 4 8 3" xfId="2893" xr:uid="{00000000-0005-0000-0000-0000650F0000}"/>
    <cellStyle name="Heading 4 8 4" xfId="2894" xr:uid="{00000000-0005-0000-0000-0000660F0000}"/>
    <cellStyle name="Heading 4 8 5" xfId="2895" xr:uid="{00000000-0005-0000-0000-0000670F0000}"/>
    <cellStyle name="Heading 4 8 6" xfId="2896" xr:uid="{00000000-0005-0000-0000-0000680F0000}"/>
    <cellStyle name="Heading 4 8 7" xfId="2897" xr:uid="{00000000-0005-0000-0000-0000690F0000}"/>
    <cellStyle name="Heading 4 8 8" xfId="2898" xr:uid="{00000000-0005-0000-0000-00006A0F0000}"/>
    <cellStyle name="Heading 4 9" xfId="2899" xr:uid="{00000000-0005-0000-0000-00006B0F0000}"/>
    <cellStyle name="Heading 4 9 2" xfId="2900" xr:uid="{00000000-0005-0000-0000-00006C0F0000}"/>
    <cellStyle name="Heading 4 9 3" xfId="2901" xr:uid="{00000000-0005-0000-0000-00006D0F0000}"/>
    <cellStyle name="Heading 4 9 4" xfId="2902" xr:uid="{00000000-0005-0000-0000-00006E0F0000}"/>
    <cellStyle name="Heading 4 9 5" xfId="2903" xr:uid="{00000000-0005-0000-0000-00006F0F0000}"/>
    <cellStyle name="Heading 4 9 6" xfId="2904" xr:uid="{00000000-0005-0000-0000-0000700F0000}"/>
    <cellStyle name="Heading 4 9 7" xfId="2905" xr:uid="{00000000-0005-0000-0000-0000710F0000}"/>
    <cellStyle name="Heading 4 9 8" xfId="2906" xr:uid="{00000000-0005-0000-0000-0000720F0000}"/>
    <cellStyle name="Heading1" xfId="2907" xr:uid="{00000000-0005-0000-0000-0000730F0000}"/>
    <cellStyle name="Heading2" xfId="2908" xr:uid="{00000000-0005-0000-0000-0000740F0000}"/>
    <cellStyle name="hidden" xfId="15" xr:uid="{00000000-0005-0000-0000-0000750F0000}"/>
    <cellStyle name="hidden 2" xfId="8295" xr:uid="{00000000-0005-0000-0000-0000760F0000}"/>
    <cellStyle name="hidden 3" xfId="8853" xr:uid="{00000000-0005-0000-0000-0000770F0000}"/>
    <cellStyle name="hide" xfId="16" xr:uid="{00000000-0005-0000-0000-0000780F0000}"/>
    <cellStyle name="hide 2" xfId="8296" xr:uid="{00000000-0005-0000-0000-0000790F0000}"/>
    <cellStyle name="hide 3" xfId="8756" xr:uid="{00000000-0005-0000-0000-00007A0F0000}"/>
    <cellStyle name="Input" xfId="8252" builtinId="20" customBuiltin="1"/>
    <cellStyle name="Input 10" xfId="2909" xr:uid="{00000000-0005-0000-0000-00007C0F0000}"/>
    <cellStyle name="Input 10 2" xfId="2910" xr:uid="{00000000-0005-0000-0000-00007D0F0000}"/>
    <cellStyle name="Input 10 3" xfId="2911" xr:uid="{00000000-0005-0000-0000-00007E0F0000}"/>
    <cellStyle name="Input 10 4" xfId="2912" xr:uid="{00000000-0005-0000-0000-00007F0F0000}"/>
    <cellStyle name="Input 10 5" xfId="2913" xr:uid="{00000000-0005-0000-0000-0000800F0000}"/>
    <cellStyle name="Input 10 6" xfId="2914" xr:uid="{00000000-0005-0000-0000-0000810F0000}"/>
    <cellStyle name="Input 10 7" xfId="2915" xr:uid="{00000000-0005-0000-0000-0000820F0000}"/>
    <cellStyle name="Input 10 8" xfId="2916" xr:uid="{00000000-0005-0000-0000-0000830F0000}"/>
    <cellStyle name="Input 10 9" xfId="2917" xr:uid="{00000000-0005-0000-0000-0000840F0000}"/>
    <cellStyle name="Input 11" xfId="2918" xr:uid="{00000000-0005-0000-0000-0000850F0000}"/>
    <cellStyle name="Input 11 2" xfId="2919" xr:uid="{00000000-0005-0000-0000-0000860F0000}"/>
    <cellStyle name="Input 11 3" xfId="2920" xr:uid="{00000000-0005-0000-0000-0000870F0000}"/>
    <cellStyle name="Input 11 4" xfId="2921" xr:uid="{00000000-0005-0000-0000-0000880F0000}"/>
    <cellStyle name="Input 11 5" xfId="2922" xr:uid="{00000000-0005-0000-0000-0000890F0000}"/>
    <cellStyle name="Input 11 6" xfId="2923" xr:uid="{00000000-0005-0000-0000-00008A0F0000}"/>
    <cellStyle name="Input 11 7" xfId="2924" xr:uid="{00000000-0005-0000-0000-00008B0F0000}"/>
    <cellStyle name="Input 11 8" xfId="2925" xr:uid="{00000000-0005-0000-0000-00008C0F0000}"/>
    <cellStyle name="Input 11 9" xfId="2926" xr:uid="{00000000-0005-0000-0000-00008D0F0000}"/>
    <cellStyle name="Input 12" xfId="2927" xr:uid="{00000000-0005-0000-0000-00008E0F0000}"/>
    <cellStyle name="Input 12 2" xfId="2928" xr:uid="{00000000-0005-0000-0000-00008F0F0000}"/>
    <cellStyle name="Input 13" xfId="2929" xr:uid="{00000000-0005-0000-0000-0000900F0000}"/>
    <cellStyle name="Input 14" xfId="2930" xr:uid="{00000000-0005-0000-0000-0000910F0000}"/>
    <cellStyle name="Input 15" xfId="2931" xr:uid="{00000000-0005-0000-0000-0000920F0000}"/>
    <cellStyle name="Input 16" xfId="2932" xr:uid="{00000000-0005-0000-0000-0000930F0000}"/>
    <cellStyle name="Input 17" xfId="2933" xr:uid="{00000000-0005-0000-0000-0000940F0000}"/>
    <cellStyle name="Input 18" xfId="2934" xr:uid="{00000000-0005-0000-0000-0000950F0000}"/>
    <cellStyle name="Input 19" xfId="2935" xr:uid="{00000000-0005-0000-0000-0000960F0000}"/>
    <cellStyle name="Input 2" xfId="2936" xr:uid="{00000000-0005-0000-0000-0000970F0000}"/>
    <cellStyle name="Input 2 2" xfId="2937" xr:uid="{00000000-0005-0000-0000-0000980F0000}"/>
    <cellStyle name="Input 2 2 2" xfId="2938" xr:uid="{00000000-0005-0000-0000-0000990F0000}"/>
    <cellStyle name="Input 2 3" xfId="2939" xr:uid="{00000000-0005-0000-0000-00009A0F0000}"/>
    <cellStyle name="Input 2 3 2" xfId="2940" xr:uid="{00000000-0005-0000-0000-00009B0F0000}"/>
    <cellStyle name="Input 2 4" xfId="2941" xr:uid="{00000000-0005-0000-0000-00009C0F0000}"/>
    <cellStyle name="Input 2 4 2" xfId="2942" xr:uid="{00000000-0005-0000-0000-00009D0F0000}"/>
    <cellStyle name="Input 2 5" xfId="2943" xr:uid="{00000000-0005-0000-0000-00009E0F0000}"/>
    <cellStyle name="Input 2 6" xfId="8901" xr:uid="{00000000-0005-0000-0000-00009F0F0000}"/>
    <cellStyle name="Input 20" xfId="2944" xr:uid="{00000000-0005-0000-0000-0000A00F0000}"/>
    <cellStyle name="Input 21" xfId="2945" xr:uid="{00000000-0005-0000-0000-0000A10F0000}"/>
    <cellStyle name="Input 22" xfId="2946" xr:uid="{00000000-0005-0000-0000-0000A20F0000}"/>
    <cellStyle name="Input 23" xfId="2947" xr:uid="{00000000-0005-0000-0000-0000A30F0000}"/>
    <cellStyle name="Input 24" xfId="2948" xr:uid="{00000000-0005-0000-0000-0000A40F0000}"/>
    <cellStyle name="Input 24 2" xfId="2949" xr:uid="{00000000-0005-0000-0000-0000A50F0000}"/>
    <cellStyle name="Input 25" xfId="2950" xr:uid="{00000000-0005-0000-0000-0000A60F0000}"/>
    <cellStyle name="Input 26" xfId="8921" xr:uid="{00000000-0005-0000-0000-0000A70F0000}"/>
    <cellStyle name="Input 3" xfId="2951" xr:uid="{00000000-0005-0000-0000-0000A80F0000}"/>
    <cellStyle name="Input 3 2" xfId="2952" xr:uid="{00000000-0005-0000-0000-0000A90F0000}"/>
    <cellStyle name="Input 3 3" xfId="2953" xr:uid="{00000000-0005-0000-0000-0000AA0F0000}"/>
    <cellStyle name="Input 3 4" xfId="2954" xr:uid="{00000000-0005-0000-0000-0000AB0F0000}"/>
    <cellStyle name="Input 3 5" xfId="2955" xr:uid="{00000000-0005-0000-0000-0000AC0F0000}"/>
    <cellStyle name="Input 4" xfId="2956" xr:uid="{00000000-0005-0000-0000-0000AD0F0000}"/>
    <cellStyle name="Input 4 2" xfId="2957" xr:uid="{00000000-0005-0000-0000-0000AE0F0000}"/>
    <cellStyle name="Input 4 3" xfId="2958" xr:uid="{00000000-0005-0000-0000-0000AF0F0000}"/>
    <cellStyle name="Input 4 4" xfId="2959" xr:uid="{00000000-0005-0000-0000-0000B00F0000}"/>
    <cellStyle name="Input 4 5" xfId="2960" xr:uid="{00000000-0005-0000-0000-0000B10F0000}"/>
    <cellStyle name="Input 5" xfId="2961" xr:uid="{00000000-0005-0000-0000-0000B20F0000}"/>
    <cellStyle name="Input 5 2" xfId="2962" xr:uid="{00000000-0005-0000-0000-0000B30F0000}"/>
    <cellStyle name="Input 5 3" xfId="2963" xr:uid="{00000000-0005-0000-0000-0000B40F0000}"/>
    <cellStyle name="Input 5 4" xfId="2964" xr:uid="{00000000-0005-0000-0000-0000B50F0000}"/>
    <cellStyle name="Input 5 5" xfId="2965" xr:uid="{00000000-0005-0000-0000-0000B60F0000}"/>
    <cellStyle name="Input 6" xfId="2966" xr:uid="{00000000-0005-0000-0000-0000B70F0000}"/>
    <cellStyle name="Input 6 2" xfId="2967" xr:uid="{00000000-0005-0000-0000-0000B80F0000}"/>
    <cellStyle name="Input 6 3" xfId="2968" xr:uid="{00000000-0005-0000-0000-0000B90F0000}"/>
    <cellStyle name="Input 6 4" xfId="2969" xr:uid="{00000000-0005-0000-0000-0000BA0F0000}"/>
    <cellStyle name="Input 6 5" xfId="2970" xr:uid="{00000000-0005-0000-0000-0000BB0F0000}"/>
    <cellStyle name="Input 7" xfId="2971" xr:uid="{00000000-0005-0000-0000-0000BC0F0000}"/>
    <cellStyle name="Input 7 2" xfId="2972" xr:uid="{00000000-0005-0000-0000-0000BD0F0000}"/>
    <cellStyle name="Input 7 3" xfId="2973" xr:uid="{00000000-0005-0000-0000-0000BE0F0000}"/>
    <cellStyle name="Input 7 4" xfId="2974" xr:uid="{00000000-0005-0000-0000-0000BF0F0000}"/>
    <cellStyle name="Input 7 5" xfId="2975" xr:uid="{00000000-0005-0000-0000-0000C00F0000}"/>
    <cellStyle name="Input 8" xfId="2976" xr:uid="{00000000-0005-0000-0000-0000C10F0000}"/>
    <cellStyle name="Input 8 2" xfId="2977" xr:uid="{00000000-0005-0000-0000-0000C20F0000}"/>
    <cellStyle name="Input 8 3" xfId="2978" xr:uid="{00000000-0005-0000-0000-0000C30F0000}"/>
    <cellStyle name="Input 8 4" xfId="2979" xr:uid="{00000000-0005-0000-0000-0000C40F0000}"/>
    <cellStyle name="Input 9" xfId="2980" xr:uid="{00000000-0005-0000-0000-0000C50F0000}"/>
    <cellStyle name="Input 9 2" xfId="2981" xr:uid="{00000000-0005-0000-0000-0000C60F0000}"/>
    <cellStyle name="Input 9 3" xfId="2982" xr:uid="{00000000-0005-0000-0000-0000C70F0000}"/>
    <cellStyle name="Input 9 4" xfId="2983" xr:uid="{00000000-0005-0000-0000-0000C80F0000}"/>
    <cellStyle name="Input 9 5" xfId="2984" xr:uid="{00000000-0005-0000-0000-0000C90F0000}"/>
    <cellStyle name="Input 9 6" xfId="2985" xr:uid="{00000000-0005-0000-0000-0000CA0F0000}"/>
    <cellStyle name="Input 9 7" xfId="2986" xr:uid="{00000000-0005-0000-0000-0000CB0F0000}"/>
    <cellStyle name="Input 9 8" xfId="2987" xr:uid="{00000000-0005-0000-0000-0000CC0F0000}"/>
    <cellStyle name="Input 9 9" xfId="2988" xr:uid="{00000000-0005-0000-0000-0000CD0F0000}"/>
    <cellStyle name="Linked Cell" xfId="8255" builtinId="24" customBuiltin="1"/>
    <cellStyle name="Linked Cell 10" xfId="2989" xr:uid="{00000000-0005-0000-0000-0000CF0F0000}"/>
    <cellStyle name="Linked Cell 10 2" xfId="2990" xr:uid="{00000000-0005-0000-0000-0000D00F0000}"/>
    <cellStyle name="Linked Cell 10 3" xfId="2991" xr:uid="{00000000-0005-0000-0000-0000D10F0000}"/>
    <cellStyle name="Linked Cell 10 4" xfId="2992" xr:uid="{00000000-0005-0000-0000-0000D20F0000}"/>
    <cellStyle name="Linked Cell 10 5" xfId="2993" xr:uid="{00000000-0005-0000-0000-0000D30F0000}"/>
    <cellStyle name="Linked Cell 10 6" xfId="2994" xr:uid="{00000000-0005-0000-0000-0000D40F0000}"/>
    <cellStyle name="Linked Cell 10 7" xfId="2995" xr:uid="{00000000-0005-0000-0000-0000D50F0000}"/>
    <cellStyle name="Linked Cell 10 8" xfId="2996" xr:uid="{00000000-0005-0000-0000-0000D60F0000}"/>
    <cellStyle name="Linked Cell 11" xfId="2997" xr:uid="{00000000-0005-0000-0000-0000D70F0000}"/>
    <cellStyle name="Linked Cell 11 2" xfId="2998" xr:uid="{00000000-0005-0000-0000-0000D80F0000}"/>
    <cellStyle name="Linked Cell 12" xfId="2999" xr:uid="{00000000-0005-0000-0000-0000D90F0000}"/>
    <cellStyle name="Linked Cell 13" xfId="3000" xr:uid="{00000000-0005-0000-0000-0000DA0F0000}"/>
    <cellStyle name="Linked Cell 14" xfId="3001" xr:uid="{00000000-0005-0000-0000-0000DB0F0000}"/>
    <cellStyle name="Linked Cell 15" xfId="3002" xr:uid="{00000000-0005-0000-0000-0000DC0F0000}"/>
    <cellStyle name="Linked Cell 16" xfId="3003" xr:uid="{00000000-0005-0000-0000-0000DD0F0000}"/>
    <cellStyle name="Linked Cell 17" xfId="3004" xr:uid="{00000000-0005-0000-0000-0000DE0F0000}"/>
    <cellStyle name="Linked Cell 18" xfId="3005" xr:uid="{00000000-0005-0000-0000-0000DF0F0000}"/>
    <cellStyle name="Linked Cell 19" xfId="3006" xr:uid="{00000000-0005-0000-0000-0000E00F0000}"/>
    <cellStyle name="Linked Cell 2" xfId="3007" xr:uid="{00000000-0005-0000-0000-0000E10F0000}"/>
    <cellStyle name="Linked Cell 2 10" xfId="3008" xr:uid="{00000000-0005-0000-0000-0000E20F0000}"/>
    <cellStyle name="Linked Cell 2 11" xfId="8903" xr:uid="{00000000-0005-0000-0000-0000E30F0000}"/>
    <cellStyle name="Linked Cell 2 2" xfId="3009" xr:uid="{00000000-0005-0000-0000-0000E40F0000}"/>
    <cellStyle name="Linked Cell 2 2 2" xfId="3010" xr:uid="{00000000-0005-0000-0000-0000E50F0000}"/>
    <cellStyle name="Linked Cell 2 2 3" xfId="3011" xr:uid="{00000000-0005-0000-0000-0000E60F0000}"/>
    <cellStyle name="Linked Cell 2 2 4" xfId="3012" xr:uid="{00000000-0005-0000-0000-0000E70F0000}"/>
    <cellStyle name="Linked Cell 2 2 5" xfId="3013" xr:uid="{00000000-0005-0000-0000-0000E80F0000}"/>
    <cellStyle name="Linked Cell 2 2 6" xfId="3014" xr:uid="{00000000-0005-0000-0000-0000E90F0000}"/>
    <cellStyle name="Linked Cell 2 2 7" xfId="3015" xr:uid="{00000000-0005-0000-0000-0000EA0F0000}"/>
    <cellStyle name="Linked Cell 2 2 8" xfId="3016" xr:uid="{00000000-0005-0000-0000-0000EB0F0000}"/>
    <cellStyle name="Linked Cell 2 3" xfId="3017" xr:uid="{00000000-0005-0000-0000-0000EC0F0000}"/>
    <cellStyle name="Linked Cell 2 4" xfId="3018" xr:uid="{00000000-0005-0000-0000-0000ED0F0000}"/>
    <cellStyle name="Linked Cell 2 4 2" xfId="3019" xr:uid="{00000000-0005-0000-0000-0000EE0F0000}"/>
    <cellStyle name="Linked Cell 2 5" xfId="3020" xr:uid="{00000000-0005-0000-0000-0000EF0F0000}"/>
    <cellStyle name="Linked Cell 2 6" xfId="3021" xr:uid="{00000000-0005-0000-0000-0000F00F0000}"/>
    <cellStyle name="Linked Cell 2 7" xfId="3022" xr:uid="{00000000-0005-0000-0000-0000F10F0000}"/>
    <cellStyle name="Linked Cell 2 8" xfId="3023" xr:uid="{00000000-0005-0000-0000-0000F20F0000}"/>
    <cellStyle name="Linked Cell 2 9" xfId="3024" xr:uid="{00000000-0005-0000-0000-0000F30F0000}"/>
    <cellStyle name="Linked Cell 20" xfId="3025" xr:uid="{00000000-0005-0000-0000-0000F40F0000}"/>
    <cellStyle name="Linked Cell 21" xfId="3026" xr:uid="{00000000-0005-0000-0000-0000F50F0000}"/>
    <cellStyle name="Linked Cell 22" xfId="3027" xr:uid="{00000000-0005-0000-0000-0000F60F0000}"/>
    <cellStyle name="Linked Cell 23" xfId="3028" xr:uid="{00000000-0005-0000-0000-0000F70F0000}"/>
    <cellStyle name="Linked Cell 24" xfId="3029" xr:uid="{00000000-0005-0000-0000-0000F80F0000}"/>
    <cellStyle name="Linked Cell 24 2" xfId="3030" xr:uid="{00000000-0005-0000-0000-0000F90F0000}"/>
    <cellStyle name="Linked Cell 25" xfId="3031" xr:uid="{00000000-0005-0000-0000-0000FA0F0000}"/>
    <cellStyle name="Linked Cell 26" xfId="8923" xr:uid="{00000000-0005-0000-0000-0000FB0F0000}"/>
    <cellStyle name="Linked Cell 3" xfId="3032" xr:uid="{00000000-0005-0000-0000-0000FC0F0000}"/>
    <cellStyle name="Linked Cell 3 2" xfId="3033" xr:uid="{00000000-0005-0000-0000-0000FD0F0000}"/>
    <cellStyle name="Linked Cell 3 2 2" xfId="3034" xr:uid="{00000000-0005-0000-0000-0000FE0F0000}"/>
    <cellStyle name="Linked Cell 3 2 3" xfId="3035" xr:uid="{00000000-0005-0000-0000-0000FF0F0000}"/>
    <cellStyle name="Linked Cell 3 2 4" xfId="3036" xr:uid="{00000000-0005-0000-0000-000000100000}"/>
    <cellStyle name="Linked Cell 3 2 5" xfId="3037" xr:uid="{00000000-0005-0000-0000-000001100000}"/>
    <cellStyle name="Linked Cell 3 2 6" xfId="3038" xr:uid="{00000000-0005-0000-0000-000002100000}"/>
    <cellStyle name="Linked Cell 3 2 7" xfId="3039" xr:uid="{00000000-0005-0000-0000-000003100000}"/>
    <cellStyle name="Linked Cell 3 2 8" xfId="3040" xr:uid="{00000000-0005-0000-0000-000004100000}"/>
    <cellStyle name="Linked Cell 3 3" xfId="3041" xr:uid="{00000000-0005-0000-0000-000005100000}"/>
    <cellStyle name="Linked Cell 3 4" xfId="3042" xr:uid="{00000000-0005-0000-0000-000006100000}"/>
    <cellStyle name="Linked Cell 3 5" xfId="3043" xr:uid="{00000000-0005-0000-0000-000007100000}"/>
    <cellStyle name="Linked Cell 3 6" xfId="3044" xr:uid="{00000000-0005-0000-0000-000008100000}"/>
    <cellStyle name="Linked Cell 3 7" xfId="3045" xr:uid="{00000000-0005-0000-0000-000009100000}"/>
    <cellStyle name="Linked Cell 3 8" xfId="3046" xr:uid="{00000000-0005-0000-0000-00000A100000}"/>
    <cellStyle name="Linked Cell 3 9" xfId="3047" xr:uid="{00000000-0005-0000-0000-00000B100000}"/>
    <cellStyle name="Linked Cell 4" xfId="3048" xr:uid="{00000000-0005-0000-0000-00000C100000}"/>
    <cellStyle name="Linked Cell 4 2" xfId="3049" xr:uid="{00000000-0005-0000-0000-00000D100000}"/>
    <cellStyle name="Linked Cell 4 2 2" xfId="3050" xr:uid="{00000000-0005-0000-0000-00000E100000}"/>
    <cellStyle name="Linked Cell 4 2 3" xfId="3051" xr:uid="{00000000-0005-0000-0000-00000F100000}"/>
    <cellStyle name="Linked Cell 4 2 4" xfId="3052" xr:uid="{00000000-0005-0000-0000-000010100000}"/>
    <cellStyle name="Linked Cell 4 2 5" xfId="3053" xr:uid="{00000000-0005-0000-0000-000011100000}"/>
    <cellStyle name="Linked Cell 4 2 6" xfId="3054" xr:uid="{00000000-0005-0000-0000-000012100000}"/>
    <cellStyle name="Linked Cell 4 2 7" xfId="3055" xr:uid="{00000000-0005-0000-0000-000013100000}"/>
    <cellStyle name="Linked Cell 4 2 8" xfId="3056" xr:uid="{00000000-0005-0000-0000-000014100000}"/>
    <cellStyle name="Linked Cell 4 3" xfId="3057" xr:uid="{00000000-0005-0000-0000-000015100000}"/>
    <cellStyle name="Linked Cell 4 4" xfId="3058" xr:uid="{00000000-0005-0000-0000-000016100000}"/>
    <cellStyle name="Linked Cell 4 5" xfId="3059" xr:uid="{00000000-0005-0000-0000-000017100000}"/>
    <cellStyle name="Linked Cell 4 6" xfId="3060" xr:uid="{00000000-0005-0000-0000-000018100000}"/>
    <cellStyle name="Linked Cell 4 7" xfId="3061" xr:uid="{00000000-0005-0000-0000-000019100000}"/>
    <cellStyle name="Linked Cell 4 8" xfId="3062" xr:uid="{00000000-0005-0000-0000-00001A100000}"/>
    <cellStyle name="Linked Cell 4 9" xfId="3063" xr:uid="{00000000-0005-0000-0000-00001B100000}"/>
    <cellStyle name="Linked Cell 5" xfId="3064" xr:uid="{00000000-0005-0000-0000-00001C100000}"/>
    <cellStyle name="Linked Cell 5 2" xfId="3065" xr:uid="{00000000-0005-0000-0000-00001D100000}"/>
    <cellStyle name="Linked Cell 5 2 2" xfId="3066" xr:uid="{00000000-0005-0000-0000-00001E100000}"/>
    <cellStyle name="Linked Cell 5 2 3" xfId="3067" xr:uid="{00000000-0005-0000-0000-00001F100000}"/>
    <cellStyle name="Linked Cell 5 2 4" xfId="3068" xr:uid="{00000000-0005-0000-0000-000020100000}"/>
    <cellStyle name="Linked Cell 5 2 5" xfId="3069" xr:uid="{00000000-0005-0000-0000-000021100000}"/>
    <cellStyle name="Linked Cell 5 2 6" xfId="3070" xr:uid="{00000000-0005-0000-0000-000022100000}"/>
    <cellStyle name="Linked Cell 5 2 7" xfId="3071" xr:uid="{00000000-0005-0000-0000-000023100000}"/>
    <cellStyle name="Linked Cell 5 2 8" xfId="3072" xr:uid="{00000000-0005-0000-0000-000024100000}"/>
    <cellStyle name="Linked Cell 5 3" xfId="3073" xr:uid="{00000000-0005-0000-0000-000025100000}"/>
    <cellStyle name="Linked Cell 5 4" xfId="3074" xr:uid="{00000000-0005-0000-0000-000026100000}"/>
    <cellStyle name="Linked Cell 5 5" xfId="3075" xr:uid="{00000000-0005-0000-0000-000027100000}"/>
    <cellStyle name="Linked Cell 5 6" xfId="3076" xr:uid="{00000000-0005-0000-0000-000028100000}"/>
    <cellStyle name="Linked Cell 5 7" xfId="3077" xr:uid="{00000000-0005-0000-0000-000029100000}"/>
    <cellStyle name="Linked Cell 5 8" xfId="3078" xr:uid="{00000000-0005-0000-0000-00002A100000}"/>
    <cellStyle name="Linked Cell 5 9" xfId="3079" xr:uid="{00000000-0005-0000-0000-00002B100000}"/>
    <cellStyle name="Linked Cell 6" xfId="3080" xr:uid="{00000000-0005-0000-0000-00002C100000}"/>
    <cellStyle name="Linked Cell 6 2" xfId="3081" xr:uid="{00000000-0005-0000-0000-00002D100000}"/>
    <cellStyle name="Linked Cell 6 2 2" xfId="3082" xr:uid="{00000000-0005-0000-0000-00002E100000}"/>
    <cellStyle name="Linked Cell 6 2 3" xfId="3083" xr:uid="{00000000-0005-0000-0000-00002F100000}"/>
    <cellStyle name="Linked Cell 6 2 4" xfId="3084" xr:uid="{00000000-0005-0000-0000-000030100000}"/>
    <cellStyle name="Linked Cell 6 2 5" xfId="3085" xr:uid="{00000000-0005-0000-0000-000031100000}"/>
    <cellStyle name="Linked Cell 6 2 6" xfId="3086" xr:uid="{00000000-0005-0000-0000-000032100000}"/>
    <cellStyle name="Linked Cell 6 2 7" xfId="3087" xr:uid="{00000000-0005-0000-0000-000033100000}"/>
    <cellStyle name="Linked Cell 6 2 8" xfId="3088" xr:uid="{00000000-0005-0000-0000-000034100000}"/>
    <cellStyle name="Linked Cell 6 3" xfId="3089" xr:uid="{00000000-0005-0000-0000-000035100000}"/>
    <cellStyle name="Linked Cell 6 4" xfId="3090" xr:uid="{00000000-0005-0000-0000-000036100000}"/>
    <cellStyle name="Linked Cell 6 5" xfId="3091" xr:uid="{00000000-0005-0000-0000-000037100000}"/>
    <cellStyle name="Linked Cell 6 6" xfId="3092" xr:uid="{00000000-0005-0000-0000-000038100000}"/>
    <cellStyle name="Linked Cell 6 7" xfId="3093" xr:uid="{00000000-0005-0000-0000-000039100000}"/>
    <cellStyle name="Linked Cell 6 8" xfId="3094" xr:uid="{00000000-0005-0000-0000-00003A100000}"/>
    <cellStyle name="Linked Cell 6 9" xfId="3095" xr:uid="{00000000-0005-0000-0000-00003B100000}"/>
    <cellStyle name="Linked Cell 7" xfId="3096" xr:uid="{00000000-0005-0000-0000-00003C100000}"/>
    <cellStyle name="Linked Cell 7 2" xfId="3097" xr:uid="{00000000-0005-0000-0000-00003D100000}"/>
    <cellStyle name="Linked Cell 7 2 2" xfId="3098" xr:uid="{00000000-0005-0000-0000-00003E100000}"/>
    <cellStyle name="Linked Cell 7 2 3" xfId="3099" xr:uid="{00000000-0005-0000-0000-00003F100000}"/>
    <cellStyle name="Linked Cell 7 2 4" xfId="3100" xr:uid="{00000000-0005-0000-0000-000040100000}"/>
    <cellStyle name="Linked Cell 7 2 5" xfId="3101" xr:uid="{00000000-0005-0000-0000-000041100000}"/>
    <cellStyle name="Linked Cell 7 2 6" xfId="3102" xr:uid="{00000000-0005-0000-0000-000042100000}"/>
    <cellStyle name="Linked Cell 7 2 7" xfId="3103" xr:uid="{00000000-0005-0000-0000-000043100000}"/>
    <cellStyle name="Linked Cell 7 2 8" xfId="3104" xr:uid="{00000000-0005-0000-0000-000044100000}"/>
    <cellStyle name="Linked Cell 7 3" xfId="3105" xr:uid="{00000000-0005-0000-0000-000045100000}"/>
    <cellStyle name="Linked Cell 7 4" xfId="3106" xr:uid="{00000000-0005-0000-0000-000046100000}"/>
    <cellStyle name="Linked Cell 7 5" xfId="3107" xr:uid="{00000000-0005-0000-0000-000047100000}"/>
    <cellStyle name="Linked Cell 7 6" xfId="3108" xr:uid="{00000000-0005-0000-0000-000048100000}"/>
    <cellStyle name="Linked Cell 7 7" xfId="3109" xr:uid="{00000000-0005-0000-0000-000049100000}"/>
    <cellStyle name="Linked Cell 7 8" xfId="3110" xr:uid="{00000000-0005-0000-0000-00004A100000}"/>
    <cellStyle name="Linked Cell 7 9" xfId="3111" xr:uid="{00000000-0005-0000-0000-00004B100000}"/>
    <cellStyle name="Linked Cell 8" xfId="3112" xr:uid="{00000000-0005-0000-0000-00004C100000}"/>
    <cellStyle name="Linked Cell 8 2" xfId="3113" xr:uid="{00000000-0005-0000-0000-00004D100000}"/>
    <cellStyle name="Linked Cell 8 3" xfId="3114" xr:uid="{00000000-0005-0000-0000-00004E100000}"/>
    <cellStyle name="Linked Cell 8 4" xfId="3115" xr:uid="{00000000-0005-0000-0000-00004F100000}"/>
    <cellStyle name="Linked Cell 8 5" xfId="3116" xr:uid="{00000000-0005-0000-0000-000050100000}"/>
    <cellStyle name="Linked Cell 8 6" xfId="3117" xr:uid="{00000000-0005-0000-0000-000051100000}"/>
    <cellStyle name="Linked Cell 8 7" xfId="3118" xr:uid="{00000000-0005-0000-0000-000052100000}"/>
    <cellStyle name="Linked Cell 8 8" xfId="3119" xr:uid="{00000000-0005-0000-0000-000053100000}"/>
    <cellStyle name="Linked Cell 9" xfId="3120" xr:uid="{00000000-0005-0000-0000-000054100000}"/>
    <cellStyle name="Linked Cell 9 2" xfId="3121" xr:uid="{00000000-0005-0000-0000-000055100000}"/>
    <cellStyle name="Linked Cell 9 3" xfId="3122" xr:uid="{00000000-0005-0000-0000-000056100000}"/>
    <cellStyle name="Linked Cell 9 4" xfId="3123" xr:uid="{00000000-0005-0000-0000-000057100000}"/>
    <cellStyle name="Linked Cell 9 5" xfId="3124" xr:uid="{00000000-0005-0000-0000-000058100000}"/>
    <cellStyle name="Linked Cell 9 6" xfId="3125" xr:uid="{00000000-0005-0000-0000-000059100000}"/>
    <cellStyle name="Linked Cell 9 7" xfId="3126" xr:uid="{00000000-0005-0000-0000-00005A100000}"/>
    <cellStyle name="Linked Cell 9 8" xfId="3127" xr:uid="{00000000-0005-0000-0000-00005B100000}"/>
    <cellStyle name="Neutral" xfId="8251" builtinId="28" customBuiltin="1"/>
    <cellStyle name="Neutral 10" xfId="3128" xr:uid="{00000000-0005-0000-0000-00005D100000}"/>
    <cellStyle name="Neutral 10 2" xfId="3129" xr:uid="{00000000-0005-0000-0000-00005E100000}"/>
    <cellStyle name="Neutral 10 3" xfId="3130" xr:uid="{00000000-0005-0000-0000-00005F100000}"/>
    <cellStyle name="Neutral 10 4" xfId="3131" xr:uid="{00000000-0005-0000-0000-000060100000}"/>
    <cellStyle name="Neutral 10 5" xfId="3132" xr:uid="{00000000-0005-0000-0000-000061100000}"/>
    <cellStyle name="Neutral 10 6" xfId="3133" xr:uid="{00000000-0005-0000-0000-000062100000}"/>
    <cellStyle name="Neutral 10 7" xfId="3134" xr:uid="{00000000-0005-0000-0000-000063100000}"/>
    <cellStyle name="Neutral 10 8" xfId="3135" xr:uid="{00000000-0005-0000-0000-000064100000}"/>
    <cellStyle name="Neutral 10 9" xfId="3136" xr:uid="{00000000-0005-0000-0000-000065100000}"/>
    <cellStyle name="Neutral 11" xfId="3137" xr:uid="{00000000-0005-0000-0000-000066100000}"/>
    <cellStyle name="Neutral 11 2" xfId="3138" xr:uid="{00000000-0005-0000-0000-000067100000}"/>
    <cellStyle name="Neutral 11 3" xfId="3139" xr:uid="{00000000-0005-0000-0000-000068100000}"/>
    <cellStyle name="Neutral 11 4" xfId="3140" xr:uid="{00000000-0005-0000-0000-000069100000}"/>
    <cellStyle name="Neutral 11 5" xfId="3141" xr:uid="{00000000-0005-0000-0000-00006A100000}"/>
    <cellStyle name="Neutral 11 6" xfId="3142" xr:uid="{00000000-0005-0000-0000-00006B100000}"/>
    <cellStyle name="Neutral 11 7" xfId="3143" xr:uid="{00000000-0005-0000-0000-00006C100000}"/>
    <cellStyle name="Neutral 11 8" xfId="3144" xr:uid="{00000000-0005-0000-0000-00006D100000}"/>
    <cellStyle name="Neutral 11 9" xfId="3145" xr:uid="{00000000-0005-0000-0000-00006E100000}"/>
    <cellStyle name="Neutral 12" xfId="3146" xr:uid="{00000000-0005-0000-0000-00006F100000}"/>
    <cellStyle name="Neutral 12 2" xfId="3147" xr:uid="{00000000-0005-0000-0000-000070100000}"/>
    <cellStyle name="Neutral 13" xfId="3148" xr:uid="{00000000-0005-0000-0000-000071100000}"/>
    <cellStyle name="Neutral 14" xfId="3149" xr:uid="{00000000-0005-0000-0000-000072100000}"/>
    <cellStyle name="Neutral 15" xfId="3150" xr:uid="{00000000-0005-0000-0000-000073100000}"/>
    <cellStyle name="Neutral 16" xfId="3151" xr:uid="{00000000-0005-0000-0000-000074100000}"/>
    <cellStyle name="Neutral 17" xfId="3152" xr:uid="{00000000-0005-0000-0000-000075100000}"/>
    <cellStyle name="Neutral 18" xfId="3153" xr:uid="{00000000-0005-0000-0000-000076100000}"/>
    <cellStyle name="Neutral 19" xfId="3154" xr:uid="{00000000-0005-0000-0000-000077100000}"/>
    <cellStyle name="Neutral 2" xfId="29" xr:uid="{00000000-0005-0000-0000-000078100000}"/>
    <cellStyle name="Neutral 2 10" xfId="3155" xr:uid="{00000000-0005-0000-0000-000079100000}"/>
    <cellStyle name="Neutral 2 11" xfId="8900" xr:uid="{00000000-0005-0000-0000-00007A100000}"/>
    <cellStyle name="Neutral 2 2" xfId="3156" xr:uid="{00000000-0005-0000-0000-00007B100000}"/>
    <cellStyle name="Neutral 2 2 2" xfId="3157" xr:uid="{00000000-0005-0000-0000-00007C100000}"/>
    <cellStyle name="Neutral 2 2 2 2" xfId="3158" xr:uid="{00000000-0005-0000-0000-00007D100000}"/>
    <cellStyle name="Neutral 2 2 2 3" xfId="3159" xr:uid="{00000000-0005-0000-0000-00007E100000}"/>
    <cellStyle name="Neutral 2 2 2 4" xfId="3160" xr:uid="{00000000-0005-0000-0000-00007F100000}"/>
    <cellStyle name="Neutral 2 2 2 5" xfId="3161" xr:uid="{00000000-0005-0000-0000-000080100000}"/>
    <cellStyle name="Neutral 2 2 2 6" xfId="3162" xr:uid="{00000000-0005-0000-0000-000081100000}"/>
    <cellStyle name="Neutral 2 2 2 7" xfId="3163" xr:uid="{00000000-0005-0000-0000-000082100000}"/>
    <cellStyle name="Neutral 2 2 2 8" xfId="3164" xr:uid="{00000000-0005-0000-0000-000083100000}"/>
    <cellStyle name="Neutral 2 3" xfId="3165" xr:uid="{00000000-0005-0000-0000-000084100000}"/>
    <cellStyle name="Neutral 2 3 2" xfId="3166" xr:uid="{00000000-0005-0000-0000-000085100000}"/>
    <cellStyle name="Neutral 2 4" xfId="3167" xr:uid="{00000000-0005-0000-0000-000086100000}"/>
    <cellStyle name="Neutral 2 4 2" xfId="3168" xr:uid="{00000000-0005-0000-0000-000087100000}"/>
    <cellStyle name="Neutral 2 5" xfId="3169" xr:uid="{00000000-0005-0000-0000-000088100000}"/>
    <cellStyle name="Neutral 2 6" xfId="3170" xr:uid="{00000000-0005-0000-0000-000089100000}"/>
    <cellStyle name="Neutral 2 7" xfId="3171" xr:uid="{00000000-0005-0000-0000-00008A100000}"/>
    <cellStyle name="Neutral 2 8" xfId="3172" xr:uid="{00000000-0005-0000-0000-00008B100000}"/>
    <cellStyle name="Neutral 2 9" xfId="3173" xr:uid="{00000000-0005-0000-0000-00008C100000}"/>
    <cellStyle name="Neutral 20" xfId="3174" xr:uid="{00000000-0005-0000-0000-00008D100000}"/>
    <cellStyle name="Neutral 21" xfId="3175" xr:uid="{00000000-0005-0000-0000-00008E100000}"/>
    <cellStyle name="Neutral 22" xfId="3176" xr:uid="{00000000-0005-0000-0000-00008F100000}"/>
    <cellStyle name="Neutral 23" xfId="3177" xr:uid="{00000000-0005-0000-0000-000090100000}"/>
    <cellStyle name="Neutral 24" xfId="3178" xr:uid="{00000000-0005-0000-0000-000091100000}"/>
    <cellStyle name="Neutral 24 2" xfId="3179" xr:uid="{00000000-0005-0000-0000-000092100000}"/>
    <cellStyle name="Neutral 25" xfId="3180" xr:uid="{00000000-0005-0000-0000-000093100000}"/>
    <cellStyle name="Neutral 26" xfId="8920" xr:uid="{00000000-0005-0000-0000-000094100000}"/>
    <cellStyle name="Neutral 3" xfId="3181" xr:uid="{00000000-0005-0000-0000-000095100000}"/>
    <cellStyle name="Neutral 3 10" xfId="3182" xr:uid="{00000000-0005-0000-0000-000096100000}"/>
    <cellStyle name="Neutral 3 2" xfId="3183" xr:uid="{00000000-0005-0000-0000-000097100000}"/>
    <cellStyle name="Neutral 3 2 2" xfId="3184" xr:uid="{00000000-0005-0000-0000-000098100000}"/>
    <cellStyle name="Neutral 3 2 3" xfId="3185" xr:uid="{00000000-0005-0000-0000-000099100000}"/>
    <cellStyle name="Neutral 3 2 4" xfId="3186" xr:uid="{00000000-0005-0000-0000-00009A100000}"/>
    <cellStyle name="Neutral 3 2 5" xfId="3187" xr:uid="{00000000-0005-0000-0000-00009B100000}"/>
    <cellStyle name="Neutral 3 2 6" xfId="3188" xr:uid="{00000000-0005-0000-0000-00009C100000}"/>
    <cellStyle name="Neutral 3 2 7" xfId="3189" xr:uid="{00000000-0005-0000-0000-00009D100000}"/>
    <cellStyle name="Neutral 3 2 8" xfId="3190" xr:uid="{00000000-0005-0000-0000-00009E100000}"/>
    <cellStyle name="Neutral 3 3" xfId="3191" xr:uid="{00000000-0005-0000-0000-00009F100000}"/>
    <cellStyle name="Neutral 3 4" xfId="3192" xr:uid="{00000000-0005-0000-0000-0000A0100000}"/>
    <cellStyle name="Neutral 3 5" xfId="3193" xr:uid="{00000000-0005-0000-0000-0000A1100000}"/>
    <cellStyle name="Neutral 3 6" xfId="3194" xr:uid="{00000000-0005-0000-0000-0000A2100000}"/>
    <cellStyle name="Neutral 3 7" xfId="3195" xr:uid="{00000000-0005-0000-0000-0000A3100000}"/>
    <cellStyle name="Neutral 3 8" xfId="3196" xr:uid="{00000000-0005-0000-0000-0000A4100000}"/>
    <cellStyle name="Neutral 3 9" xfId="3197" xr:uid="{00000000-0005-0000-0000-0000A5100000}"/>
    <cellStyle name="Neutral 4" xfId="3198" xr:uid="{00000000-0005-0000-0000-0000A6100000}"/>
    <cellStyle name="Neutral 4 10" xfId="3199" xr:uid="{00000000-0005-0000-0000-0000A7100000}"/>
    <cellStyle name="Neutral 4 2" xfId="3200" xr:uid="{00000000-0005-0000-0000-0000A8100000}"/>
    <cellStyle name="Neutral 4 2 2" xfId="3201" xr:uid="{00000000-0005-0000-0000-0000A9100000}"/>
    <cellStyle name="Neutral 4 2 3" xfId="3202" xr:uid="{00000000-0005-0000-0000-0000AA100000}"/>
    <cellStyle name="Neutral 4 2 4" xfId="3203" xr:uid="{00000000-0005-0000-0000-0000AB100000}"/>
    <cellStyle name="Neutral 4 2 5" xfId="3204" xr:uid="{00000000-0005-0000-0000-0000AC100000}"/>
    <cellStyle name="Neutral 4 2 6" xfId="3205" xr:uid="{00000000-0005-0000-0000-0000AD100000}"/>
    <cellStyle name="Neutral 4 2 7" xfId="3206" xr:uid="{00000000-0005-0000-0000-0000AE100000}"/>
    <cellStyle name="Neutral 4 2 8" xfId="3207" xr:uid="{00000000-0005-0000-0000-0000AF100000}"/>
    <cellStyle name="Neutral 4 3" xfId="3208" xr:uid="{00000000-0005-0000-0000-0000B0100000}"/>
    <cellStyle name="Neutral 4 4" xfId="3209" xr:uid="{00000000-0005-0000-0000-0000B1100000}"/>
    <cellStyle name="Neutral 4 5" xfId="3210" xr:uid="{00000000-0005-0000-0000-0000B2100000}"/>
    <cellStyle name="Neutral 4 6" xfId="3211" xr:uid="{00000000-0005-0000-0000-0000B3100000}"/>
    <cellStyle name="Neutral 4 7" xfId="3212" xr:uid="{00000000-0005-0000-0000-0000B4100000}"/>
    <cellStyle name="Neutral 4 8" xfId="3213" xr:uid="{00000000-0005-0000-0000-0000B5100000}"/>
    <cellStyle name="Neutral 4 9" xfId="3214" xr:uid="{00000000-0005-0000-0000-0000B6100000}"/>
    <cellStyle name="Neutral 5" xfId="3215" xr:uid="{00000000-0005-0000-0000-0000B7100000}"/>
    <cellStyle name="Neutral 5 10" xfId="3216" xr:uid="{00000000-0005-0000-0000-0000B8100000}"/>
    <cellStyle name="Neutral 5 2" xfId="3217" xr:uid="{00000000-0005-0000-0000-0000B9100000}"/>
    <cellStyle name="Neutral 5 2 2" xfId="3218" xr:uid="{00000000-0005-0000-0000-0000BA100000}"/>
    <cellStyle name="Neutral 5 2 3" xfId="3219" xr:uid="{00000000-0005-0000-0000-0000BB100000}"/>
    <cellStyle name="Neutral 5 2 4" xfId="3220" xr:uid="{00000000-0005-0000-0000-0000BC100000}"/>
    <cellStyle name="Neutral 5 2 5" xfId="3221" xr:uid="{00000000-0005-0000-0000-0000BD100000}"/>
    <cellStyle name="Neutral 5 2 6" xfId="3222" xr:uid="{00000000-0005-0000-0000-0000BE100000}"/>
    <cellStyle name="Neutral 5 2 7" xfId="3223" xr:uid="{00000000-0005-0000-0000-0000BF100000}"/>
    <cellStyle name="Neutral 5 2 8" xfId="3224" xr:uid="{00000000-0005-0000-0000-0000C0100000}"/>
    <cellStyle name="Neutral 5 3" xfId="3225" xr:uid="{00000000-0005-0000-0000-0000C1100000}"/>
    <cellStyle name="Neutral 5 4" xfId="3226" xr:uid="{00000000-0005-0000-0000-0000C2100000}"/>
    <cellStyle name="Neutral 5 5" xfId="3227" xr:uid="{00000000-0005-0000-0000-0000C3100000}"/>
    <cellStyle name="Neutral 5 6" xfId="3228" xr:uid="{00000000-0005-0000-0000-0000C4100000}"/>
    <cellStyle name="Neutral 5 7" xfId="3229" xr:uid="{00000000-0005-0000-0000-0000C5100000}"/>
    <cellStyle name="Neutral 5 8" xfId="3230" xr:uid="{00000000-0005-0000-0000-0000C6100000}"/>
    <cellStyle name="Neutral 5 9" xfId="3231" xr:uid="{00000000-0005-0000-0000-0000C7100000}"/>
    <cellStyle name="Neutral 6" xfId="3232" xr:uid="{00000000-0005-0000-0000-0000C8100000}"/>
    <cellStyle name="Neutral 6 10" xfId="3233" xr:uid="{00000000-0005-0000-0000-0000C9100000}"/>
    <cellStyle name="Neutral 6 2" xfId="3234" xr:uid="{00000000-0005-0000-0000-0000CA100000}"/>
    <cellStyle name="Neutral 6 2 2" xfId="3235" xr:uid="{00000000-0005-0000-0000-0000CB100000}"/>
    <cellStyle name="Neutral 6 2 3" xfId="3236" xr:uid="{00000000-0005-0000-0000-0000CC100000}"/>
    <cellStyle name="Neutral 6 2 4" xfId="3237" xr:uid="{00000000-0005-0000-0000-0000CD100000}"/>
    <cellStyle name="Neutral 6 2 5" xfId="3238" xr:uid="{00000000-0005-0000-0000-0000CE100000}"/>
    <cellStyle name="Neutral 6 2 6" xfId="3239" xr:uid="{00000000-0005-0000-0000-0000CF100000}"/>
    <cellStyle name="Neutral 6 2 7" xfId="3240" xr:uid="{00000000-0005-0000-0000-0000D0100000}"/>
    <cellStyle name="Neutral 6 2 8" xfId="3241" xr:uid="{00000000-0005-0000-0000-0000D1100000}"/>
    <cellStyle name="Neutral 6 3" xfId="3242" xr:uid="{00000000-0005-0000-0000-0000D2100000}"/>
    <cellStyle name="Neutral 6 4" xfId="3243" xr:uid="{00000000-0005-0000-0000-0000D3100000}"/>
    <cellStyle name="Neutral 6 5" xfId="3244" xr:uid="{00000000-0005-0000-0000-0000D4100000}"/>
    <cellStyle name="Neutral 6 6" xfId="3245" xr:uid="{00000000-0005-0000-0000-0000D5100000}"/>
    <cellStyle name="Neutral 6 7" xfId="3246" xr:uid="{00000000-0005-0000-0000-0000D6100000}"/>
    <cellStyle name="Neutral 6 8" xfId="3247" xr:uid="{00000000-0005-0000-0000-0000D7100000}"/>
    <cellStyle name="Neutral 6 9" xfId="3248" xr:uid="{00000000-0005-0000-0000-0000D8100000}"/>
    <cellStyle name="Neutral 7" xfId="3249" xr:uid="{00000000-0005-0000-0000-0000D9100000}"/>
    <cellStyle name="Neutral 7 10" xfId="3250" xr:uid="{00000000-0005-0000-0000-0000DA100000}"/>
    <cellStyle name="Neutral 7 2" xfId="3251" xr:uid="{00000000-0005-0000-0000-0000DB100000}"/>
    <cellStyle name="Neutral 7 2 2" xfId="3252" xr:uid="{00000000-0005-0000-0000-0000DC100000}"/>
    <cellStyle name="Neutral 7 2 3" xfId="3253" xr:uid="{00000000-0005-0000-0000-0000DD100000}"/>
    <cellStyle name="Neutral 7 2 4" xfId="3254" xr:uid="{00000000-0005-0000-0000-0000DE100000}"/>
    <cellStyle name="Neutral 7 2 5" xfId="3255" xr:uid="{00000000-0005-0000-0000-0000DF100000}"/>
    <cellStyle name="Neutral 7 2 6" xfId="3256" xr:uid="{00000000-0005-0000-0000-0000E0100000}"/>
    <cellStyle name="Neutral 7 2 7" xfId="3257" xr:uid="{00000000-0005-0000-0000-0000E1100000}"/>
    <cellStyle name="Neutral 7 2 8" xfId="3258" xr:uid="{00000000-0005-0000-0000-0000E2100000}"/>
    <cellStyle name="Neutral 7 3" xfId="3259" xr:uid="{00000000-0005-0000-0000-0000E3100000}"/>
    <cellStyle name="Neutral 7 4" xfId="3260" xr:uid="{00000000-0005-0000-0000-0000E4100000}"/>
    <cellStyle name="Neutral 7 5" xfId="3261" xr:uid="{00000000-0005-0000-0000-0000E5100000}"/>
    <cellStyle name="Neutral 7 6" xfId="3262" xr:uid="{00000000-0005-0000-0000-0000E6100000}"/>
    <cellStyle name="Neutral 7 7" xfId="3263" xr:uid="{00000000-0005-0000-0000-0000E7100000}"/>
    <cellStyle name="Neutral 7 8" xfId="3264" xr:uid="{00000000-0005-0000-0000-0000E8100000}"/>
    <cellStyle name="Neutral 7 9" xfId="3265" xr:uid="{00000000-0005-0000-0000-0000E9100000}"/>
    <cellStyle name="Neutral 8" xfId="3266" xr:uid="{00000000-0005-0000-0000-0000EA100000}"/>
    <cellStyle name="Neutral 8 2" xfId="3267" xr:uid="{00000000-0005-0000-0000-0000EB100000}"/>
    <cellStyle name="Neutral 8 3" xfId="3268" xr:uid="{00000000-0005-0000-0000-0000EC100000}"/>
    <cellStyle name="Neutral 8 4" xfId="3269" xr:uid="{00000000-0005-0000-0000-0000ED100000}"/>
    <cellStyle name="Neutral 9" xfId="3270" xr:uid="{00000000-0005-0000-0000-0000EE100000}"/>
    <cellStyle name="Neutral 9 2" xfId="3271" xr:uid="{00000000-0005-0000-0000-0000EF100000}"/>
    <cellStyle name="Neutral 9 3" xfId="3272" xr:uid="{00000000-0005-0000-0000-0000F0100000}"/>
    <cellStyle name="Neutral 9 4" xfId="3273" xr:uid="{00000000-0005-0000-0000-0000F1100000}"/>
    <cellStyle name="Neutral 9 5" xfId="3274" xr:uid="{00000000-0005-0000-0000-0000F2100000}"/>
    <cellStyle name="Neutral 9 6" xfId="3275" xr:uid="{00000000-0005-0000-0000-0000F3100000}"/>
    <cellStyle name="Neutral 9 7" xfId="3276" xr:uid="{00000000-0005-0000-0000-0000F4100000}"/>
    <cellStyle name="Neutral 9 8" xfId="3277" xr:uid="{00000000-0005-0000-0000-0000F5100000}"/>
    <cellStyle name="Neutral 9 9" xfId="3278" xr:uid="{00000000-0005-0000-0000-0000F6100000}"/>
    <cellStyle name="Normal" xfId="0" builtinId="0"/>
    <cellStyle name="Normal [0]" xfId="3279" xr:uid="{00000000-0005-0000-0000-0000F8100000}"/>
    <cellStyle name="Normal [0] 2" xfId="3280" xr:uid="{00000000-0005-0000-0000-0000F9100000}"/>
    <cellStyle name="Normal [0] 3" xfId="3281" xr:uid="{00000000-0005-0000-0000-0000FA100000}"/>
    <cellStyle name="Normal [0] 4" xfId="3282" xr:uid="{00000000-0005-0000-0000-0000FB100000}"/>
    <cellStyle name="Normal [0] 5" xfId="3283" xr:uid="{00000000-0005-0000-0000-0000FC100000}"/>
    <cellStyle name="Normal [0] 6" xfId="3284" xr:uid="{00000000-0005-0000-0000-0000FD100000}"/>
    <cellStyle name="Normal [0] 7" xfId="3285" xr:uid="{00000000-0005-0000-0000-0000FE100000}"/>
    <cellStyle name="Normal [2]" xfId="3286" xr:uid="{00000000-0005-0000-0000-0000FF100000}"/>
    <cellStyle name="Normal [2] 2" xfId="3287" xr:uid="{00000000-0005-0000-0000-000000110000}"/>
    <cellStyle name="Normal [2] 3" xfId="3288" xr:uid="{00000000-0005-0000-0000-000001110000}"/>
    <cellStyle name="Normal [2] 4" xfId="3289" xr:uid="{00000000-0005-0000-0000-000002110000}"/>
    <cellStyle name="Normal [2] 5" xfId="3290" xr:uid="{00000000-0005-0000-0000-000003110000}"/>
    <cellStyle name="Normal [2] 6" xfId="3291" xr:uid="{00000000-0005-0000-0000-000004110000}"/>
    <cellStyle name="Normal [2] 7" xfId="3292" xr:uid="{00000000-0005-0000-0000-000005110000}"/>
    <cellStyle name="Normal 10" xfId="3293" xr:uid="{00000000-0005-0000-0000-000006110000}"/>
    <cellStyle name="Normal 11" xfId="3294" xr:uid="{00000000-0005-0000-0000-000007110000}"/>
    <cellStyle name="Normal 11 2" xfId="3295" xr:uid="{00000000-0005-0000-0000-000008110000}"/>
    <cellStyle name="Normal 12" xfId="3296" xr:uid="{00000000-0005-0000-0000-000009110000}"/>
    <cellStyle name="Normal 13" xfId="3297" xr:uid="{00000000-0005-0000-0000-00000A110000}"/>
    <cellStyle name="Normal 136" xfId="3298" xr:uid="{00000000-0005-0000-0000-00000B110000}"/>
    <cellStyle name="Normal 136 2" xfId="8951" xr:uid="{00000000-0005-0000-0000-00000C110000}"/>
    <cellStyle name="Normal 136 3" xfId="9453" xr:uid="{00000000-0005-0000-0000-00000D110000}"/>
    <cellStyle name="Normal 14" xfId="3299" xr:uid="{00000000-0005-0000-0000-00000E110000}"/>
    <cellStyle name="Normal 14 2" xfId="3300" xr:uid="{00000000-0005-0000-0000-00000F110000}"/>
    <cellStyle name="Normal 15" xfId="3301" xr:uid="{00000000-0005-0000-0000-000010110000}"/>
    <cellStyle name="Normal 15 2" xfId="3302" xr:uid="{00000000-0005-0000-0000-000011110000}"/>
    <cellStyle name="Normal 16" xfId="3303" xr:uid="{00000000-0005-0000-0000-000012110000}"/>
    <cellStyle name="Normal 16 2" xfId="3304" xr:uid="{00000000-0005-0000-0000-000013110000}"/>
    <cellStyle name="Normal 17" xfId="3305" xr:uid="{00000000-0005-0000-0000-000014110000}"/>
    <cellStyle name="Normal 18" xfId="3306" xr:uid="{00000000-0005-0000-0000-000015110000}"/>
    <cellStyle name="Normal 19" xfId="3307" xr:uid="{00000000-0005-0000-0000-000016110000}"/>
    <cellStyle name="Normal 2" xfId="30" xr:uid="{00000000-0005-0000-0000-000017110000}"/>
    <cellStyle name="Normal 2 10" xfId="3308" xr:uid="{00000000-0005-0000-0000-000018110000}"/>
    <cellStyle name="Normal 2 11" xfId="3309" xr:uid="{00000000-0005-0000-0000-000019110000}"/>
    <cellStyle name="Normal 2 12" xfId="3310" xr:uid="{00000000-0005-0000-0000-00001A110000}"/>
    <cellStyle name="Normal 2 13" xfId="3311" xr:uid="{00000000-0005-0000-0000-00001B110000}"/>
    <cellStyle name="Normal 2 14" xfId="3312" xr:uid="{00000000-0005-0000-0000-00001C110000}"/>
    <cellStyle name="Normal 2 15" xfId="3313" xr:uid="{00000000-0005-0000-0000-00001D110000}"/>
    <cellStyle name="Normal 2 16" xfId="3314" xr:uid="{00000000-0005-0000-0000-00001E110000}"/>
    <cellStyle name="Normal 2 17" xfId="3315" xr:uid="{00000000-0005-0000-0000-00001F110000}"/>
    <cellStyle name="Normal 2 18" xfId="3316" xr:uid="{00000000-0005-0000-0000-000020110000}"/>
    <cellStyle name="Normal 2 19" xfId="3317" xr:uid="{00000000-0005-0000-0000-000021110000}"/>
    <cellStyle name="Normal 2 2" xfId="3318" xr:uid="{00000000-0005-0000-0000-000022110000}"/>
    <cellStyle name="Normal 2 2 2" xfId="3319" xr:uid="{00000000-0005-0000-0000-000023110000}"/>
    <cellStyle name="Normal 2 2 2 2" xfId="3320" xr:uid="{00000000-0005-0000-0000-000024110000}"/>
    <cellStyle name="Normal 2 2 3" xfId="3321" xr:uid="{00000000-0005-0000-0000-000025110000}"/>
    <cellStyle name="Normal 2 2 4" xfId="8773" xr:uid="{00000000-0005-0000-0000-000026110000}"/>
    <cellStyle name="Normal 2 20" xfId="3322" xr:uid="{00000000-0005-0000-0000-000027110000}"/>
    <cellStyle name="Normal 2 21" xfId="3323" xr:uid="{00000000-0005-0000-0000-000028110000}"/>
    <cellStyle name="Normal 2 21 2" xfId="8840" xr:uid="{00000000-0005-0000-0000-000029110000}"/>
    <cellStyle name="Normal 2 21 3" xfId="9418" xr:uid="{00000000-0005-0000-0000-00002A110000}"/>
    <cellStyle name="Normal 2 22" xfId="8966" xr:uid="{00000000-0005-0000-0000-00002B110000}"/>
    <cellStyle name="Normal 2 23" xfId="8887" xr:uid="{00000000-0005-0000-0000-00002C110000}"/>
    <cellStyle name="Normal 2 3" xfId="3324" xr:uid="{00000000-0005-0000-0000-00002D110000}"/>
    <cellStyle name="Normal 2 3 2" xfId="3325" xr:uid="{00000000-0005-0000-0000-00002E110000}"/>
    <cellStyle name="Normal 2 3 3" xfId="8774" xr:uid="{00000000-0005-0000-0000-00002F110000}"/>
    <cellStyle name="Normal 2 4" xfId="3326" xr:uid="{00000000-0005-0000-0000-000030110000}"/>
    <cellStyle name="Normal 2 4 2" xfId="8775" xr:uid="{00000000-0005-0000-0000-000031110000}"/>
    <cellStyle name="Normal 2 5" xfId="3327" xr:uid="{00000000-0005-0000-0000-000032110000}"/>
    <cellStyle name="Normal 2 5 2" xfId="8776" xr:uid="{00000000-0005-0000-0000-000033110000}"/>
    <cellStyle name="Normal 2 6" xfId="3328" xr:uid="{00000000-0005-0000-0000-000034110000}"/>
    <cellStyle name="Normal 2 7" xfId="3329" xr:uid="{00000000-0005-0000-0000-000035110000}"/>
    <cellStyle name="Normal 2 8" xfId="3330" xr:uid="{00000000-0005-0000-0000-000036110000}"/>
    <cellStyle name="Normal 2 9" xfId="3331" xr:uid="{00000000-0005-0000-0000-000037110000}"/>
    <cellStyle name="Normal 20" xfId="3332" xr:uid="{00000000-0005-0000-0000-000038110000}"/>
    <cellStyle name="Normal 20 2" xfId="3333" xr:uid="{00000000-0005-0000-0000-000039110000}"/>
    <cellStyle name="Normal 21" xfId="3334" xr:uid="{00000000-0005-0000-0000-00003A110000}"/>
    <cellStyle name="Normal 21 2" xfId="3335" xr:uid="{00000000-0005-0000-0000-00003B110000}"/>
    <cellStyle name="Normal 22" xfId="3336" xr:uid="{00000000-0005-0000-0000-00003C110000}"/>
    <cellStyle name="Normal 22 2" xfId="3337" xr:uid="{00000000-0005-0000-0000-00003D110000}"/>
    <cellStyle name="Normal 23" xfId="3338" xr:uid="{00000000-0005-0000-0000-00003E110000}"/>
    <cellStyle name="Normal 23 2" xfId="3339" xr:uid="{00000000-0005-0000-0000-00003F110000}"/>
    <cellStyle name="Normal 24" xfId="3340" xr:uid="{00000000-0005-0000-0000-000040110000}"/>
    <cellStyle name="Normal 24 2" xfId="3341" xr:uid="{00000000-0005-0000-0000-000041110000}"/>
    <cellStyle name="Normal 25" xfId="3342" xr:uid="{00000000-0005-0000-0000-000042110000}"/>
    <cellStyle name="Normal 25 2" xfId="3343" xr:uid="{00000000-0005-0000-0000-000043110000}"/>
    <cellStyle name="Normal 26" xfId="3344" xr:uid="{00000000-0005-0000-0000-000044110000}"/>
    <cellStyle name="Normal 26 2" xfId="3345" xr:uid="{00000000-0005-0000-0000-000045110000}"/>
    <cellStyle name="Normal 27" xfId="3346" xr:uid="{00000000-0005-0000-0000-000046110000}"/>
    <cellStyle name="Normal 27 2" xfId="3347" xr:uid="{00000000-0005-0000-0000-000047110000}"/>
    <cellStyle name="Normal 28" xfId="3348" xr:uid="{00000000-0005-0000-0000-000048110000}"/>
    <cellStyle name="Normal 28 2" xfId="8841" xr:uid="{00000000-0005-0000-0000-000049110000}"/>
    <cellStyle name="Normal 28 3" xfId="9419" xr:uid="{00000000-0005-0000-0000-00004A110000}"/>
    <cellStyle name="Normal 29" xfId="3349" xr:uid="{00000000-0005-0000-0000-00004B110000}"/>
    <cellStyle name="Normal 3" xfId="3350" xr:uid="{00000000-0005-0000-0000-00004C110000}"/>
    <cellStyle name="Normal 3 2" xfId="3351" xr:uid="{00000000-0005-0000-0000-00004D110000}"/>
    <cellStyle name="Normal 3 2 2" xfId="3352" xr:uid="{00000000-0005-0000-0000-00004E110000}"/>
    <cellStyle name="Normal 3 2 3" xfId="8842" xr:uid="{00000000-0005-0000-0000-00004F110000}"/>
    <cellStyle name="Normal 3 2 4" xfId="9420" xr:uid="{00000000-0005-0000-0000-000050110000}"/>
    <cellStyle name="Normal 3 3" xfId="3353" xr:uid="{00000000-0005-0000-0000-000051110000}"/>
    <cellStyle name="Normal 3 4" xfId="8967" xr:uid="{00000000-0005-0000-0000-000052110000}"/>
    <cellStyle name="Normal 3 5" xfId="8302" xr:uid="{00000000-0005-0000-0000-000053110000}"/>
    <cellStyle name="Normal 3 6" xfId="9005" xr:uid="{00000000-0005-0000-0000-000054110000}"/>
    <cellStyle name="Normal 30" xfId="3354" xr:uid="{00000000-0005-0000-0000-000055110000}"/>
    <cellStyle name="Normal 31" xfId="3355" xr:uid="{00000000-0005-0000-0000-000056110000}"/>
    <cellStyle name="Normal 31 2" xfId="3356" xr:uid="{00000000-0005-0000-0000-000057110000}"/>
    <cellStyle name="Normal 32" xfId="3357" xr:uid="{00000000-0005-0000-0000-000058110000}"/>
    <cellStyle name="Normal 32 2" xfId="3358" xr:uid="{00000000-0005-0000-0000-000059110000}"/>
    <cellStyle name="Normal 32 3" xfId="3359" xr:uid="{00000000-0005-0000-0000-00005A110000}"/>
    <cellStyle name="Normal 33" xfId="3360" xr:uid="{00000000-0005-0000-0000-00005B110000}"/>
    <cellStyle name="Normal 33 2" xfId="3361" xr:uid="{00000000-0005-0000-0000-00005C110000}"/>
    <cellStyle name="Normal 34" xfId="3362" xr:uid="{00000000-0005-0000-0000-00005D110000}"/>
    <cellStyle name="Normal 34 2" xfId="3363" xr:uid="{00000000-0005-0000-0000-00005E110000}"/>
    <cellStyle name="Normal 35" xfId="3364" xr:uid="{00000000-0005-0000-0000-00005F110000}"/>
    <cellStyle name="Normal 35 2" xfId="3365" xr:uid="{00000000-0005-0000-0000-000060110000}"/>
    <cellStyle name="Normal 36" xfId="3366" xr:uid="{00000000-0005-0000-0000-000061110000}"/>
    <cellStyle name="Normal 36 2" xfId="3367" xr:uid="{00000000-0005-0000-0000-000062110000}"/>
    <cellStyle name="Normal 37" xfId="3368" xr:uid="{00000000-0005-0000-0000-000063110000}"/>
    <cellStyle name="Normal 37 2" xfId="3369" xr:uid="{00000000-0005-0000-0000-000064110000}"/>
    <cellStyle name="Normal 38" xfId="3370" xr:uid="{00000000-0005-0000-0000-000065110000}"/>
    <cellStyle name="Normal 38 2" xfId="3371" xr:uid="{00000000-0005-0000-0000-000066110000}"/>
    <cellStyle name="Normal 39" xfId="3372" xr:uid="{00000000-0005-0000-0000-000067110000}"/>
    <cellStyle name="Normal 4" xfId="3373" xr:uid="{00000000-0005-0000-0000-000068110000}"/>
    <cellStyle name="Normal 4 10" xfId="8984" xr:uid="{00000000-0005-0000-0000-000069110000}"/>
    <cellStyle name="Normal 4 11" xfId="8807" xr:uid="{00000000-0005-0000-0000-00006A110000}"/>
    <cellStyle name="Normal 4 12" xfId="8751" xr:uid="{00000000-0005-0000-0000-00006B110000}"/>
    <cellStyle name="Normal 4 13" xfId="8731" xr:uid="{00000000-0005-0000-0000-00006C110000}"/>
    <cellStyle name="Normal 4 2" xfId="3374" xr:uid="{00000000-0005-0000-0000-00006D110000}"/>
    <cellStyle name="Normal 4 2 2" xfId="8859" xr:uid="{00000000-0005-0000-0000-00006E110000}"/>
    <cellStyle name="Normal 4 2 2 2" xfId="8777" xr:uid="{00000000-0005-0000-0000-00006F110000}"/>
    <cellStyle name="Normal 4 2 3" xfId="8778" xr:uid="{00000000-0005-0000-0000-000070110000}"/>
    <cellStyle name="Normal 4 2 3 2" xfId="8779" xr:uid="{00000000-0005-0000-0000-000071110000}"/>
    <cellStyle name="Normal 4 2 4" xfId="8738" xr:uid="{00000000-0005-0000-0000-000072110000}"/>
    <cellStyle name="Normal 4 2 4 2" xfId="8780" xr:uid="{00000000-0005-0000-0000-000073110000}"/>
    <cellStyle name="Normal 4 2 5" xfId="8781" xr:uid="{00000000-0005-0000-0000-000074110000}"/>
    <cellStyle name="Normal 4 2 5 2" xfId="8893" xr:uid="{00000000-0005-0000-0000-000075110000}"/>
    <cellStyle name="Normal 4 2 6" xfId="8986" xr:uid="{00000000-0005-0000-0000-000076110000}"/>
    <cellStyle name="Normal 4 2 6 2" xfId="8985" xr:uid="{00000000-0005-0000-0000-000077110000}"/>
    <cellStyle name="Normal 4 2 7" xfId="8782" xr:uid="{00000000-0005-0000-0000-000078110000}"/>
    <cellStyle name="Normal 4 2 8" xfId="8766" xr:uid="{00000000-0005-0000-0000-000079110000}"/>
    <cellStyle name="Normal 4 3" xfId="3375" xr:uid="{00000000-0005-0000-0000-00007A110000}"/>
    <cellStyle name="Normal 4 3 2" xfId="8783" xr:uid="{00000000-0005-0000-0000-00007B110000}"/>
    <cellStyle name="Normal 4 3 2 2" xfId="8734" xr:uid="{00000000-0005-0000-0000-00007C110000}"/>
    <cellStyle name="Normal 4 3 3" xfId="8784" xr:uid="{00000000-0005-0000-0000-00007D110000}"/>
    <cellStyle name="Normal 4 3 3 2" xfId="8785" xr:uid="{00000000-0005-0000-0000-00007E110000}"/>
    <cellStyle name="Normal 4 3 4" xfId="8897" xr:uid="{00000000-0005-0000-0000-00007F110000}"/>
    <cellStyle name="Normal 4 3 4 2" xfId="8999" xr:uid="{00000000-0005-0000-0000-000080110000}"/>
    <cellStyle name="Normal 4 3 5" xfId="8898" xr:uid="{00000000-0005-0000-0000-000081110000}"/>
    <cellStyle name="Normal 4 3 5 2" xfId="8899" xr:uid="{00000000-0005-0000-0000-000082110000}"/>
    <cellStyle name="Normal 4 3 6" xfId="8882" xr:uid="{00000000-0005-0000-0000-000083110000}"/>
    <cellStyle name="Normal 4 3 6 2" xfId="8911" xr:uid="{00000000-0005-0000-0000-000084110000}"/>
    <cellStyle name="Normal 4 3 7" xfId="8998" xr:uid="{00000000-0005-0000-0000-000085110000}"/>
    <cellStyle name="Normal 4 3 8" xfId="8855" xr:uid="{00000000-0005-0000-0000-000086110000}"/>
    <cellStyle name="Normal 4 4" xfId="3376" xr:uid="{00000000-0005-0000-0000-000087110000}"/>
    <cellStyle name="Normal 4 4 2" xfId="8786" xr:uid="{00000000-0005-0000-0000-000088110000}"/>
    <cellStyle name="Normal 4 4 3" xfId="8980" xr:uid="{00000000-0005-0000-0000-000089110000}"/>
    <cellStyle name="Normal 4 5" xfId="3377" xr:uid="{00000000-0005-0000-0000-00008A110000}"/>
    <cellStyle name="Normal 4 5 2" xfId="8788" xr:uid="{00000000-0005-0000-0000-00008B110000}"/>
    <cellStyle name="Normal 4 5 3" xfId="8787" xr:uid="{00000000-0005-0000-0000-00008C110000}"/>
    <cellStyle name="Normal 4 6" xfId="3378" xr:uid="{00000000-0005-0000-0000-00008D110000}"/>
    <cellStyle name="Normal 4 6 2" xfId="8868" xr:uid="{00000000-0005-0000-0000-00008E110000}"/>
    <cellStyle name="Normal 4 6 3" xfId="8789" xr:uid="{00000000-0005-0000-0000-00008F110000}"/>
    <cellStyle name="Normal 4 7" xfId="3379" xr:uid="{00000000-0005-0000-0000-000090110000}"/>
    <cellStyle name="Normal 4 7 2" xfId="8850" xr:uid="{00000000-0005-0000-0000-000091110000}"/>
    <cellStyle name="Normal 4 7 3" xfId="8790" xr:uid="{00000000-0005-0000-0000-000092110000}"/>
    <cellStyle name="Normal 4 8" xfId="8939" xr:uid="{00000000-0005-0000-0000-000093110000}"/>
    <cellStyle name="Normal 4 8 2" xfId="8791" xr:uid="{00000000-0005-0000-0000-000094110000}"/>
    <cellStyle name="Normal 4 9" xfId="8770" xr:uid="{00000000-0005-0000-0000-000095110000}"/>
    <cellStyle name="Normal 4 9 2" xfId="8805" xr:uid="{00000000-0005-0000-0000-000096110000}"/>
    <cellStyle name="Normal 4 9 3" xfId="8808" xr:uid="{00000000-0005-0000-0000-000097110000}"/>
    <cellStyle name="Normal 40" xfId="3380" xr:uid="{00000000-0005-0000-0000-000098110000}"/>
    <cellStyle name="Normal 41" xfId="3381" xr:uid="{00000000-0005-0000-0000-000099110000}"/>
    <cellStyle name="Normal 42" xfId="3382" xr:uid="{00000000-0005-0000-0000-00009A110000}"/>
    <cellStyle name="Normal 42 2" xfId="8843" xr:uid="{00000000-0005-0000-0000-00009B110000}"/>
    <cellStyle name="Normal 42 3" xfId="9421" xr:uid="{00000000-0005-0000-0000-00009C110000}"/>
    <cellStyle name="Normal 43" xfId="3383" xr:uid="{00000000-0005-0000-0000-00009D110000}"/>
    <cellStyle name="Normal 43 2" xfId="3384" xr:uid="{00000000-0005-0000-0000-00009E110000}"/>
    <cellStyle name="Normal 44" xfId="3385" xr:uid="{00000000-0005-0000-0000-00009F110000}"/>
    <cellStyle name="Normal 45" xfId="3386" xr:uid="{00000000-0005-0000-0000-0000A0110000}"/>
    <cellStyle name="Normal 46" xfId="3387" xr:uid="{00000000-0005-0000-0000-0000A1110000}"/>
    <cellStyle name="Normal 47" xfId="3388" xr:uid="{00000000-0005-0000-0000-0000A2110000}"/>
    <cellStyle name="Normal 47 2" xfId="3389" xr:uid="{00000000-0005-0000-0000-0000A3110000}"/>
    <cellStyle name="Normal 48" xfId="3390" xr:uid="{00000000-0005-0000-0000-0000A4110000}"/>
    <cellStyle name="Normal 48 2" xfId="3391" xr:uid="{00000000-0005-0000-0000-0000A5110000}"/>
    <cellStyle name="Normal 49" xfId="3392" xr:uid="{00000000-0005-0000-0000-0000A6110000}"/>
    <cellStyle name="Normal 49 2" xfId="3393" xr:uid="{00000000-0005-0000-0000-0000A7110000}"/>
    <cellStyle name="Normal 5" xfId="3394" xr:uid="{00000000-0005-0000-0000-0000A8110000}"/>
    <cellStyle name="Normal 5 10" xfId="8760" xr:uid="{00000000-0005-0000-0000-0000A9110000}"/>
    <cellStyle name="Normal 5 2" xfId="8970" xr:uid="{00000000-0005-0000-0000-0000AA110000}"/>
    <cellStyle name="Normal 5 2 2" xfId="8792" xr:uid="{00000000-0005-0000-0000-0000AB110000}"/>
    <cellStyle name="Normal 5 2 3" xfId="9477" xr:uid="{00000000-0005-0000-0000-0000AC110000}"/>
    <cellStyle name="Normal 5 3" xfId="8793" xr:uid="{00000000-0005-0000-0000-0000AD110000}"/>
    <cellStyle name="Normal 5 3 2" xfId="8860" xr:uid="{00000000-0005-0000-0000-0000AE110000}"/>
    <cellStyle name="Normal 5 4" xfId="8794" xr:uid="{00000000-0005-0000-0000-0000AF110000}"/>
    <cellStyle name="Normal 5 4 2" xfId="8978" xr:uid="{00000000-0005-0000-0000-0000B0110000}"/>
    <cellStyle name="Normal 5 5" xfId="8795" xr:uid="{00000000-0005-0000-0000-0000B1110000}"/>
    <cellStyle name="Normal 5 5 2" xfId="8796" xr:uid="{00000000-0005-0000-0000-0000B2110000}"/>
    <cellStyle name="Normal 5 6" xfId="8797" xr:uid="{00000000-0005-0000-0000-0000B3110000}"/>
    <cellStyle name="Normal 5 6 2" xfId="8798" xr:uid="{00000000-0005-0000-0000-0000B4110000}"/>
    <cellStyle name="Normal 5 7" xfId="8988" xr:uid="{00000000-0005-0000-0000-0000B5110000}"/>
    <cellStyle name="Normal 5 7 2" xfId="8806" xr:uid="{00000000-0005-0000-0000-0000B6110000}"/>
    <cellStyle name="Normal 5 7 3" xfId="8809" xr:uid="{00000000-0005-0000-0000-0000B7110000}"/>
    <cellStyle name="Normal 5 8" xfId="8856" xr:uid="{00000000-0005-0000-0000-0000B8110000}"/>
    <cellStyle name="Normal 5 9" xfId="8740" xr:uid="{00000000-0005-0000-0000-0000B9110000}"/>
    <cellStyle name="Normal 50" xfId="3395" xr:uid="{00000000-0005-0000-0000-0000BA110000}"/>
    <cellStyle name="Normal 50 2" xfId="3396" xr:uid="{00000000-0005-0000-0000-0000BB110000}"/>
    <cellStyle name="Normal 50 3" xfId="8944" xr:uid="{00000000-0005-0000-0000-0000BC110000}"/>
    <cellStyle name="Normal 50 4" xfId="9447" xr:uid="{00000000-0005-0000-0000-0000BD110000}"/>
    <cellStyle name="Normal 51" xfId="3397" xr:uid="{00000000-0005-0000-0000-0000BE110000}"/>
    <cellStyle name="Normal 52" xfId="3398" xr:uid="{00000000-0005-0000-0000-0000BF110000}"/>
    <cellStyle name="Normal 53" xfId="3399" xr:uid="{00000000-0005-0000-0000-0000C0110000}"/>
    <cellStyle name="Normal 54" xfId="3400" xr:uid="{00000000-0005-0000-0000-0000C1110000}"/>
    <cellStyle name="Normal 54 2" xfId="3401" xr:uid="{00000000-0005-0000-0000-0000C2110000}"/>
    <cellStyle name="Normal 55" xfId="3402" xr:uid="{00000000-0005-0000-0000-0000C3110000}"/>
    <cellStyle name="Normal 55 2" xfId="3403" xr:uid="{00000000-0005-0000-0000-0000C4110000}"/>
    <cellStyle name="Normal 56" xfId="3404" xr:uid="{00000000-0005-0000-0000-0000C5110000}"/>
    <cellStyle name="Normal 56 2" xfId="3405" xr:uid="{00000000-0005-0000-0000-0000C6110000}"/>
    <cellStyle name="Normal 57" xfId="3406" xr:uid="{00000000-0005-0000-0000-0000C7110000}"/>
    <cellStyle name="Normal 57 2" xfId="3407" xr:uid="{00000000-0005-0000-0000-0000C8110000}"/>
    <cellStyle name="Normal 58" xfId="3408" xr:uid="{00000000-0005-0000-0000-0000C9110000}"/>
    <cellStyle name="Normal 58 2" xfId="3409" xr:uid="{00000000-0005-0000-0000-0000CA110000}"/>
    <cellStyle name="Normal 59" xfId="3410" xr:uid="{00000000-0005-0000-0000-0000CB110000}"/>
    <cellStyle name="Normal 59 2" xfId="3411" xr:uid="{00000000-0005-0000-0000-0000CC110000}"/>
    <cellStyle name="Normal 6" xfId="3412" xr:uid="{00000000-0005-0000-0000-0000CD110000}"/>
    <cellStyle name="Normal 6 2" xfId="8878" xr:uid="{00000000-0005-0000-0000-0000CE110000}"/>
    <cellStyle name="Normal 6 2 2" xfId="8799" xr:uid="{00000000-0005-0000-0000-0000CF110000}"/>
    <cellStyle name="Normal 6 3" xfId="8800" xr:uid="{00000000-0005-0000-0000-0000D0110000}"/>
    <cellStyle name="Normal 6 3 2" xfId="8801" xr:uid="{00000000-0005-0000-0000-0000D1110000}"/>
    <cellStyle name="Normal 6 4" xfId="8802" xr:uid="{00000000-0005-0000-0000-0000D2110000}"/>
    <cellStyle name="Normal 6 4 2" xfId="8915" xr:uid="{00000000-0005-0000-0000-0000D3110000}"/>
    <cellStyle name="Normal 6 5" xfId="8803" xr:uid="{00000000-0005-0000-0000-0000D4110000}"/>
    <cellStyle name="Normal 6 5 2" xfId="8977" xr:uid="{00000000-0005-0000-0000-0000D5110000}"/>
    <cellStyle name="Normal 6 6" xfId="8764" xr:uid="{00000000-0005-0000-0000-0000D6110000}"/>
    <cellStyle name="Normal 6 6 2" xfId="8895" xr:uid="{00000000-0005-0000-0000-0000D7110000}"/>
    <cellStyle name="Normal 6 6 3" xfId="8890" xr:uid="{00000000-0005-0000-0000-0000D8110000}"/>
    <cellStyle name="Normal 6 6 4" xfId="8953" xr:uid="{00000000-0005-0000-0000-0000D9110000}"/>
    <cellStyle name="Normal 6 7" xfId="8804" xr:uid="{00000000-0005-0000-0000-0000DA110000}"/>
    <cellStyle name="Normal 6 8" xfId="8763" xr:uid="{00000000-0005-0000-0000-0000DB110000}"/>
    <cellStyle name="Normal 60" xfId="3413" xr:uid="{00000000-0005-0000-0000-0000DC110000}"/>
    <cellStyle name="Normal 60 2" xfId="3414" xr:uid="{00000000-0005-0000-0000-0000DD110000}"/>
    <cellStyle name="Normal 60 3" xfId="3415" xr:uid="{00000000-0005-0000-0000-0000DE110000}"/>
    <cellStyle name="Normal 61" xfId="3416" xr:uid="{00000000-0005-0000-0000-0000DF110000}"/>
    <cellStyle name="Normal 61 2" xfId="3417" xr:uid="{00000000-0005-0000-0000-0000E0110000}"/>
    <cellStyle name="Normal 61 3" xfId="3418" xr:uid="{00000000-0005-0000-0000-0000E1110000}"/>
    <cellStyle name="Normal 62" xfId="3419" xr:uid="{00000000-0005-0000-0000-0000E2110000}"/>
    <cellStyle name="Normal 62 2" xfId="3420" xr:uid="{00000000-0005-0000-0000-0000E3110000}"/>
    <cellStyle name="Normal 62 3" xfId="3421" xr:uid="{00000000-0005-0000-0000-0000E4110000}"/>
    <cellStyle name="Normal 63" xfId="3422" xr:uid="{00000000-0005-0000-0000-0000E5110000}"/>
    <cellStyle name="Normal 63 2" xfId="3423" xr:uid="{00000000-0005-0000-0000-0000E6110000}"/>
    <cellStyle name="Normal 63 3" xfId="3424" xr:uid="{00000000-0005-0000-0000-0000E7110000}"/>
    <cellStyle name="Normal 64" xfId="3425" xr:uid="{00000000-0005-0000-0000-0000E8110000}"/>
    <cellStyle name="Normal 64 2" xfId="3426" xr:uid="{00000000-0005-0000-0000-0000E9110000}"/>
    <cellStyle name="Normal 65" xfId="3427" xr:uid="{00000000-0005-0000-0000-0000EA110000}"/>
    <cellStyle name="Normal 65 2" xfId="3428" xr:uid="{00000000-0005-0000-0000-0000EB110000}"/>
    <cellStyle name="Normal 65 2 2" xfId="3429" xr:uid="{00000000-0005-0000-0000-0000EC110000}"/>
    <cellStyle name="Normal 65 3" xfId="3430" xr:uid="{00000000-0005-0000-0000-0000ED110000}"/>
    <cellStyle name="Normal 65 3 2" xfId="3431" xr:uid="{00000000-0005-0000-0000-0000EE110000}"/>
    <cellStyle name="Normal 65 4" xfId="3432" xr:uid="{00000000-0005-0000-0000-0000EF110000}"/>
    <cellStyle name="Normal 66" xfId="3433" xr:uid="{00000000-0005-0000-0000-0000F0110000}"/>
    <cellStyle name="Normal 66 2" xfId="8949" xr:uid="{00000000-0005-0000-0000-0000F1110000}"/>
    <cellStyle name="Normal 66 3" xfId="9451" xr:uid="{00000000-0005-0000-0000-0000F2110000}"/>
    <cellStyle name="Normal 67" xfId="8955" xr:uid="{00000000-0005-0000-0000-0000F3110000}"/>
    <cellStyle name="Normal 67 2" xfId="9466" xr:uid="{00000000-0005-0000-0000-0000F4110000}"/>
    <cellStyle name="Normal 68" xfId="8960" xr:uid="{00000000-0005-0000-0000-0000F5110000}"/>
    <cellStyle name="Normal 68 2" xfId="9471" xr:uid="{00000000-0005-0000-0000-0000F6110000}"/>
    <cellStyle name="Normal 69" xfId="8964" xr:uid="{00000000-0005-0000-0000-0000F7110000}"/>
    <cellStyle name="Normal 69 2" xfId="9475" xr:uid="{00000000-0005-0000-0000-0000F8110000}"/>
    <cellStyle name="Normal 7" xfId="3434" xr:uid="{00000000-0005-0000-0000-0000F9110000}"/>
    <cellStyle name="Normal 7 2" xfId="3435" xr:uid="{00000000-0005-0000-0000-0000FA110000}"/>
    <cellStyle name="Normal 7 3" xfId="8810" xr:uid="{00000000-0005-0000-0000-0000FB110000}"/>
    <cellStyle name="Normal 70" xfId="3436" xr:uid="{00000000-0005-0000-0000-0000FC110000}"/>
    <cellStyle name="Normal 70 2" xfId="3437" xr:uid="{00000000-0005-0000-0000-0000FD110000}"/>
    <cellStyle name="Normal 70 2 2" xfId="8845" xr:uid="{00000000-0005-0000-0000-0000FE110000}"/>
    <cellStyle name="Normal 70 2 3" xfId="9423" xr:uid="{00000000-0005-0000-0000-0000FF110000}"/>
    <cellStyle name="Normal 70 3" xfId="3438" xr:uid="{00000000-0005-0000-0000-000000120000}"/>
    <cellStyle name="Normal 70 3 2" xfId="8846" xr:uid="{00000000-0005-0000-0000-000001120000}"/>
    <cellStyle name="Normal 70 3 3" xfId="9424" xr:uid="{00000000-0005-0000-0000-000002120000}"/>
    <cellStyle name="Normal 70 4" xfId="8844" xr:uid="{00000000-0005-0000-0000-000003120000}"/>
    <cellStyle name="Normal 70 5" xfId="9422" xr:uid="{00000000-0005-0000-0000-000004120000}"/>
    <cellStyle name="Normal 71" xfId="8973" xr:uid="{00000000-0005-0000-0000-000005120000}"/>
    <cellStyle name="Normal 71 2" xfId="9478" xr:uid="{00000000-0005-0000-0000-000006120000}"/>
    <cellStyle name="Normal 72" xfId="8975" xr:uid="{00000000-0005-0000-0000-000007120000}"/>
    <cellStyle name="Normal 72 2" xfId="9480" xr:uid="{00000000-0005-0000-0000-000008120000}"/>
    <cellStyle name="Normal 73" xfId="3439" xr:uid="{00000000-0005-0000-0000-000009120000}"/>
    <cellStyle name="Normal 73 2" xfId="3440" xr:uid="{00000000-0005-0000-0000-00000A120000}"/>
    <cellStyle name="Normal 73 2 2" xfId="3441" xr:uid="{00000000-0005-0000-0000-00000B120000}"/>
    <cellStyle name="Normal 73 3" xfId="3442" xr:uid="{00000000-0005-0000-0000-00000C120000}"/>
    <cellStyle name="Normal 73 3 2" xfId="3443" xr:uid="{00000000-0005-0000-0000-00000D120000}"/>
    <cellStyle name="Normal 73 4" xfId="3444" xr:uid="{00000000-0005-0000-0000-00000E120000}"/>
    <cellStyle name="Normal 74" xfId="3445" xr:uid="{00000000-0005-0000-0000-00000F120000}"/>
    <cellStyle name="Normal 74 2" xfId="3446" xr:uid="{00000000-0005-0000-0000-000010120000}"/>
    <cellStyle name="Normal 74 2 2" xfId="3447" xr:uid="{00000000-0005-0000-0000-000011120000}"/>
    <cellStyle name="Normal 74 3" xfId="3448" xr:uid="{00000000-0005-0000-0000-000012120000}"/>
    <cellStyle name="Normal 74 3 2" xfId="3449" xr:uid="{00000000-0005-0000-0000-000013120000}"/>
    <cellStyle name="Normal 74 4" xfId="3450" xr:uid="{00000000-0005-0000-0000-000014120000}"/>
    <cellStyle name="Normal 75" xfId="8959" xr:uid="{00000000-0005-0000-0000-000015120000}"/>
    <cellStyle name="Normal 75 2" xfId="9470" xr:uid="{00000000-0005-0000-0000-000016120000}"/>
    <cellStyle name="Normal 76" xfId="8741" xr:uid="{00000000-0005-0000-0000-000017120000}"/>
    <cellStyle name="Normal 77" xfId="3451" xr:uid="{00000000-0005-0000-0000-000018120000}"/>
    <cellStyle name="Normal 77 2" xfId="3452" xr:uid="{00000000-0005-0000-0000-000019120000}"/>
    <cellStyle name="Normal 77 3" xfId="3453" xr:uid="{00000000-0005-0000-0000-00001A120000}"/>
    <cellStyle name="Normal 78" xfId="3454" xr:uid="{00000000-0005-0000-0000-00001B120000}"/>
    <cellStyle name="Normal 78 2" xfId="3455" xr:uid="{00000000-0005-0000-0000-00001C120000}"/>
    <cellStyle name="Normal 78 3" xfId="3456" xr:uid="{00000000-0005-0000-0000-00001D120000}"/>
    <cellStyle name="Normal 79" xfId="3457" xr:uid="{00000000-0005-0000-0000-00001E120000}"/>
    <cellStyle name="Normal 79 2" xfId="3458" xr:uid="{00000000-0005-0000-0000-00001F120000}"/>
    <cellStyle name="Normal 79 3" xfId="3459" xr:uid="{00000000-0005-0000-0000-000020120000}"/>
    <cellStyle name="Normal 8" xfId="3460" xr:uid="{00000000-0005-0000-0000-000021120000}"/>
    <cellStyle name="Normal 8 2" xfId="3461" xr:uid="{00000000-0005-0000-0000-000022120000}"/>
    <cellStyle name="Normal 80" xfId="3462" xr:uid="{00000000-0005-0000-0000-000023120000}"/>
    <cellStyle name="Normal 80 2" xfId="3463" xr:uid="{00000000-0005-0000-0000-000024120000}"/>
    <cellStyle name="Normal 80 3" xfId="3464" xr:uid="{00000000-0005-0000-0000-000025120000}"/>
    <cellStyle name="Normal 81" xfId="3465" xr:uid="{00000000-0005-0000-0000-000026120000}"/>
    <cellStyle name="Normal 81 2" xfId="3466" xr:uid="{00000000-0005-0000-0000-000027120000}"/>
    <cellStyle name="Normal 81 3" xfId="3467" xr:uid="{00000000-0005-0000-0000-000028120000}"/>
    <cellStyle name="Normal 82" xfId="3468" xr:uid="{00000000-0005-0000-0000-000029120000}"/>
    <cellStyle name="Normal 82 2" xfId="3469" xr:uid="{00000000-0005-0000-0000-00002A120000}"/>
    <cellStyle name="Normal 83" xfId="3470" xr:uid="{00000000-0005-0000-0000-00002B120000}"/>
    <cellStyle name="Normal 83 2" xfId="3471" xr:uid="{00000000-0005-0000-0000-00002C120000}"/>
    <cellStyle name="Normal 84" xfId="3472" xr:uid="{00000000-0005-0000-0000-00002D120000}"/>
    <cellStyle name="Normal 84 2" xfId="3473" xr:uid="{00000000-0005-0000-0000-00002E120000}"/>
    <cellStyle name="Normal 85" xfId="8908" xr:uid="{00000000-0005-0000-0000-00002F120000}"/>
    <cellStyle name="Normal 86" xfId="8829" xr:uid="{00000000-0005-0000-0000-000030120000}"/>
    <cellStyle name="Normal 87" xfId="8870" xr:uid="{00000000-0005-0000-0000-000031120000}"/>
    <cellStyle name="Normal 88" xfId="8728" xr:uid="{00000000-0005-0000-0000-000032120000}"/>
    <cellStyle name="Normal 89" xfId="8835" xr:uid="{00000000-0005-0000-0000-000033120000}"/>
    <cellStyle name="Normal 9" xfId="3474" xr:uid="{00000000-0005-0000-0000-000034120000}"/>
    <cellStyle name="Normal 9 2" xfId="3475" xr:uid="{00000000-0005-0000-0000-000035120000}"/>
    <cellStyle name="Normal 90" xfId="8831" xr:uid="{00000000-0005-0000-0000-000036120000}"/>
    <cellStyle name="Normal 91" xfId="8832" xr:uid="{00000000-0005-0000-0000-000037120000}"/>
    <cellStyle name="Normal 92" xfId="9443" xr:uid="{00000000-0005-0000-0000-000038120000}"/>
    <cellStyle name="Normal 93" xfId="9442" xr:uid="{00000000-0005-0000-0000-000039120000}"/>
    <cellStyle name="Normal_2007 Oregon Earnings Test Plant workpaper updated apr08" xfId="17" xr:uid="{00000000-0005-0000-0000-00003A120000}"/>
    <cellStyle name="Normal_2007 Oregon Earnings Test Report model" xfId="18" xr:uid="{00000000-0005-0000-0000-00003B120000}"/>
    <cellStyle name="Normal_2007 Oregon Earnings Test Report model 2" xfId="8297" xr:uid="{00000000-0005-0000-0000-00003C120000}"/>
    <cellStyle name="Normal_2007 Washington Commission Basis Report model" xfId="19" xr:uid="{00000000-0005-0000-0000-00003D120000}"/>
    <cellStyle name="Normal_2007 Washington Commission Basis Report model 2" xfId="8948" xr:uid="{00000000-0005-0000-0000-00003E120000}"/>
    <cellStyle name="Normal_Rev &amp; Cost Model b" xfId="20" xr:uid="{00000000-0005-0000-0000-00003F120000}"/>
    <cellStyle name="Note" xfId="8258" builtinId="10" customBuiltin="1"/>
    <cellStyle name="Note 10" xfId="3476" xr:uid="{00000000-0005-0000-0000-000041120000}"/>
    <cellStyle name="Note 10 2" xfId="3477" xr:uid="{00000000-0005-0000-0000-000042120000}"/>
    <cellStyle name="Note 10 3" xfId="3478" xr:uid="{00000000-0005-0000-0000-000043120000}"/>
    <cellStyle name="Note 10 4" xfId="3479" xr:uid="{00000000-0005-0000-0000-000044120000}"/>
    <cellStyle name="Note 10 5" xfId="3480" xr:uid="{00000000-0005-0000-0000-000045120000}"/>
    <cellStyle name="Note 10 6" xfId="3481" xr:uid="{00000000-0005-0000-0000-000046120000}"/>
    <cellStyle name="Note 10 7" xfId="3482" xr:uid="{00000000-0005-0000-0000-000047120000}"/>
    <cellStyle name="Note 10 8" xfId="3483" xr:uid="{00000000-0005-0000-0000-000048120000}"/>
    <cellStyle name="Note 10 9" xfId="3484" xr:uid="{00000000-0005-0000-0000-000049120000}"/>
    <cellStyle name="Note 11" xfId="3485" xr:uid="{00000000-0005-0000-0000-00004A120000}"/>
    <cellStyle name="Note 11 2" xfId="3486" xr:uid="{00000000-0005-0000-0000-00004B120000}"/>
    <cellStyle name="Note 11 3" xfId="3487" xr:uid="{00000000-0005-0000-0000-00004C120000}"/>
    <cellStyle name="Note 11 4" xfId="3488" xr:uid="{00000000-0005-0000-0000-00004D120000}"/>
    <cellStyle name="Note 11 5" xfId="3489" xr:uid="{00000000-0005-0000-0000-00004E120000}"/>
    <cellStyle name="Note 11 6" xfId="3490" xr:uid="{00000000-0005-0000-0000-00004F120000}"/>
    <cellStyle name="Note 11 7" xfId="3491" xr:uid="{00000000-0005-0000-0000-000050120000}"/>
    <cellStyle name="Note 11 8" xfId="3492" xr:uid="{00000000-0005-0000-0000-000051120000}"/>
    <cellStyle name="Note 11 9" xfId="3493" xr:uid="{00000000-0005-0000-0000-000052120000}"/>
    <cellStyle name="Note 12" xfId="3494" xr:uid="{00000000-0005-0000-0000-000053120000}"/>
    <cellStyle name="Note 12 2" xfId="3495" xr:uid="{00000000-0005-0000-0000-000054120000}"/>
    <cellStyle name="Note 12 3" xfId="3496" xr:uid="{00000000-0005-0000-0000-000055120000}"/>
    <cellStyle name="Note 12 4" xfId="3497" xr:uid="{00000000-0005-0000-0000-000056120000}"/>
    <cellStyle name="Note 12 5" xfId="3498" xr:uid="{00000000-0005-0000-0000-000057120000}"/>
    <cellStyle name="Note 12 6" xfId="3499" xr:uid="{00000000-0005-0000-0000-000058120000}"/>
    <cellStyle name="Note 12 7" xfId="3500" xr:uid="{00000000-0005-0000-0000-000059120000}"/>
    <cellStyle name="Note 12 8" xfId="3501" xr:uid="{00000000-0005-0000-0000-00005A120000}"/>
    <cellStyle name="Note 12 9" xfId="3502" xr:uid="{00000000-0005-0000-0000-00005B120000}"/>
    <cellStyle name="Note 13" xfId="3503" xr:uid="{00000000-0005-0000-0000-00005C120000}"/>
    <cellStyle name="Note 13 2" xfId="3504" xr:uid="{00000000-0005-0000-0000-00005D120000}"/>
    <cellStyle name="Note 13 3" xfId="3505" xr:uid="{00000000-0005-0000-0000-00005E120000}"/>
    <cellStyle name="Note 13 4" xfId="3506" xr:uid="{00000000-0005-0000-0000-00005F120000}"/>
    <cellStyle name="Note 13 5" xfId="3507" xr:uid="{00000000-0005-0000-0000-000060120000}"/>
    <cellStyle name="Note 13 6" xfId="3508" xr:uid="{00000000-0005-0000-0000-000061120000}"/>
    <cellStyle name="Note 13 7" xfId="3509" xr:uid="{00000000-0005-0000-0000-000062120000}"/>
    <cellStyle name="Note 13 8" xfId="3510" xr:uid="{00000000-0005-0000-0000-000063120000}"/>
    <cellStyle name="Note 13 9" xfId="3511" xr:uid="{00000000-0005-0000-0000-000064120000}"/>
    <cellStyle name="Note 14" xfId="3512" xr:uid="{00000000-0005-0000-0000-000065120000}"/>
    <cellStyle name="Note 14 10" xfId="3513" xr:uid="{00000000-0005-0000-0000-000066120000}"/>
    <cellStyle name="Note 14 2" xfId="3514" xr:uid="{00000000-0005-0000-0000-000067120000}"/>
    <cellStyle name="Note 14 2 2" xfId="3515" xr:uid="{00000000-0005-0000-0000-000068120000}"/>
    <cellStyle name="Note 14 2 3" xfId="3516" xr:uid="{00000000-0005-0000-0000-000069120000}"/>
    <cellStyle name="Note 14 2 4" xfId="3517" xr:uid="{00000000-0005-0000-0000-00006A120000}"/>
    <cellStyle name="Note 14 2 5" xfId="3518" xr:uid="{00000000-0005-0000-0000-00006B120000}"/>
    <cellStyle name="Note 14 2 6" xfId="3519" xr:uid="{00000000-0005-0000-0000-00006C120000}"/>
    <cellStyle name="Note 14 2 7" xfId="3520" xr:uid="{00000000-0005-0000-0000-00006D120000}"/>
    <cellStyle name="Note 14 2 8" xfId="3521" xr:uid="{00000000-0005-0000-0000-00006E120000}"/>
    <cellStyle name="Note 14 3" xfId="3522" xr:uid="{00000000-0005-0000-0000-00006F120000}"/>
    <cellStyle name="Note 14 4" xfId="3523" xr:uid="{00000000-0005-0000-0000-000070120000}"/>
    <cellStyle name="Note 14 5" xfId="3524" xr:uid="{00000000-0005-0000-0000-000071120000}"/>
    <cellStyle name="Note 14 6" xfId="3525" xr:uid="{00000000-0005-0000-0000-000072120000}"/>
    <cellStyle name="Note 14 7" xfId="3526" xr:uid="{00000000-0005-0000-0000-000073120000}"/>
    <cellStyle name="Note 14 8" xfId="3527" xr:uid="{00000000-0005-0000-0000-000074120000}"/>
    <cellStyle name="Note 14 9" xfId="3528" xr:uid="{00000000-0005-0000-0000-000075120000}"/>
    <cellStyle name="Note 15" xfId="3529" xr:uid="{00000000-0005-0000-0000-000076120000}"/>
    <cellStyle name="Note 15 10" xfId="3530" xr:uid="{00000000-0005-0000-0000-000077120000}"/>
    <cellStyle name="Note 15 2" xfId="3531" xr:uid="{00000000-0005-0000-0000-000078120000}"/>
    <cellStyle name="Note 15 2 2" xfId="3532" xr:uid="{00000000-0005-0000-0000-000079120000}"/>
    <cellStyle name="Note 15 2 3" xfId="3533" xr:uid="{00000000-0005-0000-0000-00007A120000}"/>
    <cellStyle name="Note 15 2 4" xfId="3534" xr:uid="{00000000-0005-0000-0000-00007B120000}"/>
    <cellStyle name="Note 15 2 5" xfId="3535" xr:uid="{00000000-0005-0000-0000-00007C120000}"/>
    <cellStyle name="Note 15 2 6" xfId="3536" xr:uid="{00000000-0005-0000-0000-00007D120000}"/>
    <cellStyle name="Note 15 2 7" xfId="3537" xr:uid="{00000000-0005-0000-0000-00007E120000}"/>
    <cellStyle name="Note 15 2 8" xfId="3538" xr:uid="{00000000-0005-0000-0000-00007F120000}"/>
    <cellStyle name="Note 15 3" xfId="3539" xr:uid="{00000000-0005-0000-0000-000080120000}"/>
    <cellStyle name="Note 15 4" xfId="3540" xr:uid="{00000000-0005-0000-0000-000081120000}"/>
    <cellStyle name="Note 15 5" xfId="3541" xr:uid="{00000000-0005-0000-0000-000082120000}"/>
    <cellStyle name="Note 15 6" xfId="3542" xr:uid="{00000000-0005-0000-0000-000083120000}"/>
    <cellStyle name="Note 15 7" xfId="3543" xr:uid="{00000000-0005-0000-0000-000084120000}"/>
    <cellStyle name="Note 15 8" xfId="3544" xr:uid="{00000000-0005-0000-0000-000085120000}"/>
    <cellStyle name="Note 15 9" xfId="3545" xr:uid="{00000000-0005-0000-0000-000086120000}"/>
    <cellStyle name="Note 16" xfId="3546" xr:uid="{00000000-0005-0000-0000-000087120000}"/>
    <cellStyle name="Note 16 2" xfId="3547" xr:uid="{00000000-0005-0000-0000-000088120000}"/>
    <cellStyle name="Note 16 3" xfId="3548" xr:uid="{00000000-0005-0000-0000-000089120000}"/>
    <cellStyle name="Note 16 4" xfId="3549" xr:uid="{00000000-0005-0000-0000-00008A120000}"/>
    <cellStyle name="Note 16 5" xfId="3550" xr:uid="{00000000-0005-0000-0000-00008B120000}"/>
    <cellStyle name="Note 16 6" xfId="3551" xr:uid="{00000000-0005-0000-0000-00008C120000}"/>
    <cellStyle name="Note 16 7" xfId="3552" xr:uid="{00000000-0005-0000-0000-00008D120000}"/>
    <cellStyle name="Note 16 8" xfId="3553" xr:uid="{00000000-0005-0000-0000-00008E120000}"/>
    <cellStyle name="Note 16 9" xfId="3554" xr:uid="{00000000-0005-0000-0000-00008F120000}"/>
    <cellStyle name="Note 17" xfId="3555" xr:uid="{00000000-0005-0000-0000-000090120000}"/>
    <cellStyle name="Note 17 2" xfId="3556" xr:uid="{00000000-0005-0000-0000-000091120000}"/>
    <cellStyle name="Note 17 3" xfId="3557" xr:uid="{00000000-0005-0000-0000-000092120000}"/>
    <cellStyle name="Note 17 4" xfId="3558" xr:uid="{00000000-0005-0000-0000-000093120000}"/>
    <cellStyle name="Note 18" xfId="3559" xr:uid="{00000000-0005-0000-0000-000094120000}"/>
    <cellStyle name="Note 18 2" xfId="3560" xr:uid="{00000000-0005-0000-0000-000095120000}"/>
    <cellStyle name="Note 18 3" xfId="3561" xr:uid="{00000000-0005-0000-0000-000096120000}"/>
    <cellStyle name="Note 18 4" xfId="3562" xr:uid="{00000000-0005-0000-0000-000097120000}"/>
    <cellStyle name="Note 18 5" xfId="3563" xr:uid="{00000000-0005-0000-0000-000098120000}"/>
    <cellStyle name="Note 18 6" xfId="3564" xr:uid="{00000000-0005-0000-0000-000099120000}"/>
    <cellStyle name="Note 18 7" xfId="3565" xr:uid="{00000000-0005-0000-0000-00009A120000}"/>
    <cellStyle name="Note 18 8" xfId="3566" xr:uid="{00000000-0005-0000-0000-00009B120000}"/>
    <cellStyle name="Note 19" xfId="3567" xr:uid="{00000000-0005-0000-0000-00009C120000}"/>
    <cellStyle name="Note 19 2" xfId="3568" xr:uid="{00000000-0005-0000-0000-00009D120000}"/>
    <cellStyle name="Note 19 3" xfId="3569" xr:uid="{00000000-0005-0000-0000-00009E120000}"/>
    <cellStyle name="Note 19 4" xfId="3570" xr:uid="{00000000-0005-0000-0000-00009F120000}"/>
    <cellStyle name="Note 19 5" xfId="3571" xr:uid="{00000000-0005-0000-0000-0000A0120000}"/>
    <cellStyle name="Note 19 6" xfId="3572" xr:uid="{00000000-0005-0000-0000-0000A1120000}"/>
    <cellStyle name="Note 19 7" xfId="3573" xr:uid="{00000000-0005-0000-0000-0000A2120000}"/>
    <cellStyle name="Note 19 8" xfId="3574" xr:uid="{00000000-0005-0000-0000-0000A3120000}"/>
    <cellStyle name="Note 19 9" xfId="3575" xr:uid="{00000000-0005-0000-0000-0000A4120000}"/>
    <cellStyle name="Note 2" xfId="3576" xr:uid="{00000000-0005-0000-0000-0000A5120000}"/>
    <cellStyle name="Note 2 10" xfId="3577" xr:uid="{00000000-0005-0000-0000-0000A6120000}"/>
    <cellStyle name="Note 2 11" xfId="3578" xr:uid="{00000000-0005-0000-0000-0000A7120000}"/>
    <cellStyle name="Note 2 12" xfId="3579" xr:uid="{00000000-0005-0000-0000-0000A8120000}"/>
    <cellStyle name="Note 2 13" xfId="3580" xr:uid="{00000000-0005-0000-0000-0000A9120000}"/>
    <cellStyle name="Note 2 14" xfId="3581" xr:uid="{00000000-0005-0000-0000-0000AA120000}"/>
    <cellStyle name="Note 2 15" xfId="3582" xr:uid="{00000000-0005-0000-0000-0000AB120000}"/>
    <cellStyle name="Note 2 16" xfId="3583" xr:uid="{00000000-0005-0000-0000-0000AC120000}"/>
    <cellStyle name="Note 2 17" xfId="3584" xr:uid="{00000000-0005-0000-0000-0000AD120000}"/>
    <cellStyle name="Note 2 18" xfId="3585" xr:uid="{00000000-0005-0000-0000-0000AE120000}"/>
    <cellStyle name="Note 2 19" xfId="3586" xr:uid="{00000000-0005-0000-0000-0000AF120000}"/>
    <cellStyle name="Note 2 2" xfId="3587" xr:uid="{00000000-0005-0000-0000-0000B0120000}"/>
    <cellStyle name="Note 2 20" xfId="3588" xr:uid="{00000000-0005-0000-0000-0000B1120000}"/>
    <cellStyle name="Note 2 21" xfId="3589" xr:uid="{00000000-0005-0000-0000-0000B2120000}"/>
    <cellStyle name="Note 2 22" xfId="3590" xr:uid="{00000000-0005-0000-0000-0000B3120000}"/>
    <cellStyle name="Note 2 23" xfId="3591" xr:uid="{00000000-0005-0000-0000-0000B4120000}"/>
    <cellStyle name="Note 2 24" xfId="3592" xr:uid="{00000000-0005-0000-0000-0000B5120000}"/>
    <cellStyle name="Note 2 25" xfId="3593" xr:uid="{00000000-0005-0000-0000-0000B6120000}"/>
    <cellStyle name="Note 2 26" xfId="3594" xr:uid="{00000000-0005-0000-0000-0000B7120000}"/>
    <cellStyle name="Note 2 27" xfId="8906" xr:uid="{00000000-0005-0000-0000-0000B8120000}"/>
    <cellStyle name="Note 2 28" xfId="9441" xr:uid="{00000000-0005-0000-0000-0000B9120000}"/>
    <cellStyle name="Note 2 3" xfId="3595" xr:uid="{00000000-0005-0000-0000-0000BA120000}"/>
    <cellStyle name="Note 2 4" xfId="3596" xr:uid="{00000000-0005-0000-0000-0000BB120000}"/>
    <cellStyle name="Note 2 5" xfId="3597" xr:uid="{00000000-0005-0000-0000-0000BC120000}"/>
    <cellStyle name="Note 2 6" xfId="3598" xr:uid="{00000000-0005-0000-0000-0000BD120000}"/>
    <cellStyle name="Note 2 7" xfId="3599" xr:uid="{00000000-0005-0000-0000-0000BE120000}"/>
    <cellStyle name="Note 2 8" xfId="3600" xr:uid="{00000000-0005-0000-0000-0000BF120000}"/>
    <cellStyle name="Note 2 9" xfId="3601" xr:uid="{00000000-0005-0000-0000-0000C0120000}"/>
    <cellStyle name="Note 20" xfId="3602" xr:uid="{00000000-0005-0000-0000-0000C1120000}"/>
    <cellStyle name="Note 20 2" xfId="3603" xr:uid="{00000000-0005-0000-0000-0000C2120000}"/>
    <cellStyle name="Note 20 3" xfId="3604" xr:uid="{00000000-0005-0000-0000-0000C3120000}"/>
    <cellStyle name="Note 20 4" xfId="3605" xr:uid="{00000000-0005-0000-0000-0000C4120000}"/>
    <cellStyle name="Note 20 5" xfId="3606" xr:uid="{00000000-0005-0000-0000-0000C5120000}"/>
    <cellStyle name="Note 20 6" xfId="3607" xr:uid="{00000000-0005-0000-0000-0000C6120000}"/>
    <cellStyle name="Note 20 7" xfId="3608" xr:uid="{00000000-0005-0000-0000-0000C7120000}"/>
    <cellStyle name="Note 20 8" xfId="3609" xr:uid="{00000000-0005-0000-0000-0000C8120000}"/>
    <cellStyle name="Note 20 9" xfId="3610" xr:uid="{00000000-0005-0000-0000-0000C9120000}"/>
    <cellStyle name="Note 21" xfId="3611" xr:uid="{00000000-0005-0000-0000-0000CA120000}"/>
    <cellStyle name="Note 21 2" xfId="3612" xr:uid="{00000000-0005-0000-0000-0000CB120000}"/>
    <cellStyle name="Note 21 3" xfId="3613" xr:uid="{00000000-0005-0000-0000-0000CC120000}"/>
    <cellStyle name="Note 21 4" xfId="3614" xr:uid="{00000000-0005-0000-0000-0000CD120000}"/>
    <cellStyle name="Note 21 5" xfId="3615" xr:uid="{00000000-0005-0000-0000-0000CE120000}"/>
    <cellStyle name="Note 21 6" xfId="3616" xr:uid="{00000000-0005-0000-0000-0000CF120000}"/>
    <cellStyle name="Note 21 7" xfId="3617" xr:uid="{00000000-0005-0000-0000-0000D0120000}"/>
    <cellStyle name="Note 21 8" xfId="3618" xr:uid="{00000000-0005-0000-0000-0000D1120000}"/>
    <cellStyle name="Note 21 9" xfId="3619" xr:uid="{00000000-0005-0000-0000-0000D2120000}"/>
    <cellStyle name="Note 22" xfId="3620" xr:uid="{00000000-0005-0000-0000-0000D3120000}"/>
    <cellStyle name="Note 22 2" xfId="3621" xr:uid="{00000000-0005-0000-0000-0000D4120000}"/>
    <cellStyle name="Note 22 3" xfId="3622" xr:uid="{00000000-0005-0000-0000-0000D5120000}"/>
    <cellStyle name="Note 22 4" xfId="3623" xr:uid="{00000000-0005-0000-0000-0000D6120000}"/>
    <cellStyle name="Note 22 5" xfId="3624" xr:uid="{00000000-0005-0000-0000-0000D7120000}"/>
    <cellStyle name="Note 22 6" xfId="3625" xr:uid="{00000000-0005-0000-0000-0000D8120000}"/>
    <cellStyle name="Note 22 7" xfId="3626" xr:uid="{00000000-0005-0000-0000-0000D9120000}"/>
    <cellStyle name="Note 22 8" xfId="3627" xr:uid="{00000000-0005-0000-0000-0000DA120000}"/>
    <cellStyle name="Note 23" xfId="3628" xr:uid="{00000000-0005-0000-0000-0000DB120000}"/>
    <cellStyle name="Note 23 2" xfId="3629" xr:uid="{00000000-0005-0000-0000-0000DC120000}"/>
    <cellStyle name="Note 24" xfId="3630" xr:uid="{00000000-0005-0000-0000-0000DD120000}"/>
    <cellStyle name="Note 24 2" xfId="3631" xr:uid="{00000000-0005-0000-0000-0000DE120000}"/>
    <cellStyle name="Note 24 2 2" xfId="3632" xr:uid="{00000000-0005-0000-0000-0000DF120000}"/>
    <cellStyle name="Note 24 3" xfId="3633" xr:uid="{00000000-0005-0000-0000-0000E0120000}"/>
    <cellStyle name="Note 25" xfId="3634" xr:uid="{00000000-0005-0000-0000-0000E1120000}"/>
    <cellStyle name="Note 25 2" xfId="3635" xr:uid="{00000000-0005-0000-0000-0000E2120000}"/>
    <cellStyle name="Note 25 3" xfId="3636" xr:uid="{00000000-0005-0000-0000-0000E3120000}"/>
    <cellStyle name="Note 26" xfId="3637" xr:uid="{00000000-0005-0000-0000-0000E4120000}"/>
    <cellStyle name="Note 26 2" xfId="3638" xr:uid="{00000000-0005-0000-0000-0000E5120000}"/>
    <cellStyle name="Note 27" xfId="3639" xr:uid="{00000000-0005-0000-0000-0000E6120000}"/>
    <cellStyle name="Note 27 2" xfId="3640" xr:uid="{00000000-0005-0000-0000-0000E7120000}"/>
    <cellStyle name="Note 28" xfId="3641" xr:uid="{00000000-0005-0000-0000-0000E8120000}"/>
    <cellStyle name="Note 28 2" xfId="3642" xr:uid="{00000000-0005-0000-0000-0000E9120000}"/>
    <cellStyle name="Note 29" xfId="3643" xr:uid="{00000000-0005-0000-0000-0000EA120000}"/>
    <cellStyle name="Note 29 2" xfId="8847" xr:uid="{00000000-0005-0000-0000-0000EB120000}"/>
    <cellStyle name="Note 29 3" xfId="9425" xr:uid="{00000000-0005-0000-0000-0000EC120000}"/>
    <cellStyle name="Note 3" xfId="3644" xr:uid="{00000000-0005-0000-0000-0000ED120000}"/>
    <cellStyle name="Note 3 10" xfId="8880" xr:uid="{00000000-0005-0000-0000-0000EE120000}"/>
    <cellStyle name="Note 3 11" xfId="9440" xr:uid="{00000000-0005-0000-0000-0000EF120000}"/>
    <cellStyle name="Note 3 2" xfId="3645" xr:uid="{00000000-0005-0000-0000-0000F0120000}"/>
    <cellStyle name="Note 3 3" xfId="3646" xr:uid="{00000000-0005-0000-0000-0000F1120000}"/>
    <cellStyle name="Note 3 4" xfId="3647" xr:uid="{00000000-0005-0000-0000-0000F2120000}"/>
    <cellStyle name="Note 3 5" xfId="3648" xr:uid="{00000000-0005-0000-0000-0000F3120000}"/>
    <cellStyle name="Note 3 6" xfId="3649" xr:uid="{00000000-0005-0000-0000-0000F4120000}"/>
    <cellStyle name="Note 3 7" xfId="3650" xr:uid="{00000000-0005-0000-0000-0000F5120000}"/>
    <cellStyle name="Note 3 8" xfId="3651" xr:uid="{00000000-0005-0000-0000-0000F6120000}"/>
    <cellStyle name="Note 3 9" xfId="3652" xr:uid="{00000000-0005-0000-0000-0000F7120000}"/>
    <cellStyle name="Note 30" xfId="3653" xr:uid="{00000000-0005-0000-0000-0000F8120000}"/>
    <cellStyle name="Note 30 2" xfId="3654" xr:uid="{00000000-0005-0000-0000-0000F9120000}"/>
    <cellStyle name="Note 31" xfId="8961" xr:uid="{00000000-0005-0000-0000-0000FA120000}"/>
    <cellStyle name="Note 31 2" xfId="9472" xr:uid="{00000000-0005-0000-0000-0000FB120000}"/>
    <cellStyle name="Note 4" xfId="3655" xr:uid="{00000000-0005-0000-0000-0000FC120000}"/>
    <cellStyle name="Note 4 10" xfId="3656" xr:uid="{00000000-0005-0000-0000-0000FD120000}"/>
    <cellStyle name="Note 4 11" xfId="9428" xr:uid="{00000000-0005-0000-0000-0000FE120000}"/>
    <cellStyle name="Note 4 2" xfId="3657" xr:uid="{00000000-0005-0000-0000-0000FF120000}"/>
    <cellStyle name="Note 4 3" xfId="3658" xr:uid="{00000000-0005-0000-0000-000000130000}"/>
    <cellStyle name="Note 4 4" xfId="3659" xr:uid="{00000000-0005-0000-0000-000001130000}"/>
    <cellStyle name="Note 4 5" xfId="3660" xr:uid="{00000000-0005-0000-0000-000002130000}"/>
    <cellStyle name="Note 4 6" xfId="3661" xr:uid="{00000000-0005-0000-0000-000003130000}"/>
    <cellStyle name="Note 4 7" xfId="3662" xr:uid="{00000000-0005-0000-0000-000004130000}"/>
    <cellStyle name="Note 4 8" xfId="3663" xr:uid="{00000000-0005-0000-0000-000005130000}"/>
    <cellStyle name="Note 4 9" xfId="3664" xr:uid="{00000000-0005-0000-0000-000006130000}"/>
    <cellStyle name="Note 5" xfId="3665" xr:uid="{00000000-0005-0000-0000-000007130000}"/>
    <cellStyle name="Note 5 10" xfId="3666" xr:uid="{00000000-0005-0000-0000-000008130000}"/>
    <cellStyle name="Note 5 11" xfId="9427" xr:uid="{00000000-0005-0000-0000-000009130000}"/>
    <cellStyle name="Note 5 2" xfId="3667" xr:uid="{00000000-0005-0000-0000-00000A130000}"/>
    <cellStyle name="Note 5 3" xfId="3668" xr:uid="{00000000-0005-0000-0000-00000B130000}"/>
    <cellStyle name="Note 5 4" xfId="3669" xr:uid="{00000000-0005-0000-0000-00000C130000}"/>
    <cellStyle name="Note 5 5" xfId="3670" xr:uid="{00000000-0005-0000-0000-00000D130000}"/>
    <cellStyle name="Note 5 6" xfId="3671" xr:uid="{00000000-0005-0000-0000-00000E130000}"/>
    <cellStyle name="Note 5 7" xfId="3672" xr:uid="{00000000-0005-0000-0000-00000F130000}"/>
    <cellStyle name="Note 5 8" xfId="3673" xr:uid="{00000000-0005-0000-0000-000010130000}"/>
    <cellStyle name="Note 5 9" xfId="3674" xr:uid="{00000000-0005-0000-0000-000011130000}"/>
    <cellStyle name="Note 6" xfId="3675" xr:uid="{00000000-0005-0000-0000-000012130000}"/>
    <cellStyle name="Note 6 10" xfId="3676" xr:uid="{00000000-0005-0000-0000-000013130000}"/>
    <cellStyle name="Note 6 2" xfId="3677" xr:uid="{00000000-0005-0000-0000-000014130000}"/>
    <cellStyle name="Note 6 3" xfId="3678" xr:uid="{00000000-0005-0000-0000-000015130000}"/>
    <cellStyle name="Note 6 4" xfId="3679" xr:uid="{00000000-0005-0000-0000-000016130000}"/>
    <cellStyle name="Note 6 5" xfId="3680" xr:uid="{00000000-0005-0000-0000-000017130000}"/>
    <cellStyle name="Note 6 6" xfId="3681" xr:uid="{00000000-0005-0000-0000-000018130000}"/>
    <cellStyle name="Note 6 7" xfId="3682" xr:uid="{00000000-0005-0000-0000-000019130000}"/>
    <cellStyle name="Note 6 8" xfId="3683" xr:uid="{00000000-0005-0000-0000-00001A130000}"/>
    <cellStyle name="Note 6 9" xfId="3684" xr:uid="{00000000-0005-0000-0000-00001B130000}"/>
    <cellStyle name="Note 7" xfId="3685" xr:uid="{00000000-0005-0000-0000-00001C130000}"/>
    <cellStyle name="Note 7 10" xfId="3686" xr:uid="{00000000-0005-0000-0000-00001D130000}"/>
    <cellStyle name="Note 7 2" xfId="3687" xr:uid="{00000000-0005-0000-0000-00001E130000}"/>
    <cellStyle name="Note 7 3" xfId="3688" xr:uid="{00000000-0005-0000-0000-00001F130000}"/>
    <cellStyle name="Note 7 4" xfId="3689" xr:uid="{00000000-0005-0000-0000-000020130000}"/>
    <cellStyle name="Note 7 5" xfId="3690" xr:uid="{00000000-0005-0000-0000-000021130000}"/>
    <cellStyle name="Note 7 6" xfId="3691" xr:uid="{00000000-0005-0000-0000-000022130000}"/>
    <cellStyle name="Note 7 7" xfId="3692" xr:uid="{00000000-0005-0000-0000-000023130000}"/>
    <cellStyle name="Note 7 8" xfId="3693" xr:uid="{00000000-0005-0000-0000-000024130000}"/>
    <cellStyle name="Note 7 9" xfId="3694" xr:uid="{00000000-0005-0000-0000-000025130000}"/>
    <cellStyle name="Note 8" xfId="3695" xr:uid="{00000000-0005-0000-0000-000026130000}"/>
    <cellStyle name="Note 8 2" xfId="3696" xr:uid="{00000000-0005-0000-0000-000027130000}"/>
    <cellStyle name="Note 8 3" xfId="3697" xr:uid="{00000000-0005-0000-0000-000028130000}"/>
    <cellStyle name="Note 8 4" xfId="3698" xr:uid="{00000000-0005-0000-0000-000029130000}"/>
    <cellStyle name="Note 8 5" xfId="3699" xr:uid="{00000000-0005-0000-0000-00002A130000}"/>
    <cellStyle name="Note 8 6" xfId="3700" xr:uid="{00000000-0005-0000-0000-00002B130000}"/>
    <cellStyle name="Note 8 7" xfId="3701" xr:uid="{00000000-0005-0000-0000-00002C130000}"/>
    <cellStyle name="Note 8 8" xfId="3702" xr:uid="{00000000-0005-0000-0000-00002D130000}"/>
    <cellStyle name="Note 8 9" xfId="3703" xr:uid="{00000000-0005-0000-0000-00002E130000}"/>
    <cellStyle name="Note 9" xfId="3704" xr:uid="{00000000-0005-0000-0000-00002F130000}"/>
    <cellStyle name="Note 9 2" xfId="3705" xr:uid="{00000000-0005-0000-0000-000030130000}"/>
    <cellStyle name="Note 9 3" xfId="3706" xr:uid="{00000000-0005-0000-0000-000031130000}"/>
    <cellStyle name="Note 9 4" xfId="3707" xr:uid="{00000000-0005-0000-0000-000032130000}"/>
    <cellStyle name="Note 9 5" xfId="3708" xr:uid="{00000000-0005-0000-0000-000033130000}"/>
    <cellStyle name="Note 9 6" xfId="3709" xr:uid="{00000000-0005-0000-0000-000034130000}"/>
    <cellStyle name="Note 9 7" xfId="3710" xr:uid="{00000000-0005-0000-0000-000035130000}"/>
    <cellStyle name="Note 9 8" xfId="3711" xr:uid="{00000000-0005-0000-0000-000036130000}"/>
    <cellStyle name="Note 9 9" xfId="3712" xr:uid="{00000000-0005-0000-0000-000037130000}"/>
    <cellStyle name="Outline" xfId="21" xr:uid="{00000000-0005-0000-0000-000038130000}"/>
    <cellStyle name="Outline 2" xfId="8298" xr:uid="{00000000-0005-0000-0000-000039130000}"/>
    <cellStyle name="Outline 3" xfId="8954" xr:uid="{00000000-0005-0000-0000-00003A130000}"/>
    <cellStyle name="Output" xfId="8253" builtinId="21" customBuiltin="1"/>
    <cellStyle name="Output 10" xfId="3713" xr:uid="{00000000-0005-0000-0000-00003C130000}"/>
    <cellStyle name="Output 10 2" xfId="3714" xr:uid="{00000000-0005-0000-0000-00003D130000}"/>
    <cellStyle name="Output 10 3" xfId="3715" xr:uid="{00000000-0005-0000-0000-00003E130000}"/>
    <cellStyle name="Output 10 4" xfId="3716" xr:uid="{00000000-0005-0000-0000-00003F130000}"/>
    <cellStyle name="Output 10 5" xfId="3717" xr:uid="{00000000-0005-0000-0000-000040130000}"/>
    <cellStyle name="Output 10 6" xfId="3718" xr:uid="{00000000-0005-0000-0000-000041130000}"/>
    <cellStyle name="Output 10 7" xfId="3719" xr:uid="{00000000-0005-0000-0000-000042130000}"/>
    <cellStyle name="Output 10 8" xfId="3720" xr:uid="{00000000-0005-0000-0000-000043130000}"/>
    <cellStyle name="Output 10 9" xfId="3721" xr:uid="{00000000-0005-0000-0000-000044130000}"/>
    <cellStyle name="Output 11" xfId="3722" xr:uid="{00000000-0005-0000-0000-000045130000}"/>
    <cellStyle name="Output 11 2" xfId="3723" xr:uid="{00000000-0005-0000-0000-000046130000}"/>
    <cellStyle name="Output 11 3" xfId="3724" xr:uid="{00000000-0005-0000-0000-000047130000}"/>
    <cellStyle name="Output 11 4" xfId="3725" xr:uid="{00000000-0005-0000-0000-000048130000}"/>
    <cellStyle name="Output 11 5" xfId="3726" xr:uid="{00000000-0005-0000-0000-000049130000}"/>
    <cellStyle name="Output 11 6" xfId="3727" xr:uid="{00000000-0005-0000-0000-00004A130000}"/>
    <cellStyle name="Output 11 7" xfId="3728" xr:uid="{00000000-0005-0000-0000-00004B130000}"/>
    <cellStyle name="Output 11 8" xfId="3729" xr:uid="{00000000-0005-0000-0000-00004C130000}"/>
    <cellStyle name="Output 11 9" xfId="3730" xr:uid="{00000000-0005-0000-0000-00004D130000}"/>
    <cellStyle name="Output 12" xfId="3731" xr:uid="{00000000-0005-0000-0000-00004E130000}"/>
    <cellStyle name="Output 12 2" xfId="3732" xr:uid="{00000000-0005-0000-0000-00004F130000}"/>
    <cellStyle name="Output 13" xfId="3733" xr:uid="{00000000-0005-0000-0000-000050130000}"/>
    <cellStyle name="Output 14" xfId="3734" xr:uid="{00000000-0005-0000-0000-000051130000}"/>
    <cellStyle name="Output 15" xfId="3735" xr:uid="{00000000-0005-0000-0000-000052130000}"/>
    <cellStyle name="Output 16" xfId="3736" xr:uid="{00000000-0005-0000-0000-000053130000}"/>
    <cellStyle name="Output 17" xfId="3737" xr:uid="{00000000-0005-0000-0000-000054130000}"/>
    <cellStyle name="Output 18" xfId="3738" xr:uid="{00000000-0005-0000-0000-000055130000}"/>
    <cellStyle name="Output 19" xfId="3739" xr:uid="{00000000-0005-0000-0000-000056130000}"/>
    <cellStyle name="Output 2" xfId="3740" xr:uid="{00000000-0005-0000-0000-000057130000}"/>
    <cellStyle name="Output 2 2" xfId="3741" xr:uid="{00000000-0005-0000-0000-000058130000}"/>
    <cellStyle name="Output 2 2 2" xfId="3742" xr:uid="{00000000-0005-0000-0000-000059130000}"/>
    <cellStyle name="Output 2 3" xfId="3743" xr:uid="{00000000-0005-0000-0000-00005A130000}"/>
    <cellStyle name="Output 2 3 2" xfId="3744" xr:uid="{00000000-0005-0000-0000-00005B130000}"/>
    <cellStyle name="Output 2 4" xfId="3745" xr:uid="{00000000-0005-0000-0000-00005C130000}"/>
    <cellStyle name="Output 2 4 2" xfId="3746" xr:uid="{00000000-0005-0000-0000-00005D130000}"/>
    <cellStyle name="Output 2 5" xfId="3747" xr:uid="{00000000-0005-0000-0000-00005E130000}"/>
    <cellStyle name="Output 2 6" xfId="8902" xr:uid="{00000000-0005-0000-0000-00005F130000}"/>
    <cellStyle name="Output 20" xfId="3748" xr:uid="{00000000-0005-0000-0000-000060130000}"/>
    <cellStyle name="Output 21" xfId="3749" xr:uid="{00000000-0005-0000-0000-000061130000}"/>
    <cellStyle name="Output 22" xfId="3750" xr:uid="{00000000-0005-0000-0000-000062130000}"/>
    <cellStyle name="Output 23" xfId="3751" xr:uid="{00000000-0005-0000-0000-000063130000}"/>
    <cellStyle name="Output 24" xfId="3752" xr:uid="{00000000-0005-0000-0000-000064130000}"/>
    <cellStyle name="Output 24 2" xfId="3753" xr:uid="{00000000-0005-0000-0000-000065130000}"/>
    <cellStyle name="Output 25" xfId="3754" xr:uid="{00000000-0005-0000-0000-000066130000}"/>
    <cellStyle name="Output 26" xfId="8922" xr:uid="{00000000-0005-0000-0000-000067130000}"/>
    <cellStyle name="Output 3" xfId="3755" xr:uid="{00000000-0005-0000-0000-000068130000}"/>
    <cellStyle name="Output 3 2" xfId="3756" xr:uid="{00000000-0005-0000-0000-000069130000}"/>
    <cellStyle name="Output 3 3" xfId="3757" xr:uid="{00000000-0005-0000-0000-00006A130000}"/>
    <cellStyle name="Output 3 4" xfId="3758" xr:uid="{00000000-0005-0000-0000-00006B130000}"/>
    <cellStyle name="Output 3 5" xfId="3759" xr:uid="{00000000-0005-0000-0000-00006C130000}"/>
    <cellStyle name="Output 4" xfId="3760" xr:uid="{00000000-0005-0000-0000-00006D130000}"/>
    <cellStyle name="Output 4 2" xfId="3761" xr:uid="{00000000-0005-0000-0000-00006E130000}"/>
    <cellStyle name="Output 4 3" xfId="3762" xr:uid="{00000000-0005-0000-0000-00006F130000}"/>
    <cellStyle name="Output 4 4" xfId="3763" xr:uid="{00000000-0005-0000-0000-000070130000}"/>
    <cellStyle name="Output 4 5" xfId="3764" xr:uid="{00000000-0005-0000-0000-000071130000}"/>
    <cellStyle name="Output 5" xfId="3765" xr:uid="{00000000-0005-0000-0000-000072130000}"/>
    <cellStyle name="Output 5 2" xfId="3766" xr:uid="{00000000-0005-0000-0000-000073130000}"/>
    <cellStyle name="Output 5 3" xfId="3767" xr:uid="{00000000-0005-0000-0000-000074130000}"/>
    <cellStyle name="Output 5 4" xfId="3768" xr:uid="{00000000-0005-0000-0000-000075130000}"/>
    <cellStyle name="Output 5 5" xfId="3769" xr:uid="{00000000-0005-0000-0000-000076130000}"/>
    <cellStyle name="Output 6" xfId="3770" xr:uid="{00000000-0005-0000-0000-000077130000}"/>
    <cellStyle name="Output 6 2" xfId="3771" xr:uid="{00000000-0005-0000-0000-000078130000}"/>
    <cellStyle name="Output 6 3" xfId="3772" xr:uid="{00000000-0005-0000-0000-000079130000}"/>
    <cellStyle name="Output 6 4" xfId="3773" xr:uid="{00000000-0005-0000-0000-00007A130000}"/>
    <cellStyle name="Output 6 5" xfId="3774" xr:uid="{00000000-0005-0000-0000-00007B130000}"/>
    <cellStyle name="Output 7" xfId="3775" xr:uid="{00000000-0005-0000-0000-00007C130000}"/>
    <cellStyle name="Output 7 2" xfId="3776" xr:uid="{00000000-0005-0000-0000-00007D130000}"/>
    <cellStyle name="Output 7 3" xfId="3777" xr:uid="{00000000-0005-0000-0000-00007E130000}"/>
    <cellStyle name="Output 7 4" xfId="3778" xr:uid="{00000000-0005-0000-0000-00007F130000}"/>
    <cellStyle name="Output 7 5" xfId="3779" xr:uid="{00000000-0005-0000-0000-000080130000}"/>
    <cellStyle name="Output 8" xfId="3780" xr:uid="{00000000-0005-0000-0000-000081130000}"/>
    <cellStyle name="Output 8 2" xfId="3781" xr:uid="{00000000-0005-0000-0000-000082130000}"/>
    <cellStyle name="Output 8 3" xfId="3782" xr:uid="{00000000-0005-0000-0000-000083130000}"/>
    <cellStyle name="Output 8 4" xfId="3783" xr:uid="{00000000-0005-0000-0000-000084130000}"/>
    <cellStyle name="Output 9" xfId="3784" xr:uid="{00000000-0005-0000-0000-000085130000}"/>
    <cellStyle name="Output 9 2" xfId="3785" xr:uid="{00000000-0005-0000-0000-000086130000}"/>
    <cellStyle name="Output 9 3" xfId="3786" xr:uid="{00000000-0005-0000-0000-000087130000}"/>
    <cellStyle name="Output 9 4" xfId="3787" xr:uid="{00000000-0005-0000-0000-000088130000}"/>
    <cellStyle name="Output 9 5" xfId="3788" xr:uid="{00000000-0005-0000-0000-000089130000}"/>
    <cellStyle name="Output 9 6" xfId="3789" xr:uid="{00000000-0005-0000-0000-00008A130000}"/>
    <cellStyle name="Output 9 7" xfId="3790" xr:uid="{00000000-0005-0000-0000-00008B130000}"/>
    <cellStyle name="Output 9 8" xfId="3791" xr:uid="{00000000-0005-0000-0000-00008C130000}"/>
    <cellStyle name="Output 9 9" xfId="3792" xr:uid="{00000000-0005-0000-0000-00008D130000}"/>
    <cellStyle name="Percent" xfId="22" builtinId="5"/>
    <cellStyle name="Percent 10" xfId="8716" xr:uid="{00000000-0005-0000-0000-00008F130000}"/>
    <cellStyle name="Percent 11" xfId="9481" xr:uid="{00000000-0005-0000-0000-000090130000}"/>
    <cellStyle name="Percent 2" xfId="26" xr:uid="{00000000-0005-0000-0000-000091130000}"/>
    <cellStyle name="Percent 2 2" xfId="3793" xr:uid="{00000000-0005-0000-0000-000092130000}"/>
    <cellStyle name="Percent 2 2 2" xfId="8765" xr:uid="{00000000-0005-0000-0000-000093130000}"/>
    <cellStyle name="Percent 2 3" xfId="3794" xr:uid="{00000000-0005-0000-0000-000094130000}"/>
    <cellStyle name="Percent 2 4" xfId="3795" xr:uid="{00000000-0005-0000-0000-000095130000}"/>
    <cellStyle name="Percent 2 5" xfId="3796" xr:uid="{00000000-0005-0000-0000-000096130000}"/>
    <cellStyle name="Percent 2 6" xfId="8304" xr:uid="{00000000-0005-0000-0000-000097130000}"/>
    <cellStyle name="Percent 2 7" xfId="8757" xr:uid="{00000000-0005-0000-0000-000098130000}"/>
    <cellStyle name="Percent 2 8" xfId="9007" xr:uid="{00000000-0005-0000-0000-000099130000}"/>
    <cellStyle name="Percent 3" xfId="3797" xr:uid="{00000000-0005-0000-0000-00009A130000}"/>
    <cellStyle name="Percent 3 2" xfId="8969" xr:uid="{00000000-0005-0000-0000-00009B130000}"/>
    <cellStyle name="Percent 3 3" xfId="8761" xr:uid="{00000000-0005-0000-0000-00009C130000}"/>
    <cellStyle name="Percent 4" xfId="3798" xr:uid="{00000000-0005-0000-0000-00009D130000}"/>
    <cellStyle name="Percent 4 2" xfId="8767" xr:uid="{00000000-0005-0000-0000-00009E130000}"/>
    <cellStyle name="Percent 5" xfId="3799" xr:uid="{00000000-0005-0000-0000-00009F130000}"/>
    <cellStyle name="Percent 5 2" xfId="8848" xr:uid="{00000000-0005-0000-0000-0000A0130000}"/>
    <cellStyle name="Percent 5 3" xfId="9426" xr:uid="{00000000-0005-0000-0000-0000A1130000}"/>
    <cellStyle name="Percent 6" xfId="3800" xr:uid="{00000000-0005-0000-0000-0000A2130000}"/>
    <cellStyle name="Percent 6 2" xfId="3801" xr:uid="{00000000-0005-0000-0000-0000A3130000}"/>
    <cellStyle name="Percent 7" xfId="3802" xr:uid="{00000000-0005-0000-0000-0000A4130000}"/>
    <cellStyle name="Percent 8" xfId="3803" xr:uid="{00000000-0005-0000-0000-0000A5130000}"/>
    <cellStyle name="Percent 8 2" xfId="3804" xr:uid="{00000000-0005-0000-0000-0000A6130000}"/>
    <cellStyle name="Percent 8 3" xfId="8947" xr:uid="{00000000-0005-0000-0000-0000A7130000}"/>
    <cellStyle name="Percent 8 4" xfId="9450" xr:uid="{00000000-0005-0000-0000-0000A8130000}"/>
    <cellStyle name="Percent 9" xfId="8721" xr:uid="{00000000-0005-0000-0000-0000A9130000}"/>
    <cellStyle name="Percent2" xfId="23" xr:uid="{00000000-0005-0000-0000-0000AA130000}"/>
    <cellStyle name="Percent2 2" xfId="8299" xr:uid="{00000000-0005-0000-0000-0000AB130000}"/>
    <cellStyle name="Percent2 3" xfId="8758" xr:uid="{00000000-0005-0000-0000-0000AC130000}"/>
    <cellStyle name="percent3" xfId="24" xr:uid="{00000000-0005-0000-0000-0000AD130000}"/>
    <cellStyle name="percent3 2" xfId="8300" xr:uid="{00000000-0005-0000-0000-0000AE130000}"/>
    <cellStyle name="percent3 3" xfId="8759" xr:uid="{00000000-0005-0000-0000-0000AF130000}"/>
    <cellStyle name="RowHeading" xfId="3805" xr:uid="{00000000-0005-0000-0000-0000B0130000}"/>
    <cellStyle name="SAPBEXaggData" xfId="3806" xr:uid="{00000000-0005-0000-0000-0000B1130000}"/>
    <cellStyle name="SAPBEXaggData 10" xfId="3807" xr:uid="{00000000-0005-0000-0000-0000B2130000}"/>
    <cellStyle name="SAPBEXaggData 100" xfId="3808" xr:uid="{00000000-0005-0000-0000-0000B3130000}"/>
    <cellStyle name="SAPBEXaggData 101" xfId="3809" xr:uid="{00000000-0005-0000-0000-0000B4130000}"/>
    <cellStyle name="SAPBEXaggData 102" xfId="3810" xr:uid="{00000000-0005-0000-0000-0000B5130000}"/>
    <cellStyle name="SAPBEXaggData 103" xfId="3811" xr:uid="{00000000-0005-0000-0000-0000B6130000}"/>
    <cellStyle name="SAPBEXaggData 104" xfId="3812" xr:uid="{00000000-0005-0000-0000-0000B7130000}"/>
    <cellStyle name="SAPBEXaggData 105" xfId="3813" xr:uid="{00000000-0005-0000-0000-0000B8130000}"/>
    <cellStyle name="SAPBEXaggData 106" xfId="3814" xr:uid="{00000000-0005-0000-0000-0000B9130000}"/>
    <cellStyle name="SAPBEXaggData 107" xfId="3815" xr:uid="{00000000-0005-0000-0000-0000BA130000}"/>
    <cellStyle name="SAPBEXaggData 108" xfId="3816" xr:uid="{00000000-0005-0000-0000-0000BB130000}"/>
    <cellStyle name="SAPBEXaggData 109" xfId="3817" xr:uid="{00000000-0005-0000-0000-0000BC130000}"/>
    <cellStyle name="SAPBEXaggData 11" xfId="3818" xr:uid="{00000000-0005-0000-0000-0000BD130000}"/>
    <cellStyle name="SAPBEXaggData 110" xfId="3819" xr:uid="{00000000-0005-0000-0000-0000BE130000}"/>
    <cellStyle name="SAPBEXaggData 12" xfId="3820" xr:uid="{00000000-0005-0000-0000-0000BF130000}"/>
    <cellStyle name="SAPBEXaggData 13" xfId="3821" xr:uid="{00000000-0005-0000-0000-0000C0130000}"/>
    <cellStyle name="SAPBEXaggData 14" xfId="3822" xr:uid="{00000000-0005-0000-0000-0000C1130000}"/>
    <cellStyle name="SAPBEXaggData 15" xfId="3823" xr:uid="{00000000-0005-0000-0000-0000C2130000}"/>
    <cellStyle name="SAPBEXaggData 16" xfId="3824" xr:uid="{00000000-0005-0000-0000-0000C3130000}"/>
    <cellStyle name="SAPBEXaggData 17" xfId="3825" xr:uid="{00000000-0005-0000-0000-0000C4130000}"/>
    <cellStyle name="SAPBEXaggData 18" xfId="3826" xr:uid="{00000000-0005-0000-0000-0000C5130000}"/>
    <cellStyle name="SAPBEXaggData 19" xfId="3827" xr:uid="{00000000-0005-0000-0000-0000C6130000}"/>
    <cellStyle name="SAPBEXaggData 2" xfId="3828" xr:uid="{00000000-0005-0000-0000-0000C7130000}"/>
    <cellStyle name="SAPBEXaggData 20" xfId="3829" xr:uid="{00000000-0005-0000-0000-0000C8130000}"/>
    <cellStyle name="SAPBEXaggData 21" xfId="3830" xr:uid="{00000000-0005-0000-0000-0000C9130000}"/>
    <cellStyle name="SAPBEXaggData 22" xfId="3831" xr:uid="{00000000-0005-0000-0000-0000CA130000}"/>
    <cellStyle name="SAPBEXaggData 23" xfId="3832" xr:uid="{00000000-0005-0000-0000-0000CB130000}"/>
    <cellStyle name="SAPBEXaggData 24" xfId="3833" xr:uid="{00000000-0005-0000-0000-0000CC130000}"/>
    <cellStyle name="SAPBEXaggData 25" xfId="3834" xr:uid="{00000000-0005-0000-0000-0000CD130000}"/>
    <cellStyle name="SAPBEXaggData 26" xfId="3835" xr:uid="{00000000-0005-0000-0000-0000CE130000}"/>
    <cellStyle name="SAPBEXaggData 27" xfId="3836" xr:uid="{00000000-0005-0000-0000-0000CF130000}"/>
    <cellStyle name="SAPBEXaggData 28" xfId="3837" xr:uid="{00000000-0005-0000-0000-0000D0130000}"/>
    <cellStyle name="SAPBEXaggData 29" xfId="3838" xr:uid="{00000000-0005-0000-0000-0000D1130000}"/>
    <cellStyle name="SAPBEXaggData 3" xfId="3839" xr:uid="{00000000-0005-0000-0000-0000D2130000}"/>
    <cellStyle name="SAPBEXaggData 30" xfId="3840" xr:uid="{00000000-0005-0000-0000-0000D3130000}"/>
    <cellStyle name="SAPBEXaggData 31" xfId="3841" xr:uid="{00000000-0005-0000-0000-0000D4130000}"/>
    <cellStyle name="SAPBEXaggData 32" xfId="3842" xr:uid="{00000000-0005-0000-0000-0000D5130000}"/>
    <cellStyle name="SAPBEXaggData 33" xfId="3843" xr:uid="{00000000-0005-0000-0000-0000D6130000}"/>
    <cellStyle name="SAPBEXaggData 34" xfId="3844" xr:uid="{00000000-0005-0000-0000-0000D7130000}"/>
    <cellStyle name="SAPBEXaggData 35" xfId="3845" xr:uid="{00000000-0005-0000-0000-0000D8130000}"/>
    <cellStyle name="SAPBEXaggData 36" xfId="3846" xr:uid="{00000000-0005-0000-0000-0000D9130000}"/>
    <cellStyle name="SAPBEXaggData 37" xfId="3847" xr:uid="{00000000-0005-0000-0000-0000DA130000}"/>
    <cellStyle name="SAPBEXaggData 38" xfId="3848" xr:uid="{00000000-0005-0000-0000-0000DB130000}"/>
    <cellStyle name="SAPBEXaggData 39" xfId="3849" xr:uid="{00000000-0005-0000-0000-0000DC130000}"/>
    <cellStyle name="SAPBEXaggData 4" xfId="3850" xr:uid="{00000000-0005-0000-0000-0000DD130000}"/>
    <cellStyle name="SAPBEXaggData 40" xfId="3851" xr:uid="{00000000-0005-0000-0000-0000DE130000}"/>
    <cellStyle name="SAPBEXaggData 41" xfId="3852" xr:uid="{00000000-0005-0000-0000-0000DF130000}"/>
    <cellStyle name="SAPBEXaggData 42" xfId="3853" xr:uid="{00000000-0005-0000-0000-0000E0130000}"/>
    <cellStyle name="SAPBEXaggData 43" xfId="3854" xr:uid="{00000000-0005-0000-0000-0000E1130000}"/>
    <cellStyle name="SAPBEXaggData 44" xfId="3855" xr:uid="{00000000-0005-0000-0000-0000E2130000}"/>
    <cellStyle name="SAPBEXaggData 45" xfId="3856" xr:uid="{00000000-0005-0000-0000-0000E3130000}"/>
    <cellStyle name="SAPBEXaggData 46" xfId="3857" xr:uid="{00000000-0005-0000-0000-0000E4130000}"/>
    <cellStyle name="SAPBEXaggData 47" xfId="3858" xr:uid="{00000000-0005-0000-0000-0000E5130000}"/>
    <cellStyle name="SAPBEXaggData 48" xfId="3859" xr:uid="{00000000-0005-0000-0000-0000E6130000}"/>
    <cellStyle name="SAPBEXaggData 49" xfId="3860" xr:uid="{00000000-0005-0000-0000-0000E7130000}"/>
    <cellStyle name="SAPBEXaggData 5" xfId="3861" xr:uid="{00000000-0005-0000-0000-0000E8130000}"/>
    <cellStyle name="SAPBEXaggData 50" xfId="3862" xr:uid="{00000000-0005-0000-0000-0000E9130000}"/>
    <cellStyle name="SAPBEXaggData 51" xfId="3863" xr:uid="{00000000-0005-0000-0000-0000EA130000}"/>
    <cellStyle name="SAPBEXaggData 52" xfId="3864" xr:uid="{00000000-0005-0000-0000-0000EB130000}"/>
    <cellStyle name="SAPBEXaggData 53" xfId="3865" xr:uid="{00000000-0005-0000-0000-0000EC130000}"/>
    <cellStyle name="SAPBEXaggData 54" xfId="3866" xr:uid="{00000000-0005-0000-0000-0000ED130000}"/>
    <cellStyle name="SAPBEXaggData 55" xfId="3867" xr:uid="{00000000-0005-0000-0000-0000EE130000}"/>
    <cellStyle name="SAPBEXaggData 56" xfId="3868" xr:uid="{00000000-0005-0000-0000-0000EF130000}"/>
    <cellStyle name="SAPBEXaggData 57" xfId="3869" xr:uid="{00000000-0005-0000-0000-0000F0130000}"/>
    <cellStyle name="SAPBEXaggData 58" xfId="3870" xr:uid="{00000000-0005-0000-0000-0000F1130000}"/>
    <cellStyle name="SAPBEXaggData 59" xfId="3871" xr:uid="{00000000-0005-0000-0000-0000F2130000}"/>
    <cellStyle name="SAPBEXaggData 6" xfId="3872" xr:uid="{00000000-0005-0000-0000-0000F3130000}"/>
    <cellStyle name="SAPBEXaggData 60" xfId="3873" xr:uid="{00000000-0005-0000-0000-0000F4130000}"/>
    <cellStyle name="SAPBEXaggData 61" xfId="3874" xr:uid="{00000000-0005-0000-0000-0000F5130000}"/>
    <cellStyle name="SAPBEXaggData 62" xfId="3875" xr:uid="{00000000-0005-0000-0000-0000F6130000}"/>
    <cellStyle name="SAPBEXaggData 63" xfId="3876" xr:uid="{00000000-0005-0000-0000-0000F7130000}"/>
    <cellStyle name="SAPBEXaggData 64" xfId="3877" xr:uid="{00000000-0005-0000-0000-0000F8130000}"/>
    <cellStyle name="SAPBEXaggData 65" xfId="3878" xr:uid="{00000000-0005-0000-0000-0000F9130000}"/>
    <cellStyle name="SAPBEXaggData 66" xfId="3879" xr:uid="{00000000-0005-0000-0000-0000FA130000}"/>
    <cellStyle name="SAPBEXaggData 67" xfId="3880" xr:uid="{00000000-0005-0000-0000-0000FB130000}"/>
    <cellStyle name="SAPBEXaggData 68" xfId="3881" xr:uid="{00000000-0005-0000-0000-0000FC130000}"/>
    <cellStyle name="SAPBEXaggData 69" xfId="3882" xr:uid="{00000000-0005-0000-0000-0000FD130000}"/>
    <cellStyle name="SAPBEXaggData 7" xfId="3883" xr:uid="{00000000-0005-0000-0000-0000FE130000}"/>
    <cellStyle name="SAPBEXaggData 70" xfId="3884" xr:uid="{00000000-0005-0000-0000-0000FF130000}"/>
    <cellStyle name="SAPBEXaggData 71" xfId="3885" xr:uid="{00000000-0005-0000-0000-000000140000}"/>
    <cellStyle name="SAPBEXaggData 72" xfId="3886" xr:uid="{00000000-0005-0000-0000-000001140000}"/>
    <cellStyle name="SAPBEXaggData 73" xfId="3887" xr:uid="{00000000-0005-0000-0000-000002140000}"/>
    <cellStyle name="SAPBEXaggData 74" xfId="3888" xr:uid="{00000000-0005-0000-0000-000003140000}"/>
    <cellStyle name="SAPBEXaggData 75" xfId="3889" xr:uid="{00000000-0005-0000-0000-000004140000}"/>
    <cellStyle name="SAPBEXaggData 76" xfId="3890" xr:uid="{00000000-0005-0000-0000-000005140000}"/>
    <cellStyle name="SAPBEXaggData 77" xfId="3891" xr:uid="{00000000-0005-0000-0000-000006140000}"/>
    <cellStyle name="SAPBEXaggData 78" xfId="3892" xr:uid="{00000000-0005-0000-0000-000007140000}"/>
    <cellStyle name="SAPBEXaggData 79" xfId="3893" xr:uid="{00000000-0005-0000-0000-000008140000}"/>
    <cellStyle name="SAPBEXaggData 8" xfId="3894" xr:uid="{00000000-0005-0000-0000-000009140000}"/>
    <cellStyle name="SAPBEXaggData 80" xfId="3895" xr:uid="{00000000-0005-0000-0000-00000A140000}"/>
    <cellStyle name="SAPBEXaggData 81" xfId="3896" xr:uid="{00000000-0005-0000-0000-00000B140000}"/>
    <cellStyle name="SAPBEXaggData 82" xfId="3897" xr:uid="{00000000-0005-0000-0000-00000C140000}"/>
    <cellStyle name="SAPBEXaggData 83" xfId="3898" xr:uid="{00000000-0005-0000-0000-00000D140000}"/>
    <cellStyle name="SAPBEXaggData 84" xfId="3899" xr:uid="{00000000-0005-0000-0000-00000E140000}"/>
    <cellStyle name="SAPBEXaggData 85" xfId="3900" xr:uid="{00000000-0005-0000-0000-00000F140000}"/>
    <cellStyle name="SAPBEXaggData 86" xfId="3901" xr:uid="{00000000-0005-0000-0000-000010140000}"/>
    <cellStyle name="SAPBEXaggData 87" xfId="3902" xr:uid="{00000000-0005-0000-0000-000011140000}"/>
    <cellStyle name="SAPBEXaggData 88" xfId="3903" xr:uid="{00000000-0005-0000-0000-000012140000}"/>
    <cellStyle name="SAPBEXaggData 89" xfId="3904" xr:uid="{00000000-0005-0000-0000-000013140000}"/>
    <cellStyle name="SAPBEXaggData 9" xfId="3905" xr:uid="{00000000-0005-0000-0000-000014140000}"/>
    <cellStyle name="SAPBEXaggData 90" xfId="3906" xr:uid="{00000000-0005-0000-0000-000015140000}"/>
    <cellStyle name="SAPBEXaggData 91" xfId="3907" xr:uid="{00000000-0005-0000-0000-000016140000}"/>
    <cellStyle name="SAPBEXaggData 92" xfId="3908" xr:uid="{00000000-0005-0000-0000-000017140000}"/>
    <cellStyle name="SAPBEXaggData 93" xfId="3909" xr:uid="{00000000-0005-0000-0000-000018140000}"/>
    <cellStyle name="SAPBEXaggData 94" xfId="3910" xr:uid="{00000000-0005-0000-0000-000019140000}"/>
    <cellStyle name="SAPBEXaggData 95" xfId="3911" xr:uid="{00000000-0005-0000-0000-00001A140000}"/>
    <cellStyle name="SAPBEXaggData 96" xfId="3912" xr:uid="{00000000-0005-0000-0000-00001B140000}"/>
    <cellStyle name="SAPBEXaggData 97" xfId="3913" xr:uid="{00000000-0005-0000-0000-00001C140000}"/>
    <cellStyle name="SAPBEXaggData 98" xfId="3914" xr:uid="{00000000-0005-0000-0000-00001D140000}"/>
    <cellStyle name="SAPBEXaggData 99" xfId="3915" xr:uid="{00000000-0005-0000-0000-00001E140000}"/>
    <cellStyle name="SAPBEXaggData_(A-7) IS-Inputs" xfId="3916" xr:uid="{00000000-0005-0000-0000-00001F140000}"/>
    <cellStyle name="SAPBEXaggDataEmph" xfId="3917" xr:uid="{00000000-0005-0000-0000-000020140000}"/>
    <cellStyle name="SAPBEXaggDataEmph 10" xfId="3918" xr:uid="{00000000-0005-0000-0000-000021140000}"/>
    <cellStyle name="SAPBEXaggDataEmph 11" xfId="3919" xr:uid="{00000000-0005-0000-0000-000022140000}"/>
    <cellStyle name="SAPBEXaggDataEmph 12" xfId="3920" xr:uid="{00000000-0005-0000-0000-000023140000}"/>
    <cellStyle name="SAPBEXaggDataEmph 13" xfId="3921" xr:uid="{00000000-0005-0000-0000-000024140000}"/>
    <cellStyle name="SAPBEXaggDataEmph 14" xfId="3922" xr:uid="{00000000-0005-0000-0000-000025140000}"/>
    <cellStyle name="SAPBEXaggDataEmph 15" xfId="3923" xr:uid="{00000000-0005-0000-0000-000026140000}"/>
    <cellStyle name="SAPBEXaggDataEmph 16" xfId="3924" xr:uid="{00000000-0005-0000-0000-000027140000}"/>
    <cellStyle name="SAPBEXaggDataEmph 17" xfId="3925" xr:uid="{00000000-0005-0000-0000-000028140000}"/>
    <cellStyle name="SAPBEXaggDataEmph 18" xfId="3926" xr:uid="{00000000-0005-0000-0000-000029140000}"/>
    <cellStyle name="SAPBEXaggDataEmph 19" xfId="3927" xr:uid="{00000000-0005-0000-0000-00002A140000}"/>
    <cellStyle name="SAPBEXaggDataEmph 2" xfId="3928" xr:uid="{00000000-0005-0000-0000-00002B140000}"/>
    <cellStyle name="SAPBEXaggDataEmph 20" xfId="3929" xr:uid="{00000000-0005-0000-0000-00002C140000}"/>
    <cellStyle name="SAPBEXaggDataEmph 21" xfId="3930" xr:uid="{00000000-0005-0000-0000-00002D140000}"/>
    <cellStyle name="SAPBEXaggDataEmph 22" xfId="3931" xr:uid="{00000000-0005-0000-0000-00002E140000}"/>
    <cellStyle name="SAPBEXaggDataEmph 23" xfId="3932" xr:uid="{00000000-0005-0000-0000-00002F140000}"/>
    <cellStyle name="SAPBEXaggDataEmph 24" xfId="3933" xr:uid="{00000000-0005-0000-0000-000030140000}"/>
    <cellStyle name="SAPBEXaggDataEmph 25" xfId="3934" xr:uid="{00000000-0005-0000-0000-000031140000}"/>
    <cellStyle name="SAPBEXaggDataEmph 26" xfId="3935" xr:uid="{00000000-0005-0000-0000-000032140000}"/>
    <cellStyle name="SAPBEXaggDataEmph 27" xfId="3936" xr:uid="{00000000-0005-0000-0000-000033140000}"/>
    <cellStyle name="SAPBEXaggDataEmph 28" xfId="3937" xr:uid="{00000000-0005-0000-0000-000034140000}"/>
    <cellStyle name="SAPBEXaggDataEmph 29" xfId="3938" xr:uid="{00000000-0005-0000-0000-000035140000}"/>
    <cellStyle name="SAPBEXaggDataEmph 3" xfId="3939" xr:uid="{00000000-0005-0000-0000-000036140000}"/>
    <cellStyle name="SAPBEXaggDataEmph 30" xfId="3940" xr:uid="{00000000-0005-0000-0000-000037140000}"/>
    <cellStyle name="SAPBEXaggDataEmph 31" xfId="3941" xr:uid="{00000000-0005-0000-0000-000038140000}"/>
    <cellStyle name="SAPBEXaggDataEmph 32" xfId="3942" xr:uid="{00000000-0005-0000-0000-000039140000}"/>
    <cellStyle name="SAPBEXaggDataEmph 33" xfId="3943" xr:uid="{00000000-0005-0000-0000-00003A140000}"/>
    <cellStyle name="SAPBEXaggDataEmph 34" xfId="3944" xr:uid="{00000000-0005-0000-0000-00003B140000}"/>
    <cellStyle name="SAPBEXaggDataEmph 35" xfId="3945" xr:uid="{00000000-0005-0000-0000-00003C140000}"/>
    <cellStyle name="SAPBEXaggDataEmph 36" xfId="3946" xr:uid="{00000000-0005-0000-0000-00003D140000}"/>
    <cellStyle name="SAPBEXaggDataEmph 37" xfId="3947" xr:uid="{00000000-0005-0000-0000-00003E140000}"/>
    <cellStyle name="SAPBEXaggDataEmph 38" xfId="3948" xr:uid="{00000000-0005-0000-0000-00003F140000}"/>
    <cellStyle name="SAPBEXaggDataEmph 39" xfId="3949" xr:uid="{00000000-0005-0000-0000-000040140000}"/>
    <cellStyle name="SAPBEXaggDataEmph 4" xfId="3950" xr:uid="{00000000-0005-0000-0000-000041140000}"/>
    <cellStyle name="SAPBEXaggDataEmph 40" xfId="3951" xr:uid="{00000000-0005-0000-0000-000042140000}"/>
    <cellStyle name="SAPBEXaggDataEmph 41" xfId="3952" xr:uid="{00000000-0005-0000-0000-000043140000}"/>
    <cellStyle name="SAPBEXaggDataEmph 42" xfId="3953" xr:uid="{00000000-0005-0000-0000-000044140000}"/>
    <cellStyle name="SAPBEXaggDataEmph 43" xfId="3954" xr:uid="{00000000-0005-0000-0000-000045140000}"/>
    <cellStyle name="SAPBEXaggDataEmph 44" xfId="3955" xr:uid="{00000000-0005-0000-0000-000046140000}"/>
    <cellStyle name="SAPBEXaggDataEmph 45" xfId="3956" xr:uid="{00000000-0005-0000-0000-000047140000}"/>
    <cellStyle name="SAPBEXaggDataEmph 46" xfId="3957" xr:uid="{00000000-0005-0000-0000-000048140000}"/>
    <cellStyle name="SAPBEXaggDataEmph 5" xfId="3958" xr:uid="{00000000-0005-0000-0000-000049140000}"/>
    <cellStyle name="SAPBEXaggDataEmph 6" xfId="3959" xr:uid="{00000000-0005-0000-0000-00004A140000}"/>
    <cellStyle name="SAPBEXaggDataEmph 7" xfId="3960" xr:uid="{00000000-0005-0000-0000-00004B140000}"/>
    <cellStyle name="SAPBEXaggDataEmph 8" xfId="3961" xr:uid="{00000000-0005-0000-0000-00004C140000}"/>
    <cellStyle name="SAPBEXaggDataEmph 9" xfId="3962" xr:uid="{00000000-0005-0000-0000-00004D140000}"/>
    <cellStyle name="SAPBEXaggItem" xfId="3963" xr:uid="{00000000-0005-0000-0000-00004E140000}"/>
    <cellStyle name="SAPBEXaggItem 10" xfId="3964" xr:uid="{00000000-0005-0000-0000-00004F140000}"/>
    <cellStyle name="SAPBEXaggItem 100" xfId="3965" xr:uid="{00000000-0005-0000-0000-000050140000}"/>
    <cellStyle name="SAPBEXaggItem 101" xfId="3966" xr:uid="{00000000-0005-0000-0000-000051140000}"/>
    <cellStyle name="SAPBEXaggItem 102" xfId="3967" xr:uid="{00000000-0005-0000-0000-000052140000}"/>
    <cellStyle name="SAPBEXaggItem 103" xfId="3968" xr:uid="{00000000-0005-0000-0000-000053140000}"/>
    <cellStyle name="SAPBEXaggItem 104" xfId="3969" xr:uid="{00000000-0005-0000-0000-000054140000}"/>
    <cellStyle name="SAPBEXaggItem 105" xfId="3970" xr:uid="{00000000-0005-0000-0000-000055140000}"/>
    <cellStyle name="SAPBEXaggItem 106" xfId="3971" xr:uid="{00000000-0005-0000-0000-000056140000}"/>
    <cellStyle name="SAPBEXaggItem 107" xfId="3972" xr:uid="{00000000-0005-0000-0000-000057140000}"/>
    <cellStyle name="SAPBEXaggItem 108" xfId="3973" xr:uid="{00000000-0005-0000-0000-000058140000}"/>
    <cellStyle name="SAPBEXaggItem 109" xfId="3974" xr:uid="{00000000-0005-0000-0000-000059140000}"/>
    <cellStyle name="SAPBEXaggItem 11" xfId="3975" xr:uid="{00000000-0005-0000-0000-00005A140000}"/>
    <cellStyle name="SAPBEXaggItem 110" xfId="3976" xr:uid="{00000000-0005-0000-0000-00005B140000}"/>
    <cellStyle name="SAPBEXaggItem 12" xfId="3977" xr:uid="{00000000-0005-0000-0000-00005C140000}"/>
    <cellStyle name="SAPBEXaggItem 13" xfId="3978" xr:uid="{00000000-0005-0000-0000-00005D140000}"/>
    <cellStyle name="SAPBEXaggItem 14" xfId="3979" xr:uid="{00000000-0005-0000-0000-00005E140000}"/>
    <cellStyle name="SAPBEXaggItem 15" xfId="3980" xr:uid="{00000000-0005-0000-0000-00005F140000}"/>
    <cellStyle name="SAPBEXaggItem 16" xfId="3981" xr:uid="{00000000-0005-0000-0000-000060140000}"/>
    <cellStyle name="SAPBEXaggItem 17" xfId="3982" xr:uid="{00000000-0005-0000-0000-000061140000}"/>
    <cellStyle name="SAPBEXaggItem 18" xfId="3983" xr:uid="{00000000-0005-0000-0000-000062140000}"/>
    <cellStyle name="SAPBEXaggItem 19" xfId="3984" xr:uid="{00000000-0005-0000-0000-000063140000}"/>
    <cellStyle name="SAPBEXaggItem 2" xfId="3985" xr:uid="{00000000-0005-0000-0000-000064140000}"/>
    <cellStyle name="SAPBEXaggItem 20" xfId="3986" xr:uid="{00000000-0005-0000-0000-000065140000}"/>
    <cellStyle name="SAPBEXaggItem 21" xfId="3987" xr:uid="{00000000-0005-0000-0000-000066140000}"/>
    <cellStyle name="SAPBEXaggItem 22" xfId="3988" xr:uid="{00000000-0005-0000-0000-000067140000}"/>
    <cellStyle name="SAPBEXaggItem 23" xfId="3989" xr:uid="{00000000-0005-0000-0000-000068140000}"/>
    <cellStyle name="SAPBEXaggItem 24" xfId="3990" xr:uid="{00000000-0005-0000-0000-000069140000}"/>
    <cellStyle name="SAPBEXaggItem 25" xfId="3991" xr:uid="{00000000-0005-0000-0000-00006A140000}"/>
    <cellStyle name="SAPBEXaggItem 26" xfId="3992" xr:uid="{00000000-0005-0000-0000-00006B140000}"/>
    <cellStyle name="SAPBEXaggItem 27" xfId="3993" xr:uid="{00000000-0005-0000-0000-00006C140000}"/>
    <cellStyle name="SAPBEXaggItem 28" xfId="3994" xr:uid="{00000000-0005-0000-0000-00006D140000}"/>
    <cellStyle name="SAPBEXaggItem 29" xfId="3995" xr:uid="{00000000-0005-0000-0000-00006E140000}"/>
    <cellStyle name="SAPBEXaggItem 3" xfId="3996" xr:uid="{00000000-0005-0000-0000-00006F140000}"/>
    <cellStyle name="SAPBEXaggItem 30" xfId="3997" xr:uid="{00000000-0005-0000-0000-000070140000}"/>
    <cellStyle name="SAPBEXaggItem 31" xfId="3998" xr:uid="{00000000-0005-0000-0000-000071140000}"/>
    <cellStyle name="SAPBEXaggItem 32" xfId="3999" xr:uid="{00000000-0005-0000-0000-000072140000}"/>
    <cellStyle name="SAPBEXaggItem 33" xfId="4000" xr:uid="{00000000-0005-0000-0000-000073140000}"/>
    <cellStyle name="SAPBEXaggItem 34" xfId="4001" xr:uid="{00000000-0005-0000-0000-000074140000}"/>
    <cellStyle name="SAPBEXaggItem 35" xfId="4002" xr:uid="{00000000-0005-0000-0000-000075140000}"/>
    <cellStyle name="SAPBEXaggItem 36" xfId="4003" xr:uid="{00000000-0005-0000-0000-000076140000}"/>
    <cellStyle name="SAPBEXaggItem 37" xfId="4004" xr:uid="{00000000-0005-0000-0000-000077140000}"/>
    <cellStyle name="SAPBEXaggItem 38" xfId="4005" xr:uid="{00000000-0005-0000-0000-000078140000}"/>
    <cellStyle name="SAPBEXaggItem 39" xfId="4006" xr:uid="{00000000-0005-0000-0000-000079140000}"/>
    <cellStyle name="SAPBEXaggItem 4" xfId="4007" xr:uid="{00000000-0005-0000-0000-00007A140000}"/>
    <cellStyle name="SAPBEXaggItem 40" xfId="4008" xr:uid="{00000000-0005-0000-0000-00007B140000}"/>
    <cellStyle name="SAPBEXaggItem 41" xfId="4009" xr:uid="{00000000-0005-0000-0000-00007C140000}"/>
    <cellStyle name="SAPBEXaggItem 42" xfId="4010" xr:uid="{00000000-0005-0000-0000-00007D140000}"/>
    <cellStyle name="SAPBEXaggItem 43" xfId="4011" xr:uid="{00000000-0005-0000-0000-00007E140000}"/>
    <cellStyle name="SAPBEXaggItem 44" xfId="4012" xr:uid="{00000000-0005-0000-0000-00007F140000}"/>
    <cellStyle name="SAPBEXaggItem 45" xfId="4013" xr:uid="{00000000-0005-0000-0000-000080140000}"/>
    <cellStyle name="SAPBEXaggItem 46" xfId="4014" xr:uid="{00000000-0005-0000-0000-000081140000}"/>
    <cellStyle name="SAPBEXaggItem 47" xfId="4015" xr:uid="{00000000-0005-0000-0000-000082140000}"/>
    <cellStyle name="SAPBEXaggItem 48" xfId="4016" xr:uid="{00000000-0005-0000-0000-000083140000}"/>
    <cellStyle name="SAPBEXaggItem 49" xfId="4017" xr:uid="{00000000-0005-0000-0000-000084140000}"/>
    <cellStyle name="SAPBEXaggItem 5" xfId="4018" xr:uid="{00000000-0005-0000-0000-000085140000}"/>
    <cellStyle name="SAPBEXaggItem 50" xfId="4019" xr:uid="{00000000-0005-0000-0000-000086140000}"/>
    <cellStyle name="SAPBEXaggItem 51" xfId="4020" xr:uid="{00000000-0005-0000-0000-000087140000}"/>
    <cellStyle name="SAPBEXaggItem 52" xfId="4021" xr:uid="{00000000-0005-0000-0000-000088140000}"/>
    <cellStyle name="SAPBEXaggItem 53" xfId="4022" xr:uid="{00000000-0005-0000-0000-000089140000}"/>
    <cellStyle name="SAPBEXaggItem 54" xfId="4023" xr:uid="{00000000-0005-0000-0000-00008A140000}"/>
    <cellStyle name="SAPBEXaggItem 55" xfId="4024" xr:uid="{00000000-0005-0000-0000-00008B140000}"/>
    <cellStyle name="SAPBEXaggItem 56" xfId="4025" xr:uid="{00000000-0005-0000-0000-00008C140000}"/>
    <cellStyle name="SAPBEXaggItem 57" xfId="4026" xr:uid="{00000000-0005-0000-0000-00008D140000}"/>
    <cellStyle name="SAPBEXaggItem 58" xfId="4027" xr:uid="{00000000-0005-0000-0000-00008E140000}"/>
    <cellStyle name="SAPBEXaggItem 59" xfId="4028" xr:uid="{00000000-0005-0000-0000-00008F140000}"/>
    <cellStyle name="SAPBEXaggItem 6" xfId="4029" xr:uid="{00000000-0005-0000-0000-000090140000}"/>
    <cellStyle name="SAPBEXaggItem 60" xfId="4030" xr:uid="{00000000-0005-0000-0000-000091140000}"/>
    <cellStyle name="SAPBEXaggItem 61" xfId="4031" xr:uid="{00000000-0005-0000-0000-000092140000}"/>
    <cellStyle name="SAPBEXaggItem 62" xfId="4032" xr:uid="{00000000-0005-0000-0000-000093140000}"/>
    <cellStyle name="SAPBEXaggItem 63" xfId="4033" xr:uid="{00000000-0005-0000-0000-000094140000}"/>
    <cellStyle name="SAPBEXaggItem 64" xfId="4034" xr:uid="{00000000-0005-0000-0000-000095140000}"/>
    <cellStyle name="SAPBEXaggItem 65" xfId="4035" xr:uid="{00000000-0005-0000-0000-000096140000}"/>
    <cellStyle name="SAPBEXaggItem 66" xfId="4036" xr:uid="{00000000-0005-0000-0000-000097140000}"/>
    <cellStyle name="SAPBEXaggItem 67" xfId="4037" xr:uid="{00000000-0005-0000-0000-000098140000}"/>
    <cellStyle name="SAPBEXaggItem 68" xfId="4038" xr:uid="{00000000-0005-0000-0000-000099140000}"/>
    <cellStyle name="SAPBEXaggItem 69" xfId="4039" xr:uid="{00000000-0005-0000-0000-00009A140000}"/>
    <cellStyle name="SAPBEXaggItem 7" xfId="4040" xr:uid="{00000000-0005-0000-0000-00009B140000}"/>
    <cellStyle name="SAPBEXaggItem 70" xfId="4041" xr:uid="{00000000-0005-0000-0000-00009C140000}"/>
    <cellStyle name="SAPBEXaggItem 71" xfId="4042" xr:uid="{00000000-0005-0000-0000-00009D140000}"/>
    <cellStyle name="SAPBEXaggItem 72" xfId="4043" xr:uid="{00000000-0005-0000-0000-00009E140000}"/>
    <cellStyle name="SAPBEXaggItem 73" xfId="4044" xr:uid="{00000000-0005-0000-0000-00009F140000}"/>
    <cellStyle name="SAPBEXaggItem 74" xfId="4045" xr:uid="{00000000-0005-0000-0000-0000A0140000}"/>
    <cellStyle name="SAPBEXaggItem 75" xfId="4046" xr:uid="{00000000-0005-0000-0000-0000A1140000}"/>
    <cellStyle name="SAPBEXaggItem 76" xfId="4047" xr:uid="{00000000-0005-0000-0000-0000A2140000}"/>
    <cellStyle name="SAPBEXaggItem 77" xfId="4048" xr:uid="{00000000-0005-0000-0000-0000A3140000}"/>
    <cellStyle name="SAPBEXaggItem 78" xfId="4049" xr:uid="{00000000-0005-0000-0000-0000A4140000}"/>
    <cellStyle name="SAPBEXaggItem 79" xfId="4050" xr:uid="{00000000-0005-0000-0000-0000A5140000}"/>
    <cellStyle name="SAPBEXaggItem 8" xfId="4051" xr:uid="{00000000-0005-0000-0000-0000A6140000}"/>
    <cellStyle name="SAPBEXaggItem 80" xfId="4052" xr:uid="{00000000-0005-0000-0000-0000A7140000}"/>
    <cellStyle name="SAPBEXaggItem 81" xfId="4053" xr:uid="{00000000-0005-0000-0000-0000A8140000}"/>
    <cellStyle name="SAPBEXaggItem 82" xfId="4054" xr:uid="{00000000-0005-0000-0000-0000A9140000}"/>
    <cellStyle name="SAPBEXaggItem 83" xfId="4055" xr:uid="{00000000-0005-0000-0000-0000AA140000}"/>
    <cellStyle name="SAPBEXaggItem 84" xfId="4056" xr:uid="{00000000-0005-0000-0000-0000AB140000}"/>
    <cellStyle name="SAPBEXaggItem 85" xfId="4057" xr:uid="{00000000-0005-0000-0000-0000AC140000}"/>
    <cellStyle name="SAPBEXaggItem 86" xfId="4058" xr:uid="{00000000-0005-0000-0000-0000AD140000}"/>
    <cellStyle name="SAPBEXaggItem 87" xfId="4059" xr:uid="{00000000-0005-0000-0000-0000AE140000}"/>
    <cellStyle name="SAPBEXaggItem 88" xfId="4060" xr:uid="{00000000-0005-0000-0000-0000AF140000}"/>
    <cellStyle name="SAPBEXaggItem 89" xfId="4061" xr:uid="{00000000-0005-0000-0000-0000B0140000}"/>
    <cellStyle name="SAPBEXaggItem 9" xfId="4062" xr:uid="{00000000-0005-0000-0000-0000B1140000}"/>
    <cellStyle name="SAPBEXaggItem 90" xfId="4063" xr:uid="{00000000-0005-0000-0000-0000B2140000}"/>
    <cellStyle name="SAPBEXaggItem 91" xfId="4064" xr:uid="{00000000-0005-0000-0000-0000B3140000}"/>
    <cellStyle name="SAPBEXaggItem 92" xfId="4065" xr:uid="{00000000-0005-0000-0000-0000B4140000}"/>
    <cellStyle name="SAPBEXaggItem 93" xfId="4066" xr:uid="{00000000-0005-0000-0000-0000B5140000}"/>
    <cellStyle name="SAPBEXaggItem 94" xfId="4067" xr:uid="{00000000-0005-0000-0000-0000B6140000}"/>
    <cellStyle name="SAPBEXaggItem 95" xfId="4068" xr:uid="{00000000-0005-0000-0000-0000B7140000}"/>
    <cellStyle name="SAPBEXaggItem 96" xfId="4069" xr:uid="{00000000-0005-0000-0000-0000B8140000}"/>
    <cellStyle name="SAPBEXaggItem 97" xfId="4070" xr:uid="{00000000-0005-0000-0000-0000B9140000}"/>
    <cellStyle name="SAPBEXaggItem 98" xfId="4071" xr:uid="{00000000-0005-0000-0000-0000BA140000}"/>
    <cellStyle name="SAPBEXaggItem 99" xfId="4072" xr:uid="{00000000-0005-0000-0000-0000BB140000}"/>
    <cellStyle name="SAPBEXaggItem_(A-7) IS-Inputs" xfId="4073" xr:uid="{00000000-0005-0000-0000-0000BC140000}"/>
    <cellStyle name="SAPBEXaggItemX" xfId="4074" xr:uid="{00000000-0005-0000-0000-0000BD140000}"/>
    <cellStyle name="SAPBEXaggItemX 10" xfId="4075" xr:uid="{00000000-0005-0000-0000-0000BE140000}"/>
    <cellStyle name="SAPBEXaggItemX 11" xfId="4076" xr:uid="{00000000-0005-0000-0000-0000BF140000}"/>
    <cellStyle name="SAPBEXaggItemX 12" xfId="4077" xr:uid="{00000000-0005-0000-0000-0000C0140000}"/>
    <cellStyle name="SAPBEXaggItemX 13" xfId="4078" xr:uid="{00000000-0005-0000-0000-0000C1140000}"/>
    <cellStyle name="SAPBEXaggItemX 14" xfId="4079" xr:uid="{00000000-0005-0000-0000-0000C2140000}"/>
    <cellStyle name="SAPBEXaggItemX 15" xfId="4080" xr:uid="{00000000-0005-0000-0000-0000C3140000}"/>
    <cellStyle name="SAPBEXaggItemX 16" xfId="4081" xr:uid="{00000000-0005-0000-0000-0000C4140000}"/>
    <cellStyle name="SAPBEXaggItemX 17" xfId="4082" xr:uid="{00000000-0005-0000-0000-0000C5140000}"/>
    <cellStyle name="SAPBEXaggItemX 18" xfId="4083" xr:uid="{00000000-0005-0000-0000-0000C6140000}"/>
    <cellStyle name="SAPBEXaggItemX 19" xfId="4084" xr:uid="{00000000-0005-0000-0000-0000C7140000}"/>
    <cellStyle name="SAPBEXaggItemX 2" xfId="4085" xr:uid="{00000000-0005-0000-0000-0000C8140000}"/>
    <cellStyle name="SAPBEXaggItemX 2 2" xfId="4086" xr:uid="{00000000-0005-0000-0000-0000C9140000}"/>
    <cellStyle name="SAPBEXaggItemX 20" xfId="4087" xr:uid="{00000000-0005-0000-0000-0000CA140000}"/>
    <cellStyle name="SAPBEXaggItemX 21" xfId="4088" xr:uid="{00000000-0005-0000-0000-0000CB140000}"/>
    <cellStyle name="SAPBEXaggItemX 22" xfId="4089" xr:uid="{00000000-0005-0000-0000-0000CC140000}"/>
    <cellStyle name="SAPBEXaggItemX 23" xfId="4090" xr:uid="{00000000-0005-0000-0000-0000CD140000}"/>
    <cellStyle name="SAPBEXaggItemX 24" xfId="4091" xr:uid="{00000000-0005-0000-0000-0000CE140000}"/>
    <cellStyle name="SAPBEXaggItemX 25" xfId="4092" xr:uid="{00000000-0005-0000-0000-0000CF140000}"/>
    <cellStyle name="SAPBEXaggItemX 26" xfId="4093" xr:uid="{00000000-0005-0000-0000-0000D0140000}"/>
    <cellStyle name="SAPBEXaggItemX 27" xfId="4094" xr:uid="{00000000-0005-0000-0000-0000D1140000}"/>
    <cellStyle name="SAPBEXaggItemX 28" xfId="4095" xr:uid="{00000000-0005-0000-0000-0000D2140000}"/>
    <cellStyle name="SAPBEXaggItemX 29" xfId="4096" xr:uid="{00000000-0005-0000-0000-0000D3140000}"/>
    <cellStyle name="SAPBEXaggItemX 3" xfId="4097" xr:uid="{00000000-0005-0000-0000-0000D4140000}"/>
    <cellStyle name="SAPBEXaggItemX 30" xfId="4098" xr:uid="{00000000-0005-0000-0000-0000D5140000}"/>
    <cellStyle name="SAPBEXaggItemX 31" xfId="4099" xr:uid="{00000000-0005-0000-0000-0000D6140000}"/>
    <cellStyle name="SAPBEXaggItemX 32" xfId="4100" xr:uid="{00000000-0005-0000-0000-0000D7140000}"/>
    <cellStyle name="SAPBEXaggItemX 33" xfId="4101" xr:uid="{00000000-0005-0000-0000-0000D8140000}"/>
    <cellStyle name="SAPBEXaggItemX 34" xfId="4102" xr:uid="{00000000-0005-0000-0000-0000D9140000}"/>
    <cellStyle name="SAPBEXaggItemX 35" xfId="4103" xr:uid="{00000000-0005-0000-0000-0000DA140000}"/>
    <cellStyle name="SAPBEXaggItemX 36" xfId="4104" xr:uid="{00000000-0005-0000-0000-0000DB140000}"/>
    <cellStyle name="SAPBEXaggItemX 37" xfId="4105" xr:uid="{00000000-0005-0000-0000-0000DC140000}"/>
    <cellStyle name="SAPBEXaggItemX 38" xfId="4106" xr:uid="{00000000-0005-0000-0000-0000DD140000}"/>
    <cellStyle name="SAPBEXaggItemX 39" xfId="4107" xr:uid="{00000000-0005-0000-0000-0000DE140000}"/>
    <cellStyle name="SAPBEXaggItemX 4" xfId="4108" xr:uid="{00000000-0005-0000-0000-0000DF140000}"/>
    <cellStyle name="SAPBEXaggItemX 40" xfId="4109" xr:uid="{00000000-0005-0000-0000-0000E0140000}"/>
    <cellStyle name="SAPBEXaggItemX 41" xfId="4110" xr:uid="{00000000-0005-0000-0000-0000E1140000}"/>
    <cellStyle name="SAPBEXaggItemX 42" xfId="4111" xr:uid="{00000000-0005-0000-0000-0000E2140000}"/>
    <cellStyle name="SAPBEXaggItemX 43" xfId="4112" xr:uid="{00000000-0005-0000-0000-0000E3140000}"/>
    <cellStyle name="SAPBEXaggItemX 44" xfId="4113" xr:uid="{00000000-0005-0000-0000-0000E4140000}"/>
    <cellStyle name="SAPBEXaggItemX 45" xfId="4114" xr:uid="{00000000-0005-0000-0000-0000E5140000}"/>
    <cellStyle name="SAPBEXaggItemX 46" xfId="4115" xr:uid="{00000000-0005-0000-0000-0000E6140000}"/>
    <cellStyle name="SAPBEXaggItemX 5" xfId="4116" xr:uid="{00000000-0005-0000-0000-0000E7140000}"/>
    <cellStyle name="SAPBEXaggItemX 6" xfId="4117" xr:uid="{00000000-0005-0000-0000-0000E8140000}"/>
    <cellStyle name="SAPBEXaggItemX 7" xfId="4118" xr:uid="{00000000-0005-0000-0000-0000E9140000}"/>
    <cellStyle name="SAPBEXaggItemX 8" xfId="4119" xr:uid="{00000000-0005-0000-0000-0000EA140000}"/>
    <cellStyle name="SAPBEXaggItemX 9" xfId="4120" xr:uid="{00000000-0005-0000-0000-0000EB140000}"/>
    <cellStyle name="SAPBEXchaText" xfId="4121" xr:uid="{00000000-0005-0000-0000-0000EC140000}"/>
    <cellStyle name="SAPBEXchaText 10" xfId="4122" xr:uid="{00000000-0005-0000-0000-0000ED140000}"/>
    <cellStyle name="SAPBEXchaText 100" xfId="4123" xr:uid="{00000000-0005-0000-0000-0000EE140000}"/>
    <cellStyle name="SAPBEXchaText 101" xfId="4124" xr:uid="{00000000-0005-0000-0000-0000EF140000}"/>
    <cellStyle name="SAPBEXchaText 102" xfId="4125" xr:uid="{00000000-0005-0000-0000-0000F0140000}"/>
    <cellStyle name="SAPBEXchaText 103" xfId="4126" xr:uid="{00000000-0005-0000-0000-0000F1140000}"/>
    <cellStyle name="SAPBEXchaText 104" xfId="4127" xr:uid="{00000000-0005-0000-0000-0000F2140000}"/>
    <cellStyle name="SAPBEXchaText 105" xfId="4128" xr:uid="{00000000-0005-0000-0000-0000F3140000}"/>
    <cellStyle name="SAPBEXchaText 106" xfId="4129" xr:uid="{00000000-0005-0000-0000-0000F4140000}"/>
    <cellStyle name="SAPBEXchaText 107" xfId="4130" xr:uid="{00000000-0005-0000-0000-0000F5140000}"/>
    <cellStyle name="SAPBEXchaText 108" xfId="4131" xr:uid="{00000000-0005-0000-0000-0000F6140000}"/>
    <cellStyle name="SAPBEXchaText 109" xfId="4132" xr:uid="{00000000-0005-0000-0000-0000F7140000}"/>
    <cellStyle name="SAPBEXchaText 11" xfId="4133" xr:uid="{00000000-0005-0000-0000-0000F8140000}"/>
    <cellStyle name="SAPBEXchaText 110" xfId="4134" xr:uid="{00000000-0005-0000-0000-0000F9140000}"/>
    <cellStyle name="SAPBEXchaText 12" xfId="4135" xr:uid="{00000000-0005-0000-0000-0000FA140000}"/>
    <cellStyle name="SAPBEXchaText 13" xfId="4136" xr:uid="{00000000-0005-0000-0000-0000FB140000}"/>
    <cellStyle name="SAPBEXchaText 14" xfId="4137" xr:uid="{00000000-0005-0000-0000-0000FC140000}"/>
    <cellStyle name="SAPBEXchaText 15" xfId="4138" xr:uid="{00000000-0005-0000-0000-0000FD140000}"/>
    <cellStyle name="SAPBEXchaText 16" xfId="4139" xr:uid="{00000000-0005-0000-0000-0000FE140000}"/>
    <cellStyle name="SAPBEXchaText 17" xfId="4140" xr:uid="{00000000-0005-0000-0000-0000FF140000}"/>
    <cellStyle name="SAPBEXchaText 18" xfId="4141" xr:uid="{00000000-0005-0000-0000-000000150000}"/>
    <cellStyle name="SAPBEXchaText 19" xfId="4142" xr:uid="{00000000-0005-0000-0000-000001150000}"/>
    <cellStyle name="SAPBEXchaText 2" xfId="4143" xr:uid="{00000000-0005-0000-0000-000002150000}"/>
    <cellStyle name="SAPBEXchaText 20" xfId="4144" xr:uid="{00000000-0005-0000-0000-000003150000}"/>
    <cellStyle name="SAPBEXchaText 21" xfId="4145" xr:uid="{00000000-0005-0000-0000-000004150000}"/>
    <cellStyle name="SAPBEXchaText 22" xfId="4146" xr:uid="{00000000-0005-0000-0000-000005150000}"/>
    <cellStyle name="SAPBEXchaText 23" xfId="4147" xr:uid="{00000000-0005-0000-0000-000006150000}"/>
    <cellStyle name="SAPBEXchaText 24" xfId="4148" xr:uid="{00000000-0005-0000-0000-000007150000}"/>
    <cellStyle name="SAPBEXchaText 25" xfId="4149" xr:uid="{00000000-0005-0000-0000-000008150000}"/>
    <cellStyle name="SAPBEXchaText 26" xfId="4150" xr:uid="{00000000-0005-0000-0000-000009150000}"/>
    <cellStyle name="SAPBEXchaText 27" xfId="4151" xr:uid="{00000000-0005-0000-0000-00000A150000}"/>
    <cellStyle name="SAPBEXchaText 28" xfId="4152" xr:uid="{00000000-0005-0000-0000-00000B150000}"/>
    <cellStyle name="SAPBEXchaText 29" xfId="4153" xr:uid="{00000000-0005-0000-0000-00000C150000}"/>
    <cellStyle name="SAPBEXchaText 3" xfId="4154" xr:uid="{00000000-0005-0000-0000-00000D150000}"/>
    <cellStyle name="SAPBEXchaText 30" xfId="4155" xr:uid="{00000000-0005-0000-0000-00000E150000}"/>
    <cellStyle name="SAPBEXchaText 31" xfId="4156" xr:uid="{00000000-0005-0000-0000-00000F150000}"/>
    <cellStyle name="SAPBEXchaText 32" xfId="4157" xr:uid="{00000000-0005-0000-0000-000010150000}"/>
    <cellStyle name="SAPBEXchaText 33" xfId="4158" xr:uid="{00000000-0005-0000-0000-000011150000}"/>
    <cellStyle name="SAPBEXchaText 34" xfId="4159" xr:uid="{00000000-0005-0000-0000-000012150000}"/>
    <cellStyle name="SAPBEXchaText 35" xfId="4160" xr:uid="{00000000-0005-0000-0000-000013150000}"/>
    <cellStyle name="SAPBEXchaText 36" xfId="4161" xr:uid="{00000000-0005-0000-0000-000014150000}"/>
    <cellStyle name="SAPBEXchaText 37" xfId="4162" xr:uid="{00000000-0005-0000-0000-000015150000}"/>
    <cellStyle name="SAPBEXchaText 38" xfId="4163" xr:uid="{00000000-0005-0000-0000-000016150000}"/>
    <cellStyle name="SAPBEXchaText 39" xfId="4164" xr:uid="{00000000-0005-0000-0000-000017150000}"/>
    <cellStyle name="SAPBEXchaText 4" xfId="4165" xr:uid="{00000000-0005-0000-0000-000018150000}"/>
    <cellStyle name="SAPBEXchaText 40" xfId="4166" xr:uid="{00000000-0005-0000-0000-000019150000}"/>
    <cellStyle name="SAPBEXchaText 41" xfId="4167" xr:uid="{00000000-0005-0000-0000-00001A150000}"/>
    <cellStyle name="SAPBEXchaText 42" xfId="4168" xr:uid="{00000000-0005-0000-0000-00001B150000}"/>
    <cellStyle name="SAPBEXchaText 43" xfId="4169" xr:uid="{00000000-0005-0000-0000-00001C150000}"/>
    <cellStyle name="SAPBEXchaText 44" xfId="4170" xr:uid="{00000000-0005-0000-0000-00001D150000}"/>
    <cellStyle name="SAPBEXchaText 45" xfId="4171" xr:uid="{00000000-0005-0000-0000-00001E150000}"/>
    <cellStyle name="SAPBEXchaText 46" xfId="4172" xr:uid="{00000000-0005-0000-0000-00001F150000}"/>
    <cellStyle name="SAPBEXchaText 47" xfId="4173" xr:uid="{00000000-0005-0000-0000-000020150000}"/>
    <cellStyle name="SAPBEXchaText 48" xfId="4174" xr:uid="{00000000-0005-0000-0000-000021150000}"/>
    <cellStyle name="SAPBEXchaText 49" xfId="4175" xr:uid="{00000000-0005-0000-0000-000022150000}"/>
    <cellStyle name="SAPBEXchaText 5" xfId="4176" xr:uid="{00000000-0005-0000-0000-000023150000}"/>
    <cellStyle name="SAPBEXchaText 50" xfId="4177" xr:uid="{00000000-0005-0000-0000-000024150000}"/>
    <cellStyle name="SAPBEXchaText 51" xfId="4178" xr:uid="{00000000-0005-0000-0000-000025150000}"/>
    <cellStyle name="SAPBEXchaText 52" xfId="4179" xr:uid="{00000000-0005-0000-0000-000026150000}"/>
    <cellStyle name="SAPBEXchaText 53" xfId="4180" xr:uid="{00000000-0005-0000-0000-000027150000}"/>
    <cellStyle name="SAPBEXchaText 54" xfId="4181" xr:uid="{00000000-0005-0000-0000-000028150000}"/>
    <cellStyle name="SAPBEXchaText 55" xfId="4182" xr:uid="{00000000-0005-0000-0000-000029150000}"/>
    <cellStyle name="SAPBEXchaText 56" xfId="4183" xr:uid="{00000000-0005-0000-0000-00002A150000}"/>
    <cellStyle name="SAPBEXchaText 57" xfId="4184" xr:uid="{00000000-0005-0000-0000-00002B150000}"/>
    <cellStyle name="SAPBEXchaText 58" xfId="4185" xr:uid="{00000000-0005-0000-0000-00002C150000}"/>
    <cellStyle name="SAPBEXchaText 59" xfId="4186" xr:uid="{00000000-0005-0000-0000-00002D150000}"/>
    <cellStyle name="SAPBEXchaText 6" xfId="4187" xr:uid="{00000000-0005-0000-0000-00002E150000}"/>
    <cellStyle name="SAPBEXchaText 60" xfId="4188" xr:uid="{00000000-0005-0000-0000-00002F150000}"/>
    <cellStyle name="SAPBEXchaText 61" xfId="4189" xr:uid="{00000000-0005-0000-0000-000030150000}"/>
    <cellStyle name="SAPBEXchaText 62" xfId="4190" xr:uid="{00000000-0005-0000-0000-000031150000}"/>
    <cellStyle name="SAPBEXchaText 63" xfId="4191" xr:uid="{00000000-0005-0000-0000-000032150000}"/>
    <cellStyle name="SAPBEXchaText 64" xfId="4192" xr:uid="{00000000-0005-0000-0000-000033150000}"/>
    <cellStyle name="SAPBEXchaText 65" xfId="4193" xr:uid="{00000000-0005-0000-0000-000034150000}"/>
    <cellStyle name="SAPBEXchaText 66" xfId="4194" xr:uid="{00000000-0005-0000-0000-000035150000}"/>
    <cellStyle name="SAPBEXchaText 67" xfId="4195" xr:uid="{00000000-0005-0000-0000-000036150000}"/>
    <cellStyle name="SAPBEXchaText 68" xfId="4196" xr:uid="{00000000-0005-0000-0000-000037150000}"/>
    <cellStyle name="SAPBEXchaText 69" xfId="4197" xr:uid="{00000000-0005-0000-0000-000038150000}"/>
    <cellStyle name="SAPBEXchaText 7" xfId="4198" xr:uid="{00000000-0005-0000-0000-000039150000}"/>
    <cellStyle name="SAPBEXchaText 70" xfId="4199" xr:uid="{00000000-0005-0000-0000-00003A150000}"/>
    <cellStyle name="SAPBEXchaText 71" xfId="4200" xr:uid="{00000000-0005-0000-0000-00003B150000}"/>
    <cellStyle name="SAPBEXchaText 72" xfId="4201" xr:uid="{00000000-0005-0000-0000-00003C150000}"/>
    <cellStyle name="SAPBEXchaText 73" xfId="4202" xr:uid="{00000000-0005-0000-0000-00003D150000}"/>
    <cellStyle name="SAPBEXchaText 74" xfId="4203" xr:uid="{00000000-0005-0000-0000-00003E150000}"/>
    <cellStyle name="SAPBEXchaText 75" xfId="4204" xr:uid="{00000000-0005-0000-0000-00003F150000}"/>
    <cellStyle name="SAPBEXchaText 76" xfId="4205" xr:uid="{00000000-0005-0000-0000-000040150000}"/>
    <cellStyle name="SAPBEXchaText 77" xfId="4206" xr:uid="{00000000-0005-0000-0000-000041150000}"/>
    <cellStyle name="SAPBEXchaText 78" xfId="4207" xr:uid="{00000000-0005-0000-0000-000042150000}"/>
    <cellStyle name="SAPBEXchaText 79" xfId="4208" xr:uid="{00000000-0005-0000-0000-000043150000}"/>
    <cellStyle name="SAPBEXchaText 8" xfId="4209" xr:uid="{00000000-0005-0000-0000-000044150000}"/>
    <cellStyle name="SAPBEXchaText 80" xfId="4210" xr:uid="{00000000-0005-0000-0000-000045150000}"/>
    <cellStyle name="SAPBEXchaText 81" xfId="4211" xr:uid="{00000000-0005-0000-0000-000046150000}"/>
    <cellStyle name="SAPBEXchaText 82" xfId="4212" xr:uid="{00000000-0005-0000-0000-000047150000}"/>
    <cellStyle name="SAPBEXchaText 83" xfId="4213" xr:uid="{00000000-0005-0000-0000-000048150000}"/>
    <cellStyle name="SAPBEXchaText 84" xfId="4214" xr:uid="{00000000-0005-0000-0000-000049150000}"/>
    <cellStyle name="SAPBEXchaText 85" xfId="4215" xr:uid="{00000000-0005-0000-0000-00004A150000}"/>
    <cellStyle name="SAPBEXchaText 86" xfId="4216" xr:uid="{00000000-0005-0000-0000-00004B150000}"/>
    <cellStyle name="SAPBEXchaText 87" xfId="4217" xr:uid="{00000000-0005-0000-0000-00004C150000}"/>
    <cellStyle name="SAPBEXchaText 88" xfId="4218" xr:uid="{00000000-0005-0000-0000-00004D150000}"/>
    <cellStyle name="SAPBEXchaText 89" xfId="4219" xr:uid="{00000000-0005-0000-0000-00004E150000}"/>
    <cellStyle name="SAPBEXchaText 9" xfId="4220" xr:uid="{00000000-0005-0000-0000-00004F150000}"/>
    <cellStyle name="SAPBEXchaText 90" xfId="4221" xr:uid="{00000000-0005-0000-0000-000050150000}"/>
    <cellStyle name="SAPBEXchaText 91" xfId="4222" xr:uid="{00000000-0005-0000-0000-000051150000}"/>
    <cellStyle name="SAPBEXchaText 92" xfId="4223" xr:uid="{00000000-0005-0000-0000-000052150000}"/>
    <cellStyle name="SAPBEXchaText 93" xfId="4224" xr:uid="{00000000-0005-0000-0000-000053150000}"/>
    <cellStyle name="SAPBEXchaText 94" xfId="4225" xr:uid="{00000000-0005-0000-0000-000054150000}"/>
    <cellStyle name="SAPBEXchaText 95" xfId="4226" xr:uid="{00000000-0005-0000-0000-000055150000}"/>
    <cellStyle name="SAPBEXchaText 96" xfId="4227" xr:uid="{00000000-0005-0000-0000-000056150000}"/>
    <cellStyle name="SAPBEXchaText 97" xfId="4228" xr:uid="{00000000-0005-0000-0000-000057150000}"/>
    <cellStyle name="SAPBEXchaText 98" xfId="4229" xr:uid="{00000000-0005-0000-0000-000058150000}"/>
    <cellStyle name="SAPBEXchaText 99" xfId="4230" xr:uid="{00000000-0005-0000-0000-000059150000}"/>
    <cellStyle name="SAPBEXchaText_(A-7) IS-Inputs" xfId="4231" xr:uid="{00000000-0005-0000-0000-00005A150000}"/>
    <cellStyle name="SAPBEXexcBad7" xfId="4232" xr:uid="{00000000-0005-0000-0000-00005B150000}"/>
    <cellStyle name="SAPBEXexcBad7 10" xfId="4233" xr:uid="{00000000-0005-0000-0000-00005C150000}"/>
    <cellStyle name="SAPBEXexcBad7 100" xfId="4234" xr:uid="{00000000-0005-0000-0000-00005D150000}"/>
    <cellStyle name="SAPBEXexcBad7 101" xfId="4235" xr:uid="{00000000-0005-0000-0000-00005E150000}"/>
    <cellStyle name="SAPBEXexcBad7 102" xfId="4236" xr:uid="{00000000-0005-0000-0000-00005F150000}"/>
    <cellStyle name="SAPBEXexcBad7 103" xfId="4237" xr:uid="{00000000-0005-0000-0000-000060150000}"/>
    <cellStyle name="SAPBEXexcBad7 104" xfId="4238" xr:uid="{00000000-0005-0000-0000-000061150000}"/>
    <cellStyle name="SAPBEXexcBad7 105" xfId="4239" xr:uid="{00000000-0005-0000-0000-000062150000}"/>
    <cellStyle name="SAPBEXexcBad7 106" xfId="4240" xr:uid="{00000000-0005-0000-0000-000063150000}"/>
    <cellStyle name="SAPBEXexcBad7 107" xfId="4241" xr:uid="{00000000-0005-0000-0000-000064150000}"/>
    <cellStyle name="SAPBEXexcBad7 108" xfId="4242" xr:uid="{00000000-0005-0000-0000-000065150000}"/>
    <cellStyle name="SAPBEXexcBad7 109" xfId="4243" xr:uid="{00000000-0005-0000-0000-000066150000}"/>
    <cellStyle name="SAPBEXexcBad7 11" xfId="4244" xr:uid="{00000000-0005-0000-0000-000067150000}"/>
    <cellStyle name="SAPBEXexcBad7 110" xfId="4245" xr:uid="{00000000-0005-0000-0000-000068150000}"/>
    <cellStyle name="SAPBEXexcBad7 12" xfId="4246" xr:uid="{00000000-0005-0000-0000-000069150000}"/>
    <cellStyle name="SAPBEXexcBad7 13" xfId="4247" xr:uid="{00000000-0005-0000-0000-00006A150000}"/>
    <cellStyle name="SAPBEXexcBad7 14" xfId="4248" xr:uid="{00000000-0005-0000-0000-00006B150000}"/>
    <cellStyle name="SAPBEXexcBad7 15" xfId="4249" xr:uid="{00000000-0005-0000-0000-00006C150000}"/>
    <cellStyle name="SAPBEXexcBad7 16" xfId="4250" xr:uid="{00000000-0005-0000-0000-00006D150000}"/>
    <cellStyle name="SAPBEXexcBad7 17" xfId="4251" xr:uid="{00000000-0005-0000-0000-00006E150000}"/>
    <cellStyle name="SAPBEXexcBad7 18" xfId="4252" xr:uid="{00000000-0005-0000-0000-00006F150000}"/>
    <cellStyle name="SAPBEXexcBad7 19" xfId="4253" xr:uid="{00000000-0005-0000-0000-000070150000}"/>
    <cellStyle name="SAPBEXexcBad7 2" xfId="4254" xr:uid="{00000000-0005-0000-0000-000071150000}"/>
    <cellStyle name="SAPBEXexcBad7 20" xfId="4255" xr:uid="{00000000-0005-0000-0000-000072150000}"/>
    <cellStyle name="SAPBEXexcBad7 21" xfId="4256" xr:uid="{00000000-0005-0000-0000-000073150000}"/>
    <cellStyle name="SAPBEXexcBad7 22" xfId="4257" xr:uid="{00000000-0005-0000-0000-000074150000}"/>
    <cellStyle name="SAPBEXexcBad7 23" xfId="4258" xr:uid="{00000000-0005-0000-0000-000075150000}"/>
    <cellStyle name="SAPBEXexcBad7 24" xfId="4259" xr:uid="{00000000-0005-0000-0000-000076150000}"/>
    <cellStyle name="SAPBEXexcBad7 25" xfId="4260" xr:uid="{00000000-0005-0000-0000-000077150000}"/>
    <cellStyle name="SAPBEXexcBad7 26" xfId="4261" xr:uid="{00000000-0005-0000-0000-000078150000}"/>
    <cellStyle name="SAPBEXexcBad7 27" xfId="4262" xr:uid="{00000000-0005-0000-0000-000079150000}"/>
    <cellStyle name="SAPBEXexcBad7 28" xfId="4263" xr:uid="{00000000-0005-0000-0000-00007A150000}"/>
    <cellStyle name="SAPBEXexcBad7 29" xfId="4264" xr:uid="{00000000-0005-0000-0000-00007B150000}"/>
    <cellStyle name="SAPBEXexcBad7 3" xfId="4265" xr:uid="{00000000-0005-0000-0000-00007C150000}"/>
    <cellStyle name="SAPBEXexcBad7 30" xfId="4266" xr:uid="{00000000-0005-0000-0000-00007D150000}"/>
    <cellStyle name="SAPBEXexcBad7 31" xfId="4267" xr:uid="{00000000-0005-0000-0000-00007E150000}"/>
    <cellStyle name="SAPBEXexcBad7 32" xfId="4268" xr:uid="{00000000-0005-0000-0000-00007F150000}"/>
    <cellStyle name="SAPBEXexcBad7 33" xfId="4269" xr:uid="{00000000-0005-0000-0000-000080150000}"/>
    <cellStyle name="SAPBEXexcBad7 34" xfId="4270" xr:uid="{00000000-0005-0000-0000-000081150000}"/>
    <cellStyle name="SAPBEXexcBad7 35" xfId="4271" xr:uid="{00000000-0005-0000-0000-000082150000}"/>
    <cellStyle name="SAPBEXexcBad7 36" xfId="4272" xr:uid="{00000000-0005-0000-0000-000083150000}"/>
    <cellStyle name="SAPBEXexcBad7 37" xfId="4273" xr:uid="{00000000-0005-0000-0000-000084150000}"/>
    <cellStyle name="SAPBEXexcBad7 38" xfId="4274" xr:uid="{00000000-0005-0000-0000-000085150000}"/>
    <cellStyle name="SAPBEXexcBad7 39" xfId="4275" xr:uid="{00000000-0005-0000-0000-000086150000}"/>
    <cellStyle name="SAPBEXexcBad7 4" xfId="4276" xr:uid="{00000000-0005-0000-0000-000087150000}"/>
    <cellStyle name="SAPBEXexcBad7 40" xfId="4277" xr:uid="{00000000-0005-0000-0000-000088150000}"/>
    <cellStyle name="SAPBEXexcBad7 41" xfId="4278" xr:uid="{00000000-0005-0000-0000-000089150000}"/>
    <cellStyle name="SAPBEXexcBad7 42" xfId="4279" xr:uid="{00000000-0005-0000-0000-00008A150000}"/>
    <cellStyle name="SAPBEXexcBad7 43" xfId="4280" xr:uid="{00000000-0005-0000-0000-00008B150000}"/>
    <cellStyle name="SAPBEXexcBad7 44" xfId="4281" xr:uid="{00000000-0005-0000-0000-00008C150000}"/>
    <cellStyle name="SAPBEXexcBad7 45" xfId="4282" xr:uid="{00000000-0005-0000-0000-00008D150000}"/>
    <cellStyle name="SAPBEXexcBad7 46" xfId="4283" xr:uid="{00000000-0005-0000-0000-00008E150000}"/>
    <cellStyle name="SAPBEXexcBad7 47" xfId="4284" xr:uid="{00000000-0005-0000-0000-00008F150000}"/>
    <cellStyle name="SAPBEXexcBad7 48" xfId="4285" xr:uid="{00000000-0005-0000-0000-000090150000}"/>
    <cellStyle name="SAPBEXexcBad7 49" xfId="4286" xr:uid="{00000000-0005-0000-0000-000091150000}"/>
    <cellStyle name="SAPBEXexcBad7 5" xfId="4287" xr:uid="{00000000-0005-0000-0000-000092150000}"/>
    <cellStyle name="SAPBEXexcBad7 50" xfId="4288" xr:uid="{00000000-0005-0000-0000-000093150000}"/>
    <cellStyle name="SAPBEXexcBad7 51" xfId="4289" xr:uid="{00000000-0005-0000-0000-000094150000}"/>
    <cellStyle name="SAPBEXexcBad7 52" xfId="4290" xr:uid="{00000000-0005-0000-0000-000095150000}"/>
    <cellStyle name="SAPBEXexcBad7 53" xfId="4291" xr:uid="{00000000-0005-0000-0000-000096150000}"/>
    <cellStyle name="SAPBEXexcBad7 54" xfId="4292" xr:uid="{00000000-0005-0000-0000-000097150000}"/>
    <cellStyle name="SAPBEXexcBad7 55" xfId="4293" xr:uid="{00000000-0005-0000-0000-000098150000}"/>
    <cellStyle name="SAPBEXexcBad7 56" xfId="4294" xr:uid="{00000000-0005-0000-0000-000099150000}"/>
    <cellStyle name="SAPBEXexcBad7 57" xfId="4295" xr:uid="{00000000-0005-0000-0000-00009A150000}"/>
    <cellStyle name="SAPBEXexcBad7 58" xfId="4296" xr:uid="{00000000-0005-0000-0000-00009B150000}"/>
    <cellStyle name="SAPBEXexcBad7 59" xfId="4297" xr:uid="{00000000-0005-0000-0000-00009C150000}"/>
    <cellStyle name="SAPBEXexcBad7 6" xfId="4298" xr:uid="{00000000-0005-0000-0000-00009D150000}"/>
    <cellStyle name="SAPBEXexcBad7 60" xfId="4299" xr:uid="{00000000-0005-0000-0000-00009E150000}"/>
    <cellStyle name="SAPBEXexcBad7 61" xfId="4300" xr:uid="{00000000-0005-0000-0000-00009F150000}"/>
    <cellStyle name="SAPBEXexcBad7 62" xfId="4301" xr:uid="{00000000-0005-0000-0000-0000A0150000}"/>
    <cellStyle name="SAPBEXexcBad7 63" xfId="4302" xr:uid="{00000000-0005-0000-0000-0000A1150000}"/>
    <cellStyle name="SAPBEXexcBad7 64" xfId="4303" xr:uid="{00000000-0005-0000-0000-0000A2150000}"/>
    <cellStyle name="SAPBEXexcBad7 65" xfId="4304" xr:uid="{00000000-0005-0000-0000-0000A3150000}"/>
    <cellStyle name="SAPBEXexcBad7 66" xfId="4305" xr:uid="{00000000-0005-0000-0000-0000A4150000}"/>
    <cellStyle name="SAPBEXexcBad7 67" xfId="4306" xr:uid="{00000000-0005-0000-0000-0000A5150000}"/>
    <cellStyle name="SAPBEXexcBad7 68" xfId="4307" xr:uid="{00000000-0005-0000-0000-0000A6150000}"/>
    <cellStyle name="SAPBEXexcBad7 69" xfId="4308" xr:uid="{00000000-0005-0000-0000-0000A7150000}"/>
    <cellStyle name="SAPBEXexcBad7 7" xfId="4309" xr:uid="{00000000-0005-0000-0000-0000A8150000}"/>
    <cellStyle name="SAPBEXexcBad7 70" xfId="4310" xr:uid="{00000000-0005-0000-0000-0000A9150000}"/>
    <cellStyle name="SAPBEXexcBad7 71" xfId="4311" xr:uid="{00000000-0005-0000-0000-0000AA150000}"/>
    <cellStyle name="SAPBEXexcBad7 72" xfId="4312" xr:uid="{00000000-0005-0000-0000-0000AB150000}"/>
    <cellStyle name="SAPBEXexcBad7 73" xfId="4313" xr:uid="{00000000-0005-0000-0000-0000AC150000}"/>
    <cellStyle name="SAPBEXexcBad7 74" xfId="4314" xr:uid="{00000000-0005-0000-0000-0000AD150000}"/>
    <cellStyle name="SAPBEXexcBad7 75" xfId="4315" xr:uid="{00000000-0005-0000-0000-0000AE150000}"/>
    <cellStyle name="SAPBEXexcBad7 76" xfId="4316" xr:uid="{00000000-0005-0000-0000-0000AF150000}"/>
    <cellStyle name="SAPBEXexcBad7 77" xfId="4317" xr:uid="{00000000-0005-0000-0000-0000B0150000}"/>
    <cellStyle name="SAPBEXexcBad7 78" xfId="4318" xr:uid="{00000000-0005-0000-0000-0000B1150000}"/>
    <cellStyle name="SAPBEXexcBad7 79" xfId="4319" xr:uid="{00000000-0005-0000-0000-0000B2150000}"/>
    <cellStyle name="SAPBEXexcBad7 8" xfId="4320" xr:uid="{00000000-0005-0000-0000-0000B3150000}"/>
    <cellStyle name="SAPBEXexcBad7 80" xfId="4321" xr:uid="{00000000-0005-0000-0000-0000B4150000}"/>
    <cellStyle name="SAPBEXexcBad7 81" xfId="4322" xr:uid="{00000000-0005-0000-0000-0000B5150000}"/>
    <cellStyle name="SAPBEXexcBad7 82" xfId="4323" xr:uid="{00000000-0005-0000-0000-0000B6150000}"/>
    <cellStyle name="SAPBEXexcBad7 83" xfId="4324" xr:uid="{00000000-0005-0000-0000-0000B7150000}"/>
    <cellStyle name="SAPBEXexcBad7 84" xfId="4325" xr:uid="{00000000-0005-0000-0000-0000B8150000}"/>
    <cellStyle name="SAPBEXexcBad7 85" xfId="4326" xr:uid="{00000000-0005-0000-0000-0000B9150000}"/>
    <cellStyle name="SAPBEXexcBad7 86" xfId="4327" xr:uid="{00000000-0005-0000-0000-0000BA150000}"/>
    <cellStyle name="SAPBEXexcBad7 87" xfId="4328" xr:uid="{00000000-0005-0000-0000-0000BB150000}"/>
    <cellStyle name="SAPBEXexcBad7 88" xfId="4329" xr:uid="{00000000-0005-0000-0000-0000BC150000}"/>
    <cellStyle name="SAPBEXexcBad7 89" xfId="4330" xr:uid="{00000000-0005-0000-0000-0000BD150000}"/>
    <cellStyle name="SAPBEXexcBad7 9" xfId="4331" xr:uid="{00000000-0005-0000-0000-0000BE150000}"/>
    <cellStyle name="SAPBEXexcBad7 90" xfId="4332" xr:uid="{00000000-0005-0000-0000-0000BF150000}"/>
    <cellStyle name="SAPBEXexcBad7 91" xfId="4333" xr:uid="{00000000-0005-0000-0000-0000C0150000}"/>
    <cellStyle name="SAPBEXexcBad7 92" xfId="4334" xr:uid="{00000000-0005-0000-0000-0000C1150000}"/>
    <cellStyle name="SAPBEXexcBad7 93" xfId="4335" xr:uid="{00000000-0005-0000-0000-0000C2150000}"/>
    <cellStyle name="SAPBEXexcBad7 94" xfId="4336" xr:uid="{00000000-0005-0000-0000-0000C3150000}"/>
    <cellStyle name="SAPBEXexcBad7 95" xfId="4337" xr:uid="{00000000-0005-0000-0000-0000C4150000}"/>
    <cellStyle name="SAPBEXexcBad7 96" xfId="4338" xr:uid="{00000000-0005-0000-0000-0000C5150000}"/>
    <cellStyle name="SAPBEXexcBad7 97" xfId="4339" xr:uid="{00000000-0005-0000-0000-0000C6150000}"/>
    <cellStyle name="SAPBEXexcBad7 98" xfId="4340" xr:uid="{00000000-0005-0000-0000-0000C7150000}"/>
    <cellStyle name="SAPBEXexcBad7 99" xfId="4341" xr:uid="{00000000-0005-0000-0000-0000C8150000}"/>
    <cellStyle name="SAPBEXexcBad7_(A-7) IS-Inputs" xfId="4342" xr:uid="{00000000-0005-0000-0000-0000C9150000}"/>
    <cellStyle name="SAPBEXexcBad8" xfId="4343" xr:uid="{00000000-0005-0000-0000-0000CA150000}"/>
    <cellStyle name="SAPBEXexcBad8 10" xfId="4344" xr:uid="{00000000-0005-0000-0000-0000CB150000}"/>
    <cellStyle name="SAPBEXexcBad8 100" xfId="4345" xr:uid="{00000000-0005-0000-0000-0000CC150000}"/>
    <cellStyle name="SAPBEXexcBad8 101" xfId="4346" xr:uid="{00000000-0005-0000-0000-0000CD150000}"/>
    <cellStyle name="SAPBEXexcBad8 102" xfId="4347" xr:uid="{00000000-0005-0000-0000-0000CE150000}"/>
    <cellStyle name="SAPBEXexcBad8 103" xfId="4348" xr:uid="{00000000-0005-0000-0000-0000CF150000}"/>
    <cellStyle name="SAPBEXexcBad8 104" xfId="4349" xr:uid="{00000000-0005-0000-0000-0000D0150000}"/>
    <cellStyle name="SAPBEXexcBad8 105" xfId="4350" xr:uid="{00000000-0005-0000-0000-0000D1150000}"/>
    <cellStyle name="SAPBEXexcBad8 106" xfId="4351" xr:uid="{00000000-0005-0000-0000-0000D2150000}"/>
    <cellStyle name="SAPBEXexcBad8 107" xfId="4352" xr:uid="{00000000-0005-0000-0000-0000D3150000}"/>
    <cellStyle name="SAPBEXexcBad8 108" xfId="4353" xr:uid="{00000000-0005-0000-0000-0000D4150000}"/>
    <cellStyle name="SAPBEXexcBad8 109" xfId="4354" xr:uid="{00000000-0005-0000-0000-0000D5150000}"/>
    <cellStyle name="SAPBEXexcBad8 11" xfId="4355" xr:uid="{00000000-0005-0000-0000-0000D6150000}"/>
    <cellStyle name="SAPBEXexcBad8 110" xfId="4356" xr:uid="{00000000-0005-0000-0000-0000D7150000}"/>
    <cellStyle name="SAPBEXexcBad8 12" xfId="4357" xr:uid="{00000000-0005-0000-0000-0000D8150000}"/>
    <cellStyle name="SAPBEXexcBad8 13" xfId="4358" xr:uid="{00000000-0005-0000-0000-0000D9150000}"/>
    <cellStyle name="SAPBEXexcBad8 14" xfId="4359" xr:uid="{00000000-0005-0000-0000-0000DA150000}"/>
    <cellStyle name="SAPBEXexcBad8 15" xfId="4360" xr:uid="{00000000-0005-0000-0000-0000DB150000}"/>
    <cellStyle name="SAPBEXexcBad8 16" xfId="4361" xr:uid="{00000000-0005-0000-0000-0000DC150000}"/>
    <cellStyle name="SAPBEXexcBad8 17" xfId="4362" xr:uid="{00000000-0005-0000-0000-0000DD150000}"/>
    <cellStyle name="SAPBEXexcBad8 18" xfId="4363" xr:uid="{00000000-0005-0000-0000-0000DE150000}"/>
    <cellStyle name="SAPBEXexcBad8 19" xfId="4364" xr:uid="{00000000-0005-0000-0000-0000DF150000}"/>
    <cellStyle name="SAPBEXexcBad8 2" xfId="4365" xr:uid="{00000000-0005-0000-0000-0000E0150000}"/>
    <cellStyle name="SAPBEXexcBad8 20" xfId="4366" xr:uid="{00000000-0005-0000-0000-0000E1150000}"/>
    <cellStyle name="SAPBEXexcBad8 21" xfId="4367" xr:uid="{00000000-0005-0000-0000-0000E2150000}"/>
    <cellStyle name="SAPBEXexcBad8 22" xfId="4368" xr:uid="{00000000-0005-0000-0000-0000E3150000}"/>
    <cellStyle name="SAPBEXexcBad8 23" xfId="4369" xr:uid="{00000000-0005-0000-0000-0000E4150000}"/>
    <cellStyle name="SAPBEXexcBad8 24" xfId="4370" xr:uid="{00000000-0005-0000-0000-0000E5150000}"/>
    <cellStyle name="SAPBEXexcBad8 25" xfId="4371" xr:uid="{00000000-0005-0000-0000-0000E6150000}"/>
    <cellStyle name="SAPBEXexcBad8 26" xfId="4372" xr:uid="{00000000-0005-0000-0000-0000E7150000}"/>
    <cellStyle name="SAPBEXexcBad8 27" xfId="4373" xr:uid="{00000000-0005-0000-0000-0000E8150000}"/>
    <cellStyle name="SAPBEXexcBad8 28" xfId="4374" xr:uid="{00000000-0005-0000-0000-0000E9150000}"/>
    <cellStyle name="SAPBEXexcBad8 29" xfId="4375" xr:uid="{00000000-0005-0000-0000-0000EA150000}"/>
    <cellStyle name="SAPBEXexcBad8 3" xfId="4376" xr:uid="{00000000-0005-0000-0000-0000EB150000}"/>
    <cellStyle name="SAPBEXexcBad8 30" xfId="4377" xr:uid="{00000000-0005-0000-0000-0000EC150000}"/>
    <cellStyle name="SAPBEXexcBad8 31" xfId="4378" xr:uid="{00000000-0005-0000-0000-0000ED150000}"/>
    <cellStyle name="SAPBEXexcBad8 32" xfId="4379" xr:uid="{00000000-0005-0000-0000-0000EE150000}"/>
    <cellStyle name="SAPBEXexcBad8 33" xfId="4380" xr:uid="{00000000-0005-0000-0000-0000EF150000}"/>
    <cellStyle name="SAPBEXexcBad8 34" xfId="4381" xr:uid="{00000000-0005-0000-0000-0000F0150000}"/>
    <cellStyle name="SAPBEXexcBad8 35" xfId="4382" xr:uid="{00000000-0005-0000-0000-0000F1150000}"/>
    <cellStyle name="SAPBEXexcBad8 36" xfId="4383" xr:uid="{00000000-0005-0000-0000-0000F2150000}"/>
    <cellStyle name="SAPBEXexcBad8 37" xfId="4384" xr:uid="{00000000-0005-0000-0000-0000F3150000}"/>
    <cellStyle name="SAPBEXexcBad8 38" xfId="4385" xr:uid="{00000000-0005-0000-0000-0000F4150000}"/>
    <cellStyle name="SAPBEXexcBad8 39" xfId="4386" xr:uid="{00000000-0005-0000-0000-0000F5150000}"/>
    <cellStyle name="SAPBEXexcBad8 4" xfId="4387" xr:uid="{00000000-0005-0000-0000-0000F6150000}"/>
    <cellStyle name="SAPBEXexcBad8 40" xfId="4388" xr:uid="{00000000-0005-0000-0000-0000F7150000}"/>
    <cellStyle name="SAPBEXexcBad8 41" xfId="4389" xr:uid="{00000000-0005-0000-0000-0000F8150000}"/>
    <cellStyle name="SAPBEXexcBad8 42" xfId="4390" xr:uid="{00000000-0005-0000-0000-0000F9150000}"/>
    <cellStyle name="SAPBEXexcBad8 43" xfId="4391" xr:uid="{00000000-0005-0000-0000-0000FA150000}"/>
    <cellStyle name="SAPBEXexcBad8 44" xfId="4392" xr:uid="{00000000-0005-0000-0000-0000FB150000}"/>
    <cellStyle name="SAPBEXexcBad8 45" xfId="4393" xr:uid="{00000000-0005-0000-0000-0000FC150000}"/>
    <cellStyle name="SAPBEXexcBad8 46" xfId="4394" xr:uid="{00000000-0005-0000-0000-0000FD150000}"/>
    <cellStyle name="SAPBEXexcBad8 47" xfId="4395" xr:uid="{00000000-0005-0000-0000-0000FE150000}"/>
    <cellStyle name="SAPBEXexcBad8 48" xfId="4396" xr:uid="{00000000-0005-0000-0000-0000FF150000}"/>
    <cellStyle name="SAPBEXexcBad8 49" xfId="4397" xr:uid="{00000000-0005-0000-0000-000000160000}"/>
    <cellStyle name="SAPBEXexcBad8 5" xfId="4398" xr:uid="{00000000-0005-0000-0000-000001160000}"/>
    <cellStyle name="SAPBEXexcBad8 50" xfId="4399" xr:uid="{00000000-0005-0000-0000-000002160000}"/>
    <cellStyle name="SAPBEXexcBad8 51" xfId="4400" xr:uid="{00000000-0005-0000-0000-000003160000}"/>
    <cellStyle name="SAPBEXexcBad8 52" xfId="4401" xr:uid="{00000000-0005-0000-0000-000004160000}"/>
    <cellStyle name="SAPBEXexcBad8 53" xfId="4402" xr:uid="{00000000-0005-0000-0000-000005160000}"/>
    <cellStyle name="SAPBEXexcBad8 54" xfId="4403" xr:uid="{00000000-0005-0000-0000-000006160000}"/>
    <cellStyle name="SAPBEXexcBad8 55" xfId="4404" xr:uid="{00000000-0005-0000-0000-000007160000}"/>
    <cellStyle name="SAPBEXexcBad8 56" xfId="4405" xr:uid="{00000000-0005-0000-0000-000008160000}"/>
    <cellStyle name="SAPBEXexcBad8 57" xfId="4406" xr:uid="{00000000-0005-0000-0000-000009160000}"/>
    <cellStyle name="SAPBEXexcBad8 58" xfId="4407" xr:uid="{00000000-0005-0000-0000-00000A160000}"/>
    <cellStyle name="SAPBEXexcBad8 59" xfId="4408" xr:uid="{00000000-0005-0000-0000-00000B160000}"/>
    <cellStyle name="SAPBEXexcBad8 6" xfId="4409" xr:uid="{00000000-0005-0000-0000-00000C160000}"/>
    <cellStyle name="SAPBEXexcBad8 60" xfId="4410" xr:uid="{00000000-0005-0000-0000-00000D160000}"/>
    <cellStyle name="SAPBEXexcBad8 61" xfId="4411" xr:uid="{00000000-0005-0000-0000-00000E160000}"/>
    <cellStyle name="SAPBEXexcBad8 62" xfId="4412" xr:uid="{00000000-0005-0000-0000-00000F160000}"/>
    <cellStyle name="SAPBEXexcBad8 63" xfId="4413" xr:uid="{00000000-0005-0000-0000-000010160000}"/>
    <cellStyle name="SAPBEXexcBad8 64" xfId="4414" xr:uid="{00000000-0005-0000-0000-000011160000}"/>
    <cellStyle name="SAPBEXexcBad8 65" xfId="4415" xr:uid="{00000000-0005-0000-0000-000012160000}"/>
    <cellStyle name="SAPBEXexcBad8 66" xfId="4416" xr:uid="{00000000-0005-0000-0000-000013160000}"/>
    <cellStyle name="SAPBEXexcBad8 67" xfId="4417" xr:uid="{00000000-0005-0000-0000-000014160000}"/>
    <cellStyle name="SAPBEXexcBad8 68" xfId="4418" xr:uid="{00000000-0005-0000-0000-000015160000}"/>
    <cellStyle name="SAPBEXexcBad8 69" xfId="4419" xr:uid="{00000000-0005-0000-0000-000016160000}"/>
    <cellStyle name="SAPBEXexcBad8 7" xfId="4420" xr:uid="{00000000-0005-0000-0000-000017160000}"/>
    <cellStyle name="SAPBEXexcBad8 70" xfId="4421" xr:uid="{00000000-0005-0000-0000-000018160000}"/>
    <cellStyle name="SAPBEXexcBad8 71" xfId="4422" xr:uid="{00000000-0005-0000-0000-000019160000}"/>
    <cellStyle name="SAPBEXexcBad8 72" xfId="4423" xr:uid="{00000000-0005-0000-0000-00001A160000}"/>
    <cellStyle name="SAPBEXexcBad8 73" xfId="4424" xr:uid="{00000000-0005-0000-0000-00001B160000}"/>
    <cellStyle name="SAPBEXexcBad8 74" xfId="4425" xr:uid="{00000000-0005-0000-0000-00001C160000}"/>
    <cellStyle name="SAPBEXexcBad8 75" xfId="4426" xr:uid="{00000000-0005-0000-0000-00001D160000}"/>
    <cellStyle name="SAPBEXexcBad8 76" xfId="4427" xr:uid="{00000000-0005-0000-0000-00001E160000}"/>
    <cellStyle name="SAPBEXexcBad8 77" xfId="4428" xr:uid="{00000000-0005-0000-0000-00001F160000}"/>
    <cellStyle name="SAPBEXexcBad8 78" xfId="4429" xr:uid="{00000000-0005-0000-0000-000020160000}"/>
    <cellStyle name="SAPBEXexcBad8 79" xfId="4430" xr:uid="{00000000-0005-0000-0000-000021160000}"/>
    <cellStyle name="SAPBEXexcBad8 8" xfId="4431" xr:uid="{00000000-0005-0000-0000-000022160000}"/>
    <cellStyle name="SAPBEXexcBad8 80" xfId="4432" xr:uid="{00000000-0005-0000-0000-000023160000}"/>
    <cellStyle name="SAPBEXexcBad8 81" xfId="4433" xr:uid="{00000000-0005-0000-0000-000024160000}"/>
    <cellStyle name="SAPBEXexcBad8 82" xfId="4434" xr:uid="{00000000-0005-0000-0000-000025160000}"/>
    <cellStyle name="SAPBEXexcBad8 83" xfId="4435" xr:uid="{00000000-0005-0000-0000-000026160000}"/>
    <cellStyle name="SAPBEXexcBad8 84" xfId="4436" xr:uid="{00000000-0005-0000-0000-000027160000}"/>
    <cellStyle name="SAPBEXexcBad8 85" xfId="4437" xr:uid="{00000000-0005-0000-0000-000028160000}"/>
    <cellStyle name="SAPBEXexcBad8 86" xfId="4438" xr:uid="{00000000-0005-0000-0000-000029160000}"/>
    <cellStyle name="SAPBEXexcBad8 87" xfId="4439" xr:uid="{00000000-0005-0000-0000-00002A160000}"/>
    <cellStyle name="SAPBEXexcBad8 88" xfId="4440" xr:uid="{00000000-0005-0000-0000-00002B160000}"/>
    <cellStyle name="SAPBEXexcBad8 89" xfId="4441" xr:uid="{00000000-0005-0000-0000-00002C160000}"/>
    <cellStyle name="SAPBEXexcBad8 9" xfId="4442" xr:uid="{00000000-0005-0000-0000-00002D160000}"/>
    <cellStyle name="SAPBEXexcBad8 90" xfId="4443" xr:uid="{00000000-0005-0000-0000-00002E160000}"/>
    <cellStyle name="SAPBEXexcBad8 91" xfId="4444" xr:uid="{00000000-0005-0000-0000-00002F160000}"/>
    <cellStyle name="SAPBEXexcBad8 92" xfId="4445" xr:uid="{00000000-0005-0000-0000-000030160000}"/>
    <cellStyle name="SAPBEXexcBad8 93" xfId="4446" xr:uid="{00000000-0005-0000-0000-000031160000}"/>
    <cellStyle name="SAPBEXexcBad8 94" xfId="4447" xr:uid="{00000000-0005-0000-0000-000032160000}"/>
    <cellStyle name="SAPBEXexcBad8 95" xfId="4448" xr:uid="{00000000-0005-0000-0000-000033160000}"/>
    <cellStyle name="SAPBEXexcBad8 96" xfId="4449" xr:uid="{00000000-0005-0000-0000-000034160000}"/>
    <cellStyle name="SAPBEXexcBad8 97" xfId="4450" xr:uid="{00000000-0005-0000-0000-000035160000}"/>
    <cellStyle name="SAPBEXexcBad8 98" xfId="4451" xr:uid="{00000000-0005-0000-0000-000036160000}"/>
    <cellStyle name="SAPBEXexcBad8 99" xfId="4452" xr:uid="{00000000-0005-0000-0000-000037160000}"/>
    <cellStyle name="SAPBEXexcBad8_(A-7) IS-Inputs" xfId="4453" xr:uid="{00000000-0005-0000-0000-000038160000}"/>
    <cellStyle name="SAPBEXexcBad9" xfId="4454" xr:uid="{00000000-0005-0000-0000-000039160000}"/>
    <cellStyle name="SAPBEXexcBad9 10" xfId="4455" xr:uid="{00000000-0005-0000-0000-00003A160000}"/>
    <cellStyle name="SAPBEXexcBad9 100" xfId="4456" xr:uid="{00000000-0005-0000-0000-00003B160000}"/>
    <cellStyle name="SAPBEXexcBad9 101" xfId="4457" xr:uid="{00000000-0005-0000-0000-00003C160000}"/>
    <cellStyle name="SAPBEXexcBad9 102" xfId="4458" xr:uid="{00000000-0005-0000-0000-00003D160000}"/>
    <cellStyle name="SAPBEXexcBad9 103" xfId="4459" xr:uid="{00000000-0005-0000-0000-00003E160000}"/>
    <cellStyle name="SAPBEXexcBad9 104" xfId="4460" xr:uid="{00000000-0005-0000-0000-00003F160000}"/>
    <cellStyle name="SAPBEXexcBad9 105" xfId="4461" xr:uid="{00000000-0005-0000-0000-000040160000}"/>
    <cellStyle name="SAPBEXexcBad9 106" xfId="4462" xr:uid="{00000000-0005-0000-0000-000041160000}"/>
    <cellStyle name="SAPBEXexcBad9 107" xfId="4463" xr:uid="{00000000-0005-0000-0000-000042160000}"/>
    <cellStyle name="SAPBEXexcBad9 108" xfId="4464" xr:uid="{00000000-0005-0000-0000-000043160000}"/>
    <cellStyle name="SAPBEXexcBad9 109" xfId="4465" xr:uid="{00000000-0005-0000-0000-000044160000}"/>
    <cellStyle name="SAPBEXexcBad9 11" xfId="4466" xr:uid="{00000000-0005-0000-0000-000045160000}"/>
    <cellStyle name="SAPBEXexcBad9 110" xfId="4467" xr:uid="{00000000-0005-0000-0000-000046160000}"/>
    <cellStyle name="SAPBEXexcBad9 12" xfId="4468" xr:uid="{00000000-0005-0000-0000-000047160000}"/>
    <cellStyle name="SAPBEXexcBad9 13" xfId="4469" xr:uid="{00000000-0005-0000-0000-000048160000}"/>
    <cellStyle name="SAPBEXexcBad9 14" xfId="4470" xr:uid="{00000000-0005-0000-0000-000049160000}"/>
    <cellStyle name="SAPBEXexcBad9 15" xfId="4471" xr:uid="{00000000-0005-0000-0000-00004A160000}"/>
    <cellStyle name="SAPBEXexcBad9 16" xfId="4472" xr:uid="{00000000-0005-0000-0000-00004B160000}"/>
    <cellStyle name="SAPBEXexcBad9 17" xfId="4473" xr:uid="{00000000-0005-0000-0000-00004C160000}"/>
    <cellStyle name="SAPBEXexcBad9 18" xfId="4474" xr:uid="{00000000-0005-0000-0000-00004D160000}"/>
    <cellStyle name="SAPBEXexcBad9 19" xfId="4475" xr:uid="{00000000-0005-0000-0000-00004E160000}"/>
    <cellStyle name="SAPBEXexcBad9 2" xfId="4476" xr:uid="{00000000-0005-0000-0000-00004F160000}"/>
    <cellStyle name="SAPBEXexcBad9 20" xfId="4477" xr:uid="{00000000-0005-0000-0000-000050160000}"/>
    <cellStyle name="SAPBEXexcBad9 21" xfId="4478" xr:uid="{00000000-0005-0000-0000-000051160000}"/>
    <cellStyle name="SAPBEXexcBad9 22" xfId="4479" xr:uid="{00000000-0005-0000-0000-000052160000}"/>
    <cellStyle name="SAPBEXexcBad9 23" xfId="4480" xr:uid="{00000000-0005-0000-0000-000053160000}"/>
    <cellStyle name="SAPBEXexcBad9 24" xfId="4481" xr:uid="{00000000-0005-0000-0000-000054160000}"/>
    <cellStyle name="SAPBEXexcBad9 25" xfId="4482" xr:uid="{00000000-0005-0000-0000-000055160000}"/>
    <cellStyle name="SAPBEXexcBad9 26" xfId="4483" xr:uid="{00000000-0005-0000-0000-000056160000}"/>
    <cellStyle name="SAPBEXexcBad9 27" xfId="4484" xr:uid="{00000000-0005-0000-0000-000057160000}"/>
    <cellStyle name="SAPBEXexcBad9 28" xfId="4485" xr:uid="{00000000-0005-0000-0000-000058160000}"/>
    <cellStyle name="SAPBEXexcBad9 29" xfId="4486" xr:uid="{00000000-0005-0000-0000-000059160000}"/>
    <cellStyle name="SAPBEXexcBad9 3" xfId="4487" xr:uid="{00000000-0005-0000-0000-00005A160000}"/>
    <cellStyle name="SAPBEXexcBad9 30" xfId="4488" xr:uid="{00000000-0005-0000-0000-00005B160000}"/>
    <cellStyle name="SAPBEXexcBad9 31" xfId="4489" xr:uid="{00000000-0005-0000-0000-00005C160000}"/>
    <cellStyle name="SAPBEXexcBad9 32" xfId="4490" xr:uid="{00000000-0005-0000-0000-00005D160000}"/>
    <cellStyle name="SAPBEXexcBad9 33" xfId="4491" xr:uid="{00000000-0005-0000-0000-00005E160000}"/>
    <cellStyle name="SAPBEXexcBad9 34" xfId="4492" xr:uid="{00000000-0005-0000-0000-00005F160000}"/>
    <cellStyle name="SAPBEXexcBad9 35" xfId="4493" xr:uid="{00000000-0005-0000-0000-000060160000}"/>
    <cellStyle name="SAPBEXexcBad9 36" xfId="4494" xr:uid="{00000000-0005-0000-0000-000061160000}"/>
    <cellStyle name="SAPBEXexcBad9 37" xfId="4495" xr:uid="{00000000-0005-0000-0000-000062160000}"/>
    <cellStyle name="SAPBEXexcBad9 38" xfId="4496" xr:uid="{00000000-0005-0000-0000-000063160000}"/>
    <cellStyle name="SAPBEXexcBad9 39" xfId="4497" xr:uid="{00000000-0005-0000-0000-000064160000}"/>
    <cellStyle name="SAPBEXexcBad9 4" xfId="4498" xr:uid="{00000000-0005-0000-0000-000065160000}"/>
    <cellStyle name="SAPBEXexcBad9 40" xfId="4499" xr:uid="{00000000-0005-0000-0000-000066160000}"/>
    <cellStyle name="SAPBEXexcBad9 41" xfId="4500" xr:uid="{00000000-0005-0000-0000-000067160000}"/>
    <cellStyle name="SAPBEXexcBad9 42" xfId="4501" xr:uid="{00000000-0005-0000-0000-000068160000}"/>
    <cellStyle name="SAPBEXexcBad9 43" xfId="4502" xr:uid="{00000000-0005-0000-0000-000069160000}"/>
    <cellStyle name="SAPBEXexcBad9 44" xfId="4503" xr:uid="{00000000-0005-0000-0000-00006A160000}"/>
    <cellStyle name="SAPBEXexcBad9 45" xfId="4504" xr:uid="{00000000-0005-0000-0000-00006B160000}"/>
    <cellStyle name="SAPBEXexcBad9 46" xfId="4505" xr:uid="{00000000-0005-0000-0000-00006C160000}"/>
    <cellStyle name="SAPBEXexcBad9 47" xfId="4506" xr:uid="{00000000-0005-0000-0000-00006D160000}"/>
    <cellStyle name="SAPBEXexcBad9 48" xfId="4507" xr:uid="{00000000-0005-0000-0000-00006E160000}"/>
    <cellStyle name="SAPBEXexcBad9 49" xfId="4508" xr:uid="{00000000-0005-0000-0000-00006F160000}"/>
    <cellStyle name="SAPBEXexcBad9 5" xfId="4509" xr:uid="{00000000-0005-0000-0000-000070160000}"/>
    <cellStyle name="SAPBEXexcBad9 50" xfId="4510" xr:uid="{00000000-0005-0000-0000-000071160000}"/>
    <cellStyle name="SAPBEXexcBad9 51" xfId="4511" xr:uid="{00000000-0005-0000-0000-000072160000}"/>
    <cellStyle name="SAPBEXexcBad9 52" xfId="4512" xr:uid="{00000000-0005-0000-0000-000073160000}"/>
    <cellStyle name="SAPBEXexcBad9 53" xfId="4513" xr:uid="{00000000-0005-0000-0000-000074160000}"/>
    <cellStyle name="SAPBEXexcBad9 54" xfId="4514" xr:uid="{00000000-0005-0000-0000-000075160000}"/>
    <cellStyle name="SAPBEXexcBad9 55" xfId="4515" xr:uid="{00000000-0005-0000-0000-000076160000}"/>
    <cellStyle name="SAPBEXexcBad9 56" xfId="4516" xr:uid="{00000000-0005-0000-0000-000077160000}"/>
    <cellStyle name="SAPBEXexcBad9 57" xfId="4517" xr:uid="{00000000-0005-0000-0000-000078160000}"/>
    <cellStyle name="SAPBEXexcBad9 58" xfId="4518" xr:uid="{00000000-0005-0000-0000-000079160000}"/>
    <cellStyle name="SAPBEXexcBad9 59" xfId="4519" xr:uid="{00000000-0005-0000-0000-00007A160000}"/>
    <cellStyle name="SAPBEXexcBad9 6" xfId="4520" xr:uid="{00000000-0005-0000-0000-00007B160000}"/>
    <cellStyle name="SAPBEXexcBad9 60" xfId="4521" xr:uid="{00000000-0005-0000-0000-00007C160000}"/>
    <cellStyle name="SAPBEXexcBad9 61" xfId="4522" xr:uid="{00000000-0005-0000-0000-00007D160000}"/>
    <cellStyle name="SAPBEXexcBad9 62" xfId="4523" xr:uid="{00000000-0005-0000-0000-00007E160000}"/>
    <cellStyle name="SAPBEXexcBad9 63" xfId="4524" xr:uid="{00000000-0005-0000-0000-00007F160000}"/>
    <cellStyle name="SAPBEXexcBad9 64" xfId="4525" xr:uid="{00000000-0005-0000-0000-000080160000}"/>
    <cellStyle name="SAPBEXexcBad9 65" xfId="4526" xr:uid="{00000000-0005-0000-0000-000081160000}"/>
    <cellStyle name="SAPBEXexcBad9 66" xfId="4527" xr:uid="{00000000-0005-0000-0000-000082160000}"/>
    <cellStyle name="SAPBEXexcBad9 67" xfId="4528" xr:uid="{00000000-0005-0000-0000-000083160000}"/>
    <cellStyle name="SAPBEXexcBad9 68" xfId="4529" xr:uid="{00000000-0005-0000-0000-000084160000}"/>
    <cellStyle name="SAPBEXexcBad9 69" xfId="4530" xr:uid="{00000000-0005-0000-0000-000085160000}"/>
    <cellStyle name="SAPBEXexcBad9 7" xfId="4531" xr:uid="{00000000-0005-0000-0000-000086160000}"/>
    <cellStyle name="SAPBEXexcBad9 70" xfId="4532" xr:uid="{00000000-0005-0000-0000-000087160000}"/>
    <cellStyle name="SAPBEXexcBad9 71" xfId="4533" xr:uid="{00000000-0005-0000-0000-000088160000}"/>
    <cellStyle name="SAPBEXexcBad9 72" xfId="4534" xr:uid="{00000000-0005-0000-0000-000089160000}"/>
    <cellStyle name="SAPBEXexcBad9 73" xfId="4535" xr:uid="{00000000-0005-0000-0000-00008A160000}"/>
    <cellStyle name="SAPBEXexcBad9 74" xfId="4536" xr:uid="{00000000-0005-0000-0000-00008B160000}"/>
    <cellStyle name="SAPBEXexcBad9 75" xfId="4537" xr:uid="{00000000-0005-0000-0000-00008C160000}"/>
    <cellStyle name="SAPBEXexcBad9 76" xfId="4538" xr:uid="{00000000-0005-0000-0000-00008D160000}"/>
    <cellStyle name="SAPBEXexcBad9 77" xfId="4539" xr:uid="{00000000-0005-0000-0000-00008E160000}"/>
    <cellStyle name="SAPBEXexcBad9 78" xfId="4540" xr:uid="{00000000-0005-0000-0000-00008F160000}"/>
    <cellStyle name="SAPBEXexcBad9 79" xfId="4541" xr:uid="{00000000-0005-0000-0000-000090160000}"/>
    <cellStyle name="SAPBEXexcBad9 8" xfId="4542" xr:uid="{00000000-0005-0000-0000-000091160000}"/>
    <cellStyle name="SAPBEXexcBad9 80" xfId="4543" xr:uid="{00000000-0005-0000-0000-000092160000}"/>
    <cellStyle name="SAPBEXexcBad9 81" xfId="4544" xr:uid="{00000000-0005-0000-0000-000093160000}"/>
    <cellStyle name="SAPBEXexcBad9 82" xfId="4545" xr:uid="{00000000-0005-0000-0000-000094160000}"/>
    <cellStyle name="SAPBEXexcBad9 83" xfId="4546" xr:uid="{00000000-0005-0000-0000-000095160000}"/>
    <cellStyle name="SAPBEXexcBad9 84" xfId="4547" xr:uid="{00000000-0005-0000-0000-000096160000}"/>
    <cellStyle name="SAPBEXexcBad9 85" xfId="4548" xr:uid="{00000000-0005-0000-0000-000097160000}"/>
    <cellStyle name="SAPBEXexcBad9 86" xfId="4549" xr:uid="{00000000-0005-0000-0000-000098160000}"/>
    <cellStyle name="SAPBEXexcBad9 87" xfId="4550" xr:uid="{00000000-0005-0000-0000-000099160000}"/>
    <cellStyle name="SAPBEXexcBad9 88" xfId="4551" xr:uid="{00000000-0005-0000-0000-00009A160000}"/>
    <cellStyle name="SAPBEXexcBad9 89" xfId="4552" xr:uid="{00000000-0005-0000-0000-00009B160000}"/>
    <cellStyle name="SAPBEXexcBad9 9" xfId="4553" xr:uid="{00000000-0005-0000-0000-00009C160000}"/>
    <cellStyle name="SAPBEXexcBad9 90" xfId="4554" xr:uid="{00000000-0005-0000-0000-00009D160000}"/>
    <cellStyle name="SAPBEXexcBad9 91" xfId="4555" xr:uid="{00000000-0005-0000-0000-00009E160000}"/>
    <cellStyle name="SAPBEXexcBad9 92" xfId="4556" xr:uid="{00000000-0005-0000-0000-00009F160000}"/>
    <cellStyle name="SAPBEXexcBad9 93" xfId="4557" xr:uid="{00000000-0005-0000-0000-0000A0160000}"/>
    <cellStyle name="SAPBEXexcBad9 94" xfId="4558" xr:uid="{00000000-0005-0000-0000-0000A1160000}"/>
    <cellStyle name="SAPBEXexcBad9 95" xfId="4559" xr:uid="{00000000-0005-0000-0000-0000A2160000}"/>
    <cellStyle name="SAPBEXexcBad9 96" xfId="4560" xr:uid="{00000000-0005-0000-0000-0000A3160000}"/>
    <cellStyle name="SAPBEXexcBad9 97" xfId="4561" xr:uid="{00000000-0005-0000-0000-0000A4160000}"/>
    <cellStyle name="SAPBEXexcBad9 98" xfId="4562" xr:uid="{00000000-0005-0000-0000-0000A5160000}"/>
    <cellStyle name="SAPBEXexcBad9 99" xfId="4563" xr:uid="{00000000-0005-0000-0000-0000A6160000}"/>
    <cellStyle name="SAPBEXexcBad9_(A-7) IS-Inputs" xfId="4564" xr:uid="{00000000-0005-0000-0000-0000A7160000}"/>
    <cellStyle name="SAPBEXexcCritical4" xfId="4565" xr:uid="{00000000-0005-0000-0000-0000A8160000}"/>
    <cellStyle name="SAPBEXexcCritical4 10" xfId="4566" xr:uid="{00000000-0005-0000-0000-0000A9160000}"/>
    <cellStyle name="SAPBEXexcCritical4 100" xfId="4567" xr:uid="{00000000-0005-0000-0000-0000AA160000}"/>
    <cellStyle name="SAPBEXexcCritical4 101" xfId="4568" xr:uid="{00000000-0005-0000-0000-0000AB160000}"/>
    <cellStyle name="SAPBEXexcCritical4 102" xfId="4569" xr:uid="{00000000-0005-0000-0000-0000AC160000}"/>
    <cellStyle name="SAPBEXexcCritical4 103" xfId="4570" xr:uid="{00000000-0005-0000-0000-0000AD160000}"/>
    <cellStyle name="SAPBEXexcCritical4 104" xfId="4571" xr:uid="{00000000-0005-0000-0000-0000AE160000}"/>
    <cellStyle name="SAPBEXexcCritical4 105" xfId="4572" xr:uid="{00000000-0005-0000-0000-0000AF160000}"/>
    <cellStyle name="SAPBEXexcCritical4 106" xfId="4573" xr:uid="{00000000-0005-0000-0000-0000B0160000}"/>
    <cellStyle name="SAPBEXexcCritical4 107" xfId="4574" xr:uid="{00000000-0005-0000-0000-0000B1160000}"/>
    <cellStyle name="SAPBEXexcCritical4 108" xfId="4575" xr:uid="{00000000-0005-0000-0000-0000B2160000}"/>
    <cellStyle name="SAPBEXexcCritical4 109" xfId="4576" xr:uid="{00000000-0005-0000-0000-0000B3160000}"/>
    <cellStyle name="SAPBEXexcCritical4 11" xfId="4577" xr:uid="{00000000-0005-0000-0000-0000B4160000}"/>
    <cellStyle name="SAPBEXexcCritical4 110" xfId="4578" xr:uid="{00000000-0005-0000-0000-0000B5160000}"/>
    <cellStyle name="SAPBEXexcCritical4 12" xfId="4579" xr:uid="{00000000-0005-0000-0000-0000B6160000}"/>
    <cellStyle name="SAPBEXexcCritical4 13" xfId="4580" xr:uid="{00000000-0005-0000-0000-0000B7160000}"/>
    <cellStyle name="SAPBEXexcCritical4 14" xfId="4581" xr:uid="{00000000-0005-0000-0000-0000B8160000}"/>
    <cellStyle name="SAPBEXexcCritical4 15" xfId="4582" xr:uid="{00000000-0005-0000-0000-0000B9160000}"/>
    <cellStyle name="SAPBEXexcCritical4 16" xfId="4583" xr:uid="{00000000-0005-0000-0000-0000BA160000}"/>
    <cellStyle name="SAPBEXexcCritical4 17" xfId="4584" xr:uid="{00000000-0005-0000-0000-0000BB160000}"/>
    <cellStyle name="SAPBEXexcCritical4 18" xfId="4585" xr:uid="{00000000-0005-0000-0000-0000BC160000}"/>
    <cellStyle name="SAPBEXexcCritical4 19" xfId="4586" xr:uid="{00000000-0005-0000-0000-0000BD160000}"/>
    <cellStyle name="SAPBEXexcCritical4 2" xfId="4587" xr:uid="{00000000-0005-0000-0000-0000BE160000}"/>
    <cellStyle name="SAPBEXexcCritical4 20" xfId="4588" xr:uid="{00000000-0005-0000-0000-0000BF160000}"/>
    <cellStyle name="SAPBEXexcCritical4 21" xfId="4589" xr:uid="{00000000-0005-0000-0000-0000C0160000}"/>
    <cellStyle name="SAPBEXexcCritical4 22" xfId="4590" xr:uid="{00000000-0005-0000-0000-0000C1160000}"/>
    <cellStyle name="SAPBEXexcCritical4 23" xfId="4591" xr:uid="{00000000-0005-0000-0000-0000C2160000}"/>
    <cellStyle name="SAPBEXexcCritical4 24" xfId="4592" xr:uid="{00000000-0005-0000-0000-0000C3160000}"/>
    <cellStyle name="SAPBEXexcCritical4 25" xfId="4593" xr:uid="{00000000-0005-0000-0000-0000C4160000}"/>
    <cellStyle name="SAPBEXexcCritical4 26" xfId="4594" xr:uid="{00000000-0005-0000-0000-0000C5160000}"/>
    <cellStyle name="SAPBEXexcCritical4 27" xfId="4595" xr:uid="{00000000-0005-0000-0000-0000C6160000}"/>
    <cellStyle name="SAPBEXexcCritical4 28" xfId="4596" xr:uid="{00000000-0005-0000-0000-0000C7160000}"/>
    <cellStyle name="SAPBEXexcCritical4 29" xfId="4597" xr:uid="{00000000-0005-0000-0000-0000C8160000}"/>
    <cellStyle name="SAPBEXexcCritical4 3" xfId="4598" xr:uid="{00000000-0005-0000-0000-0000C9160000}"/>
    <cellStyle name="SAPBEXexcCritical4 30" xfId="4599" xr:uid="{00000000-0005-0000-0000-0000CA160000}"/>
    <cellStyle name="SAPBEXexcCritical4 31" xfId="4600" xr:uid="{00000000-0005-0000-0000-0000CB160000}"/>
    <cellStyle name="SAPBEXexcCritical4 32" xfId="4601" xr:uid="{00000000-0005-0000-0000-0000CC160000}"/>
    <cellStyle name="SAPBEXexcCritical4 33" xfId="4602" xr:uid="{00000000-0005-0000-0000-0000CD160000}"/>
    <cellStyle name="SAPBEXexcCritical4 34" xfId="4603" xr:uid="{00000000-0005-0000-0000-0000CE160000}"/>
    <cellStyle name="SAPBEXexcCritical4 35" xfId="4604" xr:uid="{00000000-0005-0000-0000-0000CF160000}"/>
    <cellStyle name="SAPBEXexcCritical4 36" xfId="4605" xr:uid="{00000000-0005-0000-0000-0000D0160000}"/>
    <cellStyle name="SAPBEXexcCritical4 37" xfId="4606" xr:uid="{00000000-0005-0000-0000-0000D1160000}"/>
    <cellStyle name="SAPBEXexcCritical4 38" xfId="4607" xr:uid="{00000000-0005-0000-0000-0000D2160000}"/>
    <cellStyle name="SAPBEXexcCritical4 39" xfId="4608" xr:uid="{00000000-0005-0000-0000-0000D3160000}"/>
    <cellStyle name="SAPBEXexcCritical4 4" xfId="4609" xr:uid="{00000000-0005-0000-0000-0000D4160000}"/>
    <cellStyle name="SAPBEXexcCritical4 40" xfId="4610" xr:uid="{00000000-0005-0000-0000-0000D5160000}"/>
    <cellStyle name="SAPBEXexcCritical4 41" xfId="4611" xr:uid="{00000000-0005-0000-0000-0000D6160000}"/>
    <cellStyle name="SAPBEXexcCritical4 42" xfId="4612" xr:uid="{00000000-0005-0000-0000-0000D7160000}"/>
    <cellStyle name="SAPBEXexcCritical4 43" xfId="4613" xr:uid="{00000000-0005-0000-0000-0000D8160000}"/>
    <cellStyle name="SAPBEXexcCritical4 44" xfId="4614" xr:uid="{00000000-0005-0000-0000-0000D9160000}"/>
    <cellStyle name="SAPBEXexcCritical4 45" xfId="4615" xr:uid="{00000000-0005-0000-0000-0000DA160000}"/>
    <cellStyle name="SAPBEXexcCritical4 46" xfId="4616" xr:uid="{00000000-0005-0000-0000-0000DB160000}"/>
    <cellStyle name="SAPBEXexcCritical4 47" xfId="4617" xr:uid="{00000000-0005-0000-0000-0000DC160000}"/>
    <cellStyle name="SAPBEXexcCritical4 48" xfId="4618" xr:uid="{00000000-0005-0000-0000-0000DD160000}"/>
    <cellStyle name="SAPBEXexcCritical4 49" xfId="4619" xr:uid="{00000000-0005-0000-0000-0000DE160000}"/>
    <cellStyle name="SAPBEXexcCritical4 5" xfId="4620" xr:uid="{00000000-0005-0000-0000-0000DF160000}"/>
    <cellStyle name="SAPBEXexcCritical4 50" xfId="4621" xr:uid="{00000000-0005-0000-0000-0000E0160000}"/>
    <cellStyle name="SAPBEXexcCritical4 51" xfId="4622" xr:uid="{00000000-0005-0000-0000-0000E1160000}"/>
    <cellStyle name="SAPBEXexcCritical4 52" xfId="4623" xr:uid="{00000000-0005-0000-0000-0000E2160000}"/>
    <cellStyle name="SAPBEXexcCritical4 53" xfId="4624" xr:uid="{00000000-0005-0000-0000-0000E3160000}"/>
    <cellStyle name="SAPBEXexcCritical4 54" xfId="4625" xr:uid="{00000000-0005-0000-0000-0000E4160000}"/>
    <cellStyle name="SAPBEXexcCritical4 55" xfId="4626" xr:uid="{00000000-0005-0000-0000-0000E5160000}"/>
    <cellStyle name="SAPBEXexcCritical4 56" xfId="4627" xr:uid="{00000000-0005-0000-0000-0000E6160000}"/>
    <cellStyle name="SAPBEXexcCritical4 57" xfId="4628" xr:uid="{00000000-0005-0000-0000-0000E7160000}"/>
    <cellStyle name="SAPBEXexcCritical4 58" xfId="4629" xr:uid="{00000000-0005-0000-0000-0000E8160000}"/>
    <cellStyle name="SAPBEXexcCritical4 59" xfId="4630" xr:uid="{00000000-0005-0000-0000-0000E9160000}"/>
    <cellStyle name="SAPBEXexcCritical4 6" xfId="4631" xr:uid="{00000000-0005-0000-0000-0000EA160000}"/>
    <cellStyle name="SAPBEXexcCritical4 60" xfId="4632" xr:uid="{00000000-0005-0000-0000-0000EB160000}"/>
    <cellStyle name="SAPBEXexcCritical4 61" xfId="4633" xr:uid="{00000000-0005-0000-0000-0000EC160000}"/>
    <cellStyle name="SAPBEXexcCritical4 62" xfId="4634" xr:uid="{00000000-0005-0000-0000-0000ED160000}"/>
    <cellStyle name="SAPBEXexcCritical4 63" xfId="4635" xr:uid="{00000000-0005-0000-0000-0000EE160000}"/>
    <cellStyle name="SAPBEXexcCritical4 64" xfId="4636" xr:uid="{00000000-0005-0000-0000-0000EF160000}"/>
    <cellStyle name="SAPBEXexcCritical4 65" xfId="4637" xr:uid="{00000000-0005-0000-0000-0000F0160000}"/>
    <cellStyle name="SAPBEXexcCritical4 66" xfId="4638" xr:uid="{00000000-0005-0000-0000-0000F1160000}"/>
    <cellStyle name="SAPBEXexcCritical4 67" xfId="4639" xr:uid="{00000000-0005-0000-0000-0000F2160000}"/>
    <cellStyle name="SAPBEXexcCritical4 68" xfId="4640" xr:uid="{00000000-0005-0000-0000-0000F3160000}"/>
    <cellStyle name="SAPBEXexcCritical4 69" xfId="4641" xr:uid="{00000000-0005-0000-0000-0000F4160000}"/>
    <cellStyle name="SAPBEXexcCritical4 7" xfId="4642" xr:uid="{00000000-0005-0000-0000-0000F5160000}"/>
    <cellStyle name="SAPBEXexcCritical4 70" xfId="4643" xr:uid="{00000000-0005-0000-0000-0000F6160000}"/>
    <cellStyle name="SAPBEXexcCritical4 71" xfId="4644" xr:uid="{00000000-0005-0000-0000-0000F7160000}"/>
    <cellStyle name="SAPBEXexcCritical4 72" xfId="4645" xr:uid="{00000000-0005-0000-0000-0000F8160000}"/>
    <cellStyle name="SAPBEXexcCritical4 73" xfId="4646" xr:uid="{00000000-0005-0000-0000-0000F9160000}"/>
    <cellStyle name="SAPBEXexcCritical4 74" xfId="4647" xr:uid="{00000000-0005-0000-0000-0000FA160000}"/>
    <cellStyle name="SAPBEXexcCritical4 75" xfId="4648" xr:uid="{00000000-0005-0000-0000-0000FB160000}"/>
    <cellStyle name="SAPBEXexcCritical4 76" xfId="4649" xr:uid="{00000000-0005-0000-0000-0000FC160000}"/>
    <cellStyle name="SAPBEXexcCritical4 77" xfId="4650" xr:uid="{00000000-0005-0000-0000-0000FD160000}"/>
    <cellStyle name="SAPBEXexcCritical4 78" xfId="4651" xr:uid="{00000000-0005-0000-0000-0000FE160000}"/>
    <cellStyle name="SAPBEXexcCritical4 79" xfId="4652" xr:uid="{00000000-0005-0000-0000-0000FF160000}"/>
    <cellStyle name="SAPBEXexcCritical4 8" xfId="4653" xr:uid="{00000000-0005-0000-0000-000000170000}"/>
    <cellStyle name="SAPBEXexcCritical4 80" xfId="4654" xr:uid="{00000000-0005-0000-0000-000001170000}"/>
    <cellStyle name="SAPBEXexcCritical4 81" xfId="4655" xr:uid="{00000000-0005-0000-0000-000002170000}"/>
    <cellStyle name="SAPBEXexcCritical4 82" xfId="4656" xr:uid="{00000000-0005-0000-0000-000003170000}"/>
    <cellStyle name="SAPBEXexcCritical4 83" xfId="4657" xr:uid="{00000000-0005-0000-0000-000004170000}"/>
    <cellStyle name="SAPBEXexcCritical4 84" xfId="4658" xr:uid="{00000000-0005-0000-0000-000005170000}"/>
    <cellStyle name="SAPBEXexcCritical4 85" xfId="4659" xr:uid="{00000000-0005-0000-0000-000006170000}"/>
    <cellStyle name="SAPBEXexcCritical4 86" xfId="4660" xr:uid="{00000000-0005-0000-0000-000007170000}"/>
    <cellStyle name="SAPBEXexcCritical4 87" xfId="4661" xr:uid="{00000000-0005-0000-0000-000008170000}"/>
    <cellStyle name="SAPBEXexcCritical4 88" xfId="4662" xr:uid="{00000000-0005-0000-0000-000009170000}"/>
    <cellStyle name="SAPBEXexcCritical4 89" xfId="4663" xr:uid="{00000000-0005-0000-0000-00000A170000}"/>
    <cellStyle name="SAPBEXexcCritical4 9" xfId="4664" xr:uid="{00000000-0005-0000-0000-00000B170000}"/>
    <cellStyle name="SAPBEXexcCritical4 90" xfId="4665" xr:uid="{00000000-0005-0000-0000-00000C170000}"/>
    <cellStyle name="SAPBEXexcCritical4 91" xfId="4666" xr:uid="{00000000-0005-0000-0000-00000D170000}"/>
    <cellStyle name="SAPBEXexcCritical4 92" xfId="4667" xr:uid="{00000000-0005-0000-0000-00000E170000}"/>
    <cellStyle name="SAPBEXexcCritical4 93" xfId="4668" xr:uid="{00000000-0005-0000-0000-00000F170000}"/>
    <cellStyle name="SAPBEXexcCritical4 94" xfId="4669" xr:uid="{00000000-0005-0000-0000-000010170000}"/>
    <cellStyle name="SAPBEXexcCritical4 95" xfId="4670" xr:uid="{00000000-0005-0000-0000-000011170000}"/>
    <cellStyle name="SAPBEXexcCritical4 96" xfId="4671" xr:uid="{00000000-0005-0000-0000-000012170000}"/>
    <cellStyle name="SAPBEXexcCritical4 97" xfId="4672" xr:uid="{00000000-0005-0000-0000-000013170000}"/>
    <cellStyle name="SAPBEXexcCritical4 98" xfId="4673" xr:uid="{00000000-0005-0000-0000-000014170000}"/>
    <cellStyle name="SAPBEXexcCritical4 99" xfId="4674" xr:uid="{00000000-0005-0000-0000-000015170000}"/>
    <cellStyle name="SAPBEXexcCritical4_(A-7) IS-Inputs" xfId="4675" xr:uid="{00000000-0005-0000-0000-000016170000}"/>
    <cellStyle name="SAPBEXexcCritical5" xfId="4676" xr:uid="{00000000-0005-0000-0000-000017170000}"/>
    <cellStyle name="SAPBEXexcCritical5 10" xfId="4677" xr:uid="{00000000-0005-0000-0000-000018170000}"/>
    <cellStyle name="SAPBEXexcCritical5 100" xfId="4678" xr:uid="{00000000-0005-0000-0000-000019170000}"/>
    <cellStyle name="SAPBEXexcCritical5 101" xfId="4679" xr:uid="{00000000-0005-0000-0000-00001A170000}"/>
    <cellStyle name="SAPBEXexcCritical5 102" xfId="4680" xr:uid="{00000000-0005-0000-0000-00001B170000}"/>
    <cellStyle name="SAPBEXexcCritical5 103" xfId="4681" xr:uid="{00000000-0005-0000-0000-00001C170000}"/>
    <cellStyle name="SAPBEXexcCritical5 104" xfId="4682" xr:uid="{00000000-0005-0000-0000-00001D170000}"/>
    <cellStyle name="SAPBEXexcCritical5 105" xfId="4683" xr:uid="{00000000-0005-0000-0000-00001E170000}"/>
    <cellStyle name="SAPBEXexcCritical5 106" xfId="4684" xr:uid="{00000000-0005-0000-0000-00001F170000}"/>
    <cellStyle name="SAPBEXexcCritical5 107" xfId="4685" xr:uid="{00000000-0005-0000-0000-000020170000}"/>
    <cellStyle name="SAPBEXexcCritical5 108" xfId="4686" xr:uid="{00000000-0005-0000-0000-000021170000}"/>
    <cellStyle name="SAPBEXexcCritical5 109" xfId="4687" xr:uid="{00000000-0005-0000-0000-000022170000}"/>
    <cellStyle name="SAPBEXexcCritical5 11" xfId="4688" xr:uid="{00000000-0005-0000-0000-000023170000}"/>
    <cellStyle name="SAPBEXexcCritical5 110" xfId="4689" xr:uid="{00000000-0005-0000-0000-000024170000}"/>
    <cellStyle name="SAPBEXexcCritical5 12" xfId="4690" xr:uid="{00000000-0005-0000-0000-000025170000}"/>
    <cellStyle name="SAPBEXexcCritical5 13" xfId="4691" xr:uid="{00000000-0005-0000-0000-000026170000}"/>
    <cellStyle name="SAPBEXexcCritical5 14" xfId="4692" xr:uid="{00000000-0005-0000-0000-000027170000}"/>
    <cellStyle name="SAPBEXexcCritical5 15" xfId="4693" xr:uid="{00000000-0005-0000-0000-000028170000}"/>
    <cellStyle name="SAPBEXexcCritical5 16" xfId="4694" xr:uid="{00000000-0005-0000-0000-000029170000}"/>
    <cellStyle name="SAPBEXexcCritical5 17" xfId="4695" xr:uid="{00000000-0005-0000-0000-00002A170000}"/>
    <cellStyle name="SAPBEXexcCritical5 18" xfId="4696" xr:uid="{00000000-0005-0000-0000-00002B170000}"/>
    <cellStyle name="SAPBEXexcCritical5 19" xfId="4697" xr:uid="{00000000-0005-0000-0000-00002C170000}"/>
    <cellStyle name="SAPBEXexcCritical5 2" xfId="4698" xr:uid="{00000000-0005-0000-0000-00002D170000}"/>
    <cellStyle name="SAPBEXexcCritical5 20" xfId="4699" xr:uid="{00000000-0005-0000-0000-00002E170000}"/>
    <cellStyle name="SAPBEXexcCritical5 21" xfId="4700" xr:uid="{00000000-0005-0000-0000-00002F170000}"/>
    <cellStyle name="SAPBEXexcCritical5 22" xfId="4701" xr:uid="{00000000-0005-0000-0000-000030170000}"/>
    <cellStyle name="SAPBEXexcCritical5 23" xfId="4702" xr:uid="{00000000-0005-0000-0000-000031170000}"/>
    <cellStyle name="SAPBEXexcCritical5 24" xfId="4703" xr:uid="{00000000-0005-0000-0000-000032170000}"/>
    <cellStyle name="SAPBEXexcCritical5 25" xfId="4704" xr:uid="{00000000-0005-0000-0000-000033170000}"/>
    <cellStyle name="SAPBEXexcCritical5 26" xfId="4705" xr:uid="{00000000-0005-0000-0000-000034170000}"/>
    <cellStyle name="SAPBEXexcCritical5 27" xfId="4706" xr:uid="{00000000-0005-0000-0000-000035170000}"/>
    <cellStyle name="SAPBEXexcCritical5 28" xfId="4707" xr:uid="{00000000-0005-0000-0000-000036170000}"/>
    <cellStyle name="SAPBEXexcCritical5 29" xfId="4708" xr:uid="{00000000-0005-0000-0000-000037170000}"/>
    <cellStyle name="SAPBEXexcCritical5 3" xfId="4709" xr:uid="{00000000-0005-0000-0000-000038170000}"/>
    <cellStyle name="SAPBEXexcCritical5 30" xfId="4710" xr:uid="{00000000-0005-0000-0000-000039170000}"/>
    <cellStyle name="SAPBEXexcCritical5 31" xfId="4711" xr:uid="{00000000-0005-0000-0000-00003A170000}"/>
    <cellStyle name="SAPBEXexcCritical5 32" xfId="4712" xr:uid="{00000000-0005-0000-0000-00003B170000}"/>
    <cellStyle name="SAPBEXexcCritical5 33" xfId="4713" xr:uid="{00000000-0005-0000-0000-00003C170000}"/>
    <cellStyle name="SAPBEXexcCritical5 34" xfId="4714" xr:uid="{00000000-0005-0000-0000-00003D170000}"/>
    <cellStyle name="SAPBEXexcCritical5 35" xfId="4715" xr:uid="{00000000-0005-0000-0000-00003E170000}"/>
    <cellStyle name="SAPBEXexcCritical5 36" xfId="4716" xr:uid="{00000000-0005-0000-0000-00003F170000}"/>
    <cellStyle name="SAPBEXexcCritical5 37" xfId="4717" xr:uid="{00000000-0005-0000-0000-000040170000}"/>
    <cellStyle name="SAPBEXexcCritical5 38" xfId="4718" xr:uid="{00000000-0005-0000-0000-000041170000}"/>
    <cellStyle name="SAPBEXexcCritical5 39" xfId="4719" xr:uid="{00000000-0005-0000-0000-000042170000}"/>
    <cellStyle name="SAPBEXexcCritical5 4" xfId="4720" xr:uid="{00000000-0005-0000-0000-000043170000}"/>
    <cellStyle name="SAPBEXexcCritical5 40" xfId="4721" xr:uid="{00000000-0005-0000-0000-000044170000}"/>
    <cellStyle name="SAPBEXexcCritical5 41" xfId="4722" xr:uid="{00000000-0005-0000-0000-000045170000}"/>
    <cellStyle name="SAPBEXexcCritical5 42" xfId="4723" xr:uid="{00000000-0005-0000-0000-000046170000}"/>
    <cellStyle name="SAPBEXexcCritical5 43" xfId="4724" xr:uid="{00000000-0005-0000-0000-000047170000}"/>
    <cellStyle name="SAPBEXexcCritical5 44" xfId="4725" xr:uid="{00000000-0005-0000-0000-000048170000}"/>
    <cellStyle name="SAPBEXexcCritical5 45" xfId="4726" xr:uid="{00000000-0005-0000-0000-000049170000}"/>
    <cellStyle name="SAPBEXexcCritical5 46" xfId="4727" xr:uid="{00000000-0005-0000-0000-00004A170000}"/>
    <cellStyle name="SAPBEXexcCritical5 47" xfId="4728" xr:uid="{00000000-0005-0000-0000-00004B170000}"/>
    <cellStyle name="SAPBEXexcCritical5 48" xfId="4729" xr:uid="{00000000-0005-0000-0000-00004C170000}"/>
    <cellStyle name="SAPBEXexcCritical5 49" xfId="4730" xr:uid="{00000000-0005-0000-0000-00004D170000}"/>
    <cellStyle name="SAPBEXexcCritical5 5" xfId="4731" xr:uid="{00000000-0005-0000-0000-00004E170000}"/>
    <cellStyle name="SAPBEXexcCritical5 50" xfId="4732" xr:uid="{00000000-0005-0000-0000-00004F170000}"/>
    <cellStyle name="SAPBEXexcCritical5 51" xfId="4733" xr:uid="{00000000-0005-0000-0000-000050170000}"/>
    <cellStyle name="SAPBEXexcCritical5 52" xfId="4734" xr:uid="{00000000-0005-0000-0000-000051170000}"/>
    <cellStyle name="SAPBEXexcCritical5 53" xfId="4735" xr:uid="{00000000-0005-0000-0000-000052170000}"/>
    <cellStyle name="SAPBEXexcCritical5 54" xfId="4736" xr:uid="{00000000-0005-0000-0000-000053170000}"/>
    <cellStyle name="SAPBEXexcCritical5 55" xfId="4737" xr:uid="{00000000-0005-0000-0000-000054170000}"/>
    <cellStyle name="SAPBEXexcCritical5 56" xfId="4738" xr:uid="{00000000-0005-0000-0000-000055170000}"/>
    <cellStyle name="SAPBEXexcCritical5 57" xfId="4739" xr:uid="{00000000-0005-0000-0000-000056170000}"/>
    <cellStyle name="SAPBEXexcCritical5 58" xfId="4740" xr:uid="{00000000-0005-0000-0000-000057170000}"/>
    <cellStyle name="SAPBEXexcCritical5 59" xfId="4741" xr:uid="{00000000-0005-0000-0000-000058170000}"/>
    <cellStyle name="SAPBEXexcCritical5 6" xfId="4742" xr:uid="{00000000-0005-0000-0000-000059170000}"/>
    <cellStyle name="SAPBEXexcCritical5 60" xfId="4743" xr:uid="{00000000-0005-0000-0000-00005A170000}"/>
    <cellStyle name="SAPBEXexcCritical5 61" xfId="4744" xr:uid="{00000000-0005-0000-0000-00005B170000}"/>
    <cellStyle name="SAPBEXexcCritical5 62" xfId="4745" xr:uid="{00000000-0005-0000-0000-00005C170000}"/>
    <cellStyle name="SAPBEXexcCritical5 63" xfId="4746" xr:uid="{00000000-0005-0000-0000-00005D170000}"/>
    <cellStyle name="SAPBEXexcCritical5 64" xfId="4747" xr:uid="{00000000-0005-0000-0000-00005E170000}"/>
    <cellStyle name="SAPBEXexcCritical5 65" xfId="4748" xr:uid="{00000000-0005-0000-0000-00005F170000}"/>
    <cellStyle name="SAPBEXexcCritical5 66" xfId="4749" xr:uid="{00000000-0005-0000-0000-000060170000}"/>
    <cellStyle name="SAPBEXexcCritical5 67" xfId="4750" xr:uid="{00000000-0005-0000-0000-000061170000}"/>
    <cellStyle name="SAPBEXexcCritical5 68" xfId="4751" xr:uid="{00000000-0005-0000-0000-000062170000}"/>
    <cellStyle name="SAPBEXexcCritical5 69" xfId="4752" xr:uid="{00000000-0005-0000-0000-000063170000}"/>
    <cellStyle name="SAPBEXexcCritical5 7" xfId="4753" xr:uid="{00000000-0005-0000-0000-000064170000}"/>
    <cellStyle name="SAPBEXexcCritical5 70" xfId="4754" xr:uid="{00000000-0005-0000-0000-000065170000}"/>
    <cellStyle name="SAPBEXexcCritical5 71" xfId="4755" xr:uid="{00000000-0005-0000-0000-000066170000}"/>
    <cellStyle name="SAPBEXexcCritical5 72" xfId="4756" xr:uid="{00000000-0005-0000-0000-000067170000}"/>
    <cellStyle name="SAPBEXexcCritical5 73" xfId="4757" xr:uid="{00000000-0005-0000-0000-000068170000}"/>
    <cellStyle name="SAPBEXexcCritical5 74" xfId="4758" xr:uid="{00000000-0005-0000-0000-000069170000}"/>
    <cellStyle name="SAPBEXexcCritical5 75" xfId="4759" xr:uid="{00000000-0005-0000-0000-00006A170000}"/>
    <cellStyle name="SAPBEXexcCritical5 76" xfId="4760" xr:uid="{00000000-0005-0000-0000-00006B170000}"/>
    <cellStyle name="SAPBEXexcCritical5 77" xfId="4761" xr:uid="{00000000-0005-0000-0000-00006C170000}"/>
    <cellStyle name="SAPBEXexcCritical5 78" xfId="4762" xr:uid="{00000000-0005-0000-0000-00006D170000}"/>
    <cellStyle name="SAPBEXexcCritical5 79" xfId="4763" xr:uid="{00000000-0005-0000-0000-00006E170000}"/>
    <cellStyle name="SAPBEXexcCritical5 8" xfId="4764" xr:uid="{00000000-0005-0000-0000-00006F170000}"/>
    <cellStyle name="SAPBEXexcCritical5 80" xfId="4765" xr:uid="{00000000-0005-0000-0000-000070170000}"/>
    <cellStyle name="SAPBEXexcCritical5 81" xfId="4766" xr:uid="{00000000-0005-0000-0000-000071170000}"/>
    <cellStyle name="SAPBEXexcCritical5 82" xfId="4767" xr:uid="{00000000-0005-0000-0000-000072170000}"/>
    <cellStyle name="SAPBEXexcCritical5 83" xfId="4768" xr:uid="{00000000-0005-0000-0000-000073170000}"/>
    <cellStyle name="SAPBEXexcCritical5 84" xfId="4769" xr:uid="{00000000-0005-0000-0000-000074170000}"/>
    <cellStyle name="SAPBEXexcCritical5 85" xfId="4770" xr:uid="{00000000-0005-0000-0000-000075170000}"/>
    <cellStyle name="SAPBEXexcCritical5 86" xfId="4771" xr:uid="{00000000-0005-0000-0000-000076170000}"/>
    <cellStyle name="SAPBEXexcCritical5 87" xfId="4772" xr:uid="{00000000-0005-0000-0000-000077170000}"/>
    <cellStyle name="SAPBEXexcCritical5 88" xfId="4773" xr:uid="{00000000-0005-0000-0000-000078170000}"/>
    <cellStyle name="SAPBEXexcCritical5 89" xfId="4774" xr:uid="{00000000-0005-0000-0000-000079170000}"/>
    <cellStyle name="SAPBEXexcCritical5 9" xfId="4775" xr:uid="{00000000-0005-0000-0000-00007A170000}"/>
    <cellStyle name="SAPBEXexcCritical5 90" xfId="4776" xr:uid="{00000000-0005-0000-0000-00007B170000}"/>
    <cellStyle name="SAPBEXexcCritical5 91" xfId="4777" xr:uid="{00000000-0005-0000-0000-00007C170000}"/>
    <cellStyle name="SAPBEXexcCritical5 92" xfId="4778" xr:uid="{00000000-0005-0000-0000-00007D170000}"/>
    <cellStyle name="SAPBEXexcCritical5 93" xfId="4779" xr:uid="{00000000-0005-0000-0000-00007E170000}"/>
    <cellStyle name="SAPBEXexcCritical5 94" xfId="4780" xr:uid="{00000000-0005-0000-0000-00007F170000}"/>
    <cellStyle name="SAPBEXexcCritical5 95" xfId="4781" xr:uid="{00000000-0005-0000-0000-000080170000}"/>
    <cellStyle name="SAPBEXexcCritical5 96" xfId="4782" xr:uid="{00000000-0005-0000-0000-000081170000}"/>
    <cellStyle name="SAPBEXexcCritical5 97" xfId="4783" xr:uid="{00000000-0005-0000-0000-000082170000}"/>
    <cellStyle name="SAPBEXexcCritical5 98" xfId="4784" xr:uid="{00000000-0005-0000-0000-000083170000}"/>
    <cellStyle name="SAPBEXexcCritical5 99" xfId="4785" xr:uid="{00000000-0005-0000-0000-000084170000}"/>
    <cellStyle name="SAPBEXexcCritical5_(A-7) IS-Inputs" xfId="4786" xr:uid="{00000000-0005-0000-0000-000085170000}"/>
    <cellStyle name="SAPBEXexcCritical6" xfId="4787" xr:uid="{00000000-0005-0000-0000-000086170000}"/>
    <cellStyle name="SAPBEXexcCritical6 10" xfId="4788" xr:uid="{00000000-0005-0000-0000-000087170000}"/>
    <cellStyle name="SAPBEXexcCritical6 100" xfId="4789" xr:uid="{00000000-0005-0000-0000-000088170000}"/>
    <cellStyle name="SAPBEXexcCritical6 101" xfId="4790" xr:uid="{00000000-0005-0000-0000-000089170000}"/>
    <cellStyle name="SAPBEXexcCritical6 102" xfId="4791" xr:uid="{00000000-0005-0000-0000-00008A170000}"/>
    <cellStyle name="SAPBEXexcCritical6 103" xfId="4792" xr:uid="{00000000-0005-0000-0000-00008B170000}"/>
    <cellStyle name="SAPBEXexcCritical6 104" xfId="4793" xr:uid="{00000000-0005-0000-0000-00008C170000}"/>
    <cellStyle name="SAPBEXexcCritical6 105" xfId="4794" xr:uid="{00000000-0005-0000-0000-00008D170000}"/>
    <cellStyle name="SAPBEXexcCritical6 106" xfId="4795" xr:uid="{00000000-0005-0000-0000-00008E170000}"/>
    <cellStyle name="SAPBEXexcCritical6 107" xfId="4796" xr:uid="{00000000-0005-0000-0000-00008F170000}"/>
    <cellStyle name="SAPBEXexcCritical6 108" xfId="4797" xr:uid="{00000000-0005-0000-0000-000090170000}"/>
    <cellStyle name="SAPBEXexcCritical6 109" xfId="4798" xr:uid="{00000000-0005-0000-0000-000091170000}"/>
    <cellStyle name="SAPBEXexcCritical6 11" xfId="4799" xr:uid="{00000000-0005-0000-0000-000092170000}"/>
    <cellStyle name="SAPBEXexcCritical6 110" xfId="4800" xr:uid="{00000000-0005-0000-0000-000093170000}"/>
    <cellStyle name="SAPBEXexcCritical6 12" xfId="4801" xr:uid="{00000000-0005-0000-0000-000094170000}"/>
    <cellStyle name="SAPBEXexcCritical6 13" xfId="4802" xr:uid="{00000000-0005-0000-0000-000095170000}"/>
    <cellStyle name="SAPBEXexcCritical6 14" xfId="4803" xr:uid="{00000000-0005-0000-0000-000096170000}"/>
    <cellStyle name="SAPBEXexcCritical6 15" xfId="4804" xr:uid="{00000000-0005-0000-0000-000097170000}"/>
    <cellStyle name="SAPBEXexcCritical6 16" xfId="4805" xr:uid="{00000000-0005-0000-0000-000098170000}"/>
    <cellStyle name="SAPBEXexcCritical6 17" xfId="4806" xr:uid="{00000000-0005-0000-0000-000099170000}"/>
    <cellStyle name="SAPBEXexcCritical6 18" xfId="4807" xr:uid="{00000000-0005-0000-0000-00009A170000}"/>
    <cellStyle name="SAPBEXexcCritical6 19" xfId="4808" xr:uid="{00000000-0005-0000-0000-00009B170000}"/>
    <cellStyle name="SAPBEXexcCritical6 2" xfId="4809" xr:uid="{00000000-0005-0000-0000-00009C170000}"/>
    <cellStyle name="SAPBEXexcCritical6 20" xfId="4810" xr:uid="{00000000-0005-0000-0000-00009D170000}"/>
    <cellStyle name="SAPBEXexcCritical6 21" xfId="4811" xr:uid="{00000000-0005-0000-0000-00009E170000}"/>
    <cellStyle name="SAPBEXexcCritical6 22" xfId="4812" xr:uid="{00000000-0005-0000-0000-00009F170000}"/>
    <cellStyle name="SAPBEXexcCritical6 23" xfId="4813" xr:uid="{00000000-0005-0000-0000-0000A0170000}"/>
    <cellStyle name="SAPBEXexcCritical6 24" xfId="4814" xr:uid="{00000000-0005-0000-0000-0000A1170000}"/>
    <cellStyle name="SAPBEXexcCritical6 25" xfId="4815" xr:uid="{00000000-0005-0000-0000-0000A2170000}"/>
    <cellStyle name="SAPBEXexcCritical6 26" xfId="4816" xr:uid="{00000000-0005-0000-0000-0000A3170000}"/>
    <cellStyle name="SAPBEXexcCritical6 27" xfId="4817" xr:uid="{00000000-0005-0000-0000-0000A4170000}"/>
    <cellStyle name="SAPBEXexcCritical6 28" xfId="4818" xr:uid="{00000000-0005-0000-0000-0000A5170000}"/>
    <cellStyle name="SAPBEXexcCritical6 29" xfId="4819" xr:uid="{00000000-0005-0000-0000-0000A6170000}"/>
    <cellStyle name="SAPBEXexcCritical6 3" xfId="4820" xr:uid="{00000000-0005-0000-0000-0000A7170000}"/>
    <cellStyle name="SAPBEXexcCritical6 30" xfId="4821" xr:uid="{00000000-0005-0000-0000-0000A8170000}"/>
    <cellStyle name="SAPBEXexcCritical6 31" xfId="4822" xr:uid="{00000000-0005-0000-0000-0000A9170000}"/>
    <cellStyle name="SAPBEXexcCritical6 32" xfId="4823" xr:uid="{00000000-0005-0000-0000-0000AA170000}"/>
    <cellStyle name="SAPBEXexcCritical6 33" xfId="4824" xr:uid="{00000000-0005-0000-0000-0000AB170000}"/>
    <cellStyle name="SAPBEXexcCritical6 34" xfId="4825" xr:uid="{00000000-0005-0000-0000-0000AC170000}"/>
    <cellStyle name="SAPBEXexcCritical6 35" xfId="4826" xr:uid="{00000000-0005-0000-0000-0000AD170000}"/>
    <cellStyle name="SAPBEXexcCritical6 36" xfId="4827" xr:uid="{00000000-0005-0000-0000-0000AE170000}"/>
    <cellStyle name="SAPBEXexcCritical6 37" xfId="4828" xr:uid="{00000000-0005-0000-0000-0000AF170000}"/>
    <cellStyle name="SAPBEXexcCritical6 38" xfId="4829" xr:uid="{00000000-0005-0000-0000-0000B0170000}"/>
    <cellStyle name="SAPBEXexcCritical6 39" xfId="4830" xr:uid="{00000000-0005-0000-0000-0000B1170000}"/>
    <cellStyle name="SAPBEXexcCritical6 4" xfId="4831" xr:uid="{00000000-0005-0000-0000-0000B2170000}"/>
    <cellStyle name="SAPBEXexcCritical6 40" xfId="4832" xr:uid="{00000000-0005-0000-0000-0000B3170000}"/>
    <cellStyle name="SAPBEXexcCritical6 41" xfId="4833" xr:uid="{00000000-0005-0000-0000-0000B4170000}"/>
    <cellStyle name="SAPBEXexcCritical6 42" xfId="4834" xr:uid="{00000000-0005-0000-0000-0000B5170000}"/>
    <cellStyle name="SAPBEXexcCritical6 43" xfId="4835" xr:uid="{00000000-0005-0000-0000-0000B6170000}"/>
    <cellStyle name="SAPBEXexcCritical6 44" xfId="4836" xr:uid="{00000000-0005-0000-0000-0000B7170000}"/>
    <cellStyle name="SAPBEXexcCritical6 45" xfId="4837" xr:uid="{00000000-0005-0000-0000-0000B8170000}"/>
    <cellStyle name="SAPBEXexcCritical6 46" xfId="4838" xr:uid="{00000000-0005-0000-0000-0000B9170000}"/>
    <cellStyle name="SAPBEXexcCritical6 47" xfId="4839" xr:uid="{00000000-0005-0000-0000-0000BA170000}"/>
    <cellStyle name="SAPBEXexcCritical6 48" xfId="4840" xr:uid="{00000000-0005-0000-0000-0000BB170000}"/>
    <cellStyle name="SAPBEXexcCritical6 49" xfId="4841" xr:uid="{00000000-0005-0000-0000-0000BC170000}"/>
    <cellStyle name="SAPBEXexcCritical6 5" xfId="4842" xr:uid="{00000000-0005-0000-0000-0000BD170000}"/>
    <cellStyle name="SAPBEXexcCritical6 50" xfId="4843" xr:uid="{00000000-0005-0000-0000-0000BE170000}"/>
    <cellStyle name="SAPBEXexcCritical6 51" xfId="4844" xr:uid="{00000000-0005-0000-0000-0000BF170000}"/>
    <cellStyle name="SAPBEXexcCritical6 52" xfId="4845" xr:uid="{00000000-0005-0000-0000-0000C0170000}"/>
    <cellStyle name="SAPBEXexcCritical6 53" xfId="4846" xr:uid="{00000000-0005-0000-0000-0000C1170000}"/>
    <cellStyle name="SAPBEXexcCritical6 54" xfId="4847" xr:uid="{00000000-0005-0000-0000-0000C2170000}"/>
    <cellStyle name="SAPBEXexcCritical6 55" xfId="4848" xr:uid="{00000000-0005-0000-0000-0000C3170000}"/>
    <cellStyle name="SAPBEXexcCritical6 56" xfId="4849" xr:uid="{00000000-0005-0000-0000-0000C4170000}"/>
    <cellStyle name="SAPBEXexcCritical6 57" xfId="4850" xr:uid="{00000000-0005-0000-0000-0000C5170000}"/>
    <cellStyle name="SAPBEXexcCritical6 58" xfId="4851" xr:uid="{00000000-0005-0000-0000-0000C6170000}"/>
    <cellStyle name="SAPBEXexcCritical6 59" xfId="4852" xr:uid="{00000000-0005-0000-0000-0000C7170000}"/>
    <cellStyle name="SAPBEXexcCritical6 6" xfId="4853" xr:uid="{00000000-0005-0000-0000-0000C8170000}"/>
    <cellStyle name="SAPBEXexcCritical6 60" xfId="4854" xr:uid="{00000000-0005-0000-0000-0000C9170000}"/>
    <cellStyle name="SAPBEXexcCritical6 61" xfId="4855" xr:uid="{00000000-0005-0000-0000-0000CA170000}"/>
    <cellStyle name="SAPBEXexcCritical6 62" xfId="4856" xr:uid="{00000000-0005-0000-0000-0000CB170000}"/>
    <cellStyle name="SAPBEXexcCritical6 63" xfId="4857" xr:uid="{00000000-0005-0000-0000-0000CC170000}"/>
    <cellStyle name="SAPBEXexcCritical6 64" xfId="4858" xr:uid="{00000000-0005-0000-0000-0000CD170000}"/>
    <cellStyle name="SAPBEXexcCritical6 65" xfId="4859" xr:uid="{00000000-0005-0000-0000-0000CE170000}"/>
    <cellStyle name="SAPBEXexcCritical6 66" xfId="4860" xr:uid="{00000000-0005-0000-0000-0000CF170000}"/>
    <cellStyle name="SAPBEXexcCritical6 67" xfId="4861" xr:uid="{00000000-0005-0000-0000-0000D0170000}"/>
    <cellStyle name="SAPBEXexcCritical6 68" xfId="4862" xr:uid="{00000000-0005-0000-0000-0000D1170000}"/>
    <cellStyle name="SAPBEXexcCritical6 69" xfId="4863" xr:uid="{00000000-0005-0000-0000-0000D2170000}"/>
    <cellStyle name="SAPBEXexcCritical6 7" xfId="4864" xr:uid="{00000000-0005-0000-0000-0000D3170000}"/>
    <cellStyle name="SAPBEXexcCritical6 70" xfId="4865" xr:uid="{00000000-0005-0000-0000-0000D4170000}"/>
    <cellStyle name="SAPBEXexcCritical6 71" xfId="4866" xr:uid="{00000000-0005-0000-0000-0000D5170000}"/>
    <cellStyle name="SAPBEXexcCritical6 72" xfId="4867" xr:uid="{00000000-0005-0000-0000-0000D6170000}"/>
    <cellStyle name="SAPBEXexcCritical6 73" xfId="4868" xr:uid="{00000000-0005-0000-0000-0000D7170000}"/>
    <cellStyle name="SAPBEXexcCritical6 74" xfId="4869" xr:uid="{00000000-0005-0000-0000-0000D8170000}"/>
    <cellStyle name="SAPBEXexcCritical6 75" xfId="4870" xr:uid="{00000000-0005-0000-0000-0000D9170000}"/>
    <cellStyle name="SAPBEXexcCritical6 76" xfId="4871" xr:uid="{00000000-0005-0000-0000-0000DA170000}"/>
    <cellStyle name="SAPBEXexcCritical6 77" xfId="4872" xr:uid="{00000000-0005-0000-0000-0000DB170000}"/>
    <cellStyle name="SAPBEXexcCritical6 78" xfId="4873" xr:uid="{00000000-0005-0000-0000-0000DC170000}"/>
    <cellStyle name="SAPBEXexcCritical6 79" xfId="4874" xr:uid="{00000000-0005-0000-0000-0000DD170000}"/>
    <cellStyle name="SAPBEXexcCritical6 8" xfId="4875" xr:uid="{00000000-0005-0000-0000-0000DE170000}"/>
    <cellStyle name="SAPBEXexcCritical6 80" xfId="4876" xr:uid="{00000000-0005-0000-0000-0000DF170000}"/>
    <cellStyle name="SAPBEXexcCritical6 81" xfId="4877" xr:uid="{00000000-0005-0000-0000-0000E0170000}"/>
    <cellStyle name="SAPBEXexcCritical6 82" xfId="4878" xr:uid="{00000000-0005-0000-0000-0000E1170000}"/>
    <cellStyle name="SAPBEXexcCritical6 83" xfId="4879" xr:uid="{00000000-0005-0000-0000-0000E2170000}"/>
    <cellStyle name="SAPBEXexcCritical6 84" xfId="4880" xr:uid="{00000000-0005-0000-0000-0000E3170000}"/>
    <cellStyle name="SAPBEXexcCritical6 85" xfId="4881" xr:uid="{00000000-0005-0000-0000-0000E4170000}"/>
    <cellStyle name="SAPBEXexcCritical6 86" xfId="4882" xr:uid="{00000000-0005-0000-0000-0000E5170000}"/>
    <cellStyle name="SAPBEXexcCritical6 87" xfId="4883" xr:uid="{00000000-0005-0000-0000-0000E6170000}"/>
    <cellStyle name="SAPBEXexcCritical6 88" xfId="4884" xr:uid="{00000000-0005-0000-0000-0000E7170000}"/>
    <cellStyle name="SAPBEXexcCritical6 89" xfId="4885" xr:uid="{00000000-0005-0000-0000-0000E8170000}"/>
    <cellStyle name="SAPBEXexcCritical6 9" xfId="4886" xr:uid="{00000000-0005-0000-0000-0000E9170000}"/>
    <cellStyle name="SAPBEXexcCritical6 90" xfId="4887" xr:uid="{00000000-0005-0000-0000-0000EA170000}"/>
    <cellStyle name="SAPBEXexcCritical6 91" xfId="4888" xr:uid="{00000000-0005-0000-0000-0000EB170000}"/>
    <cellStyle name="SAPBEXexcCritical6 92" xfId="4889" xr:uid="{00000000-0005-0000-0000-0000EC170000}"/>
    <cellStyle name="SAPBEXexcCritical6 93" xfId="4890" xr:uid="{00000000-0005-0000-0000-0000ED170000}"/>
    <cellStyle name="SAPBEXexcCritical6 94" xfId="4891" xr:uid="{00000000-0005-0000-0000-0000EE170000}"/>
    <cellStyle name="SAPBEXexcCritical6 95" xfId="4892" xr:uid="{00000000-0005-0000-0000-0000EF170000}"/>
    <cellStyle name="SAPBEXexcCritical6 96" xfId="4893" xr:uid="{00000000-0005-0000-0000-0000F0170000}"/>
    <cellStyle name="SAPBEXexcCritical6 97" xfId="4894" xr:uid="{00000000-0005-0000-0000-0000F1170000}"/>
    <cellStyle name="SAPBEXexcCritical6 98" xfId="4895" xr:uid="{00000000-0005-0000-0000-0000F2170000}"/>
    <cellStyle name="SAPBEXexcCritical6 99" xfId="4896" xr:uid="{00000000-0005-0000-0000-0000F3170000}"/>
    <cellStyle name="SAPBEXexcCritical6_(A-7) IS-Inputs" xfId="4897" xr:uid="{00000000-0005-0000-0000-0000F4170000}"/>
    <cellStyle name="SAPBEXexcGood1" xfId="4898" xr:uid="{00000000-0005-0000-0000-0000F5170000}"/>
    <cellStyle name="SAPBEXexcGood1 10" xfId="4899" xr:uid="{00000000-0005-0000-0000-0000F6170000}"/>
    <cellStyle name="SAPBEXexcGood1 100" xfId="4900" xr:uid="{00000000-0005-0000-0000-0000F7170000}"/>
    <cellStyle name="SAPBEXexcGood1 101" xfId="4901" xr:uid="{00000000-0005-0000-0000-0000F8170000}"/>
    <cellStyle name="SAPBEXexcGood1 102" xfId="4902" xr:uid="{00000000-0005-0000-0000-0000F9170000}"/>
    <cellStyle name="SAPBEXexcGood1 103" xfId="4903" xr:uid="{00000000-0005-0000-0000-0000FA170000}"/>
    <cellStyle name="SAPBEXexcGood1 104" xfId="4904" xr:uid="{00000000-0005-0000-0000-0000FB170000}"/>
    <cellStyle name="SAPBEXexcGood1 105" xfId="4905" xr:uid="{00000000-0005-0000-0000-0000FC170000}"/>
    <cellStyle name="SAPBEXexcGood1 106" xfId="4906" xr:uid="{00000000-0005-0000-0000-0000FD170000}"/>
    <cellStyle name="SAPBEXexcGood1 107" xfId="4907" xr:uid="{00000000-0005-0000-0000-0000FE170000}"/>
    <cellStyle name="SAPBEXexcGood1 108" xfId="4908" xr:uid="{00000000-0005-0000-0000-0000FF170000}"/>
    <cellStyle name="SAPBEXexcGood1 109" xfId="4909" xr:uid="{00000000-0005-0000-0000-000000180000}"/>
    <cellStyle name="SAPBEXexcGood1 11" xfId="4910" xr:uid="{00000000-0005-0000-0000-000001180000}"/>
    <cellStyle name="SAPBEXexcGood1 110" xfId="4911" xr:uid="{00000000-0005-0000-0000-000002180000}"/>
    <cellStyle name="SAPBEXexcGood1 12" xfId="4912" xr:uid="{00000000-0005-0000-0000-000003180000}"/>
    <cellStyle name="SAPBEXexcGood1 13" xfId="4913" xr:uid="{00000000-0005-0000-0000-000004180000}"/>
    <cellStyle name="SAPBEXexcGood1 14" xfId="4914" xr:uid="{00000000-0005-0000-0000-000005180000}"/>
    <cellStyle name="SAPBEXexcGood1 15" xfId="4915" xr:uid="{00000000-0005-0000-0000-000006180000}"/>
    <cellStyle name="SAPBEXexcGood1 16" xfId="4916" xr:uid="{00000000-0005-0000-0000-000007180000}"/>
    <cellStyle name="SAPBEXexcGood1 17" xfId="4917" xr:uid="{00000000-0005-0000-0000-000008180000}"/>
    <cellStyle name="SAPBEXexcGood1 18" xfId="4918" xr:uid="{00000000-0005-0000-0000-000009180000}"/>
    <cellStyle name="SAPBEXexcGood1 19" xfId="4919" xr:uid="{00000000-0005-0000-0000-00000A180000}"/>
    <cellStyle name="SAPBEXexcGood1 2" xfId="4920" xr:uid="{00000000-0005-0000-0000-00000B180000}"/>
    <cellStyle name="SAPBEXexcGood1 20" xfId="4921" xr:uid="{00000000-0005-0000-0000-00000C180000}"/>
    <cellStyle name="SAPBEXexcGood1 21" xfId="4922" xr:uid="{00000000-0005-0000-0000-00000D180000}"/>
    <cellStyle name="SAPBEXexcGood1 22" xfId="4923" xr:uid="{00000000-0005-0000-0000-00000E180000}"/>
    <cellStyle name="SAPBEXexcGood1 23" xfId="4924" xr:uid="{00000000-0005-0000-0000-00000F180000}"/>
    <cellStyle name="SAPBEXexcGood1 24" xfId="4925" xr:uid="{00000000-0005-0000-0000-000010180000}"/>
    <cellStyle name="SAPBEXexcGood1 25" xfId="4926" xr:uid="{00000000-0005-0000-0000-000011180000}"/>
    <cellStyle name="SAPBEXexcGood1 26" xfId="4927" xr:uid="{00000000-0005-0000-0000-000012180000}"/>
    <cellStyle name="SAPBEXexcGood1 27" xfId="4928" xr:uid="{00000000-0005-0000-0000-000013180000}"/>
    <cellStyle name="SAPBEXexcGood1 28" xfId="4929" xr:uid="{00000000-0005-0000-0000-000014180000}"/>
    <cellStyle name="SAPBEXexcGood1 29" xfId="4930" xr:uid="{00000000-0005-0000-0000-000015180000}"/>
    <cellStyle name="SAPBEXexcGood1 3" xfId="4931" xr:uid="{00000000-0005-0000-0000-000016180000}"/>
    <cellStyle name="SAPBEXexcGood1 30" xfId="4932" xr:uid="{00000000-0005-0000-0000-000017180000}"/>
    <cellStyle name="SAPBEXexcGood1 31" xfId="4933" xr:uid="{00000000-0005-0000-0000-000018180000}"/>
    <cellStyle name="SAPBEXexcGood1 32" xfId="4934" xr:uid="{00000000-0005-0000-0000-000019180000}"/>
    <cellStyle name="SAPBEXexcGood1 33" xfId="4935" xr:uid="{00000000-0005-0000-0000-00001A180000}"/>
    <cellStyle name="SAPBEXexcGood1 34" xfId="4936" xr:uid="{00000000-0005-0000-0000-00001B180000}"/>
    <cellStyle name="SAPBEXexcGood1 35" xfId="4937" xr:uid="{00000000-0005-0000-0000-00001C180000}"/>
    <cellStyle name="SAPBEXexcGood1 36" xfId="4938" xr:uid="{00000000-0005-0000-0000-00001D180000}"/>
    <cellStyle name="SAPBEXexcGood1 37" xfId="4939" xr:uid="{00000000-0005-0000-0000-00001E180000}"/>
    <cellStyle name="SAPBEXexcGood1 38" xfId="4940" xr:uid="{00000000-0005-0000-0000-00001F180000}"/>
    <cellStyle name="SAPBEXexcGood1 39" xfId="4941" xr:uid="{00000000-0005-0000-0000-000020180000}"/>
    <cellStyle name="SAPBEXexcGood1 4" xfId="4942" xr:uid="{00000000-0005-0000-0000-000021180000}"/>
    <cellStyle name="SAPBEXexcGood1 40" xfId="4943" xr:uid="{00000000-0005-0000-0000-000022180000}"/>
    <cellStyle name="SAPBEXexcGood1 41" xfId="4944" xr:uid="{00000000-0005-0000-0000-000023180000}"/>
    <cellStyle name="SAPBEXexcGood1 42" xfId="4945" xr:uid="{00000000-0005-0000-0000-000024180000}"/>
    <cellStyle name="SAPBEXexcGood1 43" xfId="4946" xr:uid="{00000000-0005-0000-0000-000025180000}"/>
    <cellStyle name="SAPBEXexcGood1 44" xfId="4947" xr:uid="{00000000-0005-0000-0000-000026180000}"/>
    <cellStyle name="SAPBEXexcGood1 45" xfId="4948" xr:uid="{00000000-0005-0000-0000-000027180000}"/>
    <cellStyle name="SAPBEXexcGood1 46" xfId="4949" xr:uid="{00000000-0005-0000-0000-000028180000}"/>
    <cellStyle name="SAPBEXexcGood1 47" xfId="4950" xr:uid="{00000000-0005-0000-0000-000029180000}"/>
    <cellStyle name="SAPBEXexcGood1 48" xfId="4951" xr:uid="{00000000-0005-0000-0000-00002A180000}"/>
    <cellStyle name="SAPBEXexcGood1 49" xfId="4952" xr:uid="{00000000-0005-0000-0000-00002B180000}"/>
    <cellStyle name="SAPBEXexcGood1 5" xfId="4953" xr:uid="{00000000-0005-0000-0000-00002C180000}"/>
    <cellStyle name="SAPBEXexcGood1 50" xfId="4954" xr:uid="{00000000-0005-0000-0000-00002D180000}"/>
    <cellStyle name="SAPBEXexcGood1 51" xfId="4955" xr:uid="{00000000-0005-0000-0000-00002E180000}"/>
    <cellStyle name="SAPBEXexcGood1 52" xfId="4956" xr:uid="{00000000-0005-0000-0000-00002F180000}"/>
    <cellStyle name="SAPBEXexcGood1 53" xfId="4957" xr:uid="{00000000-0005-0000-0000-000030180000}"/>
    <cellStyle name="SAPBEXexcGood1 54" xfId="4958" xr:uid="{00000000-0005-0000-0000-000031180000}"/>
    <cellStyle name="SAPBEXexcGood1 55" xfId="4959" xr:uid="{00000000-0005-0000-0000-000032180000}"/>
    <cellStyle name="SAPBEXexcGood1 56" xfId="4960" xr:uid="{00000000-0005-0000-0000-000033180000}"/>
    <cellStyle name="SAPBEXexcGood1 57" xfId="4961" xr:uid="{00000000-0005-0000-0000-000034180000}"/>
    <cellStyle name="SAPBEXexcGood1 58" xfId="4962" xr:uid="{00000000-0005-0000-0000-000035180000}"/>
    <cellStyle name="SAPBEXexcGood1 59" xfId="4963" xr:uid="{00000000-0005-0000-0000-000036180000}"/>
    <cellStyle name="SAPBEXexcGood1 6" xfId="4964" xr:uid="{00000000-0005-0000-0000-000037180000}"/>
    <cellStyle name="SAPBEXexcGood1 60" xfId="4965" xr:uid="{00000000-0005-0000-0000-000038180000}"/>
    <cellStyle name="SAPBEXexcGood1 61" xfId="4966" xr:uid="{00000000-0005-0000-0000-000039180000}"/>
    <cellStyle name="SAPBEXexcGood1 62" xfId="4967" xr:uid="{00000000-0005-0000-0000-00003A180000}"/>
    <cellStyle name="SAPBEXexcGood1 63" xfId="4968" xr:uid="{00000000-0005-0000-0000-00003B180000}"/>
    <cellStyle name="SAPBEXexcGood1 64" xfId="4969" xr:uid="{00000000-0005-0000-0000-00003C180000}"/>
    <cellStyle name="SAPBEXexcGood1 65" xfId="4970" xr:uid="{00000000-0005-0000-0000-00003D180000}"/>
    <cellStyle name="SAPBEXexcGood1 66" xfId="4971" xr:uid="{00000000-0005-0000-0000-00003E180000}"/>
    <cellStyle name="SAPBEXexcGood1 67" xfId="4972" xr:uid="{00000000-0005-0000-0000-00003F180000}"/>
    <cellStyle name="SAPBEXexcGood1 68" xfId="4973" xr:uid="{00000000-0005-0000-0000-000040180000}"/>
    <cellStyle name="SAPBEXexcGood1 69" xfId="4974" xr:uid="{00000000-0005-0000-0000-000041180000}"/>
    <cellStyle name="SAPBEXexcGood1 7" xfId="4975" xr:uid="{00000000-0005-0000-0000-000042180000}"/>
    <cellStyle name="SAPBEXexcGood1 70" xfId="4976" xr:uid="{00000000-0005-0000-0000-000043180000}"/>
    <cellStyle name="SAPBEXexcGood1 71" xfId="4977" xr:uid="{00000000-0005-0000-0000-000044180000}"/>
    <cellStyle name="SAPBEXexcGood1 72" xfId="4978" xr:uid="{00000000-0005-0000-0000-000045180000}"/>
    <cellStyle name="SAPBEXexcGood1 73" xfId="4979" xr:uid="{00000000-0005-0000-0000-000046180000}"/>
    <cellStyle name="SAPBEXexcGood1 74" xfId="4980" xr:uid="{00000000-0005-0000-0000-000047180000}"/>
    <cellStyle name="SAPBEXexcGood1 75" xfId="4981" xr:uid="{00000000-0005-0000-0000-000048180000}"/>
    <cellStyle name="SAPBEXexcGood1 76" xfId="4982" xr:uid="{00000000-0005-0000-0000-000049180000}"/>
    <cellStyle name="SAPBEXexcGood1 77" xfId="4983" xr:uid="{00000000-0005-0000-0000-00004A180000}"/>
    <cellStyle name="SAPBEXexcGood1 78" xfId="4984" xr:uid="{00000000-0005-0000-0000-00004B180000}"/>
    <cellStyle name="SAPBEXexcGood1 79" xfId="4985" xr:uid="{00000000-0005-0000-0000-00004C180000}"/>
    <cellStyle name="SAPBEXexcGood1 8" xfId="4986" xr:uid="{00000000-0005-0000-0000-00004D180000}"/>
    <cellStyle name="SAPBEXexcGood1 80" xfId="4987" xr:uid="{00000000-0005-0000-0000-00004E180000}"/>
    <cellStyle name="SAPBEXexcGood1 81" xfId="4988" xr:uid="{00000000-0005-0000-0000-00004F180000}"/>
    <cellStyle name="SAPBEXexcGood1 82" xfId="4989" xr:uid="{00000000-0005-0000-0000-000050180000}"/>
    <cellStyle name="SAPBEXexcGood1 83" xfId="4990" xr:uid="{00000000-0005-0000-0000-000051180000}"/>
    <cellStyle name="SAPBEXexcGood1 84" xfId="4991" xr:uid="{00000000-0005-0000-0000-000052180000}"/>
    <cellStyle name="SAPBEXexcGood1 85" xfId="4992" xr:uid="{00000000-0005-0000-0000-000053180000}"/>
    <cellStyle name="SAPBEXexcGood1 86" xfId="4993" xr:uid="{00000000-0005-0000-0000-000054180000}"/>
    <cellStyle name="SAPBEXexcGood1 87" xfId="4994" xr:uid="{00000000-0005-0000-0000-000055180000}"/>
    <cellStyle name="SAPBEXexcGood1 88" xfId="4995" xr:uid="{00000000-0005-0000-0000-000056180000}"/>
    <cellStyle name="SAPBEXexcGood1 89" xfId="4996" xr:uid="{00000000-0005-0000-0000-000057180000}"/>
    <cellStyle name="SAPBEXexcGood1 9" xfId="4997" xr:uid="{00000000-0005-0000-0000-000058180000}"/>
    <cellStyle name="SAPBEXexcGood1 90" xfId="4998" xr:uid="{00000000-0005-0000-0000-000059180000}"/>
    <cellStyle name="SAPBEXexcGood1 91" xfId="4999" xr:uid="{00000000-0005-0000-0000-00005A180000}"/>
    <cellStyle name="SAPBEXexcGood1 92" xfId="5000" xr:uid="{00000000-0005-0000-0000-00005B180000}"/>
    <cellStyle name="SAPBEXexcGood1 93" xfId="5001" xr:uid="{00000000-0005-0000-0000-00005C180000}"/>
    <cellStyle name="SAPBEXexcGood1 94" xfId="5002" xr:uid="{00000000-0005-0000-0000-00005D180000}"/>
    <cellStyle name="SAPBEXexcGood1 95" xfId="5003" xr:uid="{00000000-0005-0000-0000-00005E180000}"/>
    <cellStyle name="SAPBEXexcGood1 96" xfId="5004" xr:uid="{00000000-0005-0000-0000-00005F180000}"/>
    <cellStyle name="SAPBEXexcGood1 97" xfId="5005" xr:uid="{00000000-0005-0000-0000-000060180000}"/>
    <cellStyle name="SAPBEXexcGood1 98" xfId="5006" xr:uid="{00000000-0005-0000-0000-000061180000}"/>
    <cellStyle name="SAPBEXexcGood1 99" xfId="5007" xr:uid="{00000000-0005-0000-0000-000062180000}"/>
    <cellStyle name="SAPBEXexcGood1_(A-7) IS-Inputs" xfId="5008" xr:uid="{00000000-0005-0000-0000-000063180000}"/>
    <cellStyle name="SAPBEXexcGood2" xfId="5009" xr:uid="{00000000-0005-0000-0000-000064180000}"/>
    <cellStyle name="SAPBEXexcGood2 10" xfId="5010" xr:uid="{00000000-0005-0000-0000-000065180000}"/>
    <cellStyle name="SAPBEXexcGood2 100" xfId="5011" xr:uid="{00000000-0005-0000-0000-000066180000}"/>
    <cellStyle name="SAPBEXexcGood2 101" xfId="5012" xr:uid="{00000000-0005-0000-0000-000067180000}"/>
    <cellStyle name="SAPBEXexcGood2 102" xfId="5013" xr:uid="{00000000-0005-0000-0000-000068180000}"/>
    <cellStyle name="SAPBEXexcGood2 103" xfId="5014" xr:uid="{00000000-0005-0000-0000-000069180000}"/>
    <cellStyle name="SAPBEXexcGood2 104" xfId="5015" xr:uid="{00000000-0005-0000-0000-00006A180000}"/>
    <cellStyle name="SAPBEXexcGood2 105" xfId="5016" xr:uid="{00000000-0005-0000-0000-00006B180000}"/>
    <cellStyle name="SAPBEXexcGood2 106" xfId="5017" xr:uid="{00000000-0005-0000-0000-00006C180000}"/>
    <cellStyle name="SAPBEXexcGood2 107" xfId="5018" xr:uid="{00000000-0005-0000-0000-00006D180000}"/>
    <cellStyle name="SAPBEXexcGood2 108" xfId="5019" xr:uid="{00000000-0005-0000-0000-00006E180000}"/>
    <cellStyle name="SAPBEXexcGood2 109" xfId="5020" xr:uid="{00000000-0005-0000-0000-00006F180000}"/>
    <cellStyle name="SAPBEXexcGood2 11" xfId="5021" xr:uid="{00000000-0005-0000-0000-000070180000}"/>
    <cellStyle name="SAPBEXexcGood2 110" xfId="5022" xr:uid="{00000000-0005-0000-0000-000071180000}"/>
    <cellStyle name="SAPBEXexcGood2 12" xfId="5023" xr:uid="{00000000-0005-0000-0000-000072180000}"/>
    <cellStyle name="SAPBEXexcGood2 13" xfId="5024" xr:uid="{00000000-0005-0000-0000-000073180000}"/>
    <cellStyle name="SAPBEXexcGood2 14" xfId="5025" xr:uid="{00000000-0005-0000-0000-000074180000}"/>
    <cellStyle name="SAPBEXexcGood2 15" xfId="5026" xr:uid="{00000000-0005-0000-0000-000075180000}"/>
    <cellStyle name="SAPBEXexcGood2 16" xfId="5027" xr:uid="{00000000-0005-0000-0000-000076180000}"/>
    <cellStyle name="SAPBEXexcGood2 17" xfId="5028" xr:uid="{00000000-0005-0000-0000-000077180000}"/>
    <cellStyle name="SAPBEXexcGood2 18" xfId="5029" xr:uid="{00000000-0005-0000-0000-000078180000}"/>
    <cellStyle name="SAPBEXexcGood2 19" xfId="5030" xr:uid="{00000000-0005-0000-0000-000079180000}"/>
    <cellStyle name="SAPBEXexcGood2 2" xfId="5031" xr:uid="{00000000-0005-0000-0000-00007A180000}"/>
    <cellStyle name="SAPBEXexcGood2 20" xfId="5032" xr:uid="{00000000-0005-0000-0000-00007B180000}"/>
    <cellStyle name="SAPBEXexcGood2 21" xfId="5033" xr:uid="{00000000-0005-0000-0000-00007C180000}"/>
    <cellStyle name="SAPBEXexcGood2 22" xfId="5034" xr:uid="{00000000-0005-0000-0000-00007D180000}"/>
    <cellStyle name="SAPBEXexcGood2 23" xfId="5035" xr:uid="{00000000-0005-0000-0000-00007E180000}"/>
    <cellStyle name="SAPBEXexcGood2 24" xfId="5036" xr:uid="{00000000-0005-0000-0000-00007F180000}"/>
    <cellStyle name="SAPBEXexcGood2 25" xfId="5037" xr:uid="{00000000-0005-0000-0000-000080180000}"/>
    <cellStyle name="SAPBEXexcGood2 26" xfId="5038" xr:uid="{00000000-0005-0000-0000-000081180000}"/>
    <cellStyle name="SAPBEXexcGood2 27" xfId="5039" xr:uid="{00000000-0005-0000-0000-000082180000}"/>
    <cellStyle name="SAPBEXexcGood2 28" xfId="5040" xr:uid="{00000000-0005-0000-0000-000083180000}"/>
    <cellStyle name="SAPBEXexcGood2 29" xfId="5041" xr:uid="{00000000-0005-0000-0000-000084180000}"/>
    <cellStyle name="SAPBEXexcGood2 3" xfId="5042" xr:uid="{00000000-0005-0000-0000-000085180000}"/>
    <cellStyle name="SAPBEXexcGood2 30" xfId="5043" xr:uid="{00000000-0005-0000-0000-000086180000}"/>
    <cellStyle name="SAPBEXexcGood2 31" xfId="5044" xr:uid="{00000000-0005-0000-0000-000087180000}"/>
    <cellStyle name="SAPBEXexcGood2 32" xfId="5045" xr:uid="{00000000-0005-0000-0000-000088180000}"/>
    <cellStyle name="SAPBEXexcGood2 33" xfId="5046" xr:uid="{00000000-0005-0000-0000-000089180000}"/>
    <cellStyle name="SAPBEXexcGood2 34" xfId="5047" xr:uid="{00000000-0005-0000-0000-00008A180000}"/>
    <cellStyle name="SAPBEXexcGood2 35" xfId="5048" xr:uid="{00000000-0005-0000-0000-00008B180000}"/>
    <cellStyle name="SAPBEXexcGood2 36" xfId="5049" xr:uid="{00000000-0005-0000-0000-00008C180000}"/>
    <cellStyle name="SAPBEXexcGood2 37" xfId="5050" xr:uid="{00000000-0005-0000-0000-00008D180000}"/>
    <cellStyle name="SAPBEXexcGood2 38" xfId="5051" xr:uid="{00000000-0005-0000-0000-00008E180000}"/>
    <cellStyle name="SAPBEXexcGood2 39" xfId="5052" xr:uid="{00000000-0005-0000-0000-00008F180000}"/>
    <cellStyle name="SAPBEXexcGood2 4" xfId="5053" xr:uid="{00000000-0005-0000-0000-000090180000}"/>
    <cellStyle name="SAPBEXexcGood2 40" xfId="5054" xr:uid="{00000000-0005-0000-0000-000091180000}"/>
    <cellStyle name="SAPBEXexcGood2 41" xfId="5055" xr:uid="{00000000-0005-0000-0000-000092180000}"/>
    <cellStyle name="SAPBEXexcGood2 42" xfId="5056" xr:uid="{00000000-0005-0000-0000-000093180000}"/>
    <cellStyle name="SAPBEXexcGood2 43" xfId="5057" xr:uid="{00000000-0005-0000-0000-000094180000}"/>
    <cellStyle name="SAPBEXexcGood2 44" xfId="5058" xr:uid="{00000000-0005-0000-0000-000095180000}"/>
    <cellStyle name="SAPBEXexcGood2 45" xfId="5059" xr:uid="{00000000-0005-0000-0000-000096180000}"/>
    <cellStyle name="SAPBEXexcGood2 46" xfId="5060" xr:uid="{00000000-0005-0000-0000-000097180000}"/>
    <cellStyle name="SAPBEXexcGood2 47" xfId="5061" xr:uid="{00000000-0005-0000-0000-000098180000}"/>
    <cellStyle name="SAPBEXexcGood2 48" xfId="5062" xr:uid="{00000000-0005-0000-0000-000099180000}"/>
    <cellStyle name="SAPBEXexcGood2 49" xfId="5063" xr:uid="{00000000-0005-0000-0000-00009A180000}"/>
    <cellStyle name="SAPBEXexcGood2 5" xfId="5064" xr:uid="{00000000-0005-0000-0000-00009B180000}"/>
    <cellStyle name="SAPBEXexcGood2 50" xfId="5065" xr:uid="{00000000-0005-0000-0000-00009C180000}"/>
    <cellStyle name="SAPBEXexcGood2 51" xfId="5066" xr:uid="{00000000-0005-0000-0000-00009D180000}"/>
    <cellStyle name="SAPBEXexcGood2 52" xfId="5067" xr:uid="{00000000-0005-0000-0000-00009E180000}"/>
    <cellStyle name="SAPBEXexcGood2 53" xfId="5068" xr:uid="{00000000-0005-0000-0000-00009F180000}"/>
    <cellStyle name="SAPBEXexcGood2 54" xfId="5069" xr:uid="{00000000-0005-0000-0000-0000A0180000}"/>
    <cellStyle name="SAPBEXexcGood2 55" xfId="5070" xr:uid="{00000000-0005-0000-0000-0000A1180000}"/>
    <cellStyle name="SAPBEXexcGood2 56" xfId="5071" xr:uid="{00000000-0005-0000-0000-0000A2180000}"/>
    <cellStyle name="SAPBEXexcGood2 57" xfId="5072" xr:uid="{00000000-0005-0000-0000-0000A3180000}"/>
    <cellStyle name="SAPBEXexcGood2 58" xfId="5073" xr:uid="{00000000-0005-0000-0000-0000A4180000}"/>
    <cellStyle name="SAPBEXexcGood2 59" xfId="5074" xr:uid="{00000000-0005-0000-0000-0000A5180000}"/>
    <cellStyle name="SAPBEXexcGood2 6" xfId="5075" xr:uid="{00000000-0005-0000-0000-0000A6180000}"/>
    <cellStyle name="SAPBEXexcGood2 60" xfId="5076" xr:uid="{00000000-0005-0000-0000-0000A7180000}"/>
    <cellStyle name="SAPBEXexcGood2 61" xfId="5077" xr:uid="{00000000-0005-0000-0000-0000A8180000}"/>
    <cellStyle name="SAPBEXexcGood2 62" xfId="5078" xr:uid="{00000000-0005-0000-0000-0000A9180000}"/>
    <cellStyle name="SAPBEXexcGood2 63" xfId="5079" xr:uid="{00000000-0005-0000-0000-0000AA180000}"/>
    <cellStyle name="SAPBEXexcGood2 64" xfId="5080" xr:uid="{00000000-0005-0000-0000-0000AB180000}"/>
    <cellStyle name="SAPBEXexcGood2 65" xfId="5081" xr:uid="{00000000-0005-0000-0000-0000AC180000}"/>
    <cellStyle name="SAPBEXexcGood2 66" xfId="5082" xr:uid="{00000000-0005-0000-0000-0000AD180000}"/>
    <cellStyle name="SAPBEXexcGood2 67" xfId="5083" xr:uid="{00000000-0005-0000-0000-0000AE180000}"/>
    <cellStyle name="SAPBEXexcGood2 68" xfId="5084" xr:uid="{00000000-0005-0000-0000-0000AF180000}"/>
    <cellStyle name="SAPBEXexcGood2 69" xfId="5085" xr:uid="{00000000-0005-0000-0000-0000B0180000}"/>
    <cellStyle name="SAPBEXexcGood2 7" xfId="5086" xr:uid="{00000000-0005-0000-0000-0000B1180000}"/>
    <cellStyle name="SAPBEXexcGood2 70" xfId="5087" xr:uid="{00000000-0005-0000-0000-0000B2180000}"/>
    <cellStyle name="SAPBEXexcGood2 71" xfId="5088" xr:uid="{00000000-0005-0000-0000-0000B3180000}"/>
    <cellStyle name="SAPBEXexcGood2 72" xfId="5089" xr:uid="{00000000-0005-0000-0000-0000B4180000}"/>
    <cellStyle name="SAPBEXexcGood2 73" xfId="5090" xr:uid="{00000000-0005-0000-0000-0000B5180000}"/>
    <cellStyle name="SAPBEXexcGood2 74" xfId="5091" xr:uid="{00000000-0005-0000-0000-0000B6180000}"/>
    <cellStyle name="SAPBEXexcGood2 75" xfId="5092" xr:uid="{00000000-0005-0000-0000-0000B7180000}"/>
    <cellStyle name="SAPBEXexcGood2 76" xfId="5093" xr:uid="{00000000-0005-0000-0000-0000B8180000}"/>
    <cellStyle name="SAPBEXexcGood2 77" xfId="5094" xr:uid="{00000000-0005-0000-0000-0000B9180000}"/>
    <cellStyle name="SAPBEXexcGood2 78" xfId="5095" xr:uid="{00000000-0005-0000-0000-0000BA180000}"/>
    <cellStyle name="SAPBEXexcGood2 79" xfId="5096" xr:uid="{00000000-0005-0000-0000-0000BB180000}"/>
    <cellStyle name="SAPBEXexcGood2 8" xfId="5097" xr:uid="{00000000-0005-0000-0000-0000BC180000}"/>
    <cellStyle name="SAPBEXexcGood2 80" xfId="5098" xr:uid="{00000000-0005-0000-0000-0000BD180000}"/>
    <cellStyle name="SAPBEXexcGood2 81" xfId="5099" xr:uid="{00000000-0005-0000-0000-0000BE180000}"/>
    <cellStyle name="SAPBEXexcGood2 82" xfId="5100" xr:uid="{00000000-0005-0000-0000-0000BF180000}"/>
    <cellStyle name="SAPBEXexcGood2 83" xfId="5101" xr:uid="{00000000-0005-0000-0000-0000C0180000}"/>
    <cellStyle name="SAPBEXexcGood2 84" xfId="5102" xr:uid="{00000000-0005-0000-0000-0000C1180000}"/>
    <cellStyle name="SAPBEXexcGood2 85" xfId="5103" xr:uid="{00000000-0005-0000-0000-0000C2180000}"/>
    <cellStyle name="SAPBEXexcGood2 86" xfId="5104" xr:uid="{00000000-0005-0000-0000-0000C3180000}"/>
    <cellStyle name="SAPBEXexcGood2 87" xfId="5105" xr:uid="{00000000-0005-0000-0000-0000C4180000}"/>
    <cellStyle name="SAPBEXexcGood2 88" xfId="5106" xr:uid="{00000000-0005-0000-0000-0000C5180000}"/>
    <cellStyle name="SAPBEXexcGood2 89" xfId="5107" xr:uid="{00000000-0005-0000-0000-0000C6180000}"/>
    <cellStyle name="SAPBEXexcGood2 9" xfId="5108" xr:uid="{00000000-0005-0000-0000-0000C7180000}"/>
    <cellStyle name="SAPBEXexcGood2 90" xfId="5109" xr:uid="{00000000-0005-0000-0000-0000C8180000}"/>
    <cellStyle name="SAPBEXexcGood2 91" xfId="5110" xr:uid="{00000000-0005-0000-0000-0000C9180000}"/>
    <cellStyle name="SAPBEXexcGood2 92" xfId="5111" xr:uid="{00000000-0005-0000-0000-0000CA180000}"/>
    <cellStyle name="SAPBEXexcGood2 93" xfId="5112" xr:uid="{00000000-0005-0000-0000-0000CB180000}"/>
    <cellStyle name="SAPBEXexcGood2 94" xfId="5113" xr:uid="{00000000-0005-0000-0000-0000CC180000}"/>
    <cellStyle name="SAPBEXexcGood2 95" xfId="5114" xr:uid="{00000000-0005-0000-0000-0000CD180000}"/>
    <cellStyle name="SAPBEXexcGood2 96" xfId="5115" xr:uid="{00000000-0005-0000-0000-0000CE180000}"/>
    <cellStyle name="SAPBEXexcGood2 97" xfId="5116" xr:uid="{00000000-0005-0000-0000-0000CF180000}"/>
    <cellStyle name="SAPBEXexcGood2 98" xfId="5117" xr:uid="{00000000-0005-0000-0000-0000D0180000}"/>
    <cellStyle name="SAPBEXexcGood2 99" xfId="5118" xr:uid="{00000000-0005-0000-0000-0000D1180000}"/>
    <cellStyle name="SAPBEXexcGood2_(A-7) IS-Inputs" xfId="5119" xr:uid="{00000000-0005-0000-0000-0000D2180000}"/>
    <cellStyle name="SAPBEXexcGood3" xfId="5120" xr:uid="{00000000-0005-0000-0000-0000D3180000}"/>
    <cellStyle name="SAPBEXexcGood3 10" xfId="5121" xr:uid="{00000000-0005-0000-0000-0000D4180000}"/>
    <cellStyle name="SAPBEXexcGood3 100" xfId="5122" xr:uid="{00000000-0005-0000-0000-0000D5180000}"/>
    <cellStyle name="SAPBEXexcGood3 101" xfId="5123" xr:uid="{00000000-0005-0000-0000-0000D6180000}"/>
    <cellStyle name="SAPBEXexcGood3 102" xfId="5124" xr:uid="{00000000-0005-0000-0000-0000D7180000}"/>
    <cellStyle name="SAPBEXexcGood3 103" xfId="5125" xr:uid="{00000000-0005-0000-0000-0000D8180000}"/>
    <cellStyle name="SAPBEXexcGood3 104" xfId="5126" xr:uid="{00000000-0005-0000-0000-0000D9180000}"/>
    <cellStyle name="SAPBEXexcGood3 105" xfId="5127" xr:uid="{00000000-0005-0000-0000-0000DA180000}"/>
    <cellStyle name="SAPBEXexcGood3 106" xfId="5128" xr:uid="{00000000-0005-0000-0000-0000DB180000}"/>
    <cellStyle name="SAPBEXexcGood3 107" xfId="5129" xr:uid="{00000000-0005-0000-0000-0000DC180000}"/>
    <cellStyle name="SAPBEXexcGood3 108" xfId="5130" xr:uid="{00000000-0005-0000-0000-0000DD180000}"/>
    <cellStyle name="SAPBEXexcGood3 109" xfId="5131" xr:uid="{00000000-0005-0000-0000-0000DE180000}"/>
    <cellStyle name="SAPBEXexcGood3 11" xfId="5132" xr:uid="{00000000-0005-0000-0000-0000DF180000}"/>
    <cellStyle name="SAPBEXexcGood3 110" xfId="5133" xr:uid="{00000000-0005-0000-0000-0000E0180000}"/>
    <cellStyle name="SAPBEXexcGood3 12" xfId="5134" xr:uid="{00000000-0005-0000-0000-0000E1180000}"/>
    <cellStyle name="SAPBEXexcGood3 13" xfId="5135" xr:uid="{00000000-0005-0000-0000-0000E2180000}"/>
    <cellStyle name="SAPBEXexcGood3 14" xfId="5136" xr:uid="{00000000-0005-0000-0000-0000E3180000}"/>
    <cellStyle name="SAPBEXexcGood3 15" xfId="5137" xr:uid="{00000000-0005-0000-0000-0000E4180000}"/>
    <cellStyle name="SAPBEXexcGood3 16" xfId="5138" xr:uid="{00000000-0005-0000-0000-0000E5180000}"/>
    <cellStyle name="SAPBEXexcGood3 17" xfId="5139" xr:uid="{00000000-0005-0000-0000-0000E6180000}"/>
    <cellStyle name="SAPBEXexcGood3 18" xfId="5140" xr:uid="{00000000-0005-0000-0000-0000E7180000}"/>
    <cellStyle name="SAPBEXexcGood3 19" xfId="5141" xr:uid="{00000000-0005-0000-0000-0000E8180000}"/>
    <cellStyle name="SAPBEXexcGood3 2" xfId="5142" xr:uid="{00000000-0005-0000-0000-0000E9180000}"/>
    <cellStyle name="SAPBEXexcGood3 20" xfId="5143" xr:uid="{00000000-0005-0000-0000-0000EA180000}"/>
    <cellStyle name="SAPBEXexcGood3 21" xfId="5144" xr:uid="{00000000-0005-0000-0000-0000EB180000}"/>
    <cellStyle name="SAPBEXexcGood3 22" xfId="5145" xr:uid="{00000000-0005-0000-0000-0000EC180000}"/>
    <cellStyle name="SAPBEXexcGood3 23" xfId="5146" xr:uid="{00000000-0005-0000-0000-0000ED180000}"/>
    <cellStyle name="SAPBEXexcGood3 24" xfId="5147" xr:uid="{00000000-0005-0000-0000-0000EE180000}"/>
    <cellStyle name="SAPBEXexcGood3 25" xfId="5148" xr:uid="{00000000-0005-0000-0000-0000EF180000}"/>
    <cellStyle name="SAPBEXexcGood3 26" xfId="5149" xr:uid="{00000000-0005-0000-0000-0000F0180000}"/>
    <cellStyle name="SAPBEXexcGood3 27" xfId="5150" xr:uid="{00000000-0005-0000-0000-0000F1180000}"/>
    <cellStyle name="SAPBEXexcGood3 28" xfId="5151" xr:uid="{00000000-0005-0000-0000-0000F2180000}"/>
    <cellStyle name="SAPBEXexcGood3 29" xfId="5152" xr:uid="{00000000-0005-0000-0000-0000F3180000}"/>
    <cellStyle name="SAPBEXexcGood3 3" xfId="5153" xr:uid="{00000000-0005-0000-0000-0000F4180000}"/>
    <cellStyle name="SAPBEXexcGood3 30" xfId="5154" xr:uid="{00000000-0005-0000-0000-0000F5180000}"/>
    <cellStyle name="SAPBEXexcGood3 31" xfId="5155" xr:uid="{00000000-0005-0000-0000-0000F6180000}"/>
    <cellStyle name="SAPBEXexcGood3 32" xfId="5156" xr:uid="{00000000-0005-0000-0000-0000F7180000}"/>
    <cellStyle name="SAPBEXexcGood3 33" xfId="5157" xr:uid="{00000000-0005-0000-0000-0000F8180000}"/>
    <cellStyle name="SAPBEXexcGood3 34" xfId="5158" xr:uid="{00000000-0005-0000-0000-0000F9180000}"/>
    <cellStyle name="SAPBEXexcGood3 35" xfId="5159" xr:uid="{00000000-0005-0000-0000-0000FA180000}"/>
    <cellStyle name="SAPBEXexcGood3 36" xfId="5160" xr:uid="{00000000-0005-0000-0000-0000FB180000}"/>
    <cellStyle name="SAPBEXexcGood3 37" xfId="5161" xr:uid="{00000000-0005-0000-0000-0000FC180000}"/>
    <cellStyle name="SAPBEXexcGood3 38" xfId="5162" xr:uid="{00000000-0005-0000-0000-0000FD180000}"/>
    <cellStyle name="SAPBEXexcGood3 39" xfId="5163" xr:uid="{00000000-0005-0000-0000-0000FE180000}"/>
    <cellStyle name="SAPBEXexcGood3 4" xfId="5164" xr:uid="{00000000-0005-0000-0000-0000FF180000}"/>
    <cellStyle name="SAPBEXexcGood3 40" xfId="5165" xr:uid="{00000000-0005-0000-0000-000000190000}"/>
    <cellStyle name="SAPBEXexcGood3 41" xfId="5166" xr:uid="{00000000-0005-0000-0000-000001190000}"/>
    <cellStyle name="SAPBEXexcGood3 42" xfId="5167" xr:uid="{00000000-0005-0000-0000-000002190000}"/>
    <cellStyle name="SAPBEXexcGood3 43" xfId="5168" xr:uid="{00000000-0005-0000-0000-000003190000}"/>
    <cellStyle name="SAPBEXexcGood3 44" xfId="5169" xr:uid="{00000000-0005-0000-0000-000004190000}"/>
    <cellStyle name="SAPBEXexcGood3 45" xfId="5170" xr:uid="{00000000-0005-0000-0000-000005190000}"/>
    <cellStyle name="SAPBEXexcGood3 46" xfId="5171" xr:uid="{00000000-0005-0000-0000-000006190000}"/>
    <cellStyle name="SAPBEXexcGood3 47" xfId="5172" xr:uid="{00000000-0005-0000-0000-000007190000}"/>
    <cellStyle name="SAPBEXexcGood3 48" xfId="5173" xr:uid="{00000000-0005-0000-0000-000008190000}"/>
    <cellStyle name="SAPBEXexcGood3 49" xfId="5174" xr:uid="{00000000-0005-0000-0000-000009190000}"/>
    <cellStyle name="SAPBEXexcGood3 5" xfId="5175" xr:uid="{00000000-0005-0000-0000-00000A190000}"/>
    <cellStyle name="SAPBEXexcGood3 50" xfId="5176" xr:uid="{00000000-0005-0000-0000-00000B190000}"/>
    <cellStyle name="SAPBEXexcGood3 51" xfId="5177" xr:uid="{00000000-0005-0000-0000-00000C190000}"/>
    <cellStyle name="SAPBEXexcGood3 52" xfId="5178" xr:uid="{00000000-0005-0000-0000-00000D190000}"/>
    <cellStyle name="SAPBEXexcGood3 53" xfId="5179" xr:uid="{00000000-0005-0000-0000-00000E190000}"/>
    <cellStyle name="SAPBEXexcGood3 54" xfId="5180" xr:uid="{00000000-0005-0000-0000-00000F190000}"/>
    <cellStyle name="SAPBEXexcGood3 55" xfId="5181" xr:uid="{00000000-0005-0000-0000-000010190000}"/>
    <cellStyle name="SAPBEXexcGood3 56" xfId="5182" xr:uid="{00000000-0005-0000-0000-000011190000}"/>
    <cellStyle name="SAPBEXexcGood3 57" xfId="5183" xr:uid="{00000000-0005-0000-0000-000012190000}"/>
    <cellStyle name="SAPBEXexcGood3 58" xfId="5184" xr:uid="{00000000-0005-0000-0000-000013190000}"/>
    <cellStyle name="SAPBEXexcGood3 59" xfId="5185" xr:uid="{00000000-0005-0000-0000-000014190000}"/>
    <cellStyle name="SAPBEXexcGood3 6" xfId="5186" xr:uid="{00000000-0005-0000-0000-000015190000}"/>
    <cellStyle name="SAPBEXexcGood3 60" xfId="5187" xr:uid="{00000000-0005-0000-0000-000016190000}"/>
    <cellStyle name="SAPBEXexcGood3 61" xfId="5188" xr:uid="{00000000-0005-0000-0000-000017190000}"/>
    <cellStyle name="SAPBEXexcGood3 62" xfId="5189" xr:uid="{00000000-0005-0000-0000-000018190000}"/>
    <cellStyle name="SAPBEXexcGood3 63" xfId="5190" xr:uid="{00000000-0005-0000-0000-000019190000}"/>
    <cellStyle name="SAPBEXexcGood3 64" xfId="5191" xr:uid="{00000000-0005-0000-0000-00001A190000}"/>
    <cellStyle name="SAPBEXexcGood3 65" xfId="5192" xr:uid="{00000000-0005-0000-0000-00001B190000}"/>
    <cellStyle name="SAPBEXexcGood3 66" xfId="5193" xr:uid="{00000000-0005-0000-0000-00001C190000}"/>
    <cellStyle name="SAPBEXexcGood3 67" xfId="5194" xr:uid="{00000000-0005-0000-0000-00001D190000}"/>
    <cellStyle name="SAPBEXexcGood3 68" xfId="5195" xr:uid="{00000000-0005-0000-0000-00001E190000}"/>
    <cellStyle name="SAPBEXexcGood3 69" xfId="5196" xr:uid="{00000000-0005-0000-0000-00001F190000}"/>
    <cellStyle name="SAPBEXexcGood3 7" xfId="5197" xr:uid="{00000000-0005-0000-0000-000020190000}"/>
    <cellStyle name="SAPBEXexcGood3 70" xfId="5198" xr:uid="{00000000-0005-0000-0000-000021190000}"/>
    <cellStyle name="SAPBEXexcGood3 71" xfId="5199" xr:uid="{00000000-0005-0000-0000-000022190000}"/>
    <cellStyle name="SAPBEXexcGood3 72" xfId="5200" xr:uid="{00000000-0005-0000-0000-000023190000}"/>
    <cellStyle name="SAPBEXexcGood3 73" xfId="5201" xr:uid="{00000000-0005-0000-0000-000024190000}"/>
    <cellStyle name="SAPBEXexcGood3 74" xfId="5202" xr:uid="{00000000-0005-0000-0000-000025190000}"/>
    <cellStyle name="SAPBEXexcGood3 75" xfId="5203" xr:uid="{00000000-0005-0000-0000-000026190000}"/>
    <cellStyle name="SAPBEXexcGood3 76" xfId="5204" xr:uid="{00000000-0005-0000-0000-000027190000}"/>
    <cellStyle name="SAPBEXexcGood3 77" xfId="5205" xr:uid="{00000000-0005-0000-0000-000028190000}"/>
    <cellStyle name="SAPBEXexcGood3 78" xfId="5206" xr:uid="{00000000-0005-0000-0000-000029190000}"/>
    <cellStyle name="SAPBEXexcGood3 79" xfId="5207" xr:uid="{00000000-0005-0000-0000-00002A190000}"/>
    <cellStyle name="SAPBEXexcGood3 8" xfId="5208" xr:uid="{00000000-0005-0000-0000-00002B190000}"/>
    <cellStyle name="SAPBEXexcGood3 80" xfId="5209" xr:uid="{00000000-0005-0000-0000-00002C190000}"/>
    <cellStyle name="SAPBEXexcGood3 81" xfId="5210" xr:uid="{00000000-0005-0000-0000-00002D190000}"/>
    <cellStyle name="SAPBEXexcGood3 82" xfId="5211" xr:uid="{00000000-0005-0000-0000-00002E190000}"/>
    <cellStyle name="SAPBEXexcGood3 83" xfId="5212" xr:uid="{00000000-0005-0000-0000-00002F190000}"/>
    <cellStyle name="SAPBEXexcGood3 84" xfId="5213" xr:uid="{00000000-0005-0000-0000-000030190000}"/>
    <cellStyle name="SAPBEXexcGood3 85" xfId="5214" xr:uid="{00000000-0005-0000-0000-000031190000}"/>
    <cellStyle name="SAPBEXexcGood3 86" xfId="5215" xr:uid="{00000000-0005-0000-0000-000032190000}"/>
    <cellStyle name="SAPBEXexcGood3 87" xfId="5216" xr:uid="{00000000-0005-0000-0000-000033190000}"/>
    <cellStyle name="SAPBEXexcGood3 88" xfId="5217" xr:uid="{00000000-0005-0000-0000-000034190000}"/>
    <cellStyle name="SAPBEXexcGood3 89" xfId="5218" xr:uid="{00000000-0005-0000-0000-000035190000}"/>
    <cellStyle name="SAPBEXexcGood3 9" xfId="5219" xr:uid="{00000000-0005-0000-0000-000036190000}"/>
    <cellStyle name="SAPBEXexcGood3 90" xfId="5220" xr:uid="{00000000-0005-0000-0000-000037190000}"/>
    <cellStyle name="SAPBEXexcGood3 91" xfId="5221" xr:uid="{00000000-0005-0000-0000-000038190000}"/>
    <cellStyle name="SAPBEXexcGood3 92" xfId="5222" xr:uid="{00000000-0005-0000-0000-000039190000}"/>
    <cellStyle name="SAPBEXexcGood3 93" xfId="5223" xr:uid="{00000000-0005-0000-0000-00003A190000}"/>
    <cellStyle name="SAPBEXexcGood3 94" xfId="5224" xr:uid="{00000000-0005-0000-0000-00003B190000}"/>
    <cellStyle name="SAPBEXexcGood3 95" xfId="5225" xr:uid="{00000000-0005-0000-0000-00003C190000}"/>
    <cellStyle name="SAPBEXexcGood3 96" xfId="5226" xr:uid="{00000000-0005-0000-0000-00003D190000}"/>
    <cellStyle name="SAPBEXexcGood3 97" xfId="5227" xr:uid="{00000000-0005-0000-0000-00003E190000}"/>
    <cellStyle name="SAPBEXexcGood3 98" xfId="5228" xr:uid="{00000000-0005-0000-0000-00003F190000}"/>
    <cellStyle name="SAPBEXexcGood3 99" xfId="5229" xr:uid="{00000000-0005-0000-0000-000040190000}"/>
    <cellStyle name="SAPBEXexcGood3_(A-7) IS-Inputs" xfId="5230" xr:uid="{00000000-0005-0000-0000-000041190000}"/>
    <cellStyle name="SAPBEXfilterDrill" xfId="5231" xr:uid="{00000000-0005-0000-0000-000042190000}"/>
    <cellStyle name="SAPBEXfilterDrill 10" xfId="5232" xr:uid="{00000000-0005-0000-0000-000043190000}"/>
    <cellStyle name="SAPBEXfilterDrill 100" xfId="5233" xr:uid="{00000000-0005-0000-0000-000044190000}"/>
    <cellStyle name="SAPBEXfilterDrill 101" xfId="5234" xr:uid="{00000000-0005-0000-0000-000045190000}"/>
    <cellStyle name="SAPBEXfilterDrill 102" xfId="5235" xr:uid="{00000000-0005-0000-0000-000046190000}"/>
    <cellStyle name="SAPBEXfilterDrill 103" xfId="5236" xr:uid="{00000000-0005-0000-0000-000047190000}"/>
    <cellStyle name="SAPBEXfilterDrill 104" xfId="5237" xr:uid="{00000000-0005-0000-0000-000048190000}"/>
    <cellStyle name="SAPBEXfilterDrill 105" xfId="5238" xr:uid="{00000000-0005-0000-0000-000049190000}"/>
    <cellStyle name="SAPBEXfilterDrill 106" xfId="5239" xr:uid="{00000000-0005-0000-0000-00004A190000}"/>
    <cellStyle name="SAPBEXfilterDrill 107" xfId="5240" xr:uid="{00000000-0005-0000-0000-00004B190000}"/>
    <cellStyle name="SAPBEXfilterDrill 108" xfId="5241" xr:uid="{00000000-0005-0000-0000-00004C190000}"/>
    <cellStyle name="SAPBEXfilterDrill 109" xfId="5242" xr:uid="{00000000-0005-0000-0000-00004D190000}"/>
    <cellStyle name="SAPBEXfilterDrill 11" xfId="5243" xr:uid="{00000000-0005-0000-0000-00004E190000}"/>
    <cellStyle name="SAPBEXfilterDrill 110" xfId="5244" xr:uid="{00000000-0005-0000-0000-00004F190000}"/>
    <cellStyle name="SAPBEXfilterDrill 12" xfId="5245" xr:uid="{00000000-0005-0000-0000-000050190000}"/>
    <cellStyle name="SAPBEXfilterDrill 13" xfId="5246" xr:uid="{00000000-0005-0000-0000-000051190000}"/>
    <cellStyle name="SAPBEXfilterDrill 14" xfId="5247" xr:uid="{00000000-0005-0000-0000-000052190000}"/>
    <cellStyle name="SAPBEXfilterDrill 15" xfId="5248" xr:uid="{00000000-0005-0000-0000-000053190000}"/>
    <cellStyle name="SAPBEXfilterDrill 16" xfId="5249" xr:uid="{00000000-0005-0000-0000-000054190000}"/>
    <cellStyle name="SAPBEXfilterDrill 17" xfId="5250" xr:uid="{00000000-0005-0000-0000-000055190000}"/>
    <cellStyle name="SAPBEXfilterDrill 18" xfId="5251" xr:uid="{00000000-0005-0000-0000-000056190000}"/>
    <cellStyle name="SAPBEXfilterDrill 19" xfId="5252" xr:uid="{00000000-0005-0000-0000-000057190000}"/>
    <cellStyle name="SAPBEXfilterDrill 2" xfId="5253" xr:uid="{00000000-0005-0000-0000-000058190000}"/>
    <cellStyle name="SAPBEXfilterDrill 20" xfId="5254" xr:uid="{00000000-0005-0000-0000-000059190000}"/>
    <cellStyle name="SAPBEXfilterDrill 21" xfId="5255" xr:uid="{00000000-0005-0000-0000-00005A190000}"/>
    <cellStyle name="SAPBEXfilterDrill 22" xfId="5256" xr:uid="{00000000-0005-0000-0000-00005B190000}"/>
    <cellStyle name="SAPBEXfilterDrill 23" xfId="5257" xr:uid="{00000000-0005-0000-0000-00005C190000}"/>
    <cellStyle name="SAPBEXfilterDrill 24" xfId="5258" xr:uid="{00000000-0005-0000-0000-00005D190000}"/>
    <cellStyle name="SAPBEXfilterDrill 25" xfId="5259" xr:uid="{00000000-0005-0000-0000-00005E190000}"/>
    <cellStyle name="SAPBEXfilterDrill 26" xfId="5260" xr:uid="{00000000-0005-0000-0000-00005F190000}"/>
    <cellStyle name="SAPBEXfilterDrill 27" xfId="5261" xr:uid="{00000000-0005-0000-0000-000060190000}"/>
    <cellStyle name="SAPBEXfilterDrill 28" xfId="5262" xr:uid="{00000000-0005-0000-0000-000061190000}"/>
    <cellStyle name="SAPBEXfilterDrill 29" xfId="5263" xr:uid="{00000000-0005-0000-0000-000062190000}"/>
    <cellStyle name="SAPBEXfilterDrill 3" xfId="5264" xr:uid="{00000000-0005-0000-0000-000063190000}"/>
    <cellStyle name="SAPBEXfilterDrill 30" xfId="5265" xr:uid="{00000000-0005-0000-0000-000064190000}"/>
    <cellStyle name="SAPBEXfilterDrill 31" xfId="5266" xr:uid="{00000000-0005-0000-0000-000065190000}"/>
    <cellStyle name="SAPBEXfilterDrill 32" xfId="5267" xr:uid="{00000000-0005-0000-0000-000066190000}"/>
    <cellStyle name="SAPBEXfilterDrill 33" xfId="5268" xr:uid="{00000000-0005-0000-0000-000067190000}"/>
    <cellStyle name="SAPBEXfilterDrill 34" xfId="5269" xr:uid="{00000000-0005-0000-0000-000068190000}"/>
    <cellStyle name="SAPBEXfilterDrill 35" xfId="5270" xr:uid="{00000000-0005-0000-0000-000069190000}"/>
    <cellStyle name="SAPBEXfilterDrill 36" xfId="5271" xr:uid="{00000000-0005-0000-0000-00006A190000}"/>
    <cellStyle name="SAPBEXfilterDrill 37" xfId="5272" xr:uid="{00000000-0005-0000-0000-00006B190000}"/>
    <cellStyle name="SAPBEXfilterDrill 38" xfId="5273" xr:uid="{00000000-0005-0000-0000-00006C190000}"/>
    <cellStyle name="SAPBEXfilterDrill 39" xfId="5274" xr:uid="{00000000-0005-0000-0000-00006D190000}"/>
    <cellStyle name="SAPBEXfilterDrill 4" xfId="5275" xr:uid="{00000000-0005-0000-0000-00006E190000}"/>
    <cellStyle name="SAPBEXfilterDrill 40" xfId="5276" xr:uid="{00000000-0005-0000-0000-00006F190000}"/>
    <cellStyle name="SAPBEXfilterDrill 41" xfId="5277" xr:uid="{00000000-0005-0000-0000-000070190000}"/>
    <cellStyle name="SAPBEXfilterDrill 42" xfId="5278" xr:uid="{00000000-0005-0000-0000-000071190000}"/>
    <cellStyle name="SAPBEXfilterDrill 43" xfId="5279" xr:uid="{00000000-0005-0000-0000-000072190000}"/>
    <cellStyle name="SAPBEXfilterDrill 44" xfId="5280" xr:uid="{00000000-0005-0000-0000-000073190000}"/>
    <cellStyle name="SAPBEXfilterDrill 45" xfId="5281" xr:uid="{00000000-0005-0000-0000-000074190000}"/>
    <cellStyle name="SAPBEXfilterDrill 46" xfId="5282" xr:uid="{00000000-0005-0000-0000-000075190000}"/>
    <cellStyle name="SAPBEXfilterDrill 47" xfId="5283" xr:uid="{00000000-0005-0000-0000-000076190000}"/>
    <cellStyle name="SAPBEXfilterDrill 48" xfId="5284" xr:uid="{00000000-0005-0000-0000-000077190000}"/>
    <cellStyle name="SAPBEXfilterDrill 49" xfId="5285" xr:uid="{00000000-0005-0000-0000-000078190000}"/>
    <cellStyle name="SAPBEXfilterDrill 5" xfId="5286" xr:uid="{00000000-0005-0000-0000-000079190000}"/>
    <cellStyle name="SAPBEXfilterDrill 50" xfId="5287" xr:uid="{00000000-0005-0000-0000-00007A190000}"/>
    <cellStyle name="SAPBEXfilterDrill 51" xfId="5288" xr:uid="{00000000-0005-0000-0000-00007B190000}"/>
    <cellStyle name="SAPBEXfilterDrill 52" xfId="5289" xr:uid="{00000000-0005-0000-0000-00007C190000}"/>
    <cellStyle name="SAPBEXfilterDrill 53" xfId="5290" xr:uid="{00000000-0005-0000-0000-00007D190000}"/>
    <cellStyle name="SAPBEXfilterDrill 54" xfId="5291" xr:uid="{00000000-0005-0000-0000-00007E190000}"/>
    <cellStyle name="SAPBEXfilterDrill 55" xfId="5292" xr:uid="{00000000-0005-0000-0000-00007F190000}"/>
    <cellStyle name="SAPBEXfilterDrill 56" xfId="5293" xr:uid="{00000000-0005-0000-0000-000080190000}"/>
    <cellStyle name="SAPBEXfilterDrill 57" xfId="5294" xr:uid="{00000000-0005-0000-0000-000081190000}"/>
    <cellStyle name="SAPBEXfilterDrill 58" xfId="5295" xr:uid="{00000000-0005-0000-0000-000082190000}"/>
    <cellStyle name="SAPBEXfilterDrill 59" xfId="5296" xr:uid="{00000000-0005-0000-0000-000083190000}"/>
    <cellStyle name="SAPBEXfilterDrill 6" xfId="5297" xr:uid="{00000000-0005-0000-0000-000084190000}"/>
    <cellStyle name="SAPBEXfilterDrill 60" xfId="5298" xr:uid="{00000000-0005-0000-0000-000085190000}"/>
    <cellStyle name="SAPBEXfilterDrill 61" xfId="5299" xr:uid="{00000000-0005-0000-0000-000086190000}"/>
    <cellStyle name="SAPBEXfilterDrill 62" xfId="5300" xr:uid="{00000000-0005-0000-0000-000087190000}"/>
    <cellStyle name="SAPBEXfilterDrill 63" xfId="5301" xr:uid="{00000000-0005-0000-0000-000088190000}"/>
    <cellStyle name="SAPBEXfilterDrill 64" xfId="5302" xr:uid="{00000000-0005-0000-0000-000089190000}"/>
    <cellStyle name="SAPBEXfilterDrill 65" xfId="5303" xr:uid="{00000000-0005-0000-0000-00008A190000}"/>
    <cellStyle name="SAPBEXfilterDrill 66" xfId="5304" xr:uid="{00000000-0005-0000-0000-00008B190000}"/>
    <cellStyle name="SAPBEXfilterDrill 67" xfId="5305" xr:uid="{00000000-0005-0000-0000-00008C190000}"/>
    <cellStyle name="SAPBEXfilterDrill 68" xfId="5306" xr:uid="{00000000-0005-0000-0000-00008D190000}"/>
    <cellStyle name="SAPBEXfilterDrill 69" xfId="5307" xr:uid="{00000000-0005-0000-0000-00008E190000}"/>
    <cellStyle name="SAPBEXfilterDrill 7" xfId="5308" xr:uid="{00000000-0005-0000-0000-00008F190000}"/>
    <cellStyle name="SAPBEXfilterDrill 70" xfId="5309" xr:uid="{00000000-0005-0000-0000-000090190000}"/>
    <cellStyle name="SAPBEXfilterDrill 71" xfId="5310" xr:uid="{00000000-0005-0000-0000-000091190000}"/>
    <cellStyle name="SAPBEXfilterDrill 72" xfId="5311" xr:uid="{00000000-0005-0000-0000-000092190000}"/>
    <cellStyle name="SAPBEXfilterDrill 73" xfId="5312" xr:uid="{00000000-0005-0000-0000-000093190000}"/>
    <cellStyle name="SAPBEXfilterDrill 74" xfId="5313" xr:uid="{00000000-0005-0000-0000-000094190000}"/>
    <cellStyle name="SAPBEXfilterDrill 75" xfId="5314" xr:uid="{00000000-0005-0000-0000-000095190000}"/>
    <cellStyle name="SAPBEXfilterDrill 76" xfId="5315" xr:uid="{00000000-0005-0000-0000-000096190000}"/>
    <cellStyle name="SAPBEXfilterDrill 77" xfId="5316" xr:uid="{00000000-0005-0000-0000-000097190000}"/>
    <cellStyle name="SAPBEXfilterDrill 78" xfId="5317" xr:uid="{00000000-0005-0000-0000-000098190000}"/>
    <cellStyle name="SAPBEXfilterDrill 79" xfId="5318" xr:uid="{00000000-0005-0000-0000-000099190000}"/>
    <cellStyle name="SAPBEXfilterDrill 8" xfId="5319" xr:uid="{00000000-0005-0000-0000-00009A190000}"/>
    <cellStyle name="SAPBEXfilterDrill 80" xfId="5320" xr:uid="{00000000-0005-0000-0000-00009B190000}"/>
    <cellStyle name="SAPBEXfilterDrill 81" xfId="5321" xr:uid="{00000000-0005-0000-0000-00009C190000}"/>
    <cellStyle name="SAPBEXfilterDrill 82" xfId="5322" xr:uid="{00000000-0005-0000-0000-00009D190000}"/>
    <cellStyle name="SAPBEXfilterDrill 83" xfId="5323" xr:uid="{00000000-0005-0000-0000-00009E190000}"/>
    <cellStyle name="SAPBEXfilterDrill 84" xfId="5324" xr:uid="{00000000-0005-0000-0000-00009F190000}"/>
    <cellStyle name="SAPBEXfilterDrill 85" xfId="5325" xr:uid="{00000000-0005-0000-0000-0000A0190000}"/>
    <cellStyle name="SAPBEXfilterDrill 86" xfId="5326" xr:uid="{00000000-0005-0000-0000-0000A1190000}"/>
    <cellStyle name="SAPBEXfilterDrill 87" xfId="5327" xr:uid="{00000000-0005-0000-0000-0000A2190000}"/>
    <cellStyle name="SAPBEXfilterDrill 88" xfId="5328" xr:uid="{00000000-0005-0000-0000-0000A3190000}"/>
    <cellStyle name="SAPBEXfilterDrill 89" xfId="5329" xr:uid="{00000000-0005-0000-0000-0000A4190000}"/>
    <cellStyle name="SAPBEXfilterDrill 9" xfId="5330" xr:uid="{00000000-0005-0000-0000-0000A5190000}"/>
    <cellStyle name="SAPBEXfilterDrill 90" xfId="5331" xr:uid="{00000000-0005-0000-0000-0000A6190000}"/>
    <cellStyle name="SAPBEXfilterDrill 91" xfId="5332" xr:uid="{00000000-0005-0000-0000-0000A7190000}"/>
    <cellStyle name="SAPBEXfilterDrill 92" xfId="5333" xr:uid="{00000000-0005-0000-0000-0000A8190000}"/>
    <cellStyle name="SAPBEXfilterDrill 93" xfId="5334" xr:uid="{00000000-0005-0000-0000-0000A9190000}"/>
    <cellStyle name="SAPBEXfilterDrill 94" xfId="5335" xr:uid="{00000000-0005-0000-0000-0000AA190000}"/>
    <cellStyle name="SAPBEXfilterDrill 95" xfId="5336" xr:uid="{00000000-0005-0000-0000-0000AB190000}"/>
    <cellStyle name="SAPBEXfilterDrill 96" xfId="5337" xr:uid="{00000000-0005-0000-0000-0000AC190000}"/>
    <cellStyle name="SAPBEXfilterDrill 97" xfId="5338" xr:uid="{00000000-0005-0000-0000-0000AD190000}"/>
    <cellStyle name="SAPBEXfilterDrill 98" xfId="5339" xr:uid="{00000000-0005-0000-0000-0000AE190000}"/>
    <cellStyle name="SAPBEXfilterDrill 99" xfId="5340" xr:uid="{00000000-0005-0000-0000-0000AF190000}"/>
    <cellStyle name="SAPBEXfilterDrill_(A-7) IS-Inputs" xfId="5341" xr:uid="{00000000-0005-0000-0000-0000B0190000}"/>
    <cellStyle name="SAPBEXfilterItem" xfId="5342" xr:uid="{00000000-0005-0000-0000-0000B1190000}"/>
    <cellStyle name="SAPBEXfilterItem 10" xfId="5343" xr:uid="{00000000-0005-0000-0000-0000B2190000}"/>
    <cellStyle name="SAPBEXfilterItem 11" xfId="5344" xr:uid="{00000000-0005-0000-0000-0000B3190000}"/>
    <cellStyle name="SAPBEXfilterItem 12" xfId="5345" xr:uid="{00000000-0005-0000-0000-0000B4190000}"/>
    <cellStyle name="SAPBEXfilterItem 13" xfId="5346" xr:uid="{00000000-0005-0000-0000-0000B5190000}"/>
    <cellStyle name="SAPBEXfilterItem 14" xfId="5347" xr:uid="{00000000-0005-0000-0000-0000B6190000}"/>
    <cellStyle name="SAPBEXfilterItem 15" xfId="5348" xr:uid="{00000000-0005-0000-0000-0000B7190000}"/>
    <cellStyle name="SAPBEXfilterItem 16" xfId="5349" xr:uid="{00000000-0005-0000-0000-0000B8190000}"/>
    <cellStyle name="SAPBEXfilterItem 17" xfId="5350" xr:uid="{00000000-0005-0000-0000-0000B9190000}"/>
    <cellStyle name="SAPBEXfilterItem 18" xfId="5351" xr:uid="{00000000-0005-0000-0000-0000BA190000}"/>
    <cellStyle name="SAPBEXfilterItem 19" xfId="5352" xr:uid="{00000000-0005-0000-0000-0000BB190000}"/>
    <cellStyle name="SAPBEXfilterItem 2" xfId="5353" xr:uid="{00000000-0005-0000-0000-0000BC190000}"/>
    <cellStyle name="SAPBEXfilterItem 2 2" xfId="5354" xr:uid="{00000000-0005-0000-0000-0000BD190000}"/>
    <cellStyle name="SAPBEXfilterItem 2 2 2" xfId="5355" xr:uid="{00000000-0005-0000-0000-0000BE190000}"/>
    <cellStyle name="SAPBEXfilterItem 2 3" xfId="5356" xr:uid="{00000000-0005-0000-0000-0000BF190000}"/>
    <cellStyle name="SAPBEXfilterItem 20" xfId="5357" xr:uid="{00000000-0005-0000-0000-0000C0190000}"/>
    <cellStyle name="SAPBEXfilterItem 21" xfId="5358" xr:uid="{00000000-0005-0000-0000-0000C1190000}"/>
    <cellStyle name="SAPBEXfilterItem 22" xfId="5359" xr:uid="{00000000-0005-0000-0000-0000C2190000}"/>
    <cellStyle name="SAPBEXfilterItem 23" xfId="5360" xr:uid="{00000000-0005-0000-0000-0000C3190000}"/>
    <cellStyle name="SAPBEXfilterItem 24" xfId="5361" xr:uid="{00000000-0005-0000-0000-0000C4190000}"/>
    <cellStyle name="SAPBEXfilterItem 25" xfId="5362" xr:uid="{00000000-0005-0000-0000-0000C5190000}"/>
    <cellStyle name="SAPBEXfilterItem 26" xfId="5363" xr:uid="{00000000-0005-0000-0000-0000C6190000}"/>
    <cellStyle name="SAPBEXfilterItem 27" xfId="5364" xr:uid="{00000000-0005-0000-0000-0000C7190000}"/>
    <cellStyle name="SAPBEXfilterItem 28" xfId="5365" xr:uid="{00000000-0005-0000-0000-0000C8190000}"/>
    <cellStyle name="SAPBEXfilterItem 29" xfId="5366" xr:uid="{00000000-0005-0000-0000-0000C9190000}"/>
    <cellStyle name="SAPBEXfilterItem 3" xfId="5367" xr:uid="{00000000-0005-0000-0000-0000CA190000}"/>
    <cellStyle name="SAPBEXfilterItem 30" xfId="5368" xr:uid="{00000000-0005-0000-0000-0000CB190000}"/>
    <cellStyle name="SAPBEXfilterItem 31" xfId="5369" xr:uid="{00000000-0005-0000-0000-0000CC190000}"/>
    <cellStyle name="SAPBEXfilterItem 32" xfId="5370" xr:uid="{00000000-0005-0000-0000-0000CD190000}"/>
    <cellStyle name="SAPBEXfilterItem 33" xfId="5371" xr:uid="{00000000-0005-0000-0000-0000CE190000}"/>
    <cellStyle name="SAPBEXfilterItem 34" xfId="5372" xr:uid="{00000000-0005-0000-0000-0000CF190000}"/>
    <cellStyle name="SAPBEXfilterItem 35" xfId="5373" xr:uid="{00000000-0005-0000-0000-0000D0190000}"/>
    <cellStyle name="SAPBEXfilterItem 36" xfId="5374" xr:uid="{00000000-0005-0000-0000-0000D1190000}"/>
    <cellStyle name="SAPBEXfilterItem 37" xfId="5375" xr:uid="{00000000-0005-0000-0000-0000D2190000}"/>
    <cellStyle name="SAPBEXfilterItem 38" xfId="5376" xr:uid="{00000000-0005-0000-0000-0000D3190000}"/>
    <cellStyle name="SAPBEXfilterItem 39" xfId="5377" xr:uid="{00000000-0005-0000-0000-0000D4190000}"/>
    <cellStyle name="SAPBEXfilterItem 4" xfId="5378" xr:uid="{00000000-0005-0000-0000-0000D5190000}"/>
    <cellStyle name="SAPBEXfilterItem 40" xfId="5379" xr:uid="{00000000-0005-0000-0000-0000D6190000}"/>
    <cellStyle name="SAPBEXfilterItem 41" xfId="5380" xr:uid="{00000000-0005-0000-0000-0000D7190000}"/>
    <cellStyle name="SAPBEXfilterItem 42" xfId="5381" xr:uid="{00000000-0005-0000-0000-0000D8190000}"/>
    <cellStyle name="SAPBEXfilterItem 43" xfId="5382" xr:uid="{00000000-0005-0000-0000-0000D9190000}"/>
    <cellStyle name="SAPBEXfilterItem 44" xfId="5383" xr:uid="{00000000-0005-0000-0000-0000DA190000}"/>
    <cellStyle name="SAPBEXfilterItem 45" xfId="5384" xr:uid="{00000000-0005-0000-0000-0000DB190000}"/>
    <cellStyle name="SAPBEXfilterItem 46" xfId="5385" xr:uid="{00000000-0005-0000-0000-0000DC190000}"/>
    <cellStyle name="SAPBEXfilterItem 5" xfId="5386" xr:uid="{00000000-0005-0000-0000-0000DD190000}"/>
    <cellStyle name="SAPBEXfilterItem 6" xfId="5387" xr:uid="{00000000-0005-0000-0000-0000DE190000}"/>
    <cellStyle name="SAPBEXfilterItem 7" xfId="5388" xr:uid="{00000000-0005-0000-0000-0000DF190000}"/>
    <cellStyle name="SAPBEXfilterItem 8" xfId="5389" xr:uid="{00000000-0005-0000-0000-0000E0190000}"/>
    <cellStyle name="SAPBEXfilterItem 9" xfId="5390" xr:uid="{00000000-0005-0000-0000-0000E1190000}"/>
    <cellStyle name="SAPBEXfilterText" xfId="5391" xr:uid="{00000000-0005-0000-0000-0000E2190000}"/>
    <cellStyle name="SAPBEXfilterText 10" xfId="5392" xr:uid="{00000000-0005-0000-0000-0000E3190000}"/>
    <cellStyle name="SAPBEXfilterText 11" xfId="5393" xr:uid="{00000000-0005-0000-0000-0000E4190000}"/>
    <cellStyle name="SAPBEXfilterText 12" xfId="5394" xr:uid="{00000000-0005-0000-0000-0000E5190000}"/>
    <cellStyle name="SAPBEXfilterText 13" xfId="5395" xr:uid="{00000000-0005-0000-0000-0000E6190000}"/>
    <cellStyle name="SAPBEXfilterText 14" xfId="5396" xr:uid="{00000000-0005-0000-0000-0000E7190000}"/>
    <cellStyle name="SAPBEXfilterText 15" xfId="5397" xr:uid="{00000000-0005-0000-0000-0000E8190000}"/>
    <cellStyle name="SAPBEXfilterText 16" xfId="5398" xr:uid="{00000000-0005-0000-0000-0000E9190000}"/>
    <cellStyle name="SAPBEXfilterText 17" xfId="5399" xr:uid="{00000000-0005-0000-0000-0000EA190000}"/>
    <cellStyle name="SAPBEXfilterText 18" xfId="5400" xr:uid="{00000000-0005-0000-0000-0000EB190000}"/>
    <cellStyle name="SAPBEXfilterText 19" xfId="5401" xr:uid="{00000000-0005-0000-0000-0000EC190000}"/>
    <cellStyle name="SAPBEXfilterText 2" xfId="5402" xr:uid="{00000000-0005-0000-0000-0000ED190000}"/>
    <cellStyle name="SAPBEXfilterText 2 2" xfId="5403" xr:uid="{00000000-0005-0000-0000-0000EE190000}"/>
    <cellStyle name="SAPBEXfilterText 2 2 2" xfId="5404" xr:uid="{00000000-0005-0000-0000-0000EF190000}"/>
    <cellStyle name="SAPBEXfilterText 2 3" xfId="5405" xr:uid="{00000000-0005-0000-0000-0000F0190000}"/>
    <cellStyle name="SAPBEXfilterText 20" xfId="5406" xr:uid="{00000000-0005-0000-0000-0000F1190000}"/>
    <cellStyle name="SAPBEXfilterText 21" xfId="5407" xr:uid="{00000000-0005-0000-0000-0000F2190000}"/>
    <cellStyle name="SAPBEXfilterText 22" xfId="5408" xr:uid="{00000000-0005-0000-0000-0000F3190000}"/>
    <cellStyle name="SAPBEXfilterText 23" xfId="5409" xr:uid="{00000000-0005-0000-0000-0000F4190000}"/>
    <cellStyle name="SAPBEXfilterText 24" xfId="5410" xr:uid="{00000000-0005-0000-0000-0000F5190000}"/>
    <cellStyle name="SAPBEXfilterText 25" xfId="5411" xr:uid="{00000000-0005-0000-0000-0000F6190000}"/>
    <cellStyle name="SAPBEXfilterText 26" xfId="5412" xr:uid="{00000000-0005-0000-0000-0000F7190000}"/>
    <cellStyle name="SAPBEXfilterText 27" xfId="5413" xr:uid="{00000000-0005-0000-0000-0000F8190000}"/>
    <cellStyle name="SAPBEXfilterText 28" xfId="5414" xr:uid="{00000000-0005-0000-0000-0000F9190000}"/>
    <cellStyle name="SAPBEXfilterText 29" xfId="5415" xr:uid="{00000000-0005-0000-0000-0000FA190000}"/>
    <cellStyle name="SAPBEXfilterText 3" xfId="5416" xr:uid="{00000000-0005-0000-0000-0000FB190000}"/>
    <cellStyle name="SAPBEXfilterText 30" xfId="5417" xr:uid="{00000000-0005-0000-0000-0000FC190000}"/>
    <cellStyle name="SAPBEXfilterText 31" xfId="5418" xr:uid="{00000000-0005-0000-0000-0000FD190000}"/>
    <cellStyle name="SAPBEXfilterText 32" xfId="5419" xr:uid="{00000000-0005-0000-0000-0000FE190000}"/>
    <cellStyle name="SAPBEXfilterText 33" xfId="5420" xr:uid="{00000000-0005-0000-0000-0000FF190000}"/>
    <cellStyle name="SAPBEXfilterText 34" xfId="5421" xr:uid="{00000000-0005-0000-0000-0000001A0000}"/>
    <cellStyle name="SAPBEXfilterText 35" xfId="5422" xr:uid="{00000000-0005-0000-0000-0000011A0000}"/>
    <cellStyle name="SAPBEXfilterText 36" xfId="5423" xr:uid="{00000000-0005-0000-0000-0000021A0000}"/>
    <cellStyle name="SAPBEXfilterText 37" xfId="5424" xr:uid="{00000000-0005-0000-0000-0000031A0000}"/>
    <cellStyle name="SAPBEXfilterText 38" xfId="5425" xr:uid="{00000000-0005-0000-0000-0000041A0000}"/>
    <cellStyle name="SAPBEXfilterText 39" xfId="5426" xr:uid="{00000000-0005-0000-0000-0000051A0000}"/>
    <cellStyle name="SAPBEXfilterText 4" xfId="5427" xr:uid="{00000000-0005-0000-0000-0000061A0000}"/>
    <cellStyle name="SAPBEXfilterText 40" xfId="5428" xr:uid="{00000000-0005-0000-0000-0000071A0000}"/>
    <cellStyle name="SAPBEXfilterText 41" xfId="5429" xr:uid="{00000000-0005-0000-0000-0000081A0000}"/>
    <cellStyle name="SAPBEXfilterText 42" xfId="5430" xr:uid="{00000000-0005-0000-0000-0000091A0000}"/>
    <cellStyle name="SAPBEXfilterText 43" xfId="5431" xr:uid="{00000000-0005-0000-0000-00000A1A0000}"/>
    <cellStyle name="SAPBEXfilterText 44" xfId="5432" xr:uid="{00000000-0005-0000-0000-00000B1A0000}"/>
    <cellStyle name="SAPBEXfilterText 45" xfId="5433" xr:uid="{00000000-0005-0000-0000-00000C1A0000}"/>
    <cellStyle name="SAPBEXfilterText 46" xfId="5434" xr:uid="{00000000-0005-0000-0000-00000D1A0000}"/>
    <cellStyle name="SAPBEXfilterText 5" xfId="5435" xr:uid="{00000000-0005-0000-0000-00000E1A0000}"/>
    <cellStyle name="SAPBEXfilterText 6" xfId="5436" xr:uid="{00000000-0005-0000-0000-00000F1A0000}"/>
    <cellStyle name="SAPBEXfilterText 7" xfId="5437" xr:uid="{00000000-0005-0000-0000-0000101A0000}"/>
    <cellStyle name="SAPBEXfilterText 8" xfId="5438" xr:uid="{00000000-0005-0000-0000-0000111A0000}"/>
    <cellStyle name="SAPBEXfilterText 9" xfId="5439" xr:uid="{00000000-0005-0000-0000-0000121A0000}"/>
    <cellStyle name="SAPBEXformats" xfId="5440" xr:uid="{00000000-0005-0000-0000-0000131A0000}"/>
    <cellStyle name="SAPBEXformats 10" xfId="5441" xr:uid="{00000000-0005-0000-0000-0000141A0000}"/>
    <cellStyle name="SAPBEXformats 100" xfId="5442" xr:uid="{00000000-0005-0000-0000-0000151A0000}"/>
    <cellStyle name="SAPBEXformats 101" xfId="5443" xr:uid="{00000000-0005-0000-0000-0000161A0000}"/>
    <cellStyle name="SAPBEXformats 102" xfId="5444" xr:uid="{00000000-0005-0000-0000-0000171A0000}"/>
    <cellStyle name="SAPBEXformats 103" xfId="5445" xr:uid="{00000000-0005-0000-0000-0000181A0000}"/>
    <cellStyle name="SAPBEXformats 104" xfId="5446" xr:uid="{00000000-0005-0000-0000-0000191A0000}"/>
    <cellStyle name="SAPBEXformats 105" xfId="5447" xr:uid="{00000000-0005-0000-0000-00001A1A0000}"/>
    <cellStyle name="SAPBEXformats 106" xfId="5448" xr:uid="{00000000-0005-0000-0000-00001B1A0000}"/>
    <cellStyle name="SAPBEXformats 107" xfId="5449" xr:uid="{00000000-0005-0000-0000-00001C1A0000}"/>
    <cellStyle name="SAPBEXformats 108" xfId="5450" xr:uid="{00000000-0005-0000-0000-00001D1A0000}"/>
    <cellStyle name="SAPBEXformats 109" xfId="5451" xr:uid="{00000000-0005-0000-0000-00001E1A0000}"/>
    <cellStyle name="SAPBEXformats 11" xfId="5452" xr:uid="{00000000-0005-0000-0000-00001F1A0000}"/>
    <cellStyle name="SAPBEXformats 110" xfId="5453" xr:uid="{00000000-0005-0000-0000-0000201A0000}"/>
    <cellStyle name="SAPBEXformats 12" xfId="5454" xr:uid="{00000000-0005-0000-0000-0000211A0000}"/>
    <cellStyle name="SAPBEXformats 13" xfId="5455" xr:uid="{00000000-0005-0000-0000-0000221A0000}"/>
    <cellStyle name="SAPBEXformats 14" xfId="5456" xr:uid="{00000000-0005-0000-0000-0000231A0000}"/>
    <cellStyle name="SAPBEXformats 15" xfId="5457" xr:uid="{00000000-0005-0000-0000-0000241A0000}"/>
    <cellStyle name="SAPBEXformats 16" xfId="5458" xr:uid="{00000000-0005-0000-0000-0000251A0000}"/>
    <cellStyle name="SAPBEXformats 17" xfId="5459" xr:uid="{00000000-0005-0000-0000-0000261A0000}"/>
    <cellStyle name="SAPBEXformats 18" xfId="5460" xr:uid="{00000000-0005-0000-0000-0000271A0000}"/>
    <cellStyle name="SAPBEXformats 19" xfId="5461" xr:uid="{00000000-0005-0000-0000-0000281A0000}"/>
    <cellStyle name="SAPBEXformats 2" xfId="5462" xr:uid="{00000000-0005-0000-0000-0000291A0000}"/>
    <cellStyle name="SAPBEXformats 20" xfId="5463" xr:uid="{00000000-0005-0000-0000-00002A1A0000}"/>
    <cellStyle name="SAPBEXformats 21" xfId="5464" xr:uid="{00000000-0005-0000-0000-00002B1A0000}"/>
    <cellStyle name="SAPBEXformats 22" xfId="5465" xr:uid="{00000000-0005-0000-0000-00002C1A0000}"/>
    <cellStyle name="SAPBEXformats 23" xfId="5466" xr:uid="{00000000-0005-0000-0000-00002D1A0000}"/>
    <cellStyle name="SAPBEXformats 24" xfId="5467" xr:uid="{00000000-0005-0000-0000-00002E1A0000}"/>
    <cellStyle name="SAPBEXformats 25" xfId="5468" xr:uid="{00000000-0005-0000-0000-00002F1A0000}"/>
    <cellStyle name="SAPBEXformats 26" xfId="5469" xr:uid="{00000000-0005-0000-0000-0000301A0000}"/>
    <cellStyle name="SAPBEXformats 27" xfId="5470" xr:uid="{00000000-0005-0000-0000-0000311A0000}"/>
    <cellStyle name="SAPBEXformats 28" xfId="5471" xr:uid="{00000000-0005-0000-0000-0000321A0000}"/>
    <cellStyle name="SAPBEXformats 29" xfId="5472" xr:uid="{00000000-0005-0000-0000-0000331A0000}"/>
    <cellStyle name="SAPBEXformats 3" xfId="5473" xr:uid="{00000000-0005-0000-0000-0000341A0000}"/>
    <cellStyle name="SAPBEXformats 30" xfId="5474" xr:uid="{00000000-0005-0000-0000-0000351A0000}"/>
    <cellStyle name="SAPBEXformats 31" xfId="5475" xr:uid="{00000000-0005-0000-0000-0000361A0000}"/>
    <cellStyle name="SAPBEXformats 32" xfId="5476" xr:uid="{00000000-0005-0000-0000-0000371A0000}"/>
    <cellStyle name="SAPBEXformats 33" xfId="5477" xr:uid="{00000000-0005-0000-0000-0000381A0000}"/>
    <cellStyle name="SAPBEXformats 34" xfId="5478" xr:uid="{00000000-0005-0000-0000-0000391A0000}"/>
    <cellStyle name="SAPBEXformats 35" xfId="5479" xr:uid="{00000000-0005-0000-0000-00003A1A0000}"/>
    <cellStyle name="SAPBEXformats 36" xfId="5480" xr:uid="{00000000-0005-0000-0000-00003B1A0000}"/>
    <cellStyle name="SAPBEXformats 37" xfId="5481" xr:uid="{00000000-0005-0000-0000-00003C1A0000}"/>
    <cellStyle name="SAPBEXformats 38" xfId="5482" xr:uid="{00000000-0005-0000-0000-00003D1A0000}"/>
    <cellStyle name="SAPBEXformats 39" xfId="5483" xr:uid="{00000000-0005-0000-0000-00003E1A0000}"/>
    <cellStyle name="SAPBEXformats 4" xfId="5484" xr:uid="{00000000-0005-0000-0000-00003F1A0000}"/>
    <cellStyle name="SAPBEXformats 40" xfId="5485" xr:uid="{00000000-0005-0000-0000-0000401A0000}"/>
    <cellStyle name="SAPBEXformats 41" xfId="5486" xr:uid="{00000000-0005-0000-0000-0000411A0000}"/>
    <cellStyle name="SAPBEXformats 42" xfId="5487" xr:uid="{00000000-0005-0000-0000-0000421A0000}"/>
    <cellStyle name="SAPBEXformats 43" xfId="5488" xr:uid="{00000000-0005-0000-0000-0000431A0000}"/>
    <cellStyle name="SAPBEXformats 44" xfId="5489" xr:uid="{00000000-0005-0000-0000-0000441A0000}"/>
    <cellStyle name="SAPBEXformats 45" xfId="5490" xr:uid="{00000000-0005-0000-0000-0000451A0000}"/>
    <cellStyle name="SAPBEXformats 46" xfId="5491" xr:uid="{00000000-0005-0000-0000-0000461A0000}"/>
    <cellStyle name="SAPBEXformats 47" xfId="5492" xr:uid="{00000000-0005-0000-0000-0000471A0000}"/>
    <cellStyle name="SAPBEXformats 48" xfId="5493" xr:uid="{00000000-0005-0000-0000-0000481A0000}"/>
    <cellStyle name="SAPBEXformats 49" xfId="5494" xr:uid="{00000000-0005-0000-0000-0000491A0000}"/>
    <cellStyle name="SAPBEXformats 5" xfId="5495" xr:uid="{00000000-0005-0000-0000-00004A1A0000}"/>
    <cellStyle name="SAPBEXformats 50" xfId="5496" xr:uid="{00000000-0005-0000-0000-00004B1A0000}"/>
    <cellStyle name="SAPBEXformats 51" xfId="5497" xr:uid="{00000000-0005-0000-0000-00004C1A0000}"/>
    <cellStyle name="SAPBEXformats 52" xfId="5498" xr:uid="{00000000-0005-0000-0000-00004D1A0000}"/>
    <cellStyle name="SAPBEXformats 53" xfId="5499" xr:uid="{00000000-0005-0000-0000-00004E1A0000}"/>
    <cellStyle name="SAPBEXformats 54" xfId="5500" xr:uid="{00000000-0005-0000-0000-00004F1A0000}"/>
    <cellStyle name="SAPBEXformats 55" xfId="5501" xr:uid="{00000000-0005-0000-0000-0000501A0000}"/>
    <cellStyle name="SAPBEXformats 56" xfId="5502" xr:uid="{00000000-0005-0000-0000-0000511A0000}"/>
    <cellStyle name="SAPBEXformats 57" xfId="5503" xr:uid="{00000000-0005-0000-0000-0000521A0000}"/>
    <cellStyle name="SAPBEXformats 58" xfId="5504" xr:uid="{00000000-0005-0000-0000-0000531A0000}"/>
    <cellStyle name="SAPBEXformats 59" xfId="5505" xr:uid="{00000000-0005-0000-0000-0000541A0000}"/>
    <cellStyle name="SAPBEXformats 6" xfId="5506" xr:uid="{00000000-0005-0000-0000-0000551A0000}"/>
    <cellStyle name="SAPBEXformats 60" xfId="5507" xr:uid="{00000000-0005-0000-0000-0000561A0000}"/>
    <cellStyle name="SAPBEXformats 61" xfId="5508" xr:uid="{00000000-0005-0000-0000-0000571A0000}"/>
    <cellStyle name="SAPBEXformats 62" xfId="5509" xr:uid="{00000000-0005-0000-0000-0000581A0000}"/>
    <cellStyle name="SAPBEXformats 63" xfId="5510" xr:uid="{00000000-0005-0000-0000-0000591A0000}"/>
    <cellStyle name="SAPBEXformats 64" xfId="5511" xr:uid="{00000000-0005-0000-0000-00005A1A0000}"/>
    <cellStyle name="SAPBEXformats 65" xfId="5512" xr:uid="{00000000-0005-0000-0000-00005B1A0000}"/>
    <cellStyle name="SAPBEXformats 66" xfId="5513" xr:uid="{00000000-0005-0000-0000-00005C1A0000}"/>
    <cellStyle name="SAPBEXformats 67" xfId="5514" xr:uid="{00000000-0005-0000-0000-00005D1A0000}"/>
    <cellStyle name="SAPBEXformats 68" xfId="5515" xr:uid="{00000000-0005-0000-0000-00005E1A0000}"/>
    <cellStyle name="SAPBEXformats 69" xfId="5516" xr:uid="{00000000-0005-0000-0000-00005F1A0000}"/>
    <cellStyle name="SAPBEXformats 7" xfId="5517" xr:uid="{00000000-0005-0000-0000-0000601A0000}"/>
    <cellStyle name="SAPBEXformats 70" xfId="5518" xr:uid="{00000000-0005-0000-0000-0000611A0000}"/>
    <cellStyle name="SAPBEXformats 71" xfId="5519" xr:uid="{00000000-0005-0000-0000-0000621A0000}"/>
    <cellStyle name="SAPBEXformats 72" xfId="5520" xr:uid="{00000000-0005-0000-0000-0000631A0000}"/>
    <cellStyle name="SAPBEXformats 73" xfId="5521" xr:uid="{00000000-0005-0000-0000-0000641A0000}"/>
    <cellStyle name="SAPBEXformats 74" xfId="5522" xr:uid="{00000000-0005-0000-0000-0000651A0000}"/>
    <cellStyle name="SAPBEXformats 75" xfId="5523" xr:uid="{00000000-0005-0000-0000-0000661A0000}"/>
    <cellStyle name="SAPBEXformats 76" xfId="5524" xr:uid="{00000000-0005-0000-0000-0000671A0000}"/>
    <cellStyle name="SAPBEXformats 77" xfId="5525" xr:uid="{00000000-0005-0000-0000-0000681A0000}"/>
    <cellStyle name="SAPBEXformats 78" xfId="5526" xr:uid="{00000000-0005-0000-0000-0000691A0000}"/>
    <cellStyle name="SAPBEXformats 79" xfId="5527" xr:uid="{00000000-0005-0000-0000-00006A1A0000}"/>
    <cellStyle name="SAPBEXformats 8" xfId="5528" xr:uid="{00000000-0005-0000-0000-00006B1A0000}"/>
    <cellStyle name="SAPBEXformats 80" xfId="5529" xr:uid="{00000000-0005-0000-0000-00006C1A0000}"/>
    <cellStyle name="SAPBEXformats 81" xfId="5530" xr:uid="{00000000-0005-0000-0000-00006D1A0000}"/>
    <cellStyle name="SAPBEXformats 82" xfId="5531" xr:uid="{00000000-0005-0000-0000-00006E1A0000}"/>
    <cellStyle name="SAPBEXformats 83" xfId="5532" xr:uid="{00000000-0005-0000-0000-00006F1A0000}"/>
    <cellStyle name="SAPBEXformats 84" xfId="5533" xr:uid="{00000000-0005-0000-0000-0000701A0000}"/>
    <cellStyle name="SAPBEXformats 85" xfId="5534" xr:uid="{00000000-0005-0000-0000-0000711A0000}"/>
    <cellStyle name="SAPBEXformats 86" xfId="5535" xr:uid="{00000000-0005-0000-0000-0000721A0000}"/>
    <cellStyle name="SAPBEXformats 87" xfId="5536" xr:uid="{00000000-0005-0000-0000-0000731A0000}"/>
    <cellStyle name="SAPBEXformats 88" xfId="5537" xr:uid="{00000000-0005-0000-0000-0000741A0000}"/>
    <cellStyle name="SAPBEXformats 89" xfId="5538" xr:uid="{00000000-0005-0000-0000-0000751A0000}"/>
    <cellStyle name="SAPBEXformats 9" xfId="5539" xr:uid="{00000000-0005-0000-0000-0000761A0000}"/>
    <cellStyle name="SAPBEXformats 90" xfId="5540" xr:uid="{00000000-0005-0000-0000-0000771A0000}"/>
    <cellStyle name="SAPBEXformats 91" xfId="5541" xr:uid="{00000000-0005-0000-0000-0000781A0000}"/>
    <cellStyle name="SAPBEXformats 92" xfId="5542" xr:uid="{00000000-0005-0000-0000-0000791A0000}"/>
    <cellStyle name="SAPBEXformats 93" xfId="5543" xr:uid="{00000000-0005-0000-0000-00007A1A0000}"/>
    <cellStyle name="SAPBEXformats 94" xfId="5544" xr:uid="{00000000-0005-0000-0000-00007B1A0000}"/>
    <cellStyle name="SAPBEXformats 95" xfId="5545" xr:uid="{00000000-0005-0000-0000-00007C1A0000}"/>
    <cellStyle name="SAPBEXformats 96" xfId="5546" xr:uid="{00000000-0005-0000-0000-00007D1A0000}"/>
    <cellStyle name="SAPBEXformats 97" xfId="5547" xr:uid="{00000000-0005-0000-0000-00007E1A0000}"/>
    <cellStyle name="SAPBEXformats 98" xfId="5548" xr:uid="{00000000-0005-0000-0000-00007F1A0000}"/>
    <cellStyle name="SAPBEXformats 99" xfId="5549" xr:uid="{00000000-0005-0000-0000-0000801A0000}"/>
    <cellStyle name="SAPBEXformats_(A-7) IS-Inputs" xfId="5550" xr:uid="{00000000-0005-0000-0000-0000811A0000}"/>
    <cellStyle name="SAPBEXheaderItem" xfId="5551" xr:uid="{00000000-0005-0000-0000-0000821A0000}"/>
    <cellStyle name="SAPBEXheaderItem 10" xfId="5552" xr:uid="{00000000-0005-0000-0000-0000831A0000}"/>
    <cellStyle name="SAPBEXheaderItem 100" xfId="5553" xr:uid="{00000000-0005-0000-0000-0000841A0000}"/>
    <cellStyle name="SAPBEXheaderItem 101" xfId="5554" xr:uid="{00000000-0005-0000-0000-0000851A0000}"/>
    <cellStyle name="SAPBEXheaderItem 102" xfId="5555" xr:uid="{00000000-0005-0000-0000-0000861A0000}"/>
    <cellStyle name="SAPBEXheaderItem 103" xfId="5556" xr:uid="{00000000-0005-0000-0000-0000871A0000}"/>
    <cellStyle name="SAPBEXheaderItem 104" xfId="5557" xr:uid="{00000000-0005-0000-0000-0000881A0000}"/>
    <cellStyle name="SAPBEXheaderItem 105" xfId="5558" xr:uid="{00000000-0005-0000-0000-0000891A0000}"/>
    <cellStyle name="SAPBEXheaderItem 106" xfId="5559" xr:uid="{00000000-0005-0000-0000-00008A1A0000}"/>
    <cellStyle name="SAPBEXheaderItem 107" xfId="5560" xr:uid="{00000000-0005-0000-0000-00008B1A0000}"/>
    <cellStyle name="SAPBEXheaderItem 108" xfId="5561" xr:uid="{00000000-0005-0000-0000-00008C1A0000}"/>
    <cellStyle name="SAPBEXheaderItem 109" xfId="5562" xr:uid="{00000000-0005-0000-0000-00008D1A0000}"/>
    <cellStyle name="SAPBEXheaderItem 11" xfId="5563" xr:uid="{00000000-0005-0000-0000-00008E1A0000}"/>
    <cellStyle name="SAPBEXheaderItem 110" xfId="5564" xr:uid="{00000000-0005-0000-0000-00008F1A0000}"/>
    <cellStyle name="SAPBEXheaderItem 12" xfId="5565" xr:uid="{00000000-0005-0000-0000-0000901A0000}"/>
    <cellStyle name="SAPBEXheaderItem 13" xfId="5566" xr:uid="{00000000-0005-0000-0000-0000911A0000}"/>
    <cellStyle name="SAPBEXheaderItem 14" xfId="5567" xr:uid="{00000000-0005-0000-0000-0000921A0000}"/>
    <cellStyle name="SAPBEXheaderItem 15" xfId="5568" xr:uid="{00000000-0005-0000-0000-0000931A0000}"/>
    <cellStyle name="SAPBEXheaderItem 16" xfId="5569" xr:uid="{00000000-0005-0000-0000-0000941A0000}"/>
    <cellStyle name="SAPBEXheaderItem 17" xfId="5570" xr:uid="{00000000-0005-0000-0000-0000951A0000}"/>
    <cellStyle name="SAPBEXheaderItem 18" xfId="5571" xr:uid="{00000000-0005-0000-0000-0000961A0000}"/>
    <cellStyle name="SAPBEXheaderItem 19" xfId="5572" xr:uid="{00000000-0005-0000-0000-0000971A0000}"/>
    <cellStyle name="SAPBEXheaderItem 2" xfId="5573" xr:uid="{00000000-0005-0000-0000-0000981A0000}"/>
    <cellStyle name="SAPBEXheaderItem 2 2" xfId="5574" xr:uid="{00000000-0005-0000-0000-0000991A0000}"/>
    <cellStyle name="SAPBEXheaderItem 2 2 2" xfId="5575" xr:uid="{00000000-0005-0000-0000-00009A1A0000}"/>
    <cellStyle name="SAPBEXheaderItem 2 2 2 2" xfId="5576" xr:uid="{00000000-0005-0000-0000-00009B1A0000}"/>
    <cellStyle name="SAPBEXheaderItem 2 2 2 3" xfId="5577" xr:uid="{00000000-0005-0000-0000-00009C1A0000}"/>
    <cellStyle name="SAPBEXheaderItem 2 2 2 4" xfId="5578" xr:uid="{00000000-0005-0000-0000-00009D1A0000}"/>
    <cellStyle name="SAPBEXheaderItem 2 2 2 5" xfId="5579" xr:uid="{00000000-0005-0000-0000-00009E1A0000}"/>
    <cellStyle name="SAPBEXheaderItem 2 2 2 6" xfId="5580" xr:uid="{00000000-0005-0000-0000-00009F1A0000}"/>
    <cellStyle name="SAPBEXheaderItem 2 2 2 7" xfId="5581" xr:uid="{00000000-0005-0000-0000-0000A01A0000}"/>
    <cellStyle name="SAPBEXheaderItem 2 2 3" xfId="5582" xr:uid="{00000000-0005-0000-0000-0000A11A0000}"/>
    <cellStyle name="SAPBEXheaderItem 2 2 4" xfId="5583" xr:uid="{00000000-0005-0000-0000-0000A21A0000}"/>
    <cellStyle name="SAPBEXheaderItem 2 2 5" xfId="5584" xr:uid="{00000000-0005-0000-0000-0000A31A0000}"/>
    <cellStyle name="SAPBEXheaderItem 2 2 6" xfId="5585" xr:uid="{00000000-0005-0000-0000-0000A41A0000}"/>
    <cellStyle name="SAPBEXheaderItem 2 2 7" xfId="5586" xr:uid="{00000000-0005-0000-0000-0000A51A0000}"/>
    <cellStyle name="SAPBEXheaderItem 2 3" xfId="5587" xr:uid="{00000000-0005-0000-0000-0000A61A0000}"/>
    <cellStyle name="SAPBEXheaderItem 2 4" xfId="5588" xr:uid="{00000000-0005-0000-0000-0000A71A0000}"/>
    <cellStyle name="SAPBEXheaderItem 2 5" xfId="5589" xr:uid="{00000000-0005-0000-0000-0000A81A0000}"/>
    <cellStyle name="SAPBEXheaderItem 2 6" xfId="5590" xr:uid="{00000000-0005-0000-0000-0000A91A0000}"/>
    <cellStyle name="SAPBEXheaderItem 2 7" xfId="5591" xr:uid="{00000000-0005-0000-0000-0000AA1A0000}"/>
    <cellStyle name="SAPBEXheaderItem 2 8" xfId="5592" xr:uid="{00000000-0005-0000-0000-0000AB1A0000}"/>
    <cellStyle name="SAPBEXheaderItem 2 9" xfId="5593" xr:uid="{00000000-0005-0000-0000-0000AC1A0000}"/>
    <cellStyle name="SAPBEXheaderItem 20" xfId="5594" xr:uid="{00000000-0005-0000-0000-0000AD1A0000}"/>
    <cellStyle name="SAPBEXheaderItem 21" xfId="5595" xr:uid="{00000000-0005-0000-0000-0000AE1A0000}"/>
    <cellStyle name="SAPBEXheaderItem 22" xfId="5596" xr:uid="{00000000-0005-0000-0000-0000AF1A0000}"/>
    <cellStyle name="SAPBEXheaderItem 23" xfId="5597" xr:uid="{00000000-0005-0000-0000-0000B01A0000}"/>
    <cellStyle name="SAPBEXheaderItem 24" xfId="5598" xr:uid="{00000000-0005-0000-0000-0000B11A0000}"/>
    <cellStyle name="SAPBEXheaderItem 25" xfId="5599" xr:uid="{00000000-0005-0000-0000-0000B21A0000}"/>
    <cellStyle name="SAPBEXheaderItem 26" xfId="5600" xr:uid="{00000000-0005-0000-0000-0000B31A0000}"/>
    <cellStyle name="SAPBEXheaderItem 27" xfId="5601" xr:uid="{00000000-0005-0000-0000-0000B41A0000}"/>
    <cellStyle name="SAPBEXheaderItem 28" xfId="5602" xr:uid="{00000000-0005-0000-0000-0000B51A0000}"/>
    <cellStyle name="SAPBEXheaderItem 29" xfId="5603" xr:uid="{00000000-0005-0000-0000-0000B61A0000}"/>
    <cellStyle name="SAPBEXheaderItem 3" xfId="5604" xr:uid="{00000000-0005-0000-0000-0000B71A0000}"/>
    <cellStyle name="SAPBEXheaderItem 30" xfId="5605" xr:uid="{00000000-0005-0000-0000-0000B81A0000}"/>
    <cellStyle name="SAPBEXheaderItem 31" xfId="5606" xr:uid="{00000000-0005-0000-0000-0000B91A0000}"/>
    <cellStyle name="SAPBEXheaderItem 32" xfId="5607" xr:uid="{00000000-0005-0000-0000-0000BA1A0000}"/>
    <cellStyle name="SAPBEXheaderItem 33" xfId="5608" xr:uid="{00000000-0005-0000-0000-0000BB1A0000}"/>
    <cellStyle name="SAPBEXheaderItem 34" xfId="5609" xr:uid="{00000000-0005-0000-0000-0000BC1A0000}"/>
    <cellStyle name="SAPBEXheaderItem 35" xfId="5610" xr:uid="{00000000-0005-0000-0000-0000BD1A0000}"/>
    <cellStyle name="SAPBEXheaderItem 36" xfId="5611" xr:uid="{00000000-0005-0000-0000-0000BE1A0000}"/>
    <cellStyle name="SAPBEXheaderItem 37" xfId="5612" xr:uid="{00000000-0005-0000-0000-0000BF1A0000}"/>
    <cellStyle name="SAPBEXheaderItem 38" xfId="5613" xr:uid="{00000000-0005-0000-0000-0000C01A0000}"/>
    <cellStyle name="SAPBEXheaderItem 39" xfId="5614" xr:uid="{00000000-0005-0000-0000-0000C11A0000}"/>
    <cellStyle name="SAPBEXheaderItem 4" xfId="5615" xr:uid="{00000000-0005-0000-0000-0000C21A0000}"/>
    <cellStyle name="SAPBEXheaderItem 40" xfId="5616" xr:uid="{00000000-0005-0000-0000-0000C31A0000}"/>
    <cellStyle name="SAPBEXheaderItem 41" xfId="5617" xr:uid="{00000000-0005-0000-0000-0000C41A0000}"/>
    <cellStyle name="SAPBEXheaderItem 42" xfId="5618" xr:uid="{00000000-0005-0000-0000-0000C51A0000}"/>
    <cellStyle name="SAPBEXheaderItem 43" xfId="5619" xr:uid="{00000000-0005-0000-0000-0000C61A0000}"/>
    <cellStyle name="SAPBEXheaderItem 44" xfId="5620" xr:uid="{00000000-0005-0000-0000-0000C71A0000}"/>
    <cellStyle name="SAPBEXheaderItem 45" xfId="5621" xr:uid="{00000000-0005-0000-0000-0000C81A0000}"/>
    <cellStyle name="SAPBEXheaderItem 46" xfId="5622" xr:uid="{00000000-0005-0000-0000-0000C91A0000}"/>
    <cellStyle name="SAPBEXheaderItem 46 2" xfId="5623" xr:uid="{00000000-0005-0000-0000-0000CA1A0000}"/>
    <cellStyle name="SAPBEXheaderItem 47" xfId="5624" xr:uid="{00000000-0005-0000-0000-0000CB1A0000}"/>
    <cellStyle name="SAPBEXheaderItem 47 2" xfId="5625" xr:uid="{00000000-0005-0000-0000-0000CC1A0000}"/>
    <cellStyle name="SAPBEXheaderItem 48" xfId="5626" xr:uid="{00000000-0005-0000-0000-0000CD1A0000}"/>
    <cellStyle name="SAPBEXheaderItem 48 2" xfId="5627" xr:uid="{00000000-0005-0000-0000-0000CE1A0000}"/>
    <cellStyle name="SAPBEXheaderItem 49" xfId="5628" xr:uid="{00000000-0005-0000-0000-0000CF1A0000}"/>
    <cellStyle name="SAPBEXheaderItem 49 2" xfId="5629" xr:uid="{00000000-0005-0000-0000-0000D01A0000}"/>
    <cellStyle name="SAPBEXheaderItem 5" xfId="5630" xr:uid="{00000000-0005-0000-0000-0000D11A0000}"/>
    <cellStyle name="SAPBEXheaderItem 50" xfId="5631" xr:uid="{00000000-0005-0000-0000-0000D21A0000}"/>
    <cellStyle name="SAPBEXheaderItem 50 2" xfId="5632" xr:uid="{00000000-0005-0000-0000-0000D31A0000}"/>
    <cellStyle name="SAPBEXheaderItem 51" xfId="5633" xr:uid="{00000000-0005-0000-0000-0000D41A0000}"/>
    <cellStyle name="SAPBEXheaderItem 51 2" xfId="5634" xr:uid="{00000000-0005-0000-0000-0000D51A0000}"/>
    <cellStyle name="SAPBEXheaderItem 52" xfId="5635" xr:uid="{00000000-0005-0000-0000-0000D61A0000}"/>
    <cellStyle name="SAPBEXheaderItem 52 2" xfId="5636" xr:uid="{00000000-0005-0000-0000-0000D71A0000}"/>
    <cellStyle name="SAPBEXheaderItem 53" xfId="5637" xr:uid="{00000000-0005-0000-0000-0000D81A0000}"/>
    <cellStyle name="SAPBEXheaderItem 54" xfId="5638" xr:uid="{00000000-0005-0000-0000-0000D91A0000}"/>
    <cellStyle name="SAPBEXheaderItem 55" xfId="5639" xr:uid="{00000000-0005-0000-0000-0000DA1A0000}"/>
    <cellStyle name="SAPBEXheaderItem 56" xfId="5640" xr:uid="{00000000-0005-0000-0000-0000DB1A0000}"/>
    <cellStyle name="SAPBEXheaderItem 57" xfId="5641" xr:uid="{00000000-0005-0000-0000-0000DC1A0000}"/>
    <cellStyle name="SAPBEXheaderItem 58" xfId="5642" xr:uid="{00000000-0005-0000-0000-0000DD1A0000}"/>
    <cellStyle name="SAPBEXheaderItem 59" xfId="5643" xr:uid="{00000000-0005-0000-0000-0000DE1A0000}"/>
    <cellStyle name="SAPBEXheaderItem 6" xfId="5644" xr:uid="{00000000-0005-0000-0000-0000DF1A0000}"/>
    <cellStyle name="SAPBEXheaderItem 60" xfId="5645" xr:uid="{00000000-0005-0000-0000-0000E01A0000}"/>
    <cellStyle name="SAPBEXheaderItem 61" xfId="5646" xr:uid="{00000000-0005-0000-0000-0000E11A0000}"/>
    <cellStyle name="SAPBEXheaderItem 62" xfId="5647" xr:uid="{00000000-0005-0000-0000-0000E21A0000}"/>
    <cellStyle name="SAPBEXheaderItem 63" xfId="5648" xr:uid="{00000000-0005-0000-0000-0000E31A0000}"/>
    <cellStyle name="SAPBEXheaderItem 64" xfId="5649" xr:uid="{00000000-0005-0000-0000-0000E41A0000}"/>
    <cellStyle name="SAPBEXheaderItem 65" xfId="5650" xr:uid="{00000000-0005-0000-0000-0000E51A0000}"/>
    <cellStyle name="SAPBEXheaderItem 66" xfId="5651" xr:uid="{00000000-0005-0000-0000-0000E61A0000}"/>
    <cellStyle name="SAPBEXheaderItem 67" xfId="5652" xr:uid="{00000000-0005-0000-0000-0000E71A0000}"/>
    <cellStyle name="SAPBEXheaderItem 68" xfId="5653" xr:uid="{00000000-0005-0000-0000-0000E81A0000}"/>
    <cellStyle name="SAPBEXheaderItem 69" xfId="5654" xr:uid="{00000000-0005-0000-0000-0000E91A0000}"/>
    <cellStyle name="SAPBEXheaderItem 7" xfId="5655" xr:uid="{00000000-0005-0000-0000-0000EA1A0000}"/>
    <cellStyle name="SAPBEXheaderItem 70" xfId="5656" xr:uid="{00000000-0005-0000-0000-0000EB1A0000}"/>
    <cellStyle name="SAPBEXheaderItem 71" xfId="5657" xr:uid="{00000000-0005-0000-0000-0000EC1A0000}"/>
    <cellStyle name="SAPBEXheaderItem 72" xfId="5658" xr:uid="{00000000-0005-0000-0000-0000ED1A0000}"/>
    <cellStyle name="SAPBEXheaderItem 73" xfId="5659" xr:uid="{00000000-0005-0000-0000-0000EE1A0000}"/>
    <cellStyle name="SAPBEXheaderItem 74" xfId="5660" xr:uid="{00000000-0005-0000-0000-0000EF1A0000}"/>
    <cellStyle name="SAPBEXheaderItem 75" xfId="5661" xr:uid="{00000000-0005-0000-0000-0000F01A0000}"/>
    <cellStyle name="SAPBEXheaderItem 76" xfId="5662" xr:uid="{00000000-0005-0000-0000-0000F11A0000}"/>
    <cellStyle name="SAPBEXheaderItem 77" xfId="5663" xr:uid="{00000000-0005-0000-0000-0000F21A0000}"/>
    <cellStyle name="SAPBEXheaderItem 78" xfId="5664" xr:uid="{00000000-0005-0000-0000-0000F31A0000}"/>
    <cellStyle name="SAPBEXheaderItem 79" xfId="5665" xr:uid="{00000000-0005-0000-0000-0000F41A0000}"/>
    <cellStyle name="SAPBEXheaderItem 8" xfId="5666" xr:uid="{00000000-0005-0000-0000-0000F51A0000}"/>
    <cellStyle name="SAPBEXheaderItem 80" xfId="5667" xr:uid="{00000000-0005-0000-0000-0000F61A0000}"/>
    <cellStyle name="SAPBEXheaderItem 81" xfId="5668" xr:uid="{00000000-0005-0000-0000-0000F71A0000}"/>
    <cellStyle name="SAPBEXheaderItem 82" xfId="5669" xr:uid="{00000000-0005-0000-0000-0000F81A0000}"/>
    <cellStyle name="SAPBEXheaderItem 83" xfId="5670" xr:uid="{00000000-0005-0000-0000-0000F91A0000}"/>
    <cellStyle name="SAPBEXheaderItem 84" xfId="5671" xr:uid="{00000000-0005-0000-0000-0000FA1A0000}"/>
    <cellStyle name="SAPBEXheaderItem 85" xfId="5672" xr:uid="{00000000-0005-0000-0000-0000FB1A0000}"/>
    <cellStyle name="SAPBEXheaderItem 86" xfId="5673" xr:uid="{00000000-0005-0000-0000-0000FC1A0000}"/>
    <cellStyle name="SAPBEXheaderItem 87" xfId="5674" xr:uid="{00000000-0005-0000-0000-0000FD1A0000}"/>
    <cellStyle name="SAPBEXheaderItem 88" xfId="5675" xr:uid="{00000000-0005-0000-0000-0000FE1A0000}"/>
    <cellStyle name="SAPBEXheaderItem 89" xfId="5676" xr:uid="{00000000-0005-0000-0000-0000FF1A0000}"/>
    <cellStyle name="SAPBEXheaderItem 9" xfId="5677" xr:uid="{00000000-0005-0000-0000-0000001B0000}"/>
    <cellStyle name="SAPBEXheaderItem 90" xfId="5678" xr:uid="{00000000-0005-0000-0000-0000011B0000}"/>
    <cellStyle name="SAPBEXheaderItem 91" xfId="5679" xr:uid="{00000000-0005-0000-0000-0000021B0000}"/>
    <cellStyle name="SAPBEXheaderItem 92" xfId="5680" xr:uid="{00000000-0005-0000-0000-0000031B0000}"/>
    <cellStyle name="SAPBEXheaderItem 93" xfId="5681" xr:uid="{00000000-0005-0000-0000-0000041B0000}"/>
    <cellStyle name="SAPBEXheaderItem 94" xfId="5682" xr:uid="{00000000-0005-0000-0000-0000051B0000}"/>
    <cellStyle name="SAPBEXheaderItem 95" xfId="5683" xr:uid="{00000000-0005-0000-0000-0000061B0000}"/>
    <cellStyle name="SAPBEXheaderItem 96" xfId="5684" xr:uid="{00000000-0005-0000-0000-0000071B0000}"/>
    <cellStyle name="SAPBEXheaderItem 97" xfId="5685" xr:uid="{00000000-0005-0000-0000-0000081B0000}"/>
    <cellStyle name="SAPBEXheaderItem 98" xfId="5686" xr:uid="{00000000-0005-0000-0000-0000091B0000}"/>
    <cellStyle name="SAPBEXheaderItem 99" xfId="5687" xr:uid="{00000000-0005-0000-0000-00000A1B0000}"/>
    <cellStyle name="SAPBEXheaderItem_(A-7) IS-Inputs" xfId="5688" xr:uid="{00000000-0005-0000-0000-00000B1B0000}"/>
    <cellStyle name="SAPBEXheaderText" xfId="5689" xr:uid="{00000000-0005-0000-0000-00000C1B0000}"/>
    <cellStyle name="SAPBEXheaderText 10" xfId="5690" xr:uid="{00000000-0005-0000-0000-00000D1B0000}"/>
    <cellStyle name="SAPBEXheaderText 100" xfId="5691" xr:uid="{00000000-0005-0000-0000-00000E1B0000}"/>
    <cellStyle name="SAPBEXheaderText 101" xfId="5692" xr:uid="{00000000-0005-0000-0000-00000F1B0000}"/>
    <cellStyle name="SAPBEXheaderText 102" xfId="5693" xr:uid="{00000000-0005-0000-0000-0000101B0000}"/>
    <cellStyle name="SAPBEXheaderText 103" xfId="5694" xr:uid="{00000000-0005-0000-0000-0000111B0000}"/>
    <cellStyle name="SAPBEXheaderText 104" xfId="5695" xr:uid="{00000000-0005-0000-0000-0000121B0000}"/>
    <cellStyle name="SAPBEXheaderText 105" xfId="5696" xr:uid="{00000000-0005-0000-0000-0000131B0000}"/>
    <cellStyle name="SAPBEXheaderText 106" xfId="5697" xr:uid="{00000000-0005-0000-0000-0000141B0000}"/>
    <cellStyle name="SAPBEXheaderText 107" xfId="5698" xr:uid="{00000000-0005-0000-0000-0000151B0000}"/>
    <cellStyle name="SAPBEXheaderText 108" xfId="5699" xr:uid="{00000000-0005-0000-0000-0000161B0000}"/>
    <cellStyle name="SAPBEXheaderText 109" xfId="5700" xr:uid="{00000000-0005-0000-0000-0000171B0000}"/>
    <cellStyle name="SAPBEXheaderText 11" xfId="5701" xr:uid="{00000000-0005-0000-0000-0000181B0000}"/>
    <cellStyle name="SAPBEXheaderText 110" xfId="5702" xr:uid="{00000000-0005-0000-0000-0000191B0000}"/>
    <cellStyle name="SAPBEXheaderText 12" xfId="5703" xr:uid="{00000000-0005-0000-0000-00001A1B0000}"/>
    <cellStyle name="SAPBEXheaderText 13" xfId="5704" xr:uid="{00000000-0005-0000-0000-00001B1B0000}"/>
    <cellStyle name="SAPBEXheaderText 14" xfId="5705" xr:uid="{00000000-0005-0000-0000-00001C1B0000}"/>
    <cellStyle name="SAPBEXheaderText 15" xfId="5706" xr:uid="{00000000-0005-0000-0000-00001D1B0000}"/>
    <cellStyle name="SAPBEXheaderText 16" xfId="5707" xr:uid="{00000000-0005-0000-0000-00001E1B0000}"/>
    <cellStyle name="SAPBEXheaderText 17" xfId="5708" xr:uid="{00000000-0005-0000-0000-00001F1B0000}"/>
    <cellStyle name="SAPBEXheaderText 18" xfId="5709" xr:uid="{00000000-0005-0000-0000-0000201B0000}"/>
    <cellStyle name="SAPBEXheaderText 19" xfId="5710" xr:uid="{00000000-0005-0000-0000-0000211B0000}"/>
    <cellStyle name="SAPBEXheaderText 2" xfId="5711" xr:uid="{00000000-0005-0000-0000-0000221B0000}"/>
    <cellStyle name="SAPBEXheaderText 2 2" xfId="5712" xr:uid="{00000000-0005-0000-0000-0000231B0000}"/>
    <cellStyle name="SAPBEXheaderText 2 2 2" xfId="5713" xr:uid="{00000000-0005-0000-0000-0000241B0000}"/>
    <cellStyle name="SAPBEXheaderText 2 2 2 2" xfId="5714" xr:uid="{00000000-0005-0000-0000-0000251B0000}"/>
    <cellStyle name="SAPBEXheaderText 2 2 2 3" xfId="5715" xr:uid="{00000000-0005-0000-0000-0000261B0000}"/>
    <cellStyle name="SAPBEXheaderText 2 2 2 4" xfId="5716" xr:uid="{00000000-0005-0000-0000-0000271B0000}"/>
    <cellStyle name="SAPBEXheaderText 2 2 2 5" xfId="5717" xr:uid="{00000000-0005-0000-0000-0000281B0000}"/>
    <cellStyle name="SAPBEXheaderText 2 2 2 6" xfId="5718" xr:uid="{00000000-0005-0000-0000-0000291B0000}"/>
    <cellStyle name="SAPBEXheaderText 2 2 2 7" xfId="5719" xr:uid="{00000000-0005-0000-0000-00002A1B0000}"/>
    <cellStyle name="SAPBEXheaderText 2 2 3" xfId="5720" xr:uid="{00000000-0005-0000-0000-00002B1B0000}"/>
    <cellStyle name="SAPBEXheaderText 2 2 4" xfId="5721" xr:uid="{00000000-0005-0000-0000-00002C1B0000}"/>
    <cellStyle name="SAPBEXheaderText 2 2 5" xfId="5722" xr:uid="{00000000-0005-0000-0000-00002D1B0000}"/>
    <cellStyle name="SAPBEXheaderText 2 2 6" xfId="5723" xr:uid="{00000000-0005-0000-0000-00002E1B0000}"/>
    <cellStyle name="SAPBEXheaderText 2 2 7" xfId="5724" xr:uid="{00000000-0005-0000-0000-00002F1B0000}"/>
    <cellStyle name="SAPBEXheaderText 2 3" xfId="5725" xr:uid="{00000000-0005-0000-0000-0000301B0000}"/>
    <cellStyle name="SAPBEXheaderText 2 4" xfId="5726" xr:uid="{00000000-0005-0000-0000-0000311B0000}"/>
    <cellStyle name="SAPBEXheaderText 2 5" xfId="5727" xr:uid="{00000000-0005-0000-0000-0000321B0000}"/>
    <cellStyle name="SAPBEXheaderText 2 6" xfId="5728" xr:uid="{00000000-0005-0000-0000-0000331B0000}"/>
    <cellStyle name="SAPBEXheaderText 2 7" xfId="5729" xr:uid="{00000000-0005-0000-0000-0000341B0000}"/>
    <cellStyle name="SAPBEXheaderText 2 8" xfId="5730" xr:uid="{00000000-0005-0000-0000-0000351B0000}"/>
    <cellStyle name="SAPBEXheaderText 2 9" xfId="5731" xr:uid="{00000000-0005-0000-0000-0000361B0000}"/>
    <cellStyle name="SAPBEXheaderText 20" xfId="5732" xr:uid="{00000000-0005-0000-0000-0000371B0000}"/>
    <cellStyle name="SAPBEXheaderText 21" xfId="5733" xr:uid="{00000000-0005-0000-0000-0000381B0000}"/>
    <cellStyle name="SAPBEXheaderText 22" xfId="5734" xr:uid="{00000000-0005-0000-0000-0000391B0000}"/>
    <cellStyle name="SAPBEXheaderText 23" xfId="5735" xr:uid="{00000000-0005-0000-0000-00003A1B0000}"/>
    <cellStyle name="SAPBEXheaderText 24" xfId="5736" xr:uid="{00000000-0005-0000-0000-00003B1B0000}"/>
    <cellStyle name="SAPBEXheaderText 25" xfId="5737" xr:uid="{00000000-0005-0000-0000-00003C1B0000}"/>
    <cellStyle name="SAPBEXheaderText 26" xfId="5738" xr:uid="{00000000-0005-0000-0000-00003D1B0000}"/>
    <cellStyle name="SAPBEXheaderText 27" xfId="5739" xr:uid="{00000000-0005-0000-0000-00003E1B0000}"/>
    <cellStyle name="SAPBEXheaderText 28" xfId="5740" xr:uid="{00000000-0005-0000-0000-00003F1B0000}"/>
    <cellStyle name="SAPBEXheaderText 29" xfId="5741" xr:uid="{00000000-0005-0000-0000-0000401B0000}"/>
    <cellStyle name="SAPBEXheaderText 3" xfId="5742" xr:uid="{00000000-0005-0000-0000-0000411B0000}"/>
    <cellStyle name="SAPBEXheaderText 30" xfId="5743" xr:uid="{00000000-0005-0000-0000-0000421B0000}"/>
    <cellStyle name="SAPBEXheaderText 31" xfId="5744" xr:uid="{00000000-0005-0000-0000-0000431B0000}"/>
    <cellStyle name="SAPBEXheaderText 32" xfId="5745" xr:uid="{00000000-0005-0000-0000-0000441B0000}"/>
    <cellStyle name="SAPBEXheaderText 33" xfId="5746" xr:uid="{00000000-0005-0000-0000-0000451B0000}"/>
    <cellStyle name="SAPBEXheaderText 34" xfId="5747" xr:uid="{00000000-0005-0000-0000-0000461B0000}"/>
    <cellStyle name="SAPBEXheaderText 35" xfId="5748" xr:uid="{00000000-0005-0000-0000-0000471B0000}"/>
    <cellStyle name="SAPBEXheaderText 36" xfId="5749" xr:uid="{00000000-0005-0000-0000-0000481B0000}"/>
    <cellStyle name="SAPBEXheaderText 37" xfId="5750" xr:uid="{00000000-0005-0000-0000-0000491B0000}"/>
    <cellStyle name="SAPBEXheaderText 38" xfId="5751" xr:uid="{00000000-0005-0000-0000-00004A1B0000}"/>
    <cellStyle name="SAPBEXheaderText 39" xfId="5752" xr:uid="{00000000-0005-0000-0000-00004B1B0000}"/>
    <cellStyle name="SAPBEXheaderText 4" xfId="5753" xr:uid="{00000000-0005-0000-0000-00004C1B0000}"/>
    <cellStyle name="SAPBEXheaderText 40" xfId="5754" xr:uid="{00000000-0005-0000-0000-00004D1B0000}"/>
    <cellStyle name="SAPBEXheaderText 41" xfId="5755" xr:uid="{00000000-0005-0000-0000-00004E1B0000}"/>
    <cellStyle name="SAPBEXheaderText 42" xfId="5756" xr:uid="{00000000-0005-0000-0000-00004F1B0000}"/>
    <cellStyle name="SAPBEXheaderText 43" xfId="5757" xr:uid="{00000000-0005-0000-0000-0000501B0000}"/>
    <cellStyle name="SAPBEXheaderText 44" xfId="5758" xr:uid="{00000000-0005-0000-0000-0000511B0000}"/>
    <cellStyle name="SAPBEXheaderText 45" xfId="5759" xr:uid="{00000000-0005-0000-0000-0000521B0000}"/>
    <cellStyle name="SAPBEXheaderText 46" xfId="5760" xr:uid="{00000000-0005-0000-0000-0000531B0000}"/>
    <cellStyle name="SAPBEXheaderText 46 2" xfId="5761" xr:uid="{00000000-0005-0000-0000-0000541B0000}"/>
    <cellStyle name="SAPBEXheaderText 47" xfId="5762" xr:uid="{00000000-0005-0000-0000-0000551B0000}"/>
    <cellStyle name="SAPBEXheaderText 47 2" xfId="5763" xr:uid="{00000000-0005-0000-0000-0000561B0000}"/>
    <cellStyle name="SAPBEXheaderText 48" xfId="5764" xr:uid="{00000000-0005-0000-0000-0000571B0000}"/>
    <cellStyle name="SAPBEXheaderText 48 2" xfId="5765" xr:uid="{00000000-0005-0000-0000-0000581B0000}"/>
    <cellStyle name="SAPBEXheaderText 49" xfId="5766" xr:uid="{00000000-0005-0000-0000-0000591B0000}"/>
    <cellStyle name="SAPBEXheaderText 49 2" xfId="5767" xr:uid="{00000000-0005-0000-0000-00005A1B0000}"/>
    <cellStyle name="SAPBEXheaderText 5" xfId="5768" xr:uid="{00000000-0005-0000-0000-00005B1B0000}"/>
    <cellStyle name="SAPBEXheaderText 50" xfId="5769" xr:uid="{00000000-0005-0000-0000-00005C1B0000}"/>
    <cellStyle name="SAPBEXheaderText 50 2" xfId="5770" xr:uid="{00000000-0005-0000-0000-00005D1B0000}"/>
    <cellStyle name="SAPBEXheaderText 51" xfId="5771" xr:uid="{00000000-0005-0000-0000-00005E1B0000}"/>
    <cellStyle name="SAPBEXheaderText 51 2" xfId="5772" xr:uid="{00000000-0005-0000-0000-00005F1B0000}"/>
    <cellStyle name="SAPBEXheaderText 52" xfId="5773" xr:uid="{00000000-0005-0000-0000-0000601B0000}"/>
    <cellStyle name="SAPBEXheaderText 52 2" xfId="5774" xr:uid="{00000000-0005-0000-0000-0000611B0000}"/>
    <cellStyle name="SAPBEXheaderText 53" xfId="5775" xr:uid="{00000000-0005-0000-0000-0000621B0000}"/>
    <cellStyle name="SAPBEXheaderText 54" xfId="5776" xr:uid="{00000000-0005-0000-0000-0000631B0000}"/>
    <cellStyle name="SAPBEXheaderText 55" xfId="5777" xr:uid="{00000000-0005-0000-0000-0000641B0000}"/>
    <cellStyle name="SAPBEXheaderText 56" xfId="5778" xr:uid="{00000000-0005-0000-0000-0000651B0000}"/>
    <cellStyle name="SAPBEXheaderText 57" xfId="5779" xr:uid="{00000000-0005-0000-0000-0000661B0000}"/>
    <cellStyle name="SAPBEXheaderText 58" xfId="5780" xr:uid="{00000000-0005-0000-0000-0000671B0000}"/>
    <cellStyle name="SAPBEXheaderText 59" xfId="5781" xr:uid="{00000000-0005-0000-0000-0000681B0000}"/>
    <cellStyle name="SAPBEXheaderText 6" xfId="5782" xr:uid="{00000000-0005-0000-0000-0000691B0000}"/>
    <cellStyle name="SAPBEXheaderText 60" xfId="5783" xr:uid="{00000000-0005-0000-0000-00006A1B0000}"/>
    <cellStyle name="SAPBEXheaderText 61" xfId="5784" xr:uid="{00000000-0005-0000-0000-00006B1B0000}"/>
    <cellStyle name="SAPBEXheaderText 62" xfId="5785" xr:uid="{00000000-0005-0000-0000-00006C1B0000}"/>
    <cellStyle name="SAPBEXheaderText 63" xfId="5786" xr:uid="{00000000-0005-0000-0000-00006D1B0000}"/>
    <cellStyle name="SAPBEXheaderText 64" xfId="5787" xr:uid="{00000000-0005-0000-0000-00006E1B0000}"/>
    <cellStyle name="SAPBEXheaderText 65" xfId="5788" xr:uid="{00000000-0005-0000-0000-00006F1B0000}"/>
    <cellStyle name="SAPBEXheaderText 66" xfId="5789" xr:uid="{00000000-0005-0000-0000-0000701B0000}"/>
    <cellStyle name="SAPBEXheaderText 67" xfId="5790" xr:uid="{00000000-0005-0000-0000-0000711B0000}"/>
    <cellStyle name="SAPBEXheaderText 68" xfId="5791" xr:uid="{00000000-0005-0000-0000-0000721B0000}"/>
    <cellStyle name="SAPBEXheaderText 69" xfId="5792" xr:uid="{00000000-0005-0000-0000-0000731B0000}"/>
    <cellStyle name="SAPBEXheaderText 7" xfId="5793" xr:uid="{00000000-0005-0000-0000-0000741B0000}"/>
    <cellStyle name="SAPBEXheaderText 70" xfId="5794" xr:uid="{00000000-0005-0000-0000-0000751B0000}"/>
    <cellStyle name="SAPBEXheaderText 71" xfId="5795" xr:uid="{00000000-0005-0000-0000-0000761B0000}"/>
    <cellStyle name="SAPBEXheaderText 72" xfId="5796" xr:uid="{00000000-0005-0000-0000-0000771B0000}"/>
    <cellStyle name="SAPBEXheaderText 73" xfId="5797" xr:uid="{00000000-0005-0000-0000-0000781B0000}"/>
    <cellStyle name="SAPBEXheaderText 74" xfId="5798" xr:uid="{00000000-0005-0000-0000-0000791B0000}"/>
    <cellStyle name="SAPBEXheaderText 75" xfId="5799" xr:uid="{00000000-0005-0000-0000-00007A1B0000}"/>
    <cellStyle name="SAPBEXheaderText 76" xfId="5800" xr:uid="{00000000-0005-0000-0000-00007B1B0000}"/>
    <cellStyle name="SAPBEXheaderText 77" xfId="5801" xr:uid="{00000000-0005-0000-0000-00007C1B0000}"/>
    <cellStyle name="SAPBEXheaderText 78" xfId="5802" xr:uid="{00000000-0005-0000-0000-00007D1B0000}"/>
    <cellStyle name="SAPBEXheaderText 79" xfId="5803" xr:uid="{00000000-0005-0000-0000-00007E1B0000}"/>
    <cellStyle name="SAPBEXheaderText 8" xfId="5804" xr:uid="{00000000-0005-0000-0000-00007F1B0000}"/>
    <cellStyle name="SAPBEXheaderText 80" xfId="5805" xr:uid="{00000000-0005-0000-0000-0000801B0000}"/>
    <cellStyle name="SAPBEXheaderText 81" xfId="5806" xr:uid="{00000000-0005-0000-0000-0000811B0000}"/>
    <cellStyle name="SAPBEXheaderText 82" xfId="5807" xr:uid="{00000000-0005-0000-0000-0000821B0000}"/>
    <cellStyle name="SAPBEXheaderText 83" xfId="5808" xr:uid="{00000000-0005-0000-0000-0000831B0000}"/>
    <cellStyle name="SAPBEXheaderText 84" xfId="5809" xr:uid="{00000000-0005-0000-0000-0000841B0000}"/>
    <cellStyle name="SAPBEXheaderText 85" xfId="5810" xr:uid="{00000000-0005-0000-0000-0000851B0000}"/>
    <cellStyle name="SAPBEXheaderText 86" xfId="5811" xr:uid="{00000000-0005-0000-0000-0000861B0000}"/>
    <cellStyle name="SAPBEXheaderText 87" xfId="5812" xr:uid="{00000000-0005-0000-0000-0000871B0000}"/>
    <cellStyle name="SAPBEXheaderText 88" xfId="5813" xr:uid="{00000000-0005-0000-0000-0000881B0000}"/>
    <cellStyle name="SAPBEXheaderText 89" xfId="5814" xr:uid="{00000000-0005-0000-0000-0000891B0000}"/>
    <cellStyle name="SAPBEXheaderText 9" xfId="5815" xr:uid="{00000000-0005-0000-0000-00008A1B0000}"/>
    <cellStyle name="SAPBEXheaderText 90" xfId="5816" xr:uid="{00000000-0005-0000-0000-00008B1B0000}"/>
    <cellStyle name="SAPBEXheaderText 91" xfId="5817" xr:uid="{00000000-0005-0000-0000-00008C1B0000}"/>
    <cellStyle name="SAPBEXheaderText 92" xfId="5818" xr:uid="{00000000-0005-0000-0000-00008D1B0000}"/>
    <cellStyle name="SAPBEXheaderText 93" xfId="5819" xr:uid="{00000000-0005-0000-0000-00008E1B0000}"/>
    <cellStyle name="SAPBEXheaderText 94" xfId="5820" xr:uid="{00000000-0005-0000-0000-00008F1B0000}"/>
    <cellStyle name="SAPBEXheaderText 95" xfId="5821" xr:uid="{00000000-0005-0000-0000-0000901B0000}"/>
    <cellStyle name="SAPBEXheaderText 96" xfId="5822" xr:uid="{00000000-0005-0000-0000-0000911B0000}"/>
    <cellStyle name="SAPBEXheaderText 97" xfId="5823" xr:uid="{00000000-0005-0000-0000-0000921B0000}"/>
    <cellStyle name="SAPBEXheaderText 98" xfId="5824" xr:uid="{00000000-0005-0000-0000-0000931B0000}"/>
    <cellStyle name="SAPBEXheaderText 99" xfId="5825" xr:uid="{00000000-0005-0000-0000-0000941B0000}"/>
    <cellStyle name="SAPBEXheaderText_(A-7) IS-Inputs" xfId="5826" xr:uid="{00000000-0005-0000-0000-0000951B0000}"/>
    <cellStyle name="SAPBEXHLevel0" xfId="5827" xr:uid="{00000000-0005-0000-0000-0000961B0000}"/>
    <cellStyle name="SAPBEXHLevel0 10" xfId="5828" xr:uid="{00000000-0005-0000-0000-0000971B0000}"/>
    <cellStyle name="SAPBEXHLevel0 100" xfId="5829" xr:uid="{00000000-0005-0000-0000-0000981B0000}"/>
    <cellStyle name="SAPBEXHLevel0 101" xfId="5830" xr:uid="{00000000-0005-0000-0000-0000991B0000}"/>
    <cellStyle name="SAPBEXHLevel0 102" xfId="5831" xr:uid="{00000000-0005-0000-0000-00009A1B0000}"/>
    <cellStyle name="SAPBEXHLevel0 103" xfId="5832" xr:uid="{00000000-0005-0000-0000-00009B1B0000}"/>
    <cellStyle name="SAPBEXHLevel0 104" xfId="5833" xr:uid="{00000000-0005-0000-0000-00009C1B0000}"/>
    <cellStyle name="SAPBEXHLevel0 105" xfId="5834" xr:uid="{00000000-0005-0000-0000-00009D1B0000}"/>
    <cellStyle name="SAPBEXHLevel0 106" xfId="5835" xr:uid="{00000000-0005-0000-0000-00009E1B0000}"/>
    <cellStyle name="SAPBEXHLevel0 107" xfId="5836" xr:uid="{00000000-0005-0000-0000-00009F1B0000}"/>
    <cellStyle name="SAPBEXHLevel0 108" xfId="5837" xr:uid="{00000000-0005-0000-0000-0000A01B0000}"/>
    <cellStyle name="SAPBEXHLevel0 109" xfId="5838" xr:uid="{00000000-0005-0000-0000-0000A11B0000}"/>
    <cellStyle name="SAPBEXHLevel0 11" xfId="5839" xr:uid="{00000000-0005-0000-0000-0000A21B0000}"/>
    <cellStyle name="SAPBEXHLevel0 110" xfId="5840" xr:uid="{00000000-0005-0000-0000-0000A31B0000}"/>
    <cellStyle name="SAPBEXHLevel0 12" xfId="5841" xr:uid="{00000000-0005-0000-0000-0000A41B0000}"/>
    <cellStyle name="SAPBEXHLevel0 13" xfId="5842" xr:uid="{00000000-0005-0000-0000-0000A51B0000}"/>
    <cellStyle name="SAPBEXHLevel0 14" xfId="5843" xr:uid="{00000000-0005-0000-0000-0000A61B0000}"/>
    <cellStyle name="SAPBEXHLevel0 15" xfId="5844" xr:uid="{00000000-0005-0000-0000-0000A71B0000}"/>
    <cellStyle name="SAPBEXHLevel0 16" xfId="5845" xr:uid="{00000000-0005-0000-0000-0000A81B0000}"/>
    <cellStyle name="SAPBEXHLevel0 17" xfId="5846" xr:uid="{00000000-0005-0000-0000-0000A91B0000}"/>
    <cellStyle name="SAPBEXHLevel0 18" xfId="5847" xr:uid="{00000000-0005-0000-0000-0000AA1B0000}"/>
    <cellStyle name="SAPBEXHLevel0 19" xfId="5848" xr:uid="{00000000-0005-0000-0000-0000AB1B0000}"/>
    <cellStyle name="SAPBEXHLevel0 2" xfId="5849" xr:uid="{00000000-0005-0000-0000-0000AC1B0000}"/>
    <cellStyle name="SAPBEXHLevel0 20" xfId="5850" xr:uid="{00000000-0005-0000-0000-0000AD1B0000}"/>
    <cellStyle name="SAPBEXHLevel0 21" xfId="5851" xr:uid="{00000000-0005-0000-0000-0000AE1B0000}"/>
    <cellStyle name="SAPBEXHLevel0 22" xfId="5852" xr:uid="{00000000-0005-0000-0000-0000AF1B0000}"/>
    <cellStyle name="SAPBEXHLevel0 23" xfId="5853" xr:uid="{00000000-0005-0000-0000-0000B01B0000}"/>
    <cellStyle name="SAPBEXHLevel0 24" xfId="5854" xr:uid="{00000000-0005-0000-0000-0000B11B0000}"/>
    <cellStyle name="SAPBEXHLevel0 25" xfId="5855" xr:uid="{00000000-0005-0000-0000-0000B21B0000}"/>
    <cellStyle name="SAPBEXHLevel0 26" xfId="5856" xr:uid="{00000000-0005-0000-0000-0000B31B0000}"/>
    <cellStyle name="SAPBEXHLevel0 27" xfId="5857" xr:uid="{00000000-0005-0000-0000-0000B41B0000}"/>
    <cellStyle name="SAPBEXHLevel0 28" xfId="5858" xr:uid="{00000000-0005-0000-0000-0000B51B0000}"/>
    <cellStyle name="SAPBEXHLevel0 29" xfId="5859" xr:uid="{00000000-0005-0000-0000-0000B61B0000}"/>
    <cellStyle name="SAPBEXHLevel0 3" xfId="5860" xr:uid="{00000000-0005-0000-0000-0000B71B0000}"/>
    <cellStyle name="SAPBEXHLevel0 30" xfId="5861" xr:uid="{00000000-0005-0000-0000-0000B81B0000}"/>
    <cellStyle name="SAPBEXHLevel0 31" xfId="5862" xr:uid="{00000000-0005-0000-0000-0000B91B0000}"/>
    <cellStyle name="SAPBEXHLevel0 32" xfId="5863" xr:uid="{00000000-0005-0000-0000-0000BA1B0000}"/>
    <cellStyle name="SAPBEXHLevel0 33" xfId="5864" xr:uid="{00000000-0005-0000-0000-0000BB1B0000}"/>
    <cellStyle name="SAPBEXHLevel0 34" xfId="5865" xr:uid="{00000000-0005-0000-0000-0000BC1B0000}"/>
    <cellStyle name="SAPBEXHLevel0 35" xfId="5866" xr:uid="{00000000-0005-0000-0000-0000BD1B0000}"/>
    <cellStyle name="SAPBEXHLevel0 36" xfId="5867" xr:uid="{00000000-0005-0000-0000-0000BE1B0000}"/>
    <cellStyle name="SAPBEXHLevel0 37" xfId="5868" xr:uid="{00000000-0005-0000-0000-0000BF1B0000}"/>
    <cellStyle name="SAPBEXHLevel0 38" xfId="5869" xr:uid="{00000000-0005-0000-0000-0000C01B0000}"/>
    <cellStyle name="SAPBEXHLevel0 39" xfId="5870" xr:uid="{00000000-0005-0000-0000-0000C11B0000}"/>
    <cellStyle name="SAPBEXHLevel0 4" xfId="5871" xr:uid="{00000000-0005-0000-0000-0000C21B0000}"/>
    <cellStyle name="SAPBEXHLevel0 40" xfId="5872" xr:uid="{00000000-0005-0000-0000-0000C31B0000}"/>
    <cellStyle name="SAPBEXHLevel0 41" xfId="5873" xr:uid="{00000000-0005-0000-0000-0000C41B0000}"/>
    <cellStyle name="SAPBEXHLevel0 42" xfId="5874" xr:uid="{00000000-0005-0000-0000-0000C51B0000}"/>
    <cellStyle name="SAPBEXHLevel0 43" xfId="5875" xr:uid="{00000000-0005-0000-0000-0000C61B0000}"/>
    <cellStyle name="SAPBEXHLevel0 44" xfId="5876" xr:uid="{00000000-0005-0000-0000-0000C71B0000}"/>
    <cellStyle name="SAPBEXHLevel0 45" xfId="5877" xr:uid="{00000000-0005-0000-0000-0000C81B0000}"/>
    <cellStyle name="SAPBEXHLevel0 46" xfId="5878" xr:uid="{00000000-0005-0000-0000-0000C91B0000}"/>
    <cellStyle name="SAPBEXHLevel0 47" xfId="5879" xr:uid="{00000000-0005-0000-0000-0000CA1B0000}"/>
    <cellStyle name="SAPBEXHLevel0 48" xfId="5880" xr:uid="{00000000-0005-0000-0000-0000CB1B0000}"/>
    <cellStyle name="SAPBEXHLevel0 49" xfId="5881" xr:uid="{00000000-0005-0000-0000-0000CC1B0000}"/>
    <cellStyle name="SAPBEXHLevel0 5" xfId="5882" xr:uid="{00000000-0005-0000-0000-0000CD1B0000}"/>
    <cellStyle name="SAPBEXHLevel0 50" xfId="5883" xr:uid="{00000000-0005-0000-0000-0000CE1B0000}"/>
    <cellStyle name="SAPBEXHLevel0 51" xfId="5884" xr:uid="{00000000-0005-0000-0000-0000CF1B0000}"/>
    <cellStyle name="SAPBEXHLevel0 52" xfId="5885" xr:uid="{00000000-0005-0000-0000-0000D01B0000}"/>
    <cellStyle name="SAPBEXHLevel0 53" xfId="5886" xr:uid="{00000000-0005-0000-0000-0000D11B0000}"/>
    <cellStyle name="SAPBEXHLevel0 54" xfId="5887" xr:uid="{00000000-0005-0000-0000-0000D21B0000}"/>
    <cellStyle name="SAPBEXHLevel0 55" xfId="5888" xr:uid="{00000000-0005-0000-0000-0000D31B0000}"/>
    <cellStyle name="SAPBEXHLevel0 56" xfId="5889" xr:uid="{00000000-0005-0000-0000-0000D41B0000}"/>
    <cellStyle name="SAPBEXHLevel0 57" xfId="5890" xr:uid="{00000000-0005-0000-0000-0000D51B0000}"/>
    <cellStyle name="SAPBEXHLevel0 58" xfId="5891" xr:uid="{00000000-0005-0000-0000-0000D61B0000}"/>
    <cellStyle name="SAPBEXHLevel0 59" xfId="5892" xr:uid="{00000000-0005-0000-0000-0000D71B0000}"/>
    <cellStyle name="SAPBEXHLevel0 6" xfId="5893" xr:uid="{00000000-0005-0000-0000-0000D81B0000}"/>
    <cellStyle name="SAPBEXHLevel0 60" xfId="5894" xr:uid="{00000000-0005-0000-0000-0000D91B0000}"/>
    <cellStyle name="SAPBEXHLevel0 61" xfId="5895" xr:uid="{00000000-0005-0000-0000-0000DA1B0000}"/>
    <cellStyle name="SAPBEXHLevel0 62" xfId="5896" xr:uid="{00000000-0005-0000-0000-0000DB1B0000}"/>
    <cellStyle name="SAPBEXHLevel0 63" xfId="5897" xr:uid="{00000000-0005-0000-0000-0000DC1B0000}"/>
    <cellStyle name="SAPBEXHLevel0 64" xfId="5898" xr:uid="{00000000-0005-0000-0000-0000DD1B0000}"/>
    <cellStyle name="SAPBEXHLevel0 65" xfId="5899" xr:uid="{00000000-0005-0000-0000-0000DE1B0000}"/>
    <cellStyle name="SAPBEXHLevel0 66" xfId="5900" xr:uid="{00000000-0005-0000-0000-0000DF1B0000}"/>
    <cellStyle name="SAPBEXHLevel0 67" xfId="5901" xr:uid="{00000000-0005-0000-0000-0000E01B0000}"/>
    <cellStyle name="SAPBEXHLevel0 68" xfId="5902" xr:uid="{00000000-0005-0000-0000-0000E11B0000}"/>
    <cellStyle name="SAPBEXHLevel0 69" xfId="5903" xr:uid="{00000000-0005-0000-0000-0000E21B0000}"/>
    <cellStyle name="SAPBEXHLevel0 7" xfId="5904" xr:uid="{00000000-0005-0000-0000-0000E31B0000}"/>
    <cellStyle name="SAPBEXHLevel0 70" xfId="5905" xr:uid="{00000000-0005-0000-0000-0000E41B0000}"/>
    <cellStyle name="SAPBEXHLevel0 71" xfId="5906" xr:uid="{00000000-0005-0000-0000-0000E51B0000}"/>
    <cellStyle name="SAPBEXHLevel0 72" xfId="5907" xr:uid="{00000000-0005-0000-0000-0000E61B0000}"/>
    <cellStyle name="SAPBEXHLevel0 73" xfId="5908" xr:uid="{00000000-0005-0000-0000-0000E71B0000}"/>
    <cellStyle name="SAPBEXHLevel0 74" xfId="5909" xr:uid="{00000000-0005-0000-0000-0000E81B0000}"/>
    <cellStyle name="SAPBEXHLevel0 75" xfId="5910" xr:uid="{00000000-0005-0000-0000-0000E91B0000}"/>
    <cellStyle name="SAPBEXHLevel0 76" xfId="5911" xr:uid="{00000000-0005-0000-0000-0000EA1B0000}"/>
    <cellStyle name="SAPBEXHLevel0 77" xfId="5912" xr:uid="{00000000-0005-0000-0000-0000EB1B0000}"/>
    <cellStyle name="SAPBEXHLevel0 78" xfId="5913" xr:uid="{00000000-0005-0000-0000-0000EC1B0000}"/>
    <cellStyle name="SAPBEXHLevel0 79" xfId="5914" xr:uid="{00000000-0005-0000-0000-0000ED1B0000}"/>
    <cellStyle name="SAPBEXHLevel0 8" xfId="5915" xr:uid="{00000000-0005-0000-0000-0000EE1B0000}"/>
    <cellStyle name="SAPBEXHLevel0 80" xfId="5916" xr:uid="{00000000-0005-0000-0000-0000EF1B0000}"/>
    <cellStyle name="SAPBEXHLevel0 81" xfId="5917" xr:uid="{00000000-0005-0000-0000-0000F01B0000}"/>
    <cellStyle name="SAPBEXHLevel0 82" xfId="5918" xr:uid="{00000000-0005-0000-0000-0000F11B0000}"/>
    <cellStyle name="SAPBEXHLevel0 83" xfId="5919" xr:uid="{00000000-0005-0000-0000-0000F21B0000}"/>
    <cellStyle name="SAPBEXHLevel0 84" xfId="5920" xr:uid="{00000000-0005-0000-0000-0000F31B0000}"/>
    <cellStyle name="SAPBEXHLevel0 85" xfId="5921" xr:uid="{00000000-0005-0000-0000-0000F41B0000}"/>
    <cellStyle name="SAPBEXHLevel0 86" xfId="5922" xr:uid="{00000000-0005-0000-0000-0000F51B0000}"/>
    <cellStyle name="SAPBEXHLevel0 87" xfId="5923" xr:uid="{00000000-0005-0000-0000-0000F61B0000}"/>
    <cellStyle name="SAPBEXHLevel0 88" xfId="5924" xr:uid="{00000000-0005-0000-0000-0000F71B0000}"/>
    <cellStyle name="SAPBEXHLevel0 89" xfId="5925" xr:uid="{00000000-0005-0000-0000-0000F81B0000}"/>
    <cellStyle name="SAPBEXHLevel0 9" xfId="5926" xr:uid="{00000000-0005-0000-0000-0000F91B0000}"/>
    <cellStyle name="SAPBEXHLevel0 90" xfId="5927" xr:uid="{00000000-0005-0000-0000-0000FA1B0000}"/>
    <cellStyle name="SAPBEXHLevel0 91" xfId="5928" xr:uid="{00000000-0005-0000-0000-0000FB1B0000}"/>
    <cellStyle name="SAPBEXHLevel0 92" xfId="5929" xr:uid="{00000000-0005-0000-0000-0000FC1B0000}"/>
    <cellStyle name="SAPBEXHLevel0 93" xfId="5930" xr:uid="{00000000-0005-0000-0000-0000FD1B0000}"/>
    <cellStyle name="SAPBEXHLevel0 94" xfId="5931" xr:uid="{00000000-0005-0000-0000-0000FE1B0000}"/>
    <cellStyle name="SAPBEXHLevel0 95" xfId="5932" xr:uid="{00000000-0005-0000-0000-0000FF1B0000}"/>
    <cellStyle name="SAPBEXHLevel0 96" xfId="5933" xr:uid="{00000000-0005-0000-0000-0000001C0000}"/>
    <cellStyle name="SAPBEXHLevel0 97" xfId="5934" xr:uid="{00000000-0005-0000-0000-0000011C0000}"/>
    <cellStyle name="SAPBEXHLevel0 98" xfId="5935" xr:uid="{00000000-0005-0000-0000-0000021C0000}"/>
    <cellStyle name="SAPBEXHLevel0 99" xfId="5936" xr:uid="{00000000-0005-0000-0000-0000031C0000}"/>
    <cellStyle name="SAPBEXHLevel0_(A-7) IS-Inputs" xfId="5937" xr:uid="{00000000-0005-0000-0000-0000041C0000}"/>
    <cellStyle name="SAPBEXHLevel0X" xfId="5938" xr:uid="{00000000-0005-0000-0000-0000051C0000}"/>
    <cellStyle name="SAPBEXHLevel0X 10" xfId="5939" xr:uid="{00000000-0005-0000-0000-0000061C0000}"/>
    <cellStyle name="SAPBEXHLevel0X 10 2" xfId="5940" xr:uid="{00000000-0005-0000-0000-0000071C0000}"/>
    <cellStyle name="SAPBEXHLevel0X 10 3" xfId="5941" xr:uid="{00000000-0005-0000-0000-0000081C0000}"/>
    <cellStyle name="SAPBEXHLevel0X 10 4" xfId="5942" xr:uid="{00000000-0005-0000-0000-0000091C0000}"/>
    <cellStyle name="SAPBEXHLevel0X 10 5" xfId="5943" xr:uid="{00000000-0005-0000-0000-00000A1C0000}"/>
    <cellStyle name="SAPBEXHLevel0X 10 6" xfId="5944" xr:uid="{00000000-0005-0000-0000-00000B1C0000}"/>
    <cellStyle name="SAPBEXHLevel0X 10 7" xfId="5945" xr:uid="{00000000-0005-0000-0000-00000C1C0000}"/>
    <cellStyle name="SAPBEXHLevel0X 10 8" xfId="5946" xr:uid="{00000000-0005-0000-0000-00000D1C0000}"/>
    <cellStyle name="SAPBEXHLevel0X 10 9" xfId="5947" xr:uid="{00000000-0005-0000-0000-00000E1C0000}"/>
    <cellStyle name="SAPBEXHLevel0X 11" xfId="5948" xr:uid="{00000000-0005-0000-0000-00000F1C0000}"/>
    <cellStyle name="SAPBEXHLevel0X 11 2" xfId="5949" xr:uid="{00000000-0005-0000-0000-0000101C0000}"/>
    <cellStyle name="SAPBEXHLevel0X 12" xfId="5950" xr:uid="{00000000-0005-0000-0000-0000111C0000}"/>
    <cellStyle name="SAPBEXHLevel0X 12 2" xfId="5951" xr:uid="{00000000-0005-0000-0000-0000121C0000}"/>
    <cellStyle name="SAPBEXHLevel0X 12 3" xfId="5952" xr:uid="{00000000-0005-0000-0000-0000131C0000}"/>
    <cellStyle name="SAPBEXHLevel0X 12 4" xfId="5953" xr:uid="{00000000-0005-0000-0000-0000141C0000}"/>
    <cellStyle name="SAPBEXHLevel0X 12 5" xfId="5954" xr:uid="{00000000-0005-0000-0000-0000151C0000}"/>
    <cellStyle name="SAPBEXHLevel0X 12 6" xfId="5955" xr:uid="{00000000-0005-0000-0000-0000161C0000}"/>
    <cellStyle name="SAPBEXHLevel0X 12 7" xfId="5956" xr:uid="{00000000-0005-0000-0000-0000171C0000}"/>
    <cellStyle name="SAPBEXHLevel0X 12 8" xfId="5957" xr:uid="{00000000-0005-0000-0000-0000181C0000}"/>
    <cellStyle name="SAPBEXHLevel0X 13" xfId="5958" xr:uid="{00000000-0005-0000-0000-0000191C0000}"/>
    <cellStyle name="SAPBEXHLevel0X 13 2" xfId="5959" xr:uid="{00000000-0005-0000-0000-00001A1C0000}"/>
    <cellStyle name="SAPBEXHLevel0X 13 3" xfId="5960" xr:uid="{00000000-0005-0000-0000-00001B1C0000}"/>
    <cellStyle name="SAPBEXHLevel0X 13 4" xfId="5961" xr:uid="{00000000-0005-0000-0000-00001C1C0000}"/>
    <cellStyle name="SAPBEXHLevel0X 13 5" xfId="5962" xr:uid="{00000000-0005-0000-0000-00001D1C0000}"/>
    <cellStyle name="SAPBEXHLevel0X 13 6" xfId="5963" xr:uid="{00000000-0005-0000-0000-00001E1C0000}"/>
    <cellStyle name="SAPBEXHLevel0X 13 7" xfId="5964" xr:uid="{00000000-0005-0000-0000-00001F1C0000}"/>
    <cellStyle name="SAPBEXHLevel0X 13 8" xfId="5965" xr:uid="{00000000-0005-0000-0000-0000201C0000}"/>
    <cellStyle name="SAPBEXHLevel0X 14" xfId="5966" xr:uid="{00000000-0005-0000-0000-0000211C0000}"/>
    <cellStyle name="SAPBEXHLevel0X 14 2" xfId="5967" xr:uid="{00000000-0005-0000-0000-0000221C0000}"/>
    <cellStyle name="SAPBEXHLevel0X 15" xfId="5968" xr:uid="{00000000-0005-0000-0000-0000231C0000}"/>
    <cellStyle name="SAPBEXHLevel0X 15 2" xfId="5969" xr:uid="{00000000-0005-0000-0000-0000241C0000}"/>
    <cellStyle name="SAPBEXHLevel0X 16" xfId="5970" xr:uid="{00000000-0005-0000-0000-0000251C0000}"/>
    <cellStyle name="SAPBEXHLevel0X 16 2" xfId="5971" xr:uid="{00000000-0005-0000-0000-0000261C0000}"/>
    <cellStyle name="SAPBEXHLevel0X 17" xfId="5972" xr:uid="{00000000-0005-0000-0000-0000271C0000}"/>
    <cellStyle name="SAPBEXHLevel0X 17 2" xfId="5973" xr:uid="{00000000-0005-0000-0000-0000281C0000}"/>
    <cellStyle name="SAPBEXHLevel0X 18" xfId="5974" xr:uid="{00000000-0005-0000-0000-0000291C0000}"/>
    <cellStyle name="SAPBEXHLevel0X 18 2" xfId="5975" xr:uid="{00000000-0005-0000-0000-00002A1C0000}"/>
    <cellStyle name="SAPBEXHLevel0X 19" xfId="5976" xr:uid="{00000000-0005-0000-0000-00002B1C0000}"/>
    <cellStyle name="SAPBEXHLevel0X 19 2" xfId="5977" xr:uid="{00000000-0005-0000-0000-00002C1C0000}"/>
    <cellStyle name="SAPBEXHLevel0X 2" xfId="5978" xr:uid="{00000000-0005-0000-0000-00002D1C0000}"/>
    <cellStyle name="SAPBEXHLevel0X 2 2" xfId="5979" xr:uid="{00000000-0005-0000-0000-00002E1C0000}"/>
    <cellStyle name="SAPBEXHLevel0X 2 3" xfId="5980" xr:uid="{00000000-0005-0000-0000-00002F1C0000}"/>
    <cellStyle name="SAPBEXHLevel0X 2 4" xfId="5981" xr:uid="{00000000-0005-0000-0000-0000301C0000}"/>
    <cellStyle name="SAPBEXHLevel0X 2 5" xfId="5982" xr:uid="{00000000-0005-0000-0000-0000311C0000}"/>
    <cellStyle name="SAPBEXHLevel0X 2 6" xfId="5983" xr:uid="{00000000-0005-0000-0000-0000321C0000}"/>
    <cellStyle name="SAPBEXHLevel0X 2 7" xfId="5984" xr:uid="{00000000-0005-0000-0000-0000331C0000}"/>
    <cellStyle name="SAPBEXHLevel0X 2 8" xfId="5985" xr:uid="{00000000-0005-0000-0000-0000341C0000}"/>
    <cellStyle name="SAPBEXHLevel0X 2 9" xfId="5986" xr:uid="{00000000-0005-0000-0000-0000351C0000}"/>
    <cellStyle name="SAPBEXHLevel0X 20" xfId="5987" xr:uid="{00000000-0005-0000-0000-0000361C0000}"/>
    <cellStyle name="SAPBEXHLevel0X 20 2" xfId="5988" xr:uid="{00000000-0005-0000-0000-0000371C0000}"/>
    <cellStyle name="SAPBEXHLevel0X 21" xfId="5989" xr:uid="{00000000-0005-0000-0000-0000381C0000}"/>
    <cellStyle name="SAPBEXHLevel0X 22" xfId="5990" xr:uid="{00000000-0005-0000-0000-0000391C0000}"/>
    <cellStyle name="SAPBEXHLevel0X 23" xfId="5991" xr:uid="{00000000-0005-0000-0000-00003A1C0000}"/>
    <cellStyle name="SAPBEXHLevel0X 24" xfId="5992" xr:uid="{00000000-0005-0000-0000-00003B1C0000}"/>
    <cellStyle name="SAPBEXHLevel0X 25" xfId="5993" xr:uid="{00000000-0005-0000-0000-00003C1C0000}"/>
    <cellStyle name="SAPBEXHLevel0X 26" xfId="5994" xr:uid="{00000000-0005-0000-0000-00003D1C0000}"/>
    <cellStyle name="SAPBEXHLevel0X 27" xfId="5995" xr:uid="{00000000-0005-0000-0000-00003E1C0000}"/>
    <cellStyle name="SAPBEXHLevel0X 28" xfId="5996" xr:uid="{00000000-0005-0000-0000-00003F1C0000}"/>
    <cellStyle name="SAPBEXHLevel0X 29" xfId="5997" xr:uid="{00000000-0005-0000-0000-0000401C0000}"/>
    <cellStyle name="SAPBEXHLevel0X 3" xfId="5998" xr:uid="{00000000-0005-0000-0000-0000411C0000}"/>
    <cellStyle name="SAPBEXHLevel0X 3 2" xfId="5999" xr:uid="{00000000-0005-0000-0000-0000421C0000}"/>
    <cellStyle name="SAPBEXHLevel0X 3 3" xfId="6000" xr:uid="{00000000-0005-0000-0000-0000431C0000}"/>
    <cellStyle name="SAPBEXHLevel0X 3 4" xfId="6001" xr:uid="{00000000-0005-0000-0000-0000441C0000}"/>
    <cellStyle name="SAPBEXHLevel0X 3 5" xfId="6002" xr:uid="{00000000-0005-0000-0000-0000451C0000}"/>
    <cellStyle name="SAPBEXHLevel0X 3 6" xfId="6003" xr:uid="{00000000-0005-0000-0000-0000461C0000}"/>
    <cellStyle name="SAPBEXHLevel0X 3 7" xfId="6004" xr:uid="{00000000-0005-0000-0000-0000471C0000}"/>
    <cellStyle name="SAPBEXHLevel0X 3 8" xfId="6005" xr:uid="{00000000-0005-0000-0000-0000481C0000}"/>
    <cellStyle name="SAPBEXHLevel0X 3 9" xfId="6006" xr:uid="{00000000-0005-0000-0000-0000491C0000}"/>
    <cellStyle name="SAPBEXHLevel0X 30" xfId="6007" xr:uid="{00000000-0005-0000-0000-00004A1C0000}"/>
    <cellStyle name="SAPBEXHLevel0X 31" xfId="6008" xr:uid="{00000000-0005-0000-0000-00004B1C0000}"/>
    <cellStyle name="SAPBEXHLevel0X 32" xfId="6009" xr:uid="{00000000-0005-0000-0000-00004C1C0000}"/>
    <cellStyle name="SAPBEXHLevel0X 33" xfId="6010" xr:uid="{00000000-0005-0000-0000-00004D1C0000}"/>
    <cellStyle name="SAPBEXHLevel0X 34" xfId="6011" xr:uid="{00000000-0005-0000-0000-00004E1C0000}"/>
    <cellStyle name="SAPBEXHLevel0X 35" xfId="6012" xr:uid="{00000000-0005-0000-0000-00004F1C0000}"/>
    <cellStyle name="SAPBEXHLevel0X 36" xfId="6013" xr:uid="{00000000-0005-0000-0000-0000501C0000}"/>
    <cellStyle name="SAPBEXHLevel0X 37" xfId="6014" xr:uid="{00000000-0005-0000-0000-0000511C0000}"/>
    <cellStyle name="SAPBEXHLevel0X 38" xfId="6015" xr:uid="{00000000-0005-0000-0000-0000521C0000}"/>
    <cellStyle name="SAPBEXHLevel0X 39" xfId="6016" xr:uid="{00000000-0005-0000-0000-0000531C0000}"/>
    <cellStyle name="SAPBEXHLevel0X 4" xfId="6017" xr:uid="{00000000-0005-0000-0000-0000541C0000}"/>
    <cellStyle name="SAPBEXHLevel0X 4 2" xfId="6018" xr:uid="{00000000-0005-0000-0000-0000551C0000}"/>
    <cellStyle name="SAPBEXHLevel0X 4 3" xfId="6019" xr:uid="{00000000-0005-0000-0000-0000561C0000}"/>
    <cellStyle name="SAPBEXHLevel0X 4 4" xfId="6020" xr:uid="{00000000-0005-0000-0000-0000571C0000}"/>
    <cellStyle name="SAPBEXHLevel0X 4 5" xfId="6021" xr:uid="{00000000-0005-0000-0000-0000581C0000}"/>
    <cellStyle name="SAPBEXHLevel0X 4 6" xfId="6022" xr:uid="{00000000-0005-0000-0000-0000591C0000}"/>
    <cellStyle name="SAPBEXHLevel0X 4 7" xfId="6023" xr:uid="{00000000-0005-0000-0000-00005A1C0000}"/>
    <cellStyle name="SAPBEXHLevel0X 4 8" xfId="6024" xr:uid="{00000000-0005-0000-0000-00005B1C0000}"/>
    <cellStyle name="SAPBEXHLevel0X 4 9" xfId="6025" xr:uid="{00000000-0005-0000-0000-00005C1C0000}"/>
    <cellStyle name="SAPBEXHLevel0X 40" xfId="6026" xr:uid="{00000000-0005-0000-0000-00005D1C0000}"/>
    <cellStyle name="SAPBEXHLevel0X 41" xfId="6027" xr:uid="{00000000-0005-0000-0000-00005E1C0000}"/>
    <cellStyle name="SAPBEXHLevel0X 42" xfId="6028" xr:uid="{00000000-0005-0000-0000-00005F1C0000}"/>
    <cellStyle name="SAPBEXHLevel0X 43" xfId="6029" xr:uid="{00000000-0005-0000-0000-0000601C0000}"/>
    <cellStyle name="SAPBEXHLevel0X 44" xfId="6030" xr:uid="{00000000-0005-0000-0000-0000611C0000}"/>
    <cellStyle name="SAPBEXHLevel0X 45" xfId="6031" xr:uid="{00000000-0005-0000-0000-0000621C0000}"/>
    <cellStyle name="SAPBEXHLevel0X 46" xfId="6032" xr:uid="{00000000-0005-0000-0000-0000631C0000}"/>
    <cellStyle name="SAPBEXHLevel0X 5" xfId="6033" xr:uid="{00000000-0005-0000-0000-0000641C0000}"/>
    <cellStyle name="SAPBEXHLevel0X 5 2" xfId="6034" xr:uid="{00000000-0005-0000-0000-0000651C0000}"/>
    <cellStyle name="SAPBEXHLevel0X 5 3" xfId="6035" xr:uid="{00000000-0005-0000-0000-0000661C0000}"/>
    <cellStyle name="SAPBEXHLevel0X 5 4" xfId="6036" xr:uid="{00000000-0005-0000-0000-0000671C0000}"/>
    <cellStyle name="SAPBEXHLevel0X 5 5" xfId="6037" xr:uid="{00000000-0005-0000-0000-0000681C0000}"/>
    <cellStyle name="SAPBEXHLevel0X 5 6" xfId="6038" xr:uid="{00000000-0005-0000-0000-0000691C0000}"/>
    <cellStyle name="SAPBEXHLevel0X 5 7" xfId="6039" xr:uid="{00000000-0005-0000-0000-00006A1C0000}"/>
    <cellStyle name="SAPBEXHLevel0X 5 8" xfId="6040" xr:uid="{00000000-0005-0000-0000-00006B1C0000}"/>
    <cellStyle name="SAPBEXHLevel0X 5 9" xfId="6041" xr:uid="{00000000-0005-0000-0000-00006C1C0000}"/>
    <cellStyle name="SAPBEXHLevel0X 6" xfId="6042" xr:uid="{00000000-0005-0000-0000-00006D1C0000}"/>
    <cellStyle name="SAPBEXHLevel0X 6 2" xfId="6043" xr:uid="{00000000-0005-0000-0000-00006E1C0000}"/>
    <cellStyle name="SAPBEXHLevel0X 6 3" xfId="6044" xr:uid="{00000000-0005-0000-0000-00006F1C0000}"/>
    <cellStyle name="SAPBEXHLevel0X 6 4" xfId="6045" xr:uid="{00000000-0005-0000-0000-0000701C0000}"/>
    <cellStyle name="SAPBEXHLevel0X 6 5" xfId="6046" xr:uid="{00000000-0005-0000-0000-0000711C0000}"/>
    <cellStyle name="SAPBEXHLevel0X 6 6" xfId="6047" xr:uid="{00000000-0005-0000-0000-0000721C0000}"/>
    <cellStyle name="SAPBEXHLevel0X 6 7" xfId="6048" xr:uid="{00000000-0005-0000-0000-0000731C0000}"/>
    <cellStyle name="SAPBEXHLevel0X 6 8" xfId="6049" xr:uid="{00000000-0005-0000-0000-0000741C0000}"/>
    <cellStyle name="SAPBEXHLevel0X 6 9" xfId="6050" xr:uid="{00000000-0005-0000-0000-0000751C0000}"/>
    <cellStyle name="SAPBEXHLevel0X 7" xfId="6051" xr:uid="{00000000-0005-0000-0000-0000761C0000}"/>
    <cellStyle name="SAPBEXHLevel0X 7 2" xfId="6052" xr:uid="{00000000-0005-0000-0000-0000771C0000}"/>
    <cellStyle name="SAPBEXHLevel0X 7 3" xfId="6053" xr:uid="{00000000-0005-0000-0000-0000781C0000}"/>
    <cellStyle name="SAPBEXHLevel0X 7 4" xfId="6054" xr:uid="{00000000-0005-0000-0000-0000791C0000}"/>
    <cellStyle name="SAPBEXHLevel0X 7 5" xfId="6055" xr:uid="{00000000-0005-0000-0000-00007A1C0000}"/>
    <cellStyle name="SAPBEXHLevel0X 7 6" xfId="6056" xr:uid="{00000000-0005-0000-0000-00007B1C0000}"/>
    <cellStyle name="SAPBEXHLevel0X 7 7" xfId="6057" xr:uid="{00000000-0005-0000-0000-00007C1C0000}"/>
    <cellStyle name="SAPBEXHLevel0X 7 8" xfId="6058" xr:uid="{00000000-0005-0000-0000-00007D1C0000}"/>
    <cellStyle name="SAPBEXHLevel0X 7 9" xfId="6059" xr:uid="{00000000-0005-0000-0000-00007E1C0000}"/>
    <cellStyle name="SAPBEXHLevel0X 8" xfId="6060" xr:uid="{00000000-0005-0000-0000-00007F1C0000}"/>
    <cellStyle name="SAPBEXHLevel0X 8 2" xfId="6061" xr:uid="{00000000-0005-0000-0000-0000801C0000}"/>
    <cellStyle name="SAPBEXHLevel0X 8 3" xfId="6062" xr:uid="{00000000-0005-0000-0000-0000811C0000}"/>
    <cellStyle name="SAPBEXHLevel0X 8 4" xfId="6063" xr:uid="{00000000-0005-0000-0000-0000821C0000}"/>
    <cellStyle name="SAPBEXHLevel0X 8 5" xfId="6064" xr:uid="{00000000-0005-0000-0000-0000831C0000}"/>
    <cellStyle name="SAPBEXHLevel0X 8 6" xfId="6065" xr:uid="{00000000-0005-0000-0000-0000841C0000}"/>
    <cellStyle name="SAPBEXHLevel0X 8 7" xfId="6066" xr:uid="{00000000-0005-0000-0000-0000851C0000}"/>
    <cellStyle name="SAPBEXHLevel0X 8 8" xfId="6067" xr:uid="{00000000-0005-0000-0000-0000861C0000}"/>
    <cellStyle name="SAPBEXHLevel0X 8 9" xfId="6068" xr:uid="{00000000-0005-0000-0000-0000871C0000}"/>
    <cellStyle name="SAPBEXHLevel0X 9" xfId="6069" xr:uid="{00000000-0005-0000-0000-0000881C0000}"/>
    <cellStyle name="SAPBEXHLevel0X 9 2" xfId="6070" xr:uid="{00000000-0005-0000-0000-0000891C0000}"/>
    <cellStyle name="SAPBEXHLevel0X 9 3" xfId="6071" xr:uid="{00000000-0005-0000-0000-00008A1C0000}"/>
    <cellStyle name="SAPBEXHLevel0X 9 4" xfId="6072" xr:uid="{00000000-0005-0000-0000-00008B1C0000}"/>
    <cellStyle name="SAPBEXHLevel0X 9 5" xfId="6073" xr:uid="{00000000-0005-0000-0000-00008C1C0000}"/>
    <cellStyle name="SAPBEXHLevel0X 9 6" xfId="6074" xr:uid="{00000000-0005-0000-0000-00008D1C0000}"/>
    <cellStyle name="SAPBEXHLevel0X 9 7" xfId="6075" xr:uid="{00000000-0005-0000-0000-00008E1C0000}"/>
    <cellStyle name="SAPBEXHLevel0X 9 8" xfId="6076" xr:uid="{00000000-0005-0000-0000-00008F1C0000}"/>
    <cellStyle name="SAPBEXHLevel0X 9 9" xfId="6077" xr:uid="{00000000-0005-0000-0000-0000901C0000}"/>
    <cellStyle name="SAPBEXHLevel0X_(A-7) IS-Inputs" xfId="6078" xr:uid="{00000000-0005-0000-0000-0000911C0000}"/>
    <cellStyle name="SAPBEXHLevel1" xfId="6079" xr:uid="{00000000-0005-0000-0000-0000921C0000}"/>
    <cellStyle name="SAPBEXHLevel1 10" xfId="6080" xr:uid="{00000000-0005-0000-0000-0000931C0000}"/>
    <cellStyle name="SAPBEXHLevel1 100" xfId="6081" xr:uid="{00000000-0005-0000-0000-0000941C0000}"/>
    <cellStyle name="SAPBEXHLevel1 101" xfId="6082" xr:uid="{00000000-0005-0000-0000-0000951C0000}"/>
    <cellStyle name="SAPBEXHLevel1 102" xfId="6083" xr:uid="{00000000-0005-0000-0000-0000961C0000}"/>
    <cellStyle name="SAPBEXHLevel1 103" xfId="6084" xr:uid="{00000000-0005-0000-0000-0000971C0000}"/>
    <cellStyle name="SAPBEXHLevel1 104" xfId="6085" xr:uid="{00000000-0005-0000-0000-0000981C0000}"/>
    <cellStyle name="SAPBEXHLevel1 105" xfId="6086" xr:uid="{00000000-0005-0000-0000-0000991C0000}"/>
    <cellStyle name="SAPBEXHLevel1 106" xfId="6087" xr:uid="{00000000-0005-0000-0000-00009A1C0000}"/>
    <cellStyle name="SAPBEXHLevel1 107" xfId="6088" xr:uid="{00000000-0005-0000-0000-00009B1C0000}"/>
    <cellStyle name="SAPBEXHLevel1 108" xfId="6089" xr:uid="{00000000-0005-0000-0000-00009C1C0000}"/>
    <cellStyle name="SAPBEXHLevel1 109" xfId="6090" xr:uid="{00000000-0005-0000-0000-00009D1C0000}"/>
    <cellStyle name="SAPBEXHLevel1 11" xfId="6091" xr:uid="{00000000-0005-0000-0000-00009E1C0000}"/>
    <cellStyle name="SAPBEXHLevel1 110" xfId="6092" xr:uid="{00000000-0005-0000-0000-00009F1C0000}"/>
    <cellStyle name="SAPBEXHLevel1 12" xfId="6093" xr:uid="{00000000-0005-0000-0000-0000A01C0000}"/>
    <cellStyle name="SAPBEXHLevel1 13" xfId="6094" xr:uid="{00000000-0005-0000-0000-0000A11C0000}"/>
    <cellStyle name="SAPBEXHLevel1 14" xfId="6095" xr:uid="{00000000-0005-0000-0000-0000A21C0000}"/>
    <cellStyle name="SAPBEXHLevel1 15" xfId="6096" xr:uid="{00000000-0005-0000-0000-0000A31C0000}"/>
    <cellStyle name="SAPBEXHLevel1 16" xfId="6097" xr:uid="{00000000-0005-0000-0000-0000A41C0000}"/>
    <cellStyle name="SAPBEXHLevel1 17" xfId="6098" xr:uid="{00000000-0005-0000-0000-0000A51C0000}"/>
    <cellStyle name="SAPBEXHLevel1 18" xfId="6099" xr:uid="{00000000-0005-0000-0000-0000A61C0000}"/>
    <cellStyle name="SAPBEXHLevel1 19" xfId="6100" xr:uid="{00000000-0005-0000-0000-0000A71C0000}"/>
    <cellStyle name="SAPBEXHLevel1 2" xfId="6101" xr:uid="{00000000-0005-0000-0000-0000A81C0000}"/>
    <cellStyle name="SAPBEXHLevel1 20" xfId="6102" xr:uid="{00000000-0005-0000-0000-0000A91C0000}"/>
    <cellStyle name="SAPBEXHLevel1 21" xfId="6103" xr:uid="{00000000-0005-0000-0000-0000AA1C0000}"/>
    <cellStyle name="SAPBEXHLevel1 22" xfId="6104" xr:uid="{00000000-0005-0000-0000-0000AB1C0000}"/>
    <cellStyle name="SAPBEXHLevel1 23" xfId="6105" xr:uid="{00000000-0005-0000-0000-0000AC1C0000}"/>
    <cellStyle name="SAPBEXHLevel1 24" xfId="6106" xr:uid="{00000000-0005-0000-0000-0000AD1C0000}"/>
    <cellStyle name="SAPBEXHLevel1 25" xfId="6107" xr:uid="{00000000-0005-0000-0000-0000AE1C0000}"/>
    <cellStyle name="SAPBEXHLevel1 26" xfId="6108" xr:uid="{00000000-0005-0000-0000-0000AF1C0000}"/>
    <cellStyle name="SAPBEXHLevel1 27" xfId="6109" xr:uid="{00000000-0005-0000-0000-0000B01C0000}"/>
    <cellStyle name="SAPBEXHLevel1 28" xfId="6110" xr:uid="{00000000-0005-0000-0000-0000B11C0000}"/>
    <cellStyle name="SAPBEXHLevel1 29" xfId="6111" xr:uid="{00000000-0005-0000-0000-0000B21C0000}"/>
    <cellStyle name="SAPBEXHLevel1 3" xfId="6112" xr:uid="{00000000-0005-0000-0000-0000B31C0000}"/>
    <cellStyle name="SAPBEXHLevel1 30" xfId="6113" xr:uid="{00000000-0005-0000-0000-0000B41C0000}"/>
    <cellStyle name="SAPBEXHLevel1 31" xfId="6114" xr:uid="{00000000-0005-0000-0000-0000B51C0000}"/>
    <cellStyle name="SAPBEXHLevel1 32" xfId="6115" xr:uid="{00000000-0005-0000-0000-0000B61C0000}"/>
    <cellStyle name="SAPBEXHLevel1 33" xfId="6116" xr:uid="{00000000-0005-0000-0000-0000B71C0000}"/>
    <cellStyle name="SAPBEXHLevel1 34" xfId="6117" xr:uid="{00000000-0005-0000-0000-0000B81C0000}"/>
    <cellStyle name="SAPBEXHLevel1 35" xfId="6118" xr:uid="{00000000-0005-0000-0000-0000B91C0000}"/>
    <cellStyle name="SAPBEXHLevel1 36" xfId="6119" xr:uid="{00000000-0005-0000-0000-0000BA1C0000}"/>
    <cellStyle name="SAPBEXHLevel1 37" xfId="6120" xr:uid="{00000000-0005-0000-0000-0000BB1C0000}"/>
    <cellStyle name="SAPBEXHLevel1 38" xfId="6121" xr:uid="{00000000-0005-0000-0000-0000BC1C0000}"/>
    <cellStyle name="SAPBEXHLevel1 39" xfId="6122" xr:uid="{00000000-0005-0000-0000-0000BD1C0000}"/>
    <cellStyle name="SAPBEXHLevel1 4" xfId="6123" xr:uid="{00000000-0005-0000-0000-0000BE1C0000}"/>
    <cellStyle name="SAPBEXHLevel1 40" xfId="6124" xr:uid="{00000000-0005-0000-0000-0000BF1C0000}"/>
    <cellStyle name="SAPBEXHLevel1 41" xfId="6125" xr:uid="{00000000-0005-0000-0000-0000C01C0000}"/>
    <cellStyle name="SAPBEXHLevel1 42" xfId="6126" xr:uid="{00000000-0005-0000-0000-0000C11C0000}"/>
    <cellStyle name="SAPBEXHLevel1 43" xfId="6127" xr:uid="{00000000-0005-0000-0000-0000C21C0000}"/>
    <cellStyle name="SAPBEXHLevel1 44" xfId="6128" xr:uid="{00000000-0005-0000-0000-0000C31C0000}"/>
    <cellStyle name="SAPBEXHLevel1 45" xfId="6129" xr:uid="{00000000-0005-0000-0000-0000C41C0000}"/>
    <cellStyle name="SAPBEXHLevel1 46" xfId="6130" xr:uid="{00000000-0005-0000-0000-0000C51C0000}"/>
    <cellStyle name="SAPBEXHLevel1 47" xfId="6131" xr:uid="{00000000-0005-0000-0000-0000C61C0000}"/>
    <cellStyle name="SAPBEXHLevel1 48" xfId="6132" xr:uid="{00000000-0005-0000-0000-0000C71C0000}"/>
    <cellStyle name="SAPBEXHLevel1 49" xfId="6133" xr:uid="{00000000-0005-0000-0000-0000C81C0000}"/>
    <cellStyle name="SAPBEXHLevel1 5" xfId="6134" xr:uid="{00000000-0005-0000-0000-0000C91C0000}"/>
    <cellStyle name="SAPBEXHLevel1 50" xfId="6135" xr:uid="{00000000-0005-0000-0000-0000CA1C0000}"/>
    <cellStyle name="SAPBEXHLevel1 51" xfId="6136" xr:uid="{00000000-0005-0000-0000-0000CB1C0000}"/>
    <cellStyle name="SAPBEXHLevel1 52" xfId="6137" xr:uid="{00000000-0005-0000-0000-0000CC1C0000}"/>
    <cellStyle name="SAPBEXHLevel1 53" xfId="6138" xr:uid="{00000000-0005-0000-0000-0000CD1C0000}"/>
    <cellStyle name="SAPBEXHLevel1 54" xfId="6139" xr:uid="{00000000-0005-0000-0000-0000CE1C0000}"/>
    <cellStyle name="SAPBEXHLevel1 55" xfId="6140" xr:uid="{00000000-0005-0000-0000-0000CF1C0000}"/>
    <cellStyle name="SAPBEXHLevel1 56" xfId="6141" xr:uid="{00000000-0005-0000-0000-0000D01C0000}"/>
    <cellStyle name="SAPBEXHLevel1 57" xfId="6142" xr:uid="{00000000-0005-0000-0000-0000D11C0000}"/>
    <cellStyle name="SAPBEXHLevel1 58" xfId="6143" xr:uid="{00000000-0005-0000-0000-0000D21C0000}"/>
    <cellStyle name="SAPBEXHLevel1 59" xfId="6144" xr:uid="{00000000-0005-0000-0000-0000D31C0000}"/>
    <cellStyle name="SAPBEXHLevel1 6" xfId="6145" xr:uid="{00000000-0005-0000-0000-0000D41C0000}"/>
    <cellStyle name="SAPBEXHLevel1 60" xfId="6146" xr:uid="{00000000-0005-0000-0000-0000D51C0000}"/>
    <cellStyle name="SAPBEXHLevel1 61" xfId="6147" xr:uid="{00000000-0005-0000-0000-0000D61C0000}"/>
    <cellStyle name="SAPBEXHLevel1 62" xfId="6148" xr:uid="{00000000-0005-0000-0000-0000D71C0000}"/>
    <cellStyle name="SAPBEXHLevel1 63" xfId="6149" xr:uid="{00000000-0005-0000-0000-0000D81C0000}"/>
    <cellStyle name="SAPBEXHLevel1 64" xfId="6150" xr:uid="{00000000-0005-0000-0000-0000D91C0000}"/>
    <cellStyle name="SAPBEXHLevel1 65" xfId="6151" xr:uid="{00000000-0005-0000-0000-0000DA1C0000}"/>
    <cellStyle name="SAPBEXHLevel1 66" xfId="6152" xr:uid="{00000000-0005-0000-0000-0000DB1C0000}"/>
    <cellStyle name="SAPBEXHLevel1 67" xfId="6153" xr:uid="{00000000-0005-0000-0000-0000DC1C0000}"/>
    <cellStyle name="SAPBEXHLevel1 68" xfId="6154" xr:uid="{00000000-0005-0000-0000-0000DD1C0000}"/>
    <cellStyle name="SAPBEXHLevel1 69" xfId="6155" xr:uid="{00000000-0005-0000-0000-0000DE1C0000}"/>
    <cellStyle name="SAPBEXHLevel1 7" xfId="6156" xr:uid="{00000000-0005-0000-0000-0000DF1C0000}"/>
    <cellStyle name="SAPBEXHLevel1 70" xfId="6157" xr:uid="{00000000-0005-0000-0000-0000E01C0000}"/>
    <cellStyle name="SAPBEXHLevel1 71" xfId="6158" xr:uid="{00000000-0005-0000-0000-0000E11C0000}"/>
    <cellStyle name="SAPBEXHLevel1 72" xfId="6159" xr:uid="{00000000-0005-0000-0000-0000E21C0000}"/>
    <cellStyle name="SAPBEXHLevel1 73" xfId="6160" xr:uid="{00000000-0005-0000-0000-0000E31C0000}"/>
    <cellStyle name="SAPBEXHLevel1 74" xfId="6161" xr:uid="{00000000-0005-0000-0000-0000E41C0000}"/>
    <cellStyle name="SAPBEXHLevel1 75" xfId="6162" xr:uid="{00000000-0005-0000-0000-0000E51C0000}"/>
    <cellStyle name="SAPBEXHLevel1 76" xfId="6163" xr:uid="{00000000-0005-0000-0000-0000E61C0000}"/>
    <cellStyle name="SAPBEXHLevel1 77" xfId="6164" xr:uid="{00000000-0005-0000-0000-0000E71C0000}"/>
    <cellStyle name="SAPBEXHLevel1 78" xfId="6165" xr:uid="{00000000-0005-0000-0000-0000E81C0000}"/>
    <cellStyle name="SAPBEXHLevel1 79" xfId="6166" xr:uid="{00000000-0005-0000-0000-0000E91C0000}"/>
    <cellStyle name="SAPBEXHLevel1 8" xfId="6167" xr:uid="{00000000-0005-0000-0000-0000EA1C0000}"/>
    <cellStyle name="SAPBEXHLevel1 80" xfId="6168" xr:uid="{00000000-0005-0000-0000-0000EB1C0000}"/>
    <cellStyle name="SAPBEXHLevel1 81" xfId="6169" xr:uid="{00000000-0005-0000-0000-0000EC1C0000}"/>
    <cellStyle name="SAPBEXHLevel1 82" xfId="6170" xr:uid="{00000000-0005-0000-0000-0000ED1C0000}"/>
    <cellStyle name="SAPBEXHLevel1 83" xfId="6171" xr:uid="{00000000-0005-0000-0000-0000EE1C0000}"/>
    <cellStyle name="SAPBEXHLevel1 84" xfId="6172" xr:uid="{00000000-0005-0000-0000-0000EF1C0000}"/>
    <cellStyle name="SAPBEXHLevel1 85" xfId="6173" xr:uid="{00000000-0005-0000-0000-0000F01C0000}"/>
    <cellStyle name="SAPBEXHLevel1 86" xfId="6174" xr:uid="{00000000-0005-0000-0000-0000F11C0000}"/>
    <cellStyle name="SAPBEXHLevel1 87" xfId="6175" xr:uid="{00000000-0005-0000-0000-0000F21C0000}"/>
    <cellStyle name="SAPBEXHLevel1 88" xfId="6176" xr:uid="{00000000-0005-0000-0000-0000F31C0000}"/>
    <cellStyle name="SAPBEXHLevel1 89" xfId="6177" xr:uid="{00000000-0005-0000-0000-0000F41C0000}"/>
    <cellStyle name="SAPBEXHLevel1 9" xfId="6178" xr:uid="{00000000-0005-0000-0000-0000F51C0000}"/>
    <cellStyle name="SAPBEXHLevel1 90" xfId="6179" xr:uid="{00000000-0005-0000-0000-0000F61C0000}"/>
    <cellStyle name="SAPBEXHLevel1 91" xfId="6180" xr:uid="{00000000-0005-0000-0000-0000F71C0000}"/>
    <cellStyle name="SAPBEXHLevel1 92" xfId="6181" xr:uid="{00000000-0005-0000-0000-0000F81C0000}"/>
    <cellStyle name="SAPBEXHLevel1 93" xfId="6182" xr:uid="{00000000-0005-0000-0000-0000F91C0000}"/>
    <cellStyle name="SAPBEXHLevel1 94" xfId="6183" xr:uid="{00000000-0005-0000-0000-0000FA1C0000}"/>
    <cellStyle name="SAPBEXHLevel1 95" xfId="6184" xr:uid="{00000000-0005-0000-0000-0000FB1C0000}"/>
    <cellStyle name="SAPBEXHLevel1 96" xfId="6185" xr:uid="{00000000-0005-0000-0000-0000FC1C0000}"/>
    <cellStyle name="SAPBEXHLevel1 97" xfId="6186" xr:uid="{00000000-0005-0000-0000-0000FD1C0000}"/>
    <cellStyle name="SAPBEXHLevel1 98" xfId="6187" xr:uid="{00000000-0005-0000-0000-0000FE1C0000}"/>
    <cellStyle name="SAPBEXHLevel1 99" xfId="6188" xr:uid="{00000000-0005-0000-0000-0000FF1C0000}"/>
    <cellStyle name="SAPBEXHLevel1_(A-7) IS-Inputs" xfId="6189" xr:uid="{00000000-0005-0000-0000-0000001D0000}"/>
    <cellStyle name="SAPBEXHLevel1X" xfId="6190" xr:uid="{00000000-0005-0000-0000-0000011D0000}"/>
    <cellStyle name="SAPBEXHLevel1X 10" xfId="6191" xr:uid="{00000000-0005-0000-0000-0000021D0000}"/>
    <cellStyle name="SAPBEXHLevel1X 10 2" xfId="6192" xr:uid="{00000000-0005-0000-0000-0000031D0000}"/>
    <cellStyle name="SAPBEXHLevel1X 10 3" xfId="6193" xr:uid="{00000000-0005-0000-0000-0000041D0000}"/>
    <cellStyle name="SAPBEXHLevel1X 10 4" xfId="6194" xr:uid="{00000000-0005-0000-0000-0000051D0000}"/>
    <cellStyle name="SAPBEXHLevel1X 10 5" xfId="6195" xr:uid="{00000000-0005-0000-0000-0000061D0000}"/>
    <cellStyle name="SAPBEXHLevel1X 10 6" xfId="6196" xr:uid="{00000000-0005-0000-0000-0000071D0000}"/>
    <cellStyle name="SAPBEXHLevel1X 10 7" xfId="6197" xr:uid="{00000000-0005-0000-0000-0000081D0000}"/>
    <cellStyle name="SAPBEXHLevel1X 10 8" xfId="6198" xr:uid="{00000000-0005-0000-0000-0000091D0000}"/>
    <cellStyle name="SAPBEXHLevel1X 10 9" xfId="6199" xr:uid="{00000000-0005-0000-0000-00000A1D0000}"/>
    <cellStyle name="SAPBEXHLevel1X 11" xfId="6200" xr:uid="{00000000-0005-0000-0000-00000B1D0000}"/>
    <cellStyle name="SAPBEXHLevel1X 11 2" xfId="6201" xr:uid="{00000000-0005-0000-0000-00000C1D0000}"/>
    <cellStyle name="SAPBEXHLevel1X 12" xfId="6202" xr:uid="{00000000-0005-0000-0000-00000D1D0000}"/>
    <cellStyle name="SAPBEXHLevel1X 12 2" xfId="6203" xr:uid="{00000000-0005-0000-0000-00000E1D0000}"/>
    <cellStyle name="SAPBEXHLevel1X 12 3" xfId="6204" xr:uid="{00000000-0005-0000-0000-00000F1D0000}"/>
    <cellStyle name="SAPBEXHLevel1X 12 4" xfId="6205" xr:uid="{00000000-0005-0000-0000-0000101D0000}"/>
    <cellStyle name="SAPBEXHLevel1X 12 5" xfId="6206" xr:uid="{00000000-0005-0000-0000-0000111D0000}"/>
    <cellStyle name="SAPBEXHLevel1X 12 6" xfId="6207" xr:uid="{00000000-0005-0000-0000-0000121D0000}"/>
    <cellStyle name="SAPBEXHLevel1X 12 7" xfId="6208" xr:uid="{00000000-0005-0000-0000-0000131D0000}"/>
    <cellStyle name="SAPBEXHLevel1X 12 8" xfId="6209" xr:uid="{00000000-0005-0000-0000-0000141D0000}"/>
    <cellStyle name="SAPBEXHLevel1X 13" xfId="6210" xr:uid="{00000000-0005-0000-0000-0000151D0000}"/>
    <cellStyle name="SAPBEXHLevel1X 13 2" xfId="6211" xr:uid="{00000000-0005-0000-0000-0000161D0000}"/>
    <cellStyle name="SAPBEXHLevel1X 13 3" xfId="6212" xr:uid="{00000000-0005-0000-0000-0000171D0000}"/>
    <cellStyle name="SAPBEXHLevel1X 13 4" xfId="6213" xr:uid="{00000000-0005-0000-0000-0000181D0000}"/>
    <cellStyle name="SAPBEXHLevel1X 13 5" xfId="6214" xr:uid="{00000000-0005-0000-0000-0000191D0000}"/>
    <cellStyle name="SAPBEXHLevel1X 13 6" xfId="6215" xr:uid="{00000000-0005-0000-0000-00001A1D0000}"/>
    <cellStyle name="SAPBEXHLevel1X 13 7" xfId="6216" xr:uid="{00000000-0005-0000-0000-00001B1D0000}"/>
    <cellStyle name="SAPBEXHLevel1X 13 8" xfId="6217" xr:uid="{00000000-0005-0000-0000-00001C1D0000}"/>
    <cellStyle name="SAPBEXHLevel1X 14" xfId="6218" xr:uid="{00000000-0005-0000-0000-00001D1D0000}"/>
    <cellStyle name="SAPBEXHLevel1X 14 2" xfId="6219" xr:uid="{00000000-0005-0000-0000-00001E1D0000}"/>
    <cellStyle name="SAPBEXHLevel1X 15" xfId="6220" xr:uid="{00000000-0005-0000-0000-00001F1D0000}"/>
    <cellStyle name="SAPBEXHLevel1X 15 2" xfId="6221" xr:uid="{00000000-0005-0000-0000-0000201D0000}"/>
    <cellStyle name="SAPBEXHLevel1X 16" xfId="6222" xr:uid="{00000000-0005-0000-0000-0000211D0000}"/>
    <cellStyle name="SAPBEXHLevel1X 16 2" xfId="6223" xr:uid="{00000000-0005-0000-0000-0000221D0000}"/>
    <cellStyle name="SAPBEXHLevel1X 17" xfId="6224" xr:uid="{00000000-0005-0000-0000-0000231D0000}"/>
    <cellStyle name="SAPBEXHLevel1X 17 2" xfId="6225" xr:uid="{00000000-0005-0000-0000-0000241D0000}"/>
    <cellStyle name="SAPBEXHLevel1X 18" xfId="6226" xr:uid="{00000000-0005-0000-0000-0000251D0000}"/>
    <cellStyle name="SAPBEXHLevel1X 18 2" xfId="6227" xr:uid="{00000000-0005-0000-0000-0000261D0000}"/>
    <cellStyle name="SAPBEXHLevel1X 19" xfId="6228" xr:uid="{00000000-0005-0000-0000-0000271D0000}"/>
    <cellStyle name="SAPBEXHLevel1X 19 2" xfId="6229" xr:uid="{00000000-0005-0000-0000-0000281D0000}"/>
    <cellStyle name="SAPBEXHLevel1X 2" xfId="6230" xr:uid="{00000000-0005-0000-0000-0000291D0000}"/>
    <cellStyle name="SAPBEXHLevel1X 2 2" xfId="6231" xr:uid="{00000000-0005-0000-0000-00002A1D0000}"/>
    <cellStyle name="SAPBEXHLevel1X 2 3" xfId="6232" xr:uid="{00000000-0005-0000-0000-00002B1D0000}"/>
    <cellStyle name="SAPBEXHLevel1X 2 4" xfId="6233" xr:uid="{00000000-0005-0000-0000-00002C1D0000}"/>
    <cellStyle name="SAPBEXHLevel1X 2 5" xfId="6234" xr:uid="{00000000-0005-0000-0000-00002D1D0000}"/>
    <cellStyle name="SAPBEXHLevel1X 2 6" xfId="6235" xr:uid="{00000000-0005-0000-0000-00002E1D0000}"/>
    <cellStyle name="SAPBEXHLevel1X 2 7" xfId="6236" xr:uid="{00000000-0005-0000-0000-00002F1D0000}"/>
    <cellStyle name="SAPBEXHLevel1X 2 8" xfId="6237" xr:uid="{00000000-0005-0000-0000-0000301D0000}"/>
    <cellStyle name="SAPBEXHLevel1X 2 9" xfId="6238" xr:uid="{00000000-0005-0000-0000-0000311D0000}"/>
    <cellStyle name="SAPBEXHLevel1X 20" xfId="6239" xr:uid="{00000000-0005-0000-0000-0000321D0000}"/>
    <cellStyle name="SAPBEXHLevel1X 20 2" xfId="6240" xr:uid="{00000000-0005-0000-0000-0000331D0000}"/>
    <cellStyle name="SAPBEXHLevel1X 21" xfId="6241" xr:uid="{00000000-0005-0000-0000-0000341D0000}"/>
    <cellStyle name="SAPBEXHLevel1X 22" xfId="6242" xr:uid="{00000000-0005-0000-0000-0000351D0000}"/>
    <cellStyle name="SAPBEXHLevel1X 23" xfId="6243" xr:uid="{00000000-0005-0000-0000-0000361D0000}"/>
    <cellStyle name="SAPBEXHLevel1X 24" xfId="6244" xr:uid="{00000000-0005-0000-0000-0000371D0000}"/>
    <cellStyle name="SAPBEXHLevel1X 25" xfId="6245" xr:uid="{00000000-0005-0000-0000-0000381D0000}"/>
    <cellStyle name="SAPBEXHLevel1X 26" xfId="6246" xr:uid="{00000000-0005-0000-0000-0000391D0000}"/>
    <cellStyle name="SAPBEXHLevel1X 27" xfId="6247" xr:uid="{00000000-0005-0000-0000-00003A1D0000}"/>
    <cellStyle name="SAPBEXHLevel1X 28" xfId="6248" xr:uid="{00000000-0005-0000-0000-00003B1D0000}"/>
    <cellStyle name="SAPBEXHLevel1X 29" xfId="6249" xr:uid="{00000000-0005-0000-0000-00003C1D0000}"/>
    <cellStyle name="SAPBEXHLevel1X 3" xfId="6250" xr:uid="{00000000-0005-0000-0000-00003D1D0000}"/>
    <cellStyle name="SAPBEXHLevel1X 3 2" xfId="6251" xr:uid="{00000000-0005-0000-0000-00003E1D0000}"/>
    <cellStyle name="SAPBEXHLevel1X 3 3" xfId="6252" xr:uid="{00000000-0005-0000-0000-00003F1D0000}"/>
    <cellStyle name="SAPBEXHLevel1X 3 4" xfId="6253" xr:uid="{00000000-0005-0000-0000-0000401D0000}"/>
    <cellStyle name="SAPBEXHLevel1X 3 5" xfId="6254" xr:uid="{00000000-0005-0000-0000-0000411D0000}"/>
    <cellStyle name="SAPBEXHLevel1X 3 6" xfId="6255" xr:uid="{00000000-0005-0000-0000-0000421D0000}"/>
    <cellStyle name="SAPBEXHLevel1X 3 7" xfId="6256" xr:uid="{00000000-0005-0000-0000-0000431D0000}"/>
    <cellStyle name="SAPBEXHLevel1X 3 8" xfId="6257" xr:uid="{00000000-0005-0000-0000-0000441D0000}"/>
    <cellStyle name="SAPBEXHLevel1X 3 9" xfId="6258" xr:uid="{00000000-0005-0000-0000-0000451D0000}"/>
    <cellStyle name="SAPBEXHLevel1X 30" xfId="6259" xr:uid="{00000000-0005-0000-0000-0000461D0000}"/>
    <cellStyle name="SAPBEXHLevel1X 31" xfId="6260" xr:uid="{00000000-0005-0000-0000-0000471D0000}"/>
    <cellStyle name="SAPBEXHLevel1X 32" xfId="6261" xr:uid="{00000000-0005-0000-0000-0000481D0000}"/>
    <cellStyle name="SAPBEXHLevel1X 33" xfId="6262" xr:uid="{00000000-0005-0000-0000-0000491D0000}"/>
    <cellStyle name="SAPBEXHLevel1X 34" xfId="6263" xr:uid="{00000000-0005-0000-0000-00004A1D0000}"/>
    <cellStyle name="SAPBEXHLevel1X 35" xfId="6264" xr:uid="{00000000-0005-0000-0000-00004B1D0000}"/>
    <cellStyle name="SAPBEXHLevel1X 36" xfId="6265" xr:uid="{00000000-0005-0000-0000-00004C1D0000}"/>
    <cellStyle name="SAPBEXHLevel1X 37" xfId="6266" xr:uid="{00000000-0005-0000-0000-00004D1D0000}"/>
    <cellStyle name="SAPBEXHLevel1X 38" xfId="6267" xr:uid="{00000000-0005-0000-0000-00004E1D0000}"/>
    <cellStyle name="SAPBEXHLevel1X 39" xfId="6268" xr:uid="{00000000-0005-0000-0000-00004F1D0000}"/>
    <cellStyle name="SAPBEXHLevel1X 4" xfId="6269" xr:uid="{00000000-0005-0000-0000-0000501D0000}"/>
    <cellStyle name="SAPBEXHLevel1X 4 2" xfId="6270" xr:uid="{00000000-0005-0000-0000-0000511D0000}"/>
    <cellStyle name="SAPBEXHLevel1X 4 3" xfId="6271" xr:uid="{00000000-0005-0000-0000-0000521D0000}"/>
    <cellStyle name="SAPBEXHLevel1X 4 4" xfId="6272" xr:uid="{00000000-0005-0000-0000-0000531D0000}"/>
    <cellStyle name="SAPBEXHLevel1X 4 5" xfId="6273" xr:uid="{00000000-0005-0000-0000-0000541D0000}"/>
    <cellStyle name="SAPBEXHLevel1X 4 6" xfId="6274" xr:uid="{00000000-0005-0000-0000-0000551D0000}"/>
    <cellStyle name="SAPBEXHLevel1X 4 7" xfId="6275" xr:uid="{00000000-0005-0000-0000-0000561D0000}"/>
    <cellStyle name="SAPBEXHLevel1X 4 8" xfId="6276" xr:uid="{00000000-0005-0000-0000-0000571D0000}"/>
    <cellStyle name="SAPBEXHLevel1X 4 9" xfId="6277" xr:uid="{00000000-0005-0000-0000-0000581D0000}"/>
    <cellStyle name="SAPBEXHLevel1X 40" xfId="6278" xr:uid="{00000000-0005-0000-0000-0000591D0000}"/>
    <cellStyle name="SAPBEXHLevel1X 41" xfId="6279" xr:uid="{00000000-0005-0000-0000-00005A1D0000}"/>
    <cellStyle name="SAPBEXHLevel1X 42" xfId="6280" xr:uid="{00000000-0005-0000-0000-00005B1D0000}"/>
    <cellStyle name="SAPBEXHLevel1X 43" xfId="6281" xr:uid="{00000000-0005-0000-0000-00005C1D0000}"/>
    <cellStyle name="SAPBEXHLevel1X 44" xfId="6282" xr:uid="{00000000-0005-0000-0000-00005D1D0000}"/>
    <cellStyle name="SAPBEXHLevel1X 45" xfId="6283" xr:uid="{00000000-0005-0000-0000-00005E1D0000}"/>
    <cellStyle name="SAPBEXHLevel1X 46" xfId="6284" xr:uid="{00000000-0005-0000-0000-00005F1D0000}"/>
    <cellStyle name="SAPBEXHLevel1X 5" xfId="6285" xr:uid="{00000000-0005-0000-0000-0000601D0000}"/>
    <cellStyle name="SAPBEXHLevel1X 5 2" xfId="6286" xr:uid="{00000000-0005-0000-0000-0000611D0000}"/>
    <cellStyle name="SAPBEXHLevel1X 5 3" xfId="6287" xr:uid="{00000000-0005-0000-0000-0000621D0000}"/>
    <cellStyle name="SAPBEXHLevel1X 5 4" xfId="6288" xr:uid="{00000000-0005-0000-0000-0000631D0000}"/>
    <cellStyle name="SAPBEXHLevel1X 5 5" xfId="6289" xr:uid="{00000000-0005-0000-0000-0000641D0000}"/>
    <cellStyle name="SAPBEXHLevel1X 5 6" xfId="6290" xr:uid="{00000000-0005-0000-0000-0000651D0000}"/>
    <cellStyle name="SAPBEXHLevel1X 5 7" xfId="6291" xr:uid="{00000000-0005-0000-0000-0000661D0000}"/>
    <cellStyle name="SAPBEXHLevel1X 5 8" xfId="6292" xr:uid="{00000000-0005-0000-0000-0000671D0000}"/>
    <cellStyle name="SAPBEXHLevel1X 5 9" xfId="6293" xr:uid="{00000000-0005-0000-0000-0000681D0000}"/>
    <cellStyle name="SAPBEXHLevel1X 6" xfId="6294" xr:uid="{00000000-0005-0000-0000-0000691D0000}"/>
    <cellStyle name="SAPBEXHLevel1X 6 2" xfId="6295" xr:uid="{00000000-0005-0000-0000-00006A1D0000}"/>
    <cellStyle name="SAPBEXHLevel1X 6 3" xfId="6296" xr:uid="{00000000-0005-0000-0000-00006B1D0000}"/>
    <cellStyle name="SAPBEXHLevel1X 6 4" xfId="6297" xr:uid="{00000000-0005-0000-0000-00006C1D0000}"/>
    <cellStyle name="SAPBEXHLevel1X 6 5" xfId="6298" xr:uid="{00000000-0005-0000-0000-00006D1D0000}"/>
    <cellStyle name="SAPBEXHLevel1X 6 6" xfId="6299" xr:uid="{00000000-0005-0000-0000-00006E1D0000}"/>
    <cellStyle name="SAPBEXHLevel1X 6 7" xfId="6300" xr:uid="{00000000-0005-0000-0000-00006F1D0000}"/>
    <cellStyle name="SAPBEXHLevel1X 6 8" xfId="6301" xr:uid="{00000000-0005-0000-0000-0000701D0000}"/>
    <cellStyle name="SAPBEXHLevel1X 6 9" xfId="6302" xr:uid="{00000000-0005-0000-0000-0000711D0000}"/>
    <cellStyle name="SAPBEXHLevel1X 7" xfId="6303" xr:uid="{00000000-0005-0000-0000-0000721D0000}"/>
    <cellStyle name="SAPBEXHLevel1X 7 2" xfId="6304" xr:uid="{00000000-0005-0000-0000-0000731D0000}"/>
    <cellStyle name="SAPBEXHLevel1X 7 3" xfId="6305" xr:uid="{00000000-0005-0000-0000-0000741D0000}"/>
    <cellStyle name="SAPBEXHLevel1X 7 4" xfId="6306" xr:uid="{00000000-0005-0000-0000-0000751D0000}"/>
    <cellStyle name="SAPBEXHLevel1X 7 5" xfId="6307" xr:uid="{00000000-0005-0000-0000-0000761D0000}"/>
    <cellStyle name="SAPBEXHLevel1X 7 6" xfId="6308" xr:uid="{00000000-0005-0000-0000-0000771D0000}"/>
    <cellStyle name="SAPBEXHLevel1X 7 7" xfId="6309" xr:uid="{00000000-0005-0000-0000-0000781D0000}"/>
    <cellStyle name="SAPBEXHLevel1X 7 8" xfId="6310" xr:uid="{00000000-0005-0000-0000-0000791D0000}"/>
    <cellStyle name="SAPBEXHLevel1X 7 9" xfId="6311" xr:uid="{00000000-0005-0000-0000-00007A1D0000}"/>
    <cellStyle name="SAPBEXHLevel1X 8" xfId="6312" xr:uid="{00000000-0005-0000-0000-00007B1D0000}"/>
    <cellStyle name="SAPBEXHLevel1X 8 2" xfId="6313" xr:uid="{00000000-0005-0000-0000-00007C1D0000}"/>
    <cellStyle name="SAPBEXHLevel1X 8 3" xfId="6314" xr:uid="{00000000-0005-0000-0000-00007D1D0000}"/>
    <cellStyle name="SAPBEXHLevel1X 8 4" xfId="6315" xr:uid="{00000000-0005-0000-0000-00007E1D0000}"/>
    <cellStyle name="SAPBEXHLevel1X 8 5" xfId="6316" xr:uid="{00000000-0005-0000-0000-00007F1D0000}"/>
    <cellStyle name="SAPBEXHLevel1X 8 6" xfId="6317" xr:uid="{00000000-0005-0000-0000-0000801D0000}"/>
    <cellStyle name="SAPBEXHLevel1X 8 7" xfId="6318" xr:uid="{00000000-0005-0000-0000-0000811D0000}"/>
    <cellStyle name="SAPBEXHLevel1X 8 8" xfId="6319" xr:uid="{00000000-0005-0000-0000-0000821D0000}"/>
    <cellStyle name="SAPBEXHLevel1X 8 9" xfId="6320" xr:uid="{00000000-0005-0000-0000-0000831D0000}"/>
    <cellStyle name="SAPBEXHLevel1X 9" xfId="6321" xr:uid="{00000000-0005-0000-0000-0000841D0000}"/>
    <cellStyle name="SAPBEXHLevel1X 9 2" xfId="6322" xr:uid="{00000000-0005-0000-0000-0000851D0000}"/>
    <cellStyle name="SAPBEXHLevel1X 9 3" xfId="6323" xr:uid="{00000000-0005-0000-0000-0000861D0000}"/>
    <cellStyle name="SAPBEXHLevel1X 9 4" xfId="6324" xr:uid="{00000000-0005-0000-0000-0000871D0000}"/>
    <cellStyle name="SAPBEXHLevel1X 9 5" xfId="6325" xr:uid="{00000000-0005-0000-0000-0000881D0000}"/>
    <cellStyle name="SAPBEXHLevel1X 9 6" xfId="6326" xr:uid="{00000000-0005-0000-0000-0000891D0000}"/>
    <cellStyle name="SAPBEXHLevel1X 9 7" xfId="6327" xr:uid="{00000000-0005-0000-0000-00008A1D0000}"/>
    <cellStyle name="SAPBEXHLevel1X 9 8" xfId="6328" xr:uid="{00000000-0005-0000-0000-00008B1D0000}"/>
    <cellStyle name="SAPBEXHLevel1X 9 9" xfId="6329" xr:uid="{00000000-0005-0000-0000-00008C1D0000}"/>
    <cellStyle name="SAPBEXHLevel1X_(A-7) IS-Inputs" xfId="6330" xr:uid="{00000000-0005-0000-0000-00008D1D0000}"/>
    <cellStyle name="SAPBEXHLevel2" xfId="6331" xr:uid="{00000000-0005-0000-0000-00008E1D0000}"/>
    <cellStyle name="SAPBEXHLevel2 10" xfId="6332" xr:uid="{00000000-0005-0000-0000-00008F1D0000}"/>
    <cellStyle name="SAPBEXHLevel2 100" xfId="6333" xr:uid="{00000000-0005-0000-0000-0000901D0000}"/>
    <cellStyle name="SAPBEXHLevel2 101" xfId="6334" xr:uid="{00000000-0005-0000-0000-0000911D0000}"/>
    <cellStyle name="SAPBEXHLevel2 102" xfId="6335" xr:uid="{00000000-0005-0000-0000-0000921D0000}"/>
    <cellStyle name="SAPBEXHLevel2 103" xfId="6336" xr:uid="{00000000-0005-0000-0000-0000931D0000}"/>
    <cellStyle name="SAPBEXHLevel2 104" xfId="6337" xr:uid="{00000000-0005-0000-0000-0000941D0000}"/>
    <cellStyle name="SAPBEXHLevel2 105" xfId="6338" xr:uid="{00000000-0005-0000-0000-0000951D0000}"/>
    <cellStyle name="SAPBEXHLevel2 106" xfId="6339" xr:uid="{00000000-0005-0000-0000-0000961D0000}"/>
    <cellStyle name="SAPBEXHLevel2 107" xfId="6340" xr:uid="{00000000-0005-0000-0000-0000971D0000}"/>
    <cellStyle name="SAPBEXHLevel2 108" xfId="6341" xr:uid="{00000000-0005-0000-0000-0000981D0000}"/>
    <cellStyle name="SAPBEXHLevel2 109" xfId="6342" xr:uid="{00000000-0005-0000-0000-0000991D0000}"/>
    <cellStyle name="SAPBEXHLevel2 11" xfId="6343" xr:uid="{00000000-0005-0000-0000-00009A1D0000}"/>
    <cellStyle name="SAPBEXHLevel2 110" xfId="6344" xr:uid="{00000000-0005-0000-0000-00009B1D0000}"/>
    <cellStyle name="SAPBEXHLevel2 12" xfId="6345" xr:uid="{00000000-0005-0000-0000-00009C1D0000}"/>
    <cellStyle name="SAPBEXHLevel2 13" xfId="6346" xr:uid="{00000000-0005-0000-0000-00009D1D0000}"/>
    <cellStyle name="SAPBEXHLevel2 14" xfId="6347" xr:uid="{00000000-0005-0000-0000-00009E1D0000}"/>
    <cellStyle name="SAPBEXHLevel2 15" xfId="6348" xr:uid="{00000000-0005-0000-0000-00009F1D0000}"/>
    <cellStyle name="SAPBEXHLevel2 16" xfId="6349" xr:uid="{00000000-0005-0000-0000-0000A01D0000}"/>
    <cellStyle name="SAPBEXHLevel2 17" xfId="6350" xr:uid="{00000000-0005-0000-0000-0000A11D0000}"/>
    <cellStyle name="SAPBEXHLevel2 18" xfId="6351" xr:uid="{00000000-0005-0000-0000-0000A21D0000}"/>
    <cellStyle name="SAPBEXHLevel2 19" xfId="6352" xr:uid="{00000000-0005-0000-0000-0000A31D0000}"/>
    <cellStyle name="SAPBEXHLevel2 2" xfId="6353" xr:uid="{00000000-0005-0000-0000-0000A41D0000}"/>
    <cellStyle name="SAPBEXHLevel2 20" xfId="6354" xr:uid="{00000000-0005-0000-0000-0000A51D0000}"/>
    <cellStyle name="SAPBEXHLevel2 21" xfId="6355" xr:uid="{00000000-0005-0000-0000-0000A61D0000}"/>
    <cellStyle name="SAPBEXHLevel2 22" xfId="6356" xr:uid="{00000000-0005-0000-0000-0000A71D0000}"/>
    <cellStyle name="SAPBEXHLevel2 23" xfId="6357" xr:uid="{00000000-0005-0000-0000-0000A81D0000}"/>
    <cellStyle name="SAPBEXHLevel2 24" xfId="6358" xr:uid="{00000000-0005-0000-0000-0000A91D0000}"/>
    <cellStyle name="SAPBEXHLevel2 25" xfId="6359" xr:uid="{00000000-0005-0000-0000-0000AA1D0000}"/>
    <cellStyle name="SAPBEXHLevel2 26" xfId="6360" xr:uid="{00000000-0005-0000-0000-0000AB1D0000}"/>
    <cellStyle name="SAPBEXHLevel2 27" xfId="6361" xr:uid="{00000000-0005-0000-0000-0000AC1D0000}"/>
    <cellStyle name="SAPBEXHLevel2 28" xfId="6362" xr:uid="{00000000-0005-0000-0000-0000AD1D0000}"/>
    <cellStyle name="SAPBEXHLevel2 29" xfId="6363" xr:uid="{00000000-0005-0000-0000-0000AE1D0000}"/>
    <cellStyle name="SAPBEXHLevel2 3" xfId="6364" xr:uid="{00000000-0005-0000-0000-0000AF1D0000}"/>
    <cellStyle name="SAPBEXHLevel2 30" xfId="6365" xr:uid="{00000000-0005-0000-0000-0000B01D0000}"/>
    <cellStyle name="SAPBEXHLevel2 31" xfId="6366" xr:uid="{00000000-0005-0000-0000-0000B11D0000}"/>
    <cellStyle name="SAPBEXHLevel2 32" xfId="6367" xr:uid="{00000000-0005-0000-0000-0000B21D0000}"/>
    <cellStyle name="SAPBEXHLevel2 33" xfId="6368" xr:uid="{00000000-0005-0000-0000-0000B31D0000}"/>
    <cellStyle name="SAPBEXHLevel2 34" xfId="6369" xr:uid="{00000000-0005-0000-0000-0000B41D0000}"/>
    <cellStyle name="SAPBEXHLevel2 35" xfId="6370" xr:uid="{00000000-0005-0000-0000-0000B51D0000}"/>
    <cellStyle name="SAPBEXHLevel2 36" xfId="6371" xr:uid="{00000000-0005-0000-0000-0000B61D0000}"/>
    <cellStyle name="SAPBEXHLevel2 37" xfId="6372" xr:uid="{00000000-0005-0000-0000-0000B71D0000}"/>
    <cellStyle name="SAPBEXHLevel2 38" xfId="6373" xr:uid="{00000000-0005-0000-0000-0000B81D0000}"/>
    <cellStyle name="SAPBEXHLevel2 39" xfId="6374" xr:uid="{00000000-0005-0000-0000-0000B91D0000}"/>
    <cellStyle name="SAPBEXHLevel2 4" xfId="6375" xr:uid="{00000000-0005-0000-0000-0000BA1D0000}"/>
    <cellStyle name="SAPBEXHLevel2 40" xfId="6376" xr:uid="{00000000-0005-0000-0000-0000BB1D0000}"/>
    <cellStyle name="SAPBEXHLevel2 41" xfId="6377" xr:uid="{00000000-0005-0000-0000-0000BC1D0000}"/>
    <cellStyle name="SAPBEXHLevel2 42" xfId="6378" xr:uid="{00000000-0005-0000-0000-0000BD1D0000}"/>
    <cellStyle name="SAPBEXHLevel2 43" xfId="6379" xr:uid="{00000000-0005-0000-0000-0000BE1D0000}"/>
    <cellStyle name="SAPBEXHLevel2 44" xfId="6380" xr:uid="{00000000-0005-0000-0000-0000BF1D0000}"/>
    <cellStyle name="SAPBEXHLevel2 45" xfId="6381" xr:uid="{00000000-0005-0000-0000-0000C01D0000}"/>
    <cellStyle name="SAPBEXHLevel2 46" xfId="6382" xr:uid="{00000000-0005-0000-0000-0000C11D0000}"/>
    <cellStyle name="SAPBEXHLevel2 47" xfId="6383" xr:uid="{00000000-0005-0000-0000-0000C21D0000}"/>
    <cellStyle name="SAPBEXHLevel2 48" xfId="6384" xr:uid="{00000000-0005-0000-0000-0000C31D0000}"/>
    <cellStyle name="SAPBEXHLevel2 49" xfId="6385" xr:uid="{00000000-0005-0000-0000-0000C41D0000}"/>
    <cellStyle name="SAPBEXHLevel2 5" xfId="6386" xr:uid="{00000000-0005-0000-0000-0000C51D0000}"/>
    <cellStyle name="SAPBEXHLevel2 50" xfId="6387" xr:uid="{00000000-0005-0000-0000-0000C61D0000}"/>
    <cellStyle name="SAPBEXHLevel2 51" xfId="6388" xr:uid="{00000000-0005-0000-0000-0000C71D0000}"/>
    <cellStyle name="SAPBEXHLevel2 52" xfId="6389" xr:uid="{00000000-0005-0000-0000-0000C81D0000}"/>
    <cellStyle name="SAPBEXHLevel2 53" xfId="6390" xr:uid="{00000000-0005-0000-0000-0000C91D0000}"/>
    <cellStyle name="SAPBEXHLevel2 54" xfId="6391" xr:uid="{00000000-0005-0000-0000-0000CA1D0000}"/>
    <cellStyle name="SAPBEXHLevel2 55" xfId="6392" xr:uid="{00000000-0005-0000-0000-0000CB1D0000}"/>
    <cellStyle name="SAPBEXHLevel2 56" xfId="6393" xr:uid="{00000000-0005-0000-0000-0000CC1D0000}"/>
    <cellStyle name="SAPBEXHLevel2 57" xfId="6394" xr:uid="{00000000-0005-0000-0000-0000CD1D0000}"/>
    <cellStyle name="SAPBEXHLevel2 58" xfId="6395" xr:uid="{00000000-0005-0000-0000-0000CE1D0000}"/>
    <cellStyle name="SAPBEXHLevel2 59" xfId="6396" xr:uid="{00000000-0005-0000-0000-0000CF1D0000}"/>
    <cellStyle name="SAPBEXHLevel2 6" xfId="6397" xr:uid="{00000000-0005-0000-0000-0000D01D0000}"/>
    <cellStyle name="SAPBEXHLevel2 60" xfId="6398" xr:uid="{00000000-0005-0000-0000-0000D11D0000}"/>
    <cellStyle name="SAPBEXHLevel2 61" xfId="6399" xr:uid="{00000000-0005-0000-0000-0000D21D0000}"/>
    <cellStyle name="SAPBEXHLevel2 62" xfId="6400" xr:uid="{00000000-0005-0000-0000-0000D31D0000}"/>
    <cellStyle name="SAPBEXHLevel2 63" xfId="6401" xr:uid="{00000000-0005-0000-0000-0000D41D0000}"/>
    <cellStyle name="SAPBEXHLevel2 64" xfId="6402" xr:uid="{00000000-0005-0000-0000-0000D51D0000}"/>
    <cellStyle name="SAPBEXHLevel2 65" xfId="6403" xr:uid="{00000000-0005-0000-0000-0000D61D0000}"/>
    <cellStyle name="SAPBEXHLevel2 66" xfId="6404" xr:uid="{00000000-0005-0000-0000-0000D71D0000}"/>
    <cellStyle name="SAPBEXHLevel2 67" xfId="6405" xr:uid="{00000000-0005-0000-0000-0000D81D0000}"/>
    <cellStyle name="SAPBEXHLevel2 68" xfId="6406" xr:uid="{00000000-0005-0000-0000-0000D91D0000}"/>
    <cellStyle name="SAPBEXHLevel2 69" xfId="6407" xr:uid="{00000000-0005-0000-0000-0000DA1D0000}"/>
    <cellStyle name="SAPBEXHLevel2 7" xfId="6408" xr:uid="{00000000-0005-0000-0000-0000DB1D0000}"/>
    <cellStyle name="SAPBEXHLevel2 70" xfId="6409" xr:uid="{00000000-0005-0000-0000-0000DC1D0000}"/>
    <cellStyle name="SAPBEXHLevel2 71" xfId="6410" xr:uid="{00000000-0005-0000-0000-0000DD1D0000}"/>
    <cellStyle name="SAPBEXHLevel2 72" xfId="6411" xr:uid="{00000000-0005-0000-0000-0000DE1D0000}"/>
    <cellStyle name="SAPBEXHLevel2 73" xfId="6412" xr:uid="{00000000-0005-0000-0000-0000DF1D0000}"/>
    <cellStyle name="SAPBEXHLevel2 74" xfId="6413" xr:uid="{00000000-0005-0000-0000-0000E01D0000}"/>
    <cellStyle name="SAPBEXHLevel2 75" xfId="6414" xr:uid="{00000000-0005-0000-0000-0000E11D0000}"/>
    <cellStyle name="SAPBEXHLevel2 76" xfId="6415" xr:uid="{00000000-0005-0000-0000-0000E21D0000}"/>
    <cellStyle name="SAPBEXHLevel2 77" xfId="6416" xr:uid="{00000000-0005-0000-0000-0000E31D0000}"/>
    <cellStyle name="SAPBEXHLevel2 78" xfId="6417" xr:uid="{00000000-0005-0000-0000-0000E41D0000}"/>
    <cellStyle name="SAPBEXHLevel2 79" xfId="6418" xr:uid="{00000000-0005-0000-0000-0000E51D0000}"/>
    <cellStyle name="SAPBEXHLevel2 8" xfId="6419" xr:uid="{00000000-0005-0000-0000-0000E61D0000}"/>
    <cellStyle name="SAPBEXHLevel2 80" xfId="6420" xr:uid="{00000000-0005-0000-0000-0000E71D0000}"/>
    <cellStyle name="SAPBEXHLevel2 81" xfId="6421" xr:uid="{00000000-0005-0000-0000-0000E81D0000}"/>
    <cellStyle name="SAPBEXHLevel2 82" xfId="6422" xr:uid="{00000000-0005-0000-0000-0000E91D0000}"/>
    <cellStyle name="SAPBEXHLevel2 83" xfId="6423" xr:uid="{00000000-0005-0000-0000-0000EA1D0000}"/>
    <cellStyle name="SAPBEXHLevel2 84" xfId="6424" xr:uid="{00000000-0005-0000-0000-0000EB1D0000}"/>
    <cellStyle name="SAPBEXHLevel2 85" xfId="6425" xr:uid="{00000000-0005-0000-0000-0000EC1D0000}"/>
    <cellStyle name="SAPBEXHLevel2 86" xfId="6426" xr:uid="{00000000-0005-0000-0000-0000ED1D0000}"/>
    <cellStyle name="SAPBEXHLevel2 87" xfId="6427" xr:uid="{00000000-0005-0000-0000-0000EE1D0000}"/>
    <cellStyle name="SAPBEXHLevel2 88" xfId="6428" xr:uid="{00000000-0005-0000-0000-0000EF1D0000}"/>
    <cellStyle name="SAPBEXHLevel2 89" xfId="6429" xr:uid="{00000000-0005-0000-0000-0000F01D0000}"/>
    <cellStyle name="SAPBEXHLevel2 9" xfId="6430" xr:uid="{00000000-0005-0000-0000-0000F11D0000}"/>
    <cellStyle name="SAPBEXHLevel2 90" xfId="6431" xr:uid="{00000000-0005-0000-0000-0000F21D0000}"/>
    <cellStyle name="SAPBEXHLevel2 91" xfId="6432" xr:uid="{00000000-0005-0000-0000-0000F31D0000}"/>
    <cellStyle name="SAPBEXHLevel2 92" xfId="6433" xr:uid="{00000000-0005-0000-0000-0000F41D0000}"/>
    <cellStyle name="SAPBEXHLevel2 93" xfId="6434" xr:uid="{00000000-0005-0000-0000-0000F51D0000}"/>
    <cellStyle name="SAPBEXHLevel2 94" xfId="6435" xr:uid="{00000000-0005-0000-0000-0000F61D0000}"/>
    <cellStyle name="SAPBEXHLevel2 95" xfId="6436" xr:uid="{00000000-0005-0000-0000-0000F71D0000}"/>
    <cellStyle name="SAPBEXHLevel2 96" xfId="6437" xr:uid="{00000000-0005-0000-0000-0000F81D0000}"/>
    <cellStyle name="SAPBEXHLevel2 97" xfId="6438" xr:uid="{00000000-0005-0000-0000-0000F91D0000}"/>
    <cellStyle name="SAPBEXHLevel2 98" xfId="6439" xr:uid="{00000000-0005-0000-0000-0000FA1D0000}"/>
    <cellStyle name="SAPBEXHLevel2 99" xfId="6440" xr:uid="{00000000-0005-0000-0000-0000FB1D0000}"/>
    <cellStyle name="SAPBEXHLevel2_(A-7) IS-Inputs" xfId="6441" xr:uid="{00000000-0005-0000-0000-0000FC1D0000}"/>
    <cellStyle name="SAPBEXHLevel2X" xfId="6442" xr:uid="{00000000-0005-0000-0000-0000FD1D0000}"/>
    <cellStyle name="SAPBEXHLevel2X 10" xfId="6443" xr:uid="{00000000-0005-0000-0000-0000FE1D0000}"/>
    <cellStyle name="SAPBEXHLevel2X 10 2" xfId="6444" xr:uid="{00000000-0005-0000-0000-0000FF1D0000}"/>
    <cellStyle name="SAPBEXHLevel2X 10 3" xfId="6445" xr:uid="{00000000-0005-0000-0000-0000001E0000}"/>
    <cellStyle name="SAPBEXHLevel2X 10 4" xfId="6446" xr:uid="{00000000-0005-0000-0000-0000011E0000}"/>
    <cellStyle name="SAPBEXHLevel2X 10 5" xfId="6447" xr:uid="{00000000-0005-0000-0000-0000021E0000}"/>
    <cellStyle name="SAPBEXHLevel2X 10 6" xfId="6448" xr:uid="{00000000-0005-0000-0000-0000031E0000}"/>
    <cellStyle name="SAPBEXHLevel2X 10 7" xfId="6449" xr:uid="{00000000-0005-0000-0000-0000041E0000}"/>
    <cellStyle name="SAPBEXHLevel2X 10 8" xfId="6450" xr:uid="{00000000-0005-0000-0000-0000051E0000}"/>
    <cellStyle name="SAPBEXHLevel2X 10 9" xfId="6451" xr:uid="{00000000-0005-0000-0000-0000061E0000}"/>
    <cellStyle name="SAPBEXHLevel2X 11" xfId="6452" xr:uid="{00000000-0005-0000-0000-0000071E0000}"/>
    <cellStyle name="SAPBEXHLevel2X 11 2" xfId="6453" xr:uid="{00000000-0005-0000-0000-0000081E0000}"/>
    <cellStyle name="SAPBEXHLevel2X 12" xfId="6454" xr:uid="{00000000-0005-0000-0000-0000091E0000}"/>
    <cellStyle name="SAPBEXHLevel2X 12 2" xfId="6455" xr:uid="{00000000-0005-0000-0000-00000A1E0000}"/>
    <cellStyle name="SAPBEXHLevel2X 12 3" xfId="6456" xr:uid="{00000000-0005-0000-0000-00000B1E0000}"/>
    <cellStyle name="SAPBEXHLevel2X 12 4" xfId="6457" xr:uid="{00000000-0005-0000-0000-00000C1E0000}"/>
    <cellStyle name="SAPBEXHLevel2X 12 5" xfId="6458" xr:uid="{00000000-0005-0000-0000-00000D1E0000}"/>
    <cellStyle name="SAPBEXHLevel2X 12 6" xfId="6459" xr:uid="{00000000-0005-0000-0000-00000E1E0000}"/>
    <cellStyle name="SAPBEXHLevel2X 12 7" xfId="6460" xr:uid="{00000000-0005-0000-0000-00000F1E0000}"/>
    <cellStyle name="SAPBEXHLevel2X 12 8" xfId="6461" xr:uid="{00000000-0005-0000-0000-0000101E0000}"/>
    <cellStyle name="SAPBEXHLevel2X 13" xfId="6462" xr:uid="{00000000-0005-0000-0000-0000111E0000}"/>
    <cellStyle name="SAPBEXHLevel2X 13 2" xfId="6463" xr:uid="{00000000-0005-0000-0000-0000121E0000}"/>
    <cellStyle name="SAPBEXHLevel2X 13 3" xfId="6464" xr:uid="{00000000-0005-0000-0000-0000131E0000}"/>
    <cellStyle name="SAPBEXHLevel2X 13 4" xfId="6465" xr:uid="{00000000-0005-0000-0000-0000141E0000}"/>
    <cellStyle name="SAPBEXHLevel2X 13 5" xfId="6466" xr:uid="{00000000-0005-0000-0000-0000151E0000}"/>
    <cellStyle name="SAPBEXHLevel2X 13 6" xfId="6467" xr:uid="{00000000-0005-0000-0000-0000161E0000}"/>
    <cellStyle name="SAPBEXHLevel2X 13 7" xfId="6468" xr:uid="{00000000-0005-0000-0000-0000171E0000}"/>
    <cellStyle name="SAPBEXHLevel2X 13 8" xfId="6469" xr:uid="{00000000-0005-0000-0000-0000181E0000}"/>
    <cellStyle name="SAPBEXHLevel2X 14" xfId="6470" xr:uid="{00000000-0005-0000-0000-0000191E0000}"/>
    <cellStyle name="SAPBEXHLevel2X 14 2" xfId="6471" xr:uid="{00000000-0005-0000-0000-00001A1E0000}"/>
    <cellStyle name="SAPBEXHLevel2X 15" xfId="6472" xr:uid="{00000000-0005-0000-0000-00001B1E0000}"/>
    <cellStyle name="SAPBEXHLevel2X 15 2" xfId="6473" xr:uid="{00000000-0005-0000-0000-00001C1E0000}"/>
    <cellStyle name="SAPBEXHLevel2X 16" xfId="6474" xr:uid="{00000000-0005-0000-0000-00001D1E0000}"/>
    <cellStyle name="SAPBEXHLevel2X 16 2" xfId="6475" xr:uid="{00000000-0005-0000-0000-00001E1E0000}"/>
    <cellStyle name="SAPBEXHLevel2X 17" xfId="6476" xr:uid="{00000000-0005-0000-0000-00001F1E0000}"/>
    <cellStyle name="SAPBEXHLevel2X 17 2" xfId="6477" xr:uid="{00000000-0005-0000-0000-0000201E0000}"/>
    <cellStyle name="SAPBEXHLevel2X 18" xfId="6478" xr:uid="{00000000-0005-0000-0000-0000211E0000}"/>
    <cellStyle name="SAPBEXHLevel2X 18 2" xfId="6479" xr:uid="{00000000-0005-0000-0000-0000221E0000}"/>
    <cellStyle name="SAPBEXHLevel2X 19" xfId="6480" xr:uid="{00000000-0005-0000-0000-0000231E0000}"/>
    <cellStyle name="SAPBEXHLevel2X 19 2" xfId="6481" xr:uid="{00000000-0005-0000-0000-0000241E0000}"/>
    <cellStyle name="SAPBEXHLevel2X 2" xfId="6482" xr:uid="{00000000-0005-0000-0000-0000251E0000}"/>
    <cellStyle name="SAPBEXHLevel2X 2 2" xfId="6483" xr:uid="{00000000-0005-0000-0000-0000261E0000}"/>
    <cellStyle name="SAPBEXHLevel2X 2 3" xfId="6484" xr:uid="{00000000-0005-0000-0000-0000271E0000}"/>
    <cellStyle name="SAPBEXHLevel2X 2 4" xfId="6485" xr:uid="{00000000-0005-0000-0000-0000281E0000}"/>
    <cellStyle name="SAPBEXHLevel2X 2 5" xfId="6486" xr:uid="{00000000-0005-0000-0000-0000291E0000}"/>
    <cellStyle name="SAPBEXHLevel2X 2 6" xfId="6487" xr:uid="{00000000-0005-0000-0000-00002A1E0000}"/>
    <cellStyle name="SAPBEXHLevel2X 2 7" xfId="6488" xr:uid="{00000000-0005-0000-0000-00002B1E0000}"/>
    <cellStyle name="SAPBEXHLevel2X 2 8" xfId="6489" xr:uid="{00000000-0005-0000-0000-00002C1E0000}"/>
    <cellStyle name="SAPBEXHLevel2X 2 9" xfId="6490" xr:uid="{00000000-0005-0000-0000-00002D1E0000}"/>
    <cellStyle name="SAPBEXHLevel2X 20" xfId="6491" xr:uid="{00000000-0005-0000-0000-00002E1E0000}"/>
    <cellStyle name="SAPBEXHLevel2X 20 2" xfId="6492" xr:uid="{00000000-0005-0000-0000-00002F1E0000}"/>
    <cellStyle name="SAPBEXHLevel2X 21" xfId="6493" xr:uid="{00000000-0005-0000-0000-0000301E0000}"/>
    <cellStyle name="SAPBEXHLevel2X 22" xfId="6494" xr:uid="{00000000-0005-0000-0000-0000311E0000}"/>
    <cellStyle name="SAPBEXHLevel2X 23" xfId="6495" xr:uid="{00000000-0005-0000-0000-0000321E0000}"/>
    <cellStyle name="SAPBEXHLevel2X 24" xfId="6496" xr:uid="{00000000-0005-0000-0000-0000331E0000}"/>
    <cellStyle name="SAPBEXHLevel2X 25" xfId="6497" xr:uid="{00000000-0005-0000-0000-0000341E0000}"/>
    <cellStyle name="SAPBEXHLevel2X 26" xfId="6498" xr:uid="{00000000-0005-0000-0000-0000351E0000}"/>
    <cellStyle name="SAPBEXHLevel2X 27" xfId="6499" xr:uid="{00000000-0005-0000-0000-0000361E0000}"/>
    <cellStyle name="SAPBEXHLevel2X 28" xfId="6500" xr:uid="{00000000-0005-0000-0000-0000371E0000}"/>
    <cellStyle name="SAPBEXHLevel2X 29" xfId="6501" xr:uid="{00000000-0005-0000-0000-0000381E0000}"/>
    <cellStyle name="SAPBEXHLevel2X 3" xfId="6502" xr:uid="{00000000-0005-0000-0000-0000391E0000}"/>
    <cellStyle name="SAPBEXHLevel2X 3 2" xfId="6503" xr:uid="{00000000-0005-0000-0000-00003A1E0000}"/>
    <cellStyle name="SAPBEXHLevel2X 3 3" xfId="6504" xr:uid="{00000000-0005-0000-0000-00003B1E0000}"/>
    <cellStyle name="SAPBEXHLevel2X 3 4" xfId="6505" xr:uid="{00000000-0005-0000-0000-00003C1E0000}"/>
    <cellStyle name="SAPBEXHLevel2X 3 5" xfId="6506" xr:uid="{00000000-0005-0000-0000-00003D1E0000}"/>
    <cellStyle name="SAPBEXHLevel2X 3 6" xfId="6507" xr:uid="{00000000-0005-0000-0000-00003E1E0000}"/>
    <cellStyle name="SAPBEXHLevel2X 3 7" xfId="6508" xr:uid="{00000000-0005-0000-0000-00003F1E0000}"/>
    <cellStyle name="SAPBEXHLevel2X 3 8" xfId="6509" xr:uid="{00000000-0005-0000-0000-0000401E0000}"/>
    <cellStyle name="SAPBEXHLevel2X 3 9" xfId="6510" xr:uid="{00000000-0005-0000-0000-0000411E0000}"/>
    <cellStyle name="SAPBEXHLevel2X 30" xfId="6511" xr:uid="{00000000-0005-0000-0000-0000421E0000}"/>
    <cellStyle name="SAPBEXHLevel2X 31" xfId="6512" xr:uid="{00000000-0005-0000-0000-0000431E0000}"/>
    <cellStyle name="SAPBEXHLevel2X 32" xfId="6513" xr:uid="{00000000-0005-0000-0000-0000441E0000}"/>
    <cellStyle name="SAPBEXHLevel2X 33" xfId="6514" xr:uid="{00000000-0005-0000-0000-0000451E0000}"/>
    <cellStyle name="SAPBEXHLevel2X 34" xfId="6515" xr:uid="{00000000-0005-0000-0000-0000461E0000}"/>
    <cellStyle name="SAPBEXHLevel2X 35" xfId="6516" xr:uid="{00000000-0005-0000-0000-0000471E0000}"/>
    <cellStyle name="SAPBEXHLevel2X 36" xfId="6517" xr:uid="{00000000-0005-0000-0000-0000481E0000}"/>
    <cellStyle name="SAPBEXHLevel2X 37" xfId="6518" xr:uid="{00000000-0005-0000-0000-0000491E0000}"/>
    <cellStyle name="SAPBEXHLevel2X 38" xfId="6519" xr:uid="{00000000-0005-0000-0000-00004A1E0000}"/>
    <cellStyle name="SAPBEXHLevel2X 39" xfId="6520" xr:uid="{00000000-0005-0000-0000-00004B1E0000}"/>
    <cellStyle name="SAPBEXHLevel2X 4" xfId="6521" xr:uid="{00000000-0005-0000-0000-00004C1E0000}"/>
    <cellStyle name="SAPBEXHLevel2X 4 2" xfId="6522" xr:uid="{00000000-0005-0000-0000-00004D1E0000}"/>
    <cellStyle name="SAPBEXHLevel2X 4 3" xfId="6523" xr:uid="{00000000-0005-0000-0000-00004E1E0000}"/>
    <cellStyle name="SAPBEXHLevel2X 4 4" xfId="6524" xr:uid="{00000000-0005-0000-0000-00004F1E0000}"/>
    <cellStyle name="SAPBEXHLevel2X 4 5" xfId="6525" xr:uid="{00000000-0005-0000-0000-0000501E0000}"/>
    <cellStyle name="SAPBEXHLevel2X 4 6" xfId="6526" xr:uid="{00000000-0005-0000-0000-0000511E0000}"/>
    <cellStyle name="SAPBEXHLevel2X 4 7" xfId="6527" xr:uid="{00000000-0005-0000-0000-0000521E0000}"/>
    <cellStyle name="SAPBEXHLevel2X 4 8" xfId="6528" xr:uid="{00000000-0005-0000-0000-0000531E0000}"/>
    <cellStyle name="SAPBEXHLevel2X 4 9" xfId="6529" xr:uid="{00000000-0005-0000-0000-0000541E0000}"/>
    <cellStyle name="SAPBEXHLevel2X 40" xfId="6530" xr:uid="{00000000-0005-0000-0000-0000551E0000}"/>
    <cellStyle name="SAPBEXHLevel2X 41" xfId="6531" xr:uid="{00000000-0005-0000-0000-0000561E0000}"/>
    <cellStyle name="SAPBEXHLevel2X 42" xfId="6532" xr:uid="{00000000-0005-0000-0000-0000571E0000}"/>
    <cellStyle name="SAPBEXHLevel2X 43" xfId="6533" xr:uid="{00000000-0005-0000-0000-0000581E0000}"/>
    <cellStyle name="SAPBEXHLevel2X 44" xfId="6534" xr:uid="{00000000-0005-0000-0000-0000591E0000}"/>
    <cellStyle name="SAPBEXHLevel2X 45" xfId="6535" xr:uid="{00000000-0005-0000-0000-00005A1E0000}"/>
    <cellStyle name="SAPBEXHLevel2X 46" xfId="6536" xr:uid="{00000000-0005-0000-0000-00005B1E0000}"/>
    <cellStyle name="SAPBEXHLevel2X 5" xfId="6537" xr:uid="{00000000-0005-0000-0000-00005C1E0000}"/>
    <cellStyle name="SAPBEXHLevel2X 5 2" xfId="6538" xr:uid="{00000000-0005-0000-0000-00005D1E0000}"/>
    <cellStyle name="SAPBEXHLevel2X 5 3" xfId="6539" xr:uid="{00000000-0005-0000-0000-00005E1E0000}"/>
    <cellStyle name="SAPBEXHLevel2X 5 4" xfId="6540" xr:uid="{00000000-0005-0000-0000-00005F1E0000}"/>
    <cellStyle name="SAPBEXHLevel2X 5 5" xfId="6541" xr:uid="{00000000-0005-0000-0000-0000601E0000}"/>
    <cellStyle name="SAPBEXHLevel2X 5 6" xfId="6542" xr:uid="{00000000-0005-0000-0000-0000611E0000}"/>
    <cellStyle name="SAPBEXHLevel2X 5 7" xfId="6543" xr:uid="{00000000-0005-0000-0000-0000621E0000}"/>
    <cellStyle name="SAPBEXHLevel2X 5 8" xfId="6544" xr:uid="{00000000-0005-0000-0000-0000631E0000}"/>
    <cellStyle name="SAPBEXHLevel2X 5 9" xfId="6545" xr:uid="{00000000-0005-0000-0000-0000641E0000}"/>
    <cellStyle name="SAPBEXHLevel2X 6" xfId="6546" xr:uid="{00000000-0005-0000-0000-0000651E0000}"/>
    <cellStyle name="SAPBEXHLevel2X 6 2" xfId="6547" xr:uid="{00000000-0005-0000-0000-0000661E0000}"/>
    <cellStyle name="SAPBEXHLevel2X 6 3" xfId="6548" xr:uid="{00000000-0005-0000-0000-0000671E0000}"/>
    <cellStyle name="SAPBEXHLevel2X 6 4" xfId="6549" xr:uid="{00000000-0005-0000-0000-0000681E0000}"/>
    <cellStyle name="SAPBEXHLevel2X 6 5" xfId="6550" xr:uid="{00000000-0005-0000-0000-0000691E0000}"/>
    <cellStyle name="SAPBEXHLevel2X 6 6" xfId="6551" xr:uid="{00000000-0005-0000-0000-00006A1E0000}"/>
    <cellStyle name="SAPBEXHLevel2X 6 7" xfId="6552" xr:uid="{00000000-0005-0000-0000-00006B1E0000}"/>
    <cellStyle name="SAPBEXHLevel2X 6 8" xfId="6553" xr:uid="{00000000-0005-0000-0000-00006C1E0000}"/>
    <cellStyle name="SAPBEXHLevel2X 6 9" xfId="6554" xr:uid="{00000000-0005-0000-0000-00006D1E0000}"/>
    <cellStyle name="SAPBEXHLevel2X 7" xfId="6555" xr:uid="{00000000-0005-0000-0000-00006E1E0000}"/>
    <cellStyle name="SAPBEXHLevel2X 7 2" xfId="6556" xr:uid="{00000000-0005-0000-0000-00006F1E0000}"/>
    <cellStyle name="SAPBEXHLevel2X 7 3" xfId="6557" xr:uid="{00000000-0005-0000-0000-0000701E0000}"/>
    <cellStyle name="SAPBEXHLevel2X 7 4" xfId="6558" xr:uid="{00000000-0005-0000-0000-0000711E0000}"/>
    <cellStyle name="SAPBEXHLevel2X 7 5" xfId="6559" xr:uid="{00000000-0005-0000-0000-0000721E0000}"/>
    <cellStyle name="SAPBEXHLevel2X 7 6" xfId="6560" xr:uid="{00000000-0005-0000-0000-0000731E0000}"/>
    <cellStyle name="SAPBEXHLevel2X 7 7" xfId="6561" xr:uid="{00000000-0005-0000-0000-0000741E0000}"/>
    <cellStyle name="SAPBEXHLevel2X 7 8" xfId="6562" xr:uid="{00000000-0005-0000-0000-0000751E0000}"/>
    <cellStyle name="SAPBEXHLevel2X 7 9" xfId="6563" xr:uid="{00000000-0005-0000-0000-0000761E0000}"/>
    <cellStyle name="SAPBEXHLevel2X 8" xfId="6564" xr:uid="{00000000-0005-0000-0000-0000771E0000}"/>
    <cellStyle name="SAPBEXHLevel2X 8 2" xfId="6565" xr:uid="{00000000-0005-0000-0000-0000781E0000}"/>
    <cellStyle name="SAPBEXHLevel2X 8 3" xfId="6566" xr:uid="{00000000-0005-0000-0000-0000791E0000}"/>
    <cellStyle name="SAPBEXHLevel2X 8 4" xfId="6567" xr:uid="{00000000-0005-0000-0000-00007A1E0000}"/>
    <cellStyle name="SAPBEXHLevel2X 8 5" xfId="6568" xr:uid="{00000000-0005-0000-0000-00007B1E0000}"/>
    <cellStyle name="SAPBEXHLevel2X 8 6" xfId="6569" xr:uid="{00000000-0005-0000-0000-00007C1E0000}"/>
    <cellStyle name="SAPBEXHLevel2X 8 7" xfId="6570" xr:uid="{00000000-0005-0000-0000-00007D1E0000}"/>
    <cellStyle name="SAPBEXHLevel2X 8 8" xfId="6571" xr:uid="{00000000-0005-0000-0000-00007E1E0000}"/>
    <cellStyle name="SAPBEXHLevel2X 8 9" xfId="6572" xr:uid="{00000000-0005-0000-0000-00007F1E0000}"/>
    <cellStyle name="SAPBEXHLevel2X 9" xfId="6573" xr:uid="{00000000-0005-0000-0000-0000801E0000}"/>
    <cellStyle name="SAPBEXHLevel2X 9 2" xfId="6574" xr:uid="{00000000-0005-0000-0000-0000811E0000}"/>
    <cellStyle name="SAPBEXHLevel2X 9 3" xfId="6575" xr:uid="{00000000-0005-0000-0000-0000821E0000}"/>
    <cellStyle name="SAPBEXHLevel2X 9 4" xfId="6576" xr:uid="{00000000-0005-0000-0000-0000831E0000}"/>
    <cellStyle name="SAPBEXHLevel2X 9 5" xfId="6577" xr:uid="{00000000-0005-0000-0000-0000841E0000}"/>
    <cellStyle name="SAPBEXHLevel2X 9 6" xfId="6578" xr:uid="{00000000-0005-0000-0000-0000851E0000}"/>
    <cellStyle name="SAPBEXHLevel2X 9 7" xfId="6579" xr:uid="{00000000-0005-0000-0000-0000861E0000}"/>
    <cellStyle name="SAPBEXHLevel2X 9 8" xfId="6580" xr:uid="{00000000-0005-0000-0000-0000871E0000}"/>
    <cellStyle name="SAPBEXHLevel2X 9 9" xfId="6581" xr:uid="{00000000-0005-0000-0000-0000881E0000}"/>
    <cellStyle name="SAPBEXHLevel2X_(A-7) IS-Inputs" xfId="6582" xr:uid="{00000000-0005-0000-0000-0000891E0000}"/>
    <cellStyle name="SAPBEXHLevel3" xfId="6583" xr:uid="{00000000-0005-0000-0000-00008A1E0000}"/>
    <cellStyle name="SAPBEXHLevel3 10" xfId="6584" xr:uid="{00000000-0005-0000-0000-00008B1E0000}"/>
    <cellStyle name="SAPBEXHLevel3 100" xfId="6585" xr:uid="{00000000-0005-0000-0000-00008C1E0000}"/>
    <cellStyle name="SAPBEXHLevel3 101" xfId="6586" xr:uid="{00000000-0005-0000-0000-00008D1E0000}"/>
    <cellStyle name="SAPBEXHLevel3 102" xfId="6587" xr:uid="{00000000-0005-0000-0000-00008E1E0000}"/>
    <cellStyle name="SAPBEXHLevel3 103" xfId="6588" xr:uid="{00000000-0005-0000-0000-00008F1E0000}"/>
    <cellStyle name="SAPBEXHLevel3 104" xfId="6589" xr:uid="{00000000-0005-0000-0000-0000901E0000}"/>
    <cellStyle name="SAPBEXHLevel3 105" xfId="6590" xr:uid="{00000000-0005-0000-0000-0000911E0000}"/>
    <cellStyle name="SAPBEXHLevel3 106" xfId="6591" xr:uid="{00000000-0005-0000-0000-0000921E0000}"/>
    <cellStyle name="SAPBEXHLevel3 107" xfId="6592" xr:uid="{00000000-0005-0000-0000-0000931E0000}"/>
    <cellStyle name="SAPBEXHLevel3 108" xfId="6593" xr:uid="{00000000-0005-0000-0000-0000941E0000}"/>
    <cellStyle name="SAPBEXHLevel3 109" xfId="6594" xr:uid="{00000000-0005-0000-0000-0000951E0000}"/>
    <cellStyle name="SAPBEXHLevel3 11" xfId="6595" xr:uid="{00000000-0005-0000-0000-0000961E0000}"/>
    <cellStyle name="SAPBEXHLevel3 110" xfId="6596" xr:uid="{00000000-0005-0000-0000-0000971E0000}"/>
    <cellStyle name="SAPBEXHLevel3 12" xfId="6597" xr:uid="{00000000-0005-0000-0000-0000981E0000}"/>
    <cellStyle name="SAPBEXHLevel3 13" xfId="6598" xr:uid="{00000000-0005-0000-0000-0000991E0000}"/>
    <cellStyle name="SAPBEXHLevel3 14" xfId="6599" xr:uid="{00000000-0005-0000-0000-00009A1E0000}"/>
    <cellStyle name="SAPBEXHLevel3 15" xfId="6600" xr:uid="{00000000-0005-0000-0000-00009B1E0000}"/>
    <cellStyle name="SAPBEXHLevel3 16" xfId="6601" xr:uid="{00000000-0005-0000-0000-00009C1E0000}"/>
    <cellStyle name="SAPBEXHLevel3 17" xfId="6602" xr:uid="{00000000-0005-0000-0000-00009D1E0000}"/>
    <cellStyle name="SAPBEXHLevel3 18" xfId="6603" xr:uid="{00000000-0005-0000-0000-00009E1E0000}"/>
    <cellStyle name="SAPBEXHLevel3 19" xfId="6604" xr:uid="{00000000-0005-0000-0000-00009F1E0000}"/>
    <cellStyle name="SAPBEXHLevel3 2" xfId="6605" xr:uid="{00000000-0005-0000-0000-0000A01E0000}"/>
    <cellStyle name="SAPBEXHLevel3 20" xfId="6606" xr:uid="{00000000-0005-0000-0000-0000A11E0000}"/>
    <cellStyle name="SAPBEXHLevel3 21" xfId="6607" xr:uid="{00000000-0005-0000-0000-0000A21E0000}"/>
    <cellStyle name="SAPBEXHLevel3 22" xfId="6608" xr:uid="{00000000-0005-0000-0000-0000A31E0000}"/>
    <cellStyle name="SAPBEXHLevel3 23" xfId="6609" xr:uid="{00000000-0005-0000-0000-0000A41E0000}"/>
    <cellStyle name="SAPBEXHLevel3 24" xfId="6610" xr:uid="{00000000-0005-0000-0000-0000A51E0000}"/>
    <cellStyle name="SAPBEXHLevel3 25" xfId="6611" xr:uid="{00000000-0005-0000-0000-0000A61E0000}"/>
    <cellStyle name="SAPBEXHLevel3 26" xfId="6612" xr:uid="{00000000-0005-0000-0000-0000A71E0000}"/>
    <cellStyle name="SAPBEXHLevel3 27" xfId="6613" xr:uid="{00000000-0005-0000-0000-0000A81E0000}"/>
    <cellStyle name="SAPBEXHLevel3 28" xfId="6614" xr:uid="{00000000-0005-0000-0000-0000A91E0000}"/>
    <cellStyle name="SAPBEXHLevel3 29" xfId="6615" xr:uid="{00000000-0005-0000-0000-0000AA1E0000}"/>
    <cellStyle name="SAPBEXHLevel3 3" xfId="6616" xr:uid="{00000000-0005-0000-0000-0000AB1E0000}"/>
    <cellStyle name="SAPBEXHLevel3 30" xfId="6617" xr:uid="{00000000-0005-0000-0000-0000AC1E0000}"/>
    <cellStyle name="SAPBEXHLevel3 31" xfId="6618" xr:uid="{00000000-0005-0000-0000-0000AD1E0000}"/>
    <cellStyle name="SAPBEXHLevel3 32" xfId="6619" xr:uid="{00000000-0005-0000-0000-0000AE1E0000}"/>
    <cellStyle name="SAPBEXHLevel3 33" xfId="6620" xr:uid="{00000000-0005-0000-0000-0000AF1E0000}"/>
    <cellStyle name="SAPBEXHLevel3 34" xfId="6621" xr:uid="{00000000-0005-0000-0000-0000B01E0000}"/>
    <cellStyle name="SAPBEXHLevel3 35" xfId="6622" xr:uid="{00000000-0005-0000-0000-0000B11E0000}"/>
    <cellStyle name="SAPBEXHLevel3 36" xfId="6623" xr:uid="{00000000-0005-0000-0000-0000B21E0000}"/>
    <cellStyle name="SAPBEXHLevel3 37" xfId="6624" xr:uid="{00000000-0005-0000-0000-0000B31E0000}"/>
    <cellStyle name="SAPBEXHLevel3 38" xfId="6625" xr:uid="{00000000-0005-0000-0000-0000B41E0000}"/>
    <cellStyle name="SAPBEXHLevel3 39" xfId="6626" xr:uid="{00000000-0005-0000-0000-0000B51E0000}"/>
    <cellStyle name="SAPBEXHLevel3 4" xfId="6627" xr:uid="{00000000-0005-0000-0000-0000B61E0000}"/>
    <cellStyle name="SAPBEXHLevel3 40" xfId="6628" xr:uid="{00000000-0005-0000-0000-0000B71E0000}"/>
    <cellStyle name="SAPBEXHLevel3 41" xfId="6629" xr:uid="{00000000-0005-0000-0000-0000B81E0000}"/>
    <cellStyle name="SAPBEXHLevel3 42" xfId="6630" xr:uid="{00000000-0005-0000-0000-0000B91E0000}"/>
    <cellStyle name="SAPBEXHLevel3 43" xfId="6631" xr:uid="{00000000-0005-0000-0000-0000BA1E0000}"/>
    <cellStyle name="SAPBEXHLevel3 44" xfId="6632" xr:uid="{00000000-0005-0000-0000-0000BB1E0000}"/>
    <cellStyle name="SAPBEXHLevel3 45" xfId="6633" xr:uid="{00000000-0005-0000-0000-0000BC1E0000}"/>
    <cellStyle name="SAPBEXHLevel3 46" xfId="6634" xr:uid="{00000000-0005-0000-0000-0000BD1E0000}"/>
    <cellStyle name="SAPBEXHLevel3 47" xfId="6635" xr:uid="{00000000-0005-0000-0000-0000BE1E0000}"/>
    <cellStyle name="SAPBEXHLevel3 48" xfId="6636" xr:uid="{00000000-0005-0000-0000-0000BF1E0000}"/>
    <cellStyle name="SAPBEXHLevel3 49" xfId="6637" xr:uid="{00000000-0005-0000-0000-0000C01E0000}"/>
    <cellStyle name="SAPBEXHLevel3 5" xfId="6638" xr:uid="{00000000-0005-0000-0000-0000C11E0000}"/>
    <cellStyle name="SAPBEXHLevel3 50" xfId="6639" xr:uid="{00000000-0005-0000-0000-0000C21E0000}"/>
    <cellStyle name="SAPBEXHLevel3 51" xfId="6640" xr:uid="{00000000-0005-0000-0000-0000C31E0000}"/>
    <cellStyle name="SAPBEXHLevel3 52" xfId="6641" xr:uid="{00000000-0005-0000-0000-0000C41E0000}"/>
    <cellStyle name="SAPBEXHLevel3 53" xfId="6642" xr:uid="{00000000-0005-0000-0000-0000C51E0000}"/>
    <cellStyle name="SAPBEXHLevel3 54" xfId="6643" xr:uid="{00000000-0005-0000-0000-0000C61E0000}"/>
    <cellStyle name="SAPBEXHLevel3 55" xfId="6644" xr:uid="{00000000-0005-0000-0000-0000C71E0000}"/>
    <cellStyle name="SAPBEXHLevel3 56" xfId="6645" xr:uid="{00000000-0005-0000-0000-0000C81E0000}"/>
    <cellStyle name="SAPBEXHLevel3 57" xfId="6646" xr:uid="{00000000-0005-0000-0000-0000C91E0000}"/>
    <cellStyle name="SAPBEXHLevel3 58" xfId="6647" xr:uid="{00000000-0005-0000-0000-0000CA1E0000}"/>
    <cellStyle name="SAPBEXHLevel3 59" xfId="6648" xr:uid="{00000000-0005-0000-0000-0000CB1E0000}"/>
    <cellStyle name="SAPBEXHLevel3 6" xfId="6649" xr:uid="{00000000-0005-0000-0000-0000CC1E0000}"/>
    <cellStyle name="SAPBEXHLevel3 60" xfId="6650" xr:uid="{00000000-0005-0000-0000-0000CD1E0000}"/>
    <cellStyle name="SAPBEXHLevel3 61" xfId="6651" xr:uid="{00000000-0005-0000-0000-0000CE1E0000}"/>
    <cellStyle name="SAPBEXHLevel3 62" xfId="6652" xr:uid="{00000000-0005-0000-0000-0000CF1E0000}"/>
    <cellStyle name="SAPBEXHLevel3 63" xfId="6653" xr:uid="{00000000-0005-0000-0000-0000D01E0000}"/>
    <cellStyle name="SAPBEXHLevel3 64" xfId="6654" xr:uid="{00000000-0005-0000-0000-0000D11E0000}"/>
    <cellStyle name="SAPBEXHLevel3 65" xfId="6655" xr:uid="{00000000-0005-0000-0000-0000D21E0000}"/>
    <cellStyle name="SAPBEXHLevel3 66" xfId="6656" xr:uid="{00000000-0005-0000-0000-0000D31E0000}"/>
    <cellStyle name="SAPBEXHLevel3 67" xfId="6657" xr:uid="{00000000-0005-0000-0000-0000D41E0000}"/>
    <cellStyle name="SAPBEXHLevel3 68" xfId="6658" xr:uid="{00000000-0005-0000-0000-0000D51E0000}"/>
    <cellStyle name="SAPBEXHLevel3 69" xfId="6659" xr:uid="{00000000-0005-0000-0000-0000D61E0000}"/>
    <cellStyle name="SAPBEXHLevel3 7" xfId="6660" xr:uid="{00000000-0005-0000-0000-0000D71E0000}"/>
    <cellStyle name="SAPBEXHLevel3 70" xfId="6661" xr:uid="{00000000-0005-0000-0000-0000D81E0000}"/>
    <cellStyle name="SAPBEXHLevel3 71" xfId="6662" xr:uid="{00000000-0005-0000-0000-0000D91E0000}"/>
    <cellStyle name="SAPBEXHLevel3 72" xfId="6663" xr:uid="{00000000-0005-0000-0000-0000DA1E0000}"/>
    <cellStyle name="SAPBEXHLevel3 73" xfId="6664" xr:uid="{00000000-0005-0000-0000-0000DB1E0000}"/>
    <cellStyle name="SAPBEXHLevel3 74" xfId="6665" xr:uid="{00000000-0005-0000-0000-0000DC1E0000}"/>
    <cellStyle name="SAPBEXHLevel3 75" xfId="6666" xr:uid="{00000000-0005-0000-0000-0000DD1E0000}"/>
    <cellStyle name="SAPBEXHLevel3 76" xfId="6667" xr:uid="{00000000-0005-0000-0000-0000DE1E0000}"/>
    <cellStyle name="SAPBEXHLevel3 77" xfId="6668" xr:uid="{00000000-0005-0000-0000-0000DF1E0000}"/>
    <cellStyle name="SAPBEXHLevel3 78" xfId="6669" xr:uid="{00000000-0005-0000-0000-0000E01E0000}"/>
    <cellStyle name="SAPBEXHLevel3 79" xfId="6670" xr:uid="{00000000-0005-0000-0000-0000E11E0000}"/>
    <cellStyle name="SAPBEXHLevel3 8" xfId="6671" xr:uid="{00000000-0005-0000-0000-0000E21E0000}"/>
    <cellStyle name="SAPBEXHLevel3 80" xfId="6672" xr:uid="{00000000-0005-0000-0000-0000E31E0000}"/>
    <cellStyle name="SAPBEXHLevel3 81" xfId="6673" xr:uid="{00000000-0005-0000-0000-0000E41E0000}"/>
    <cellStyle name="SAPBEXHLevel3 82" xfId="6674" xr:uid="{00000000-0005-0000-0000-0000E51E0000}"/>
    <cellStyle name="SAPBEXHLevel3 83" xfId="6675" xr:uid="{00000000-0005-0000-0000-0000E61E0000}"/>
    <cellStyle name="SAPBEXHLevel3 84" xfId="6676" xr:uid="{00000000-0005-0000-0000-0000E71E0000}"/>
    <cellStyle name="SAPBEXHLevel3 85" xfId="6677" xr:uid="{00000000-0005-0000-0000-0000E81E0000}"/>
    <cellStyle name="SAPBEXHLevel3 86" xfId="6678" xr:uid="{00000000-0005-0000-0000-0000E91E0000}"/>
    <cellStyle name="SAPBEXHLevel3 87" xfId="6679" xr:uid="{00000000-0005-0000-0000-0000EA1E0000}"/>
    <cellStyle name="SAPBEXHLevel3 88" xfId="6680" xr:uid="{00000000-0005-0000-0000-0000EB1E0000}"/>
    <cellStyle name="SAPBEXHLevel3 89" xfId="6681" xr:uid="{00000000-0005-0000-0000-0000EC1E0000}"/>
    <cellStyle name="SAPBEXHLevel3 9" xfId="6682" xr:uid="{00000000-0005-0000-0000-0000ED1E0000}"/>
    <cellStyle name="SAPBEXHLevel3 90" xfId="6683" xr:uid="{00000000-0005-0000-0000-0000EE1E0000}"/>
    <cellStyle name="SAPBEXHLevel3 91" xfId="6684" xr:uid="{00000000-0005-0000-0000-0000EF1E0000}"/>
    <cellStyle name="SAPBEXHLevel3 92" xfId="6685" xr:uid="{00000000-0005-0000-0000-0000F01E0000}"/>
    <cellStyle name="SAPBEXHLevel3 93" xfId="6686" xr:uid="{00000000-0005-0000-0000-0000F11E0000}"/>
    <cellStyle name="SAPBEXHLevel3 94" xfId="6687" xr:uid="{00000000-0005-0000-0000-0000F21E0000}"/>
    <cellStyle name="SAPBEXHLevel3 95" xfId="6688" xr:uid="{00000000-0005-0000-0000-0000F31E0000}"/>
    <cellStyle name="SAPBEXHLevel3 96" xfId="6689" xr:uid="{00000000-0005-0000-0000-0000F41E0000}"/>
    <cellStyle name="SAPBEXHLevel3 97" xfId="6690" xr:uid="{00000000-0005-0000-0000-0000F51E0000}"/>
    <cellStyle name="SAPBEXHLevel3 98" xfId="6691" xr:uid="{00000000-0005-0000-0000-0000F61E0000}"/>
    <cellStyle name="SAPBEXHLevel3 99" xfId="6692" xr:uid="{00000000-0005-0000-0000-0000F71E0000}"/>
    <cellStyle name="SAPBEXHLevel3_(A-7) IS-Inputs" xfId="6693" xr:uid="{00000000-0005-0000-0000-0000F81E0000}"/>
    <cellStyle name="SAPBEXHLevel3X" xfId="6694" xr:uid="{00000000-0005-0000-0000-0000F91E0000}"/>
    <cellStyle name="SAPBEXHLevel3X 10" xfId="6695" xr:uid="{00000000-0005-0000-0000-0000FA1E0000}"/>
    <cellStyle name="SAPBEXHLevel3X 10 2" xfId="6696" xr:uid="{00000000-0005-0000-0000-0000FB1E0000}"/>
    <cellStyle name="SAPBEXHLevel3X 10 3" xfId="6697" xr:uid="{00000000-0005-0000-0000-0000FC1E0000}"/>
    <cellStyle name="SAPBEXHLevel3X 10 4" xfId="6698" xr:uid="{00000000-0005-0000-0000-0000FD1E0000}"/>
    <cellStyle name="SAPBEXHLevel3X 10 5" xfId="6699" xr:uid="{00000000-0005-0000-0000-0000FE1E0000}"/>
    <cellStyle name="SAPBEXHLevel3X 10 6" xfId="6700" xr:uid="{00000000-0005-0000-0000-0000FF1E0000}"/>
    <cellStyle name="SAPBEXHLevel3X 10 7" xfId="6701" xr:uid="{00000000-0005-0000-0000-0000001F0000}"/>
    <cellStyle name="SAPBEXHLevel3X 10 8" xfId="6702" xr:uid="{00000000-0005-0000-0000-0000011F0000}"/>
    <cellStyle name="SAPBEXHLevel3X 10 9" xfId="6703" xr:uid="{00000000-0005-0000-0000-0000021F0000}"/>
    <cellStyle name="SAPBEXHLevel3X 11" xfId="6704" xr:uid="{00000000-0005-0000-0000-0000031F0000}"/>
    <cellStyle name="SAPBEXHLevel3X 11 2" xfId="6705" xr:uid="{00000000-0005-0000-0000-0000041F0000}"/>
    <cellStyle name="SAPBEXHLevel3X 12" xfId="6706" xr:uid="{00000000-0005-0000-0000-0000051F0000}"/>
    <cellStyle name="SAPBEXHLevel3X 12 2" xfId="6707" xr:uid="{00000000-0005-0000-0000-0000061F0000}"/>
    <cellStyle name="SAPBEXHLevel3X 12 3" xfId="6708" xr:uid="{00000000-0005-0000-0000-0000071F0000}"/>
    <cellStyle name="SAPBEXHLevel3X 12 4" xfId="6709" xr:uid="{00000000-0005-0000-0000-0000081F0000}"/>
    <cellStyle name="SAPBEXHLevel3X 12 5" xfId="6710" xr:uid="{00000000-0005-0000-0000-0000091F0000}"/>
    <cellStyle name="SAPBEXHLevel3X 12 6" xfId="6711" xr:uid="{00000000-0005-0000-0000-00000A1F0000}"/>
    <cellStyle name="SAPBEXHLevel3X 12 7" xfId="6712" xr:uid="{00000000-0005-0000-0000-00000B1F0000}"/>
    <cellStyle name="SAPBEXHLevel3X 12 8" xfId="6713" xr:uid="{00000000-0005-0000-0000-00000C1F0000}"/>
    <cellStyle name="SAPBEXHLevel3X 13" xfId="6714" xr:uid="{00000000-0005-0000-0000-00000D1F0000}"/>
    <cellStyle name="SAPBEXHLevel3X 13 2" xfId="6715" xr:uid="{00000000-0005-0000-0000-00000E1F0000}"/>
    <cellStyle name="SAPBEXHLevel3X 13 3" xfId="6716" xr:uid="{00000000-0005-0000-0000-00000F1F0000}"/>
    <cellStyle name="SAPBEXHLevel3X 13 4" xfId="6717" xr:uid="{00000000-0005-0000-0000-0000101F0000}"/>
    <cellStyle name="SAPBEXHLevel3X 13 5" xfId="6718" xr:uid="{00000000-0005-0000-0000-0000111F0000}"/>
    <cellStyle name="SAPBEXHLevel3X 13 6" xfId="6719" xr:uid="{00000000-0005-0000-0000-0000121F0000}"/>
    <cellStyle name="SAPBEXHLevel3X 13 7" xfId="6720" xr:uid="{00000000-0005-0000-0000-0000131F0000}"/>
    <cellStyle name="SAPBEXHLevel3X 13 8" xfId="6721" xr:uid="{00000000-0005-0000-0000-0000141F0000}"/>
    <cellStyle name="SAPBEXHLevel3X 14" xfId="6722" xr:uid="{00000000-0005-0000-0000-0000151F0000}"/>
    <cellStyle name="SAPBEXHLevel3X 14 2" xfId="6723" xr:uid="{00000000-0005-0000-0000-0000161F0000}"/>
    <cellStyle name="SAPBEXHLevel3X 15" xfId="6724" xr:uid="{00000000-0005-0000-0000-0000171F0000}"/>
    <cellStyle name="SAPBEXHLevel3X 15 2" xfId="6725" xr:uid="{00000000-0005-0000-0000-0000181F0000}"/>
    <cellStyle name="SAPBEXHLevel3X 16" xfId="6726" xr:uid="{00000000-0005-0000-0000-0000191F0000}"/>
    <cellStyle name="SAPBEXHLevel3X 16 2" xfId="6727" xr:uid="{00000000-0005-0000-0000-00001A1F0000}"/>
    <cellStyle name="SAPBEXHLevel3X 17" xfId="6728" xr:uid="{00000000-0005-0000-0000-00001B1F0000}"/>
    <cellStyle name="SAPBEXHLevel3X 17 2" xfId="6729" xr:uid="{00000000-0005-0000-0000-00001C1F0000}"/>
    <cellStyle name="SAPBEXHLevel3X 18" xfId="6730" xr:uid="{00000000-0005-0000-0000-00001D1F0000}"/>
    <cellStyle name="SAPBEXHLevel3X 18 2" xfId="6731" xr:uid="{00000000-0005-0000-0000-00001E1F0000}"/>
    <cellStyle name="SAPBEXHLevel3X 19" xfId="6732" xr:uid="{00000000-0005-0000-0000-00001F1F0000}"/>
    <cellStyle name="SAPBEXHLevel3X 19 2" xfId="6733" xr:uid="{00000000-0005-0000-0000-0000201F0000}"/>
    <cellStyle name="SAPBEXHLevel3X 2" xfId="6734" xr:uid="{00000000-0005-0000-0000-0000211F0000}"/>
    <cellStyle name="SAPBEXHLevel3X 2 2" xfId="6735" xr:uid="{00000000-0005-0000-0000-0000221F0000}"/>
    <cellStyle name="SAPBEXHLevel3X 2 3" xfId="6736" xr:uid="{00000000-0005-0000-0000-0000231F0000}"/>
    <cellStyle name="SAPBEXHLevel3X 2 4" xfId="6737" xr:uid="{00000000-0005-0000-0000-0000241F0000}"/>
    <cellStyle name="SAPBEXHLevel3X 2 5" xfId="6738" xr:uid="{00000000-0005-0000-0000-0000251F0000}"/>
    <cellStyle name="SAPBEXHLevel3X 2 6" xfId="6739" xr:uid="{00000000-0005-0000-0000-0000261F0000}"/>
    <cellStyle name="SAPBEXHLevel3X 2 7" xfId="6740" xr:uid="{00000000-0005-0000-0000-0000271F0000}"/>
    <cellStyle name="SAPBEXHLevel3X 2 8" xfId="6741" xr:uid="{00000000-0005-0000-0000-0000281F0000}"/>
    <cellStyle name="SAPBEXHLevel3X 2 9" xfId="6742" xr:uid="{00000000-0005-0000-0000-0000291F0000}"/>
    <cellStyle name="SAPBEXHLevel3X 20" xfId="6743" xr:uid="{00000000-0005-0000-0000-00002A1F0000}"/>
    <cellStyle name="SAPBEXHLevel3X 20 2" xfId="6744" xr:uid="{00000000-0005-0000-0000-00002B1F0000}"/>
    <cellStyle name="SAPBEXHLevel3X 21" xfId="6745" xr:uid="{00000000-0005-0000-0000-00002C1F0000}"/>
    <cellStyle name="SAPBEXHLevel3X 22" xfId="6746" xr:uid="{00000000-0005-0000-0000-00002D1F0000}"/>
    <cellStyle name="SAPBEXHLevel3X 23" xfId="6747" xr:uid="{00000000-0005-0000-0000-00002E1F0000}"/>
    <cellStyle name="SAPBEXHLevel3X 24" xfId="6748" xr:uid="{00000000-0005-0000-0000-00002F1F0000}"/>
    <cellStyle name="SAPBEXHLevel3X 25" xfId="6749" xr:uid="{00000000-0005-0000-0000-0000301F0000}"/>
    <cellStyle name="SAPBEXHLevel3X 26" xfId="6750" xr:uid="{00000000-0005-0000-0000-0000311F0000}"/>
    <cellStyle name="SAPBEXHLevel3X 27" xfId="6751" xr:uid="{00000000-0005-0000-0000-0000321F0000}"/>
    <cellStyle name="SAPBEXHLevel3X 28" xfId="6752" xr:uid="{00000000-0005-0000-0000-0000331F0000}"/>
    <cellStyle name="SAPBEXHLevel3X 29" xfId="6753" xr:uid="{00000000-0005-0000-0000-0000341F0000}"/>
    <cellStyle name="SAPBEXHLevel3X 3" xfId="6754" xr:uid="{00000000-0005-0000-0000-0000351F0000}"/>
    <cellStyle name="SAPBEXHLevel3X 3 2" xfId="6755" xr:uid="{00000000-0005-0000-0000-0000361F0000}"/>
    <cellStyle name="SAPBEXHLevel3X 3 3" xfId="6756" xr:uid="{00000000-0005-0000-0000-0000371F0000}"/>
    <cellStyle name="SAPBEXHLevel3X 3 4" xfId="6757" xr:uid="{00000000-0005-0000-0000-0000381F0000}"/>
    <cellStyle name="SAPBEXHLevel3X 3 5" xfId="6758" xr:uid="{00000000-0005-0000-0000-0000391F0000}"/>
    <cellStyle name="SAPBEXHLevel3X 3 6" xfId="6759" xr:uid="{00000000-0005-0000-0000-00003A1F0000}"/>
    <cellStyle name="SAPBEXHLevel3X 3 7" xfId="6760" xr:uid="{00000000-0005-0000-0000-00003B1F0000}"/>
    <cellStyle name="SAPBEXHLevel3X 3 8" xfId="6761" xr:uid="{00000000-0005-0000-0000-00003C1F0000}"/>
    <cellStyle name="SAPBEXHLevel3X 3 9" xfId="6762" xr:uid="{00000000-0005-0000-0000-00003D1F0000}"/>
    <cellStyle name="SAPBEXHLevel3X 30" xfId="6763" xr:uid="{00000000-0005-0000-0000-00003E1F0000}"/>
    <cellStyle name="SAPBEXHLevel3X 31" xfId="6764" xr:uid="{00000000-0005-0000-0000-00003F1F0000}"/>
    <cellStyle name="SAPBEXHLevel3X 32" xfId="6765" xr:uid="{00000000-0005-0000-0000-0000401F0000}"/>
    <cellStyle name="SAPBEXHLevel3X 33" xfId="6766" xr:uid="{00000000-0005-0000-0000-0000411F0000}"/>
    <cellStyle name="SAPBEXHLevel3X 34" xfId="6767" xr:uid="{00000000-0005-0000-0000-0000421F0000}"/>
    <cellStyle name="SAPBEXHLevel3X 35" xfId="6768" xr:uid="{00000000-0005-0000-0000-0000431F0000}"/>
    <cellStyle name="SAPBEXHLevel3X 36" xfId="6769" xr:uid="{00000000-0005-0000-0000-0000441F0000}"/>
    <cellStyle name="SAPBEXHLevel3X 37" xfId="6770" xr:uid="{00000000-0005-0000-0000-0000451F0000}"/>
    <cellStyle name="SAPBEXHLevel3X 38" xfId="6771" xr:uid="{00000000-0005-0000-0000-0000461F0000}"/>
    <cellStyle name="SAPBEXHLevel3X 39" xfId="6772" xr:uid="{00000000-0005-0000-0000-0000471F0000}"/>
    <cellStyle name="SAPBEXHLevel3X 4" xfId="6773" xr:uid="{00000000-0005-0000-0000-0000481F0000}"/>
    <cellStyle name="SAPBEXHLevel3X 4 2" xfId="6774" xr:uid="{00000000-0005-0000-0000-0000491F0000}"/>
    <cellStyle name="SAPBEXHLevel3X 4 3" xfId="6775" xr:uid="{00000000-0005-0000-0000-00004A1F0000}"/>
    <cellStyle name="SAPBEXHLevel3X 4 4" xfId="6776" xr:uid="{00000000-0005-0000-0000-00004B1F0000}"/>
    <cellStyle name="SAPBEXHLevel3X 4 5" xfId="6777" xr:uid="{00000000-0005-0000-0000-00004C1F0000}"/>
    <cellStyle name="SAPBEXHLevel3X 4 6" xfId="6778" xr:uid="{00000000-0005-0000-0000-00004D1F0000}"/>
    <cellStyle name="SAPBEXHLevel3X 4 7" xfId="6779" xr:uid="{00000000-0005-0000-0000-00004E1F0000}"/>
    <cellStyle name="SAPBEXHLevel3X 4 8" xfId="6780" xr:uid="{00000000-0005-0000-0000-00004F1F0000}"/>
    <cellStyle name="SAPBEXHLevel3X 4 9" xfId="6781" xr:uid="{00000000-0005-0000-0000-0000501F0000}"/>
    <cellStyle name="SAPBEXHLevel3X 40" xfId="6782" xr:uid="{00000000-0005-0000-0000-0000511F0000}"/>
    <cellStyle name="SAPBEXHLevel3X 41" xfId="6783" xr:uid="{00000000-0005-0000-0000-0000521F0000}"/>
    <cellStyle name="SAPBEXHLevel3X 42" xfId="6784" xr:uid="{00000000-0005-0000-0000-0000531F0000}"/>
    <cellStyle name="SAPBEXHLevel3X 43" xfId="6785" xr:uid="{00000000-0005-0000-0000-0000541F0000}"/>
    <cellStyle name="SAPBEXHLevel3X 44" xfId="6786" xr:uid="{00000000-0005-0000-0000-0000551F0000}"/>
    <cellStyle name="SAPBEXHLevel3X 45" xfId="6787" xr:uid="{00000000-0005-0000-0000-0000561F0000}"/>
    <cellStyle name="SAPBEXHLevel3X 46" xfId="6788" xr:uid="{00000000-0005-0000-0000-0000571F0000}"/>
    <cellStyle name="SAPBEXHLevel3X 5" xfId="6789" xr:uid="{00000000-0005-0000-0000-0000581F0000}"/>
    <cellStyle name="SAPBEXHLevel3X 5 2" xfId="6790" xr:uid="{00000000-0005-0000-0000-0000591F0000}"/>
    <cellStyle name="SAPBEXHLevel3X 5 3" xfId="6791" xr:uid="{00000000-0005-0000-0000-00005A1F0000}"/>
    <cellStyle name="SAPBEXHLevel3X 5 4" xfId="6792" xr:uid="{00000000-0005-0000-0000-00005B1F0000}"/>
    <cellStyle name="SAPBEXHLevel3X 5 5" xfId="6793" xr:uid="{00000000-0005-0000-0000-00005C1F0000}"/>
    <cellStyle name="SAPBEXHLevel3X 5 6" xfId="6794" xr:uid="{00000000-0005-0000-0000-00005D1F0000}"/>
    <cellStyle name="SAPBEXHLevel3X 5 7" xfId="6795" xr:uid="{00000000-0005-0000-0000-00005E1F0000}"/>
    <cellStyle name="SAPBEXHLevel3X 5 8" xfId="6796" xr:uid="{00000000-0005-0000-0000-00005F1F0000}"/>
    <cellStyle name="SAPBEXHLevel3X 5 9" xfId="6797" xr:uid="{00000000-0005-0000-0000-0000601F0000}"/>
    <cellStyle name="SAPBEXHLevel3X 6" xfId="6798" xr:uid="{00000000-0005-0000-0000-0000611F0000}"/>
    <cellStyle name="SAPBEXHLevel3X 6 2" xfId="6799" xr:uid="{00000000-0005-0000-0000-0000621F0000}"/>
    <cellStyle name="SAPBEXHLevel3X 6 3" xfId="6800" xr:uid="{00000000-0005-0000-0000-0000631F0000}"/>
    <cellStyle name="SAPBEXHLevel3X 6 4" xfId="6801" xr:uid="{00000000-0005-0000-0000-0000641F0000}"/>
    <cellStyle name="SAPBEXHLevel3X 6 5" xfId="6802" xr:uid="{00000000-0005-0000-0000-0000651F0000}"/>
    <cellStyle name="SAPBEXHLevel3X 6 6" xfId="6803" xr:uid="{00000000-0005-0000-0000-0000661F0000}"/>
    <cellStyle name="SAPBEXHLevel3X 6 7" xfId="6804" xr:uid="{00000000-0005-0000-0000-0000671F0000}"/>
    <cellStyle name="SAPBEXHLevel3X 6 8" xfId="6805" xr:uid="{00000000-0005-0000-0000-0000681F0000}"/>
    <cellStyle name="SAPBEXHLevel3X 6 9" xfId="6806" xr:uid="{00000000-0005-0000-0000-0000691F0000}"/>
    <cellStyle name="SAPBEXHLevel3X 7" xfId="6807" xr:uid="{00000000-0005-0000-0000-00006A1F0000}"/>
    <cellStyle name="SAPBEXHLevel3X 7 2" xfId="6808" xr:uid="{00000000-0005-0000-0000-00006B1F0000}"/>
    <cellStyle name="SAPBEXHLevel3X 7 3" xfId="6809" xr:uid="{00000000-0005-0000-0000-00006C1F0000}"/>
    <cellStyle name="SAPBEXHLevel3X 7 4" xfId="6810" xr:uid="{00000000-0005-0000-0000-00006D1F0000}"/>
    <cellStyle name="SAPBEXHLevel3X 7 5" xfId="6811" xr:uid="{00000000-0005-0000-0000-00006E1F0000}"/>
    <cellStyle name="SAPBEXHLevel3X 7 6" xfId="6812" xr:uid="{00000000-0005-0000-0000-00006F1F0000}"/>
    <cellStyle name="SAPBEXHLevel3X 7 7" xfId="6813" xr:uid="{00000000-0005-0000-0000-0000701F0000}"/>
    <cellStyle name="SAPBEXHLevel3X 7 8" xfId="6814" xr:uid="{00000000-0005-0000-0000-0000711F0000}"/>
    <cellStyle name="SAPBEXHLevel3X 7 9" xfId="6815" xr:uid="{00000000-0005-0000-0000-0000721F0000}"/>
    <cellStyle name="SAPBEXHLevel3X 8" xfId="6816" xr:uid="{00000000-0005-0000-0000-0000731F0000}"/>
    <cellStyle name="SAPBEXHLevel3X 8 2" xfId="6817" xr:uid="{00000000-0005-0000-0000-0000741F0000}"/>
    <cellStyle name="SAPBEXHLevel3X 8 3" xfId="6818" xr:uid="{00000000-0005-0000-0000-0000751F0000}"/>
    <cellStyle name="SAPBEXHLevel3X 8 4" xfId="6819" xr:uid="{00000000-0005-0000-0000-0000761F0000}"/>
    <cellStyle name="SAPBEXHLevel3X 8 5" xfId="6820" xr:uid="{00000000-0005-0000-0000-0000771F0000}"/>
    <cellStyle name="SAPBEXHLevel3X 8 6" xfId="6821" xr:uid="{00000000-0005-0000-0000-0000781F0000}"/>
    <cellStyle name="SAPBEXHLevel3X 8 7" xfId="6822" xr:uid="{00000000-0005-0000-0000-0000791F0000}"/>
    <cellStyle name="SAPBEXHLevel3X 8 8" xfId="6823" xr:uid="{00000000-0005-0000-0000-00007A1F0000}"/>
    <cellStyle name="SAPBEXHLevel3X 8 9" xfId="6824" xr:uid="{00000000-0005-0000-0000-00007B1F0000}"/>
    <cellStyle name="SAPBEXHLevel3X 9" xfId="6825" xr:uid="{00000000-0005-0000-0000-00007C1F0000}"/>
    <cellStyle name="SAPBEXHLevel3X 9 2" xfId="6826" xr:uid="{00000000-0005-0000-0000-00007D1F0000}"/>
    <cellStyle name="SAPBEXHLevel3X 9 3" xfId="6827" xr:uid="{00000000-0005-0000-0000-00007E1F0000}"/>
    <cellStyle name="SAPBEXHLevel3X 9 4" xfId="6828" xr:uid="{00000000-0005-0000-0000-00007F1F0000}"/>
    <cellStyle name="SAPBEXHLevel3X 9 5" xfId="6829" xr:uid="{00000000-0005-0000-0000-0000801F0000}"/>
    <cellStyle name="SAPBEXHLevel3X 9 6" xfId="6830" xr:uid="{00000000-0005-0000-0000-0000811F0000}"/>
    <cellStyle name="SAPBEXHLevel3X 9 7" xfId="6831" xr:uid="{00000000-0005-0000-0000-0000821F0000}"/>
    <cellStyle name="SAPBEXHLevel3X 9 8" xfId="6832" xr:uid="{00000000-0005-0000-0000-0000831F0000}"/>
    <cellStyle name="SAPBEXHLevel3X 9 9" xfId="6833" xr:uid="{00000000-0005-0000-0000-0000841F0000}"/>
    <cellStyle name="SAPBEXHLevel3X_(A-7) IS-Inputs" xfId="6834" xr:uid="{00000000-0005-0000-0000-0000851F0000}"/>
    <cellStyle name="SAPBEXinputData" xfId="6835" xr:uid="{00000000-0005-0000-0000-0000861F0000}"/>
    <cellStyle name="SAPBEXinputData 10" xfId="6836" xr:uid="{00000000-0005-0000-0000-0000871F0000}"/>
    <cellStyle name="SAPBEXinputData 10 2" xfId="6837" xr:uid="{00000000-0005-0000-0000-0000881F0000}"/>
    <cellStyle name="SAPBEXinputData 10 3" xfId="6838" xr:uid="{00000000-0005-0000-0000-0000891F0000}"/>
    <cellStyle name="SAPBEXinputData 10 4" xfId="6839" xr:uid="{00000000-0005-0000-0000-00008A1F0000}"/>
    <cellStyle name="SAPBEXinputData 10 5" xfId="6840" xr:uid="{00000000-0005-0000-0000-00008B1F0000}"/>
    <cellStyle name="SAPBEXinputData 10 6" xfId="6841" xr:uid="{00000000-0005-0000-0000-00008C1F0000}"/>
    <cellStyle name="SAPBEXinputData 10 7" xfId="6842" xr:uid="{00000000-0005-0000-0000-00008D1F0000}"/>
    <cellStyle name="SAPBEXinputData 10 8" xfId="6843" xr:uid="{00000000-0005-0000-0000-00008E1F0000}"/>
    <cellStyle name="SAPBEXinputData 10 9" xfId="6844" xr:uid="{00000000-0005-0000-0000-00008F1F0000}"/>
    <cellStyle name="SAPBEXinputData 11" xfId="6845" xr:uid="{00000000-0005-0000-0000-0000901F0000}"/>
    <cellStyle name="SAPBEXinputData 11 2" xfId="6846" xr:uid="{00000000-0005-0000-0000-0000911F0000}"/>
    <cellStyle name="SAPBEXinputData 12" xfId="6847" xr:uid="{00000000-0005-0000-0000-0000921F0000}"/>
    <cellStyle name="SAPBEXinputData 12 2" xfId="6848" xr:uid="{00000000-0005-0000-0000-0000931F0000}"/>
    <cellStyle name="SAPBEXinputData 12 3" xfId="6849" xr:uid="{00000000-0005-0000-0000-0000941F0000}"/>
    <cellStyle name="SAPBEXinputData 12 4" xfId="6850" xr:uid="{00000000-0005-0000-0000-0000951F0000}"/>
    <cellStyle name="SAPBEXinputData 12 5" xfId="6851" xr:uid="{00000000-0005-0000-0000-0000961F0000}"/>
    <cellStyle name="SAPBEXinputData 12 6" xfId="6852" xr:uid="{00000000-0005-0000-0000-0000971F0000}"/>
    <cellStyle name="SAPBEXinputData 12 7" xfId="6853" xr:uid="{00000000-0005-0000-0000-0000981F0000}"/>
    <cellStyle name="SAPBEXinputData 12 8" xfId="6854" xr:uid="{00000000-0005-0000-0000-0000991F0000}"/>
    <cellStyle name="SAPBEXinputData 13" xfId="6855" xr:uid="{00000000-0005-0000-0000-00009A1F0000}"/>
    <cellStyle name="SAPBEXinputData 13 2" xfId="6856" xr:uid="{00000000-0005-0000-0000-00009B1F0000}"/>
    <cellStyle name="SAPBEXinputData 13 3" xfId="6857" xr:uid="{00000000-0005-0000-0000-00009C1F0000}"/>
    <cellStyle name="SAPBEXinputData 13 4" xfId="6858" xr:uid="{00000000-0005-0000-0000-00009D1F0000}"/>
    <cellStyle name="SAPBEXinputData 13 5" xfId="6859" xr:uid="{00000000-0005-0000-0000-00009E1F0000}"/>
    <cellStyle name="SAPBEXinputData 13 6" xfId="6860" xr:uid="{00000000-0005-0000-0000-00009F1F0000}"/>
    <cellStyle name="SAPBEXinputData 13 7" xfId="6861" xr:uid="{00000000-0005-0000-0000-0000A01F0000}"/>
    <cellStyle name="SAPBEXinputData 13 8" xfId="6862" xr:uid="{00000000-0005-0000-0000-0000A11F0000}"/>
    <cellStyle name="SAPBEXinputData 14" xfId="6863" xr:uid="{00000000-0005-0000-0000-0000A21F0000}"/>
    <cellStyle name="SAPBEXinputData 14 2" xfId="6864" xr:uid="{00000000-0005-0000-0000-0000A31F0000}"/>
    <cellStyle name="SAPBEXinputData 15" xfId="6865" xr:uid="{00000000-0005-0000-0000-0000A41F0000}"/>
    <cellStyle name="SAPBEXinputData 15 2" xfId="6866" xr:uid="{00000000-0005-0000-0000-0000A51F0000}"/>
    <cellStyle name="SAPBEXinputData 16" xfId="6867" xr:uid="{00000000-0005-0000-0000-0000A61F0000}"/>
    <cellStyle name="SAPBEXinputData 16 2" xfId="6868" xr:uid="{00000000-0005-0000-0000-0000A71F0000}"/>
    <cellStyle name="SAPBEXinputData 17" xfId="6869" xr:uid="{00000000-0005-0000-0000-0000A81F0000}"/>
    <cellStyle name="SAPBEXinputData 17 2" xfId="6870" xr:uid="{00000000-0005-0000-0000-0000A91F0000}"/>
    <cellStyle name="SAPBEXinputData 18" xfId="6871" xr:uid="{00000000-0005-0000-0000-0000AA1F0000}"/>
    <cellStyle name="SAPBEXinputData 18 2" xfId="6872" xr:uid="{00000000-0005-0000-0000-0000AB1F0000}"/>
    <cellStyle name="SAPBEXinputData 19" xfId="6873" xr:uid="{00000000-0005-0000-0000-0000AC1F0000}"/>
    <cellStyle name="SAPBEXinputData 19 2" xfId="6874" xr:uid="{00000000-0005-0000-0000-0000AD1F0000}"/>
    <cellStyle name="SAPBEXinputData 2" xfId="6875" xr:uid="{00000000-0005-0000-0000-0000AE1F0000}"/>
    <cellStyle name="SAPBEXinputData 2 10" xfId="6876" xr:uid="{00000000-0005-0000-0000-0000AF1F0000}"/>
    <cellStyle name="SAPBEXinputData 2 2" xfId="6877" xr:uid="{00000000-0005-0000-0000-0000B01F0000}"/>
    <cellStyle name="SAPBEXinputData 2 3" xfId="6878" xr:uid="{00000000-0005-0000-0000-0000B11F0000}"/>
    <cellStyle name="SAPBEXinputData 2 4" xfId="6879" xr:uid="{00000000-0005-0000-0000-0000B21F0000}"/>
    <cellStyle name="SAPBEXinputData 2 5" xfId="6880" xr:uid="{00000000-0005-0000-0000-0000B31F0000}"/>
    <cellStyle name="SAPBEXinputData 2 6" xfId="6881" xr:uid="{00000000-0005-0000-0000-0000B41F0000}"/>
    <cellStyle name="SAPBEXinputData 2 7" xfId="6882" xr:uid="{00000000-0005-0000-0000-0000B51F0000}"/>
    <cellStyle name="SAPBEXinputData 2 8" xfId="6883" xr:uid="{00000000-0005-0000-0000-0000B61F0000}"/>
    <cellStyle name="SAPBEXinputData 2 9" xfId="6884" xr:uid="{00000000-0005-0000-0000-0000B71F0000}"/>
    <cellStyle name="SAPBEXinputData 20" xfId="6885" xr:uid="{00000000-0005-0000-0000-0000B81F0000}"/>
    <cellStyle name="SAPBEXinputData 20 2" xfId="6886" xr:uid="{00000000-0005-0000-0000-0000B91F0000}"/>
    <cellStyle name="SAPBEXinputData 21" xfId="6887" xr:uid="{00000000-0005-0000-0000-0000BA1F0000}"/>
    <cellStyle name="SAPBEXinputData 22" xfId="6888" xr:uid="{00000000-0005-0000-0000-0000BB1F0000}"/>
    <cellStyle name="SAPBEXinputData 23" xfId="6889" xr:uid="{00000000-0005-0000-0000-0000BC1F0000}"/>
    <cellStyle name="SAPBEXinputData 24" xfId="6890" xr:uid="{00000000-0005-0000-0000-0000BD1F0000}"/>
    <cellStyle name="SAPBEXinputData 25" xfId="6891" xr:uid="{00000000-0005-0000-0000-0000BE1F0000}"/>
    <cellStyle name="SAPBEXinputData 26" xfId="6892" xr:uid="{00000000-0005-0000-0000-0000BF1F0000}"/>
    <cellStyle name="SAPBEXinputData 27" xfId="6893" xr:uid="{00000000-0005-0000-0000-0000C01F0000}"/>
    <cellStyle name="SAPBEXinputData 28" xfId="6894" xr:uid="{00000000-0005-0000-0000-0000C11F0000}"/>
    <cellStyle name="SAPBEXinputData 29" xfId="6895" xr:uid="{00000000-0005-0000-0000-0000C21F0000}"/>
    <cellStyle name="SAPBEXinputData 3" xfId="6896" xr:uid="{00000000-0005-0000-0000-0000C31F0000}"/>
    <cellStyle name="SAPBEXinputData 3 2" xfId="6897" xr:uid="{00000000-0005-0000-0000-0000C41F0000}"/>
    <cellStyle name="SAPBEXinputData 3 3" xfId="6898" xr:uid="{00000000-0005-0000-0000-0000C51F0000}"/>
    <cellStyle name="SAPBEXinputData 3 4" xfId="6899" xr:uid="{00000000-0005-0000-0000-0000C61F0000}"/>
    <cellStyle name="SAPBEXinputData 3 5" xfId="6900" xr:uid="{00000000-0005-0000-0000-0000C71F0000}"/>
    <cellStyle name="SAPBEXinputData 3 6" xfId="6901" xr:uid="{00000000-0005-0000-0000-0000C81F0000}"/>
    <cellStyle name="SAPBEXinputData 3 7" xfId="6902" xr:uid="{00000000-0005-0000-0000-0000C91F0000}"/>
    <cellStyle name="SAPBEXinputData 3 8" xfId="6903" xr:uid="{00000000-0005-0000-0000-0000CA1F0000}"/>
    <cellStyle name="SAPBEXinputData 3 9" xfId="6904" xr:uid="{00000000-0005-0000-0000-0000CB1F0000}"/>
    <cellStyle name="SAPBEXinputData 30" xfId="6905" xr:uid="{00000000-0005-0000-0000-0000CC1F0000}"/>
    <cellStyle name="SAPBEXinputData 31" xfId="6906" xr:uid="{00000000-0005-0000-0000-0000CD1F0000}"/>
    <cellStyle name="SAPBEXinputData 32" xfId="6907" xr:uid="{00000000-0005-0000-0000-0000CE1F0000}"/>
    <cellStyle name="SAPBEXinputData 33" xfId="6908" xr:uid="{00000000-0005-0000-0000-0000CF1F0000}"/>
    <cellStyle name="SAPBEXinputData 34" xfId="6909" xr:uid="{00000000-0005-0000-0000-0000D01F0000}"/>
    <cellStyle name="SAPBEXinputData 35" xfId="6910" xr:uid="{00000000-0005-0000-0000-0000D11F0000}"/>
    <cellStyle name="SAPBEXinputData 36" xfId="6911" xr:uid="{00000000-0005-0000-0000-0000D21F0000}"/>
    <cellStyle name="SAPBEXinputData 37" xfId="6912" xr:uid="{00000000-0005-0000-0000-0000D31F0000}"/>
    <cellStyle name="SAPBEXinputData 38" xfId="6913" xr:uid="{00000000-0005-0000-0000-0000D41F0000}"/>
    <cellStyle name="SAPBEXinputData 39" xfId="6914" xr:uid="{00000000-0005-0000-0000-0000D51F0000}"/>
    <cellStyle name="SAPBEXinputData 4" xfId="6915" xr:uid="{00000000-0005-0000-0000-0000D61F0000}"/>
    <cellStyle name="SAPBEXinputData 4 2" xfId="6916" xr:uid="{00000000-0005-0000-0000-0000D71F0000}"/>
    <cellStyle name="SAPBEXinputData 4 3" xfId="6917" xr:uid="{00000000-0005-0000-0000-0000D81F0000}"/>
    <cellStyle name="SAPBEXinputData 4 4" xfId="6918" xr:uid="{00000000-0005-0000-0000-0000D91F0000}"/>
    <cellStyle name="SAPBEXinputData 4 5" xfId="6919" xr:uid="{00000000-0005-0000-0000-0000DA1F0000}"/>
    <cellStyle name="SAPBEXinputData 4 6" xfId="6920" xr:uid="{00000000-0005-0000-0000-0000DB1F0000}"/>
    <cellStyle name="SAPBEXinputData 4 7" xfId="6921" xr:uid="{00000000-0005-0000-0000-0000DC1F0000}"/>
    <cellStyle name="SAPBEXinputData 4 8" xfId="6922" xr:uid="{00000000-0005-0000-0000-0000DD1F0000}"/>
    <cellStyle name="SAPBEXinputData 4 9" xfId="6923" xr:uid="{00000000-0005-0000-0000-0000DE1F0000}"/>
    <cellStyle name="SAPBEXinputData 40" xfId="6924" xr:uid="{00000000-0005-0000-0000-0000DF1F0000}"/>
    <cellStyle name="SAPBEXinputData 41" xfId="6925" xr:uid="{00000000-0005-0000-0000-0000E01F0000}"/>
    <cellStyle name="SAPBEXinputData 42" xfId="6926" xr:uid="{00000000-0005-0000-0000-0000E11F0000}"/>
    <cellStyle name="SAPBEXinputData 43" xfId="6927" xr:uid="{00000000-0005-0000-0000-0000E21F0000}"/>
    <cellStyle name="SAPBEXinputData 44" xfId="6928" xr:uid="{00000000-0005-0000-0000-0000E31F0000}"/>
    <cellStyle name="SAPBEXinputData 45" xfId="6929" xr:uid="{00000000-0005-0000-0000-0000E41F0000}"/>
    <cellStyle name="SAPBEXinputData 46" xfId="6930" xr:uid="{00000000-0005-0000-0000-0000E51F0000}"/>
    <cellStyle name="SAPBEXinputData 47" xfId="6931" xr:uid="{00000000-0005-0000-0000-0000E61F0000}"/>
    <cellStyle name="SAPBEXinputData 5" xfId="6932" xr:uid="{00000000-0005-0000-0000-0000E71F0000}"/>
    <cellStyle name="SAPBEXinputData 5 2" xfId="6933" xr:uid="{00000000-0005-0000-0000-0000E81F0000}"/>
    <cellStyle name="SAPBEXinputData 5 3" xfId="6934" xr:uid="{00000000-0005-0000-0000-0000E91F0000}"/>
    <cellStyle name="SAPBEXinputData 5 4" xfId="6935" xr:uid="{00000000-0005-0000-0000-0000EA1F0000}"/>
    <cellStyle name="SAPBEXinputData 5 5" xfId="6936" xr:uid="{00000000-0005-0000-0000-0000EB1F0000}"/>
    <cellStyle name="SAPBEXinputData 5 6" xfId="6937" xr:uid="{00000000-0005-0000-0000-0000EC1F0000}"/>
    <cellStyle name="SAPBEXinputData 5 7" xfId="6938" xr:uid="{00000000-0005-0000-0000-0000ED1F0000}"/>
    <cellStyle name="SAPBEXinputData 5 8" xfId="6939" xr:uid="{00000000-0005-0000-0000-0000EE1F0000}"/>
    <cellStyle name="SAPBEXinputData 5 9" xfId="6940" xr:uid="{00000000-0005-0000-0000-0000EF1F0000}"/>
    <cellStyle name="SAPBEXinputData 6" xfId="6941" xr:uid="{00000000-0005-0000-0000-0000F01F0000}"/>
    <cellStyle name="SAPBEXinputData 6 2" xfId="6942" xr:uid="{00000000-0005-0000-0000-0000F11F0000}"/>
    <cellStyle name="SAPBEXinputData 6 3" xfId="6943" xr:uid="{00000000-0005-0000-0000-0000F21F0000}"/>
    <cellStyle name="SAPBEXinputData 6 4" xfId="6944" xr:uid="{00000000-0005-0000-0000-0000F31F0000}"/>
    <cellStyle name="SAPBEXinputData 6 5" xfId="6945" xr:uid="{00000000-0005-0000-0000-0000F41F0000}"/>
    <cellStyle name="SAPBEXinputData 6 6" xfId="6946" xr:uid="{00000000-0005-0000-0000-0000F51F0000}"/>
    <cellStyle name="SAPBEXinputData 6 7" xfId="6947" xr:uid="{00000000-0005-0000-0000-0000F61F0000}"/>
    <cellStyle name="SAPBEXinputData 6 8" xfId="6948" xr:uid="{00000000-0005-0000-0000-0000F71F0000}"/>
    <cellStyle name="SAPBEXinputData 6 9" xfId="6949" xr:uid="{00000000-0005-0000-0000-0000F81F0000}"/>
    <cellStyle name="SAPBEXinputData 7" xfId="6950" xr:uid="{00000000-0005-0000-0000-0000F91F0000}"/>
    <cellStyle name="SAPBEXinputData 7 2" xfId="6951" xr:uid="{00000000-0005-0000-0000-0000FA1F0000}"/>
    <cellStyle name="SAPBEXinputData 7 3" xfId="6952" xr:uid="{00000000-0005-0000-0000-0000FB1F0000}"/>
    <cellStyle name="SAPBEXinputData 7 4" xfId="6953" xr:uid="{00000000-0005-0000-0000-0000FC1F0000}"/>
    <cellStyle name="SAPBEXinputData 7 5" xfId="6954" xr:uid="{00000000-0005-0000-0000-0000FD1F0000}"/>
    <cellStyle name="SAPBEXinputData 7 6" xfId="6955" xr:uid="{00000000-0005-0000-0000-0000FE1F0000}"/>
    <cellStyle name="SAPBEXinputData 7 7" xfId="6956" xr:uid="{00000000-0005-0000-0000-0000FF1F0000}"/>
    <cellStyle name="SAPBEXinputData 7 8" xfId="6957" xr:uid="{00000000-0005-0000-0000-000000200000}"/>
    <cellStyle name="SAPBEXinputData 7 9" xfId="6958" xr:uid="{00000000-0005-0000-0000-000001200000}"/>
    <cellStyle name="SAPBEXinputData 8" xfId="6959" xr:uid="{00000000-0005-0000-0000-000002200000}"/>
    <cellStyle name="SAPBEXinputData 8 2" xfId="6960" xr:uid="{00000000-0005-0000-0000-000003200000}"/>
    <cellStyle name="SAPBEXinputData 8 3" xfId="6961" xr:uid="{00000000-0005-0000-0000-000004200000}"/>
    <cellStyle name="SAPBEXinputData 8 4" xfId="6962" xr:uid="{00000000-0005-0000-0000-000005200000}"/>
    <cellStyle name="SAPBEXinputData 8 5" xfId="6963" xr:uid="{00000000-0005-0000-0000-000006200000}"/>
    <cellStyle name="SAPBEXinputData 8 6" xfId="6964" xr:uid="{00000000-0005-0000-0000-000007200000}"/>
    <cellStyle name="SAPBEXinputData 8 7" xfId="6965" xr:uid="{00000000-0005-0000-0000-000008200000}"/>
    <cellStyle name="SAPBEXinputData 8 8" xfId="6966" xr:uid="{00000000-0005-0000-0000-000009200000}"/>
    <cellStyle name="SAPBEXinputData 8 9" xfId="6967" xr:uid="{00000000-0005-0000-0000-00000A200000}"/>
    <cellStyle name="SAPBEXinputData 9" xfId="6968" xr:uid="{00000000-0005-0000-0000-00000B200000}"/>
    <cellStyle name="SAPBEXinputData 9 2" xfId="6969" xr:uid="{00000000-0005-0000-0000-00000C200000}"/>
    <cellStyle name="SAPBEXinputData 9 3" xfId="6970" xr:uid="{00000000-0005-0000-0000-00000D200000}"/>
    <cellStyle name="SAPBEXinputData 9 4" xfId="6971" xr:uid="{00000000-0005-0000-0000-00000E200000}"/>
    <cellStyle name="SAPBEXinputData 9 5" xfId="6972" xr:uid="{00000000-0005-0000-0000-00000F200000}"/>
    <cellStyle name="SAPBEXinputData 9 6" xfId="6973" xr:uid="{00000000-0005-0000-0000-000010200000}"/>
    <cellStyle name="SAPBEXinputData 9 7" xfId="6974" xr:uid="{00000000-0005-0000-0000-000011200000}"/>
    <cellStyle name="SAPBEXinputData 9 8" xfId="6975" xr:uid="{00000000-0005-0000-0000-000012200000}"/>
    <cellStyle name="SAPBEXinputData 9 9" xfId="6976" xr:uid="{00000000-0005-0000-0000-000013200000}"/>
    <cellStyle name="SAPBEXinputData_(A-7) IS-Inputs" xfId="6977" xr:uid="{00000000-0005-0000-0000-000014200000}"/>
    <cellStyle name="SAPBEXItemHeader" xfId="6978" xr:uid="{00000000-0005-0000-0000-000015200000}"/>
    <cellStyle name="SAPBEXItemHeader 2" xfId="6979" xr:uid="{00000000-0005-0000-0000-000016200000}"/>
    <cellStyle name="SAPBEXItemHeader 2 2" xfId="6980" xr:uid="{00000000-0005-0000-0000-000017200000}"/>
    <cellStyle name="SAPBEXresData" xfId="6981" xr:uid="{00000000-0005-0000-0000-000018200000}"/>
    <cellStyle name="SAPBEXresData 10" xfId="6982" xr:uid="{00000000-0005-0000-0000-000019200000}"/>
    <cellStyle name="SAPBEXresData 11" xfId="6983" xr:uid="{00000000-0005-0000-0000-00001A200000}"/>
    <cellStyle name="SAPBEXresData 12" xfId="6984" xr:uid="{00000000-0005-0000-0000-00001B200000}"/>
    <cellStyle name="SAPBEXresData 13" xfId="6985" xr:uid="{00000000-0005-0000-0000-00001C200000}"/>
    <cellStyle name="SAPBEXresData 14" xfId="6986" xr:uid="{00000000-0005-0000-0000-00001D200000}"/>
    <cellStyle name="SAPBEXresData 15" xfId="6987" xr:uid="{00000000-0005-0000-0000-00001E200000}"/>
    <cellStyle name="SAPBEXresData 16" xfId="6988" xr:uid="{00000000-0005-0000-0000-00001F200000}"/>
    <cellStyle name="SAPBEXresData 17" xfId="6989" xr:uid="{00000000-0005-0000-0000-000020200000}"/>
    <cellStyle name="SAPBEXresData 18" xfId="6990" xr:uid="{00000000-0005-0000-0000-000021200000}"/>
    <cellStyle name="SAPBEXresData 19" xfId="6991" xr:uid="{00000000-0005-0000-0000-000022200000}"/>
    <cellStyle name="SAPBEXresData 2" xfId="6992" xr:uid="{00000000-0005-0000-0000-000023200000}"/>
    <cellStyle name="SAPBEXresData 2 2" xfId="6993" xr:uid="{00000000-0005-0000-0000-000024200000}"/>
    <cellStyle name="SAPBEXresData 20" xfId="6994" xr:uid="{00000000-0005-0000-0000-000025200000}"/>
    <cellStyle name="SAPBEXresData 21" xfId="6995" xr:uid="{00000000-0005-0000-0000-000026200000}"/>
    <cellStyle name="SAPBEXresData 22" xfId="6996" xr:uid="{00000000-0005-0000-0000-000027200000}"/>
    <cellStyle name="SAPBEXresData 23" xfId="6997" xr:uid="{00000000-0005-0000-0000-000028200000}"/>
    <cellStyle name="SAPBEXresData 24" xfId="6998" xr:uid="{00000000-0005-0000-0000-000029200000}"/>
    <cellStyle name="SAPBEXresData 25" xfId="6999" xr:uid="{00000000-0005-0000-0000-00002A200000}"/>
    <cellStyle name="SAPBEXresData 26" xfId="7000" xr:uid="{00000000-0005-0000-0000-00002B200000}"/>
    <cellStyle name="SAPBEXresData 27" xfId="7001" xr:uid="{00000000-0005-0000-0000-00002C200000}"/>
    <cellStyle name="SAPBEXresData 28" xfId="7002" xr:uid="{00000000-0005-0000-0000-00002D200000}"/>
    <cellStyle name="SAPBEXresData 29" xfId="7003" xr:uid="{00000000-0005-0000-0000-00002E200000}"/>
    <cellStyle name="SAPBEXresData 3" xfId="7004" xr:uid="{00000000-0005-0000-0000-00002F200000}"/>
    <cellStyle name="SAPBEXresData 30" xfId="7005" xr:uid="{00000000-0005-0000-0000-000030200000}"/>
    <cellStyle name="SAPBEXresData 31" xfId="7006" xr:uid="{00000000-0005-0000-0000-000031200000}"/>
    <cellStyle name="SAPBEXresData 32" xfId="7007" xr:uid="{00000000-0005-0000-0000-000032200000}"/>
    <cellStyle name="SAPBEXresData 33" xfId="7008" xr:uid="{00000000-0005-0000-0000-000033200000}"/>
    <cellStyle name="SAPBEXresData 34" xfId="7009" xr:uid="{00000000-0005-0000-0000-000034200000}"/>
    <cellStyle name="SAPBEXresData 35" xfId="7010" xr:uid="{00000000-0005-0000-0000-000035200000}"/>
    <cellStyle name="SAPBEXresData 36" xfId="7011" xr:uid="{00000000-0005-0000-0000-000036200000}"/>
    <cellStyle name="SAPBEXresData 37" xfId="7012" xr:uid="{00000000-0005-0000-0000-000037200000}"/>
    <cellStyle name="SAPBEXresData 38" xfId="7013" xr:uid="{00000000-0005-0000-0000-000038200000}"/>
    <cellStyle name="SAPBEXresData 39" xfId="7014" xr:uid="{00000000-0005-0000-0000-000039200000}"/>
    <cellStyle name="SAPBEXresData 4" xfId="7015" xr:uid="{00000000-0005-0000-0000-00003A200000}"/>
    <cellStyle name="SAPBEXresData 40" xfId="7016" xr:uid="{00000000-0005-0000-0000-00003B200000}"/>
    <cellStyle name="SAPBEXresData 41" xfId="7017" xr:uid="{00000000-0005-0000-0000-00003C200000}"/>
    <cellStyle name="SAPBEXresData 42" xfId="7018" xr:uid="{00000000-0005-0000-0000-00003D200000}"/>
    <cellStyle name="SAPBEXresData 43" xfId="7019" xr:uid="{00000000-0005-0000-0000-00003E200000}"/>
    <cellStyle name="SAPBEXresData 44" xfId="7020" xr:uid="{00000000-0005-0000-0000-00003F200000}"/>
    <cellStyle name="SAPBEXresData 45" xfId="7021" xr:uid="{00000000-0005-0000-0000-000040200000}"/>
    <cellStyle name="SAPBEXresData 46" xfId="7022" xr:uid="{00000000-0005-0000-0000-000041200000}"/>
    <cellStyle name="SAPBEXresData 5" xfId="7023" xr:uid="{00000000-0005-0000-0000-000042200000}"/>
    <cellStyle name="SAPBEXresData 6" xfId="7024" xr:uid="{00000000-0005-0000-0000-000043200000}"/>
    <cellStyle name="SAPBEXresData 7" xfId="7025" xr:uid="{00000000-0005-0000-0000-000044200000}"/>
    <cellStyle name="SAPBEXresData 8" xfId="7026" xr:uid="{00000000-0005-0000-0000-000045200000}"/>
    <cellStyle name="SAPBEXresData 9" xfId="7027" xr:uid="{00000000-0005-0000-0000-000046200000}"/>
    <cellStyle name="SAPBEXresDataEmph" xfId="7028" xr:uid="{00000000-0005-0000-0000-000047200000}"/>
    <cellStyle name="SAPBEXresDataEmph 10" xfId="7029" xr:uid="{00000000-0005-0000-0000-000048200000}"/>
    <cellStyle name="SAPBEXresDataEmph 11" xfId="7030" xr:uid="{00000000-0005-0000-0000-000049200000}"/>
    <cellStyle name="SAPBEXresDataEmph 12" xfId="7031" xr:uid="{00000000-0005-0000-0000-00004A200000}"/>
    <cellStyle name="SAPBEXresDataEmph 13" xfId="7032" xr:uid="{00000000-0005-0000-0000-00004B200000}"/>
    <cellStyle name="SAPBEXresDataEmph 14" xfId="7033" xr:uid="{00000000-0005-0000-0000-00004C200000}"/>
    <cellStyle name="SAPBEXresDataEmph 15" xfId="7034" xr:uid="{00000000-0005-0000-0000-00004D200000}"/>
    <cellStyle name="SAPBEXresDataEmph 16" xfId="7035" xr:uid="{00000000-0005-0000-0000-00004E200000}"/>
    <cellStyle name="SAPBEXresDataEmph 17" xfId="7036" xr:uid="{00000000-0005-0000-0000-00004F200000}"/>
    <cellStyle name="SAPBEXresDataEmph 18" xfId="7037" xr:uid="{00000000-0005-0000-0000-000050200000}"/>
    <cellStyle name="SAPBEXresDataEmph 19" xfId="7038" xr:uid="{00000000-0005-0000-0000-000051200000}"/>
    <cellStyle name="SAPBEXresDataEmph 2" xfId="7039" xr:uid="{00000000-0005-0000-0000-000052200000}"/>
    <cellStyle name="SAPBEXresDataEmph 20" xfId="7040" xr:uid="{00000000-0005-0000-0000-000053200000}"/>
    <cellStyle name="SAPBEXresDataEmph 21" xfId="7041" xr:uid="{00000000-0005-0000-0000-000054200000}"/>
    <cellStyle name="SAPBEXresDataEmph 22" xfId="7042" xr:uid="{00000000-0005-0000-0000-000055200000}"/>
    <cellStyle name="SAPBEXresDataEmph 23" xfId="7043" xr:uid="{00000000-0005-0000-0000-000056200000}"/>
    <cellStyle name="SAPBEXresDataEmph 24" xfId="7044" xr:uid="{00000000-0005-0000-0000-000057200000}"/>
    <cellStyle name="SAPBEXresDataEmph 25" xfId="7045" xr:uid="{00000000-0005-0000-0000-000058200000}"/>
    <cellStyle name="SAPBEXresDataEmph 26" xfId="7046" xr:uid="{00000000-0005-0000-0000-000059200000}"/>
    <cellStyle name="SAPBEXresDataEmph 27" xfId="7047" xr:uid="{00000000-0005-0000-0000-00005A200000}"/>
    <cellStyle name="SAPBEXresDataEmph 28" xfId="7048" xr:uid="{00000000-0005-0000-0000-00005B200000}"/>
    <cellStyle name="SAPBEXresDataEmph 29" xfId="7049" xr:uid="{00000000-0005-0000-0000-00005C200000}"/>
    <cellStyle name="SAPBEXresDataEmph 3" xfId="7050" xr:uid="{00000000-0005-0000-0000-00005D200000}"/>
    <cellStyle name="SAPBEXresDataEmph 30" xfId="7051" xr:uid="{00000000-0005-0000-0000-00005E200000}"/>
    <cellStyle name="SAPBEXresDataEmph 31" xfId="7052" xr:uid="{00000000-0005-0000-0000-00005F200000}"/>
    <cellStyle name="SAPBEXresDataEmph 32" xfId="7053" xr:uid="{00000000-0005-0000-0000-000060200000}"/>
    <cellStyle name="SAPBEXresDataEmph 33" xfId="7054" xr:uid="{00000000-0005-0000-0000-000061200000}"/>
    <cellStyle name="SAPBEXresDataEmph 34" xfId="7055" xr:uid="{00000000-0005-0000-0000-000062200000}"/>
    <cellStyle name="SAPBEXresDataEmph 35" xfId="7056" xr:uid="{00000000-0005-0000-0000-000063200000}"/>
    <cellStyle name="SAPBEXresDataEmph 36" xfId="7057" xr:uid="{00000000-0005-0000-0000-000064200000}"/>
    <cellStyle name="SAPBEXresDataEmph 37" xfId="7058" xr:uid="{00000000-0005-0000-0000-000065200000}"/>
    <cellStyle name="SAPBEXresDataEmph 38" xfId="7059" xr:uid="{00000000-0005-0000-0000-000066200000}"/>
    <cellStyle name="SAPBEXresDataEmph 39" xfId="7060" xr:uid="{00000000-0005-0000-0000-000067200000}"/>
    <cellStyle name="SAPBEXresDataEmph 4" xfId="7061" xr:uid="{00000000-0005-0000-0000-000068200000}"/>
    <cellStyle name="SAPBEXresDataEmph 40" xfId="7062" xr:uid="{00000000-0005-0000-0000-000069200000}"/>
    <cellStyle name="SAPBEXresDataEmph 41" xfId="7063" xr:uid="{00000000-0005-0000-0000-00006A200000}"/>
    <cellStyle name="SAPBEXresDataEmph 42" xfId="7064" xr:uid="{00000000-0005-0000-0000-00006B200000}"/>
    <cellStyle name="SAPBEXresDataEmph 43" xfId="7065" xr:uid="{00000000-0005-0000-0000-00006C200000}"/>
    <cellStyle name="SAPBEXresDataEmph 44" xfId="7066" xr:uid="{00000000-0005-0000-0000-00006D200000}"/>
    <cellStyle name="SAPBEXresDataEmph 45" xfId="7067" xr:uid="{00000000-0005-0000-0000-00006E200000}"/>
    <cellStyle name="SAPBEXresDataEmph 46" xfId="7068" xr:uid="{00000000-0005-0000-0000-00006F200000}"/>
    <cellStyle name="SAPBEXresDataEmph 5" xfId="7069" xr:uid="{00000000-0005-0000-0000-000070200000}"/>
    <cellStyle name="SAPBEXresDataEmph 6" xfId="7070" xr:uid="{00000000-0005-0000-0000-000071200000}"/>
    <cellStyle name="SAPBEXresDataEmph 7" xfId="7071" xr:uid="{00000000-0005-0000-0000-000072200000}"/>
    <cellStyle name="SAPBEXresDataEmph 8" xfId="7072" xr:uid="{00000000-0005-0000-0000-000073200000}"/>
    <cellStyle name="SAPBEXresDataEmph 9" xfId="7073" xr:uid="{00000000-0005-0000-0000-000074200000}"/>
    <cellStyle name="SAPBEXresItem" xfId="7074" xr:uid="{00000000-0005-0000-0000-000075200000}"/>
    <cellStyle name="SAPBEXresItem 10" xfId="7075" xr:uid="{00000000-0005-0000-0000-000076200000}"/>
    <cellStyle name="SAPBEXresItem 11" xfId="7076" xr:uid="{00000000-0005-0000-0000-000077200000}"/>
    <cellStyle name="SAPBEXresItem 12" xfId="7077" xr:uid="{00000000-0005-0000-0000-000078200000}"/>
    <cellStyle name="SAPBEXresItem 13" xfId="7078" xr:uid="{00000000-0005-0000-0000-000079200000}"/>
    <cellStyle name="SAPBEXresItem 14" xfId="7079" xr:uid="{00000000-0005-0000-0000-00007A200000}"/>
    <cellStyle name="SAPBEXresItem 15" xfId="7080" xr:uid="{00000000-0005-0000-0000-00007B200000}"/>
    <cellStyle name="SAPBEXresItem 16" xfId="7081" xr:uid="{00000000-0005-0000-0000-00007C200000}"/>
    <cellStyle name="SAPBEXresItem 17" xfId="7082" xr:uid="{00000000-0005-0000-0000-00007D200000}"/>
    <cellStyle name="SAPBEXresItem 18" xfId="7083" xr:uid="{00000000-0005-0000-0000-00007E200000}"/>
    <cellStyle name="SAPBEXresItem 19" xfId="7084" xr:uid="{00000000-0005-0000-0000-00007F200000}"/>
    <cellStyle name="SAPBEXresItem 2" xfId="7085" xr:uid="{00000000-0005-0000-0000-000080200000}"/>
    <cellStyle name="SAPBEXresItem 2 2" xfId="7086" xr:uid="{00000000-0005-0000-0000-000081200000}"/>
    <cellStyle name="SAPBEXresItem 20" xfId="7087" xr:uid="{00000000-0005-0000-0000-000082200000}"/>
    <cellStyle name="SAPBEXresItem 21" xfId="7088" xr:uid="{00000000-0005-0000-0000-000083200000}"/>
    <cellStyle name="SAPBEXresItem 22" xfId="7089" xr:uid="{00000000-0005-0000-0000-000084200000}"/>
    <cellStyle name="SAPBEXresItem 23" xfId="7090" xr:uid="{00000000-0005-0000-0000-000085200000}"/>
    <cellStyle name="SAPBEXresItem 24" xfId="7091" xr:uid="{00000000-0005-0000-0000-000086200000}"/>
    <cellStyle name="SAPBEXresItem 25" xfId="7092" xr:uid="{00000000-0005-0000-0000-000087200000}"/>
    <cellStyle name="SAPBEXresItem 26" xfId="7093" xr:uid="{00000000-0005-0000-0000-000088200000}"/>
    <cellStyle name="SAPBEXresItem 27" xfId="7094" xr:uid="{00000000-0005-0000-0000-000089200000}"/>
    <cellStyle name="SAPBEXresItem 28" xfId="7095" xr:uid="{00000000-0005-0000-0000-00008A200000}"/>
    <cellStyle name="SAPBEXresItem 29" xfId="7096" xr:uid="{00000000-0005-0000-0000-00008B200000}"/>
    <cellStyle name="SAPBEXresItem 3" xfId="7097" xr:uid="{00000000-0005-0000-0000-00008C200000}"/>
    <cellStyle name="SAPBEXresItem 30" xfId="7098" xr:uid="{00000000-0005-0000-0000-00008D200000}"/>
    <cellStyle name="SAPBEXresItem 31" xfId="7099" xr:uid="{00000000-0005-0000-0000-00008E200000}"/>
    <cellStyle name="SAPBEXresItem 32" xfId="7100" xr:uid="{00000000-0005-0000-0000-00008F200000}"/>
    <cellStyle name="SAPBEXresItem 33" xfId="7101" xr:uid="{00000000-0005-0000-0000-000090200000}"/>
    <cellStyle name="SAPBEXresItem 34" xfId="7102" xr:uid="{00000000-0005-0000-0000-000091200000}"/>
    <cellStyle name="SAPBEXresItem 35" xfId="7103" xr:uid="{00000000-0005-0000-0000-000092200000}"/>
    <cellStyle name="SAPBEXresItem 36" xfId="7104" xr:uid="{00000000-0005-0000-0000-000093200000}"/>
    <cellStyle name="SAPBEXresItem 37" xfId="7105" xr:uid="{00000000-0005-0000-0000-000094200000}"/>
    <cellStyle name="SAPBEXresItem 38" xfId="7106" xr:uid="{00000000-0005-0000-0000-000095200000}"/>
    <cellStyle name="SAPBEXresItem 39" xfId="7107" xr:uid="{00000000-0005-0000-0000-000096200000}"/>
    <cellStyle name="SAPBEXresItem 4" xfId="7108" xr:uid="{00000000-0005-0000-0000-000097200000}"/>
    <cellStyle name="SAPBEXresItem 40" xfId="7109" xr:uid="{00000000-0005-0000-0000-000098200000}"/>
    <cellStyle name="SAPBEXresItem 41" xfId="7110" xr:uid="{00000000-0005-0000-0000-000099200000}"/>
    <cellStyle name="SAPBEXresItem 42" xfId="7111" xr:uid="{00000000-0005-0000-0000-00009A200000}"/>
    <cellStyle name="SAPBEXresItem 43" xfId="7112" xr:uid="{00000000-0005-0000-0000-00009B200000}"/>
    <cellStyle name="SAPBEXresItem 44" xfId="7113" xr:uid="{00000000-0005-0000-0000-00009C200000}"/>
    <cellStyle name="SAPBEXresItem 45" xfId="7114" xr:uid="{00000000-0005-0000-0000-00009D200000}"/>
    <cellStyle name="SAPBEXresItem 46" xfId="7115" xr:uid="{00000000-0005-0000-0000-00009E200000}"/>
    <cellStyle name="SAPBEXresItem 5" xfId="7116" xr:uid="{00000000-0005-0000-0000-00009F200000}"/>
    <cellStyle name="SAPBEXresItem 6" xfId="7117" xr:uid="{00000000-0005-0000-0000-0000A0200000}"/>
    <cellStyle name="SAPBEXresItem 7" xfId="7118" xr:uid="{00000000-0005-0000-0000-0000A1200000}"/>
    <cellStyle name="SAPBEXresItem 8" xfId="7119" xr:uid="{00000000-0005-0000-0000-0000A2200000}"/>
    <cellStyle name="SAPBEXresItem 9" xfId="7120" xr:uid="{00000000-0005-0000-0000-0000A3200000}"/>
    <cellStyle name="SAPBEXresItemX" xfId="7121" xr:uid="{00000000-0005-0000-0000-0000A4200000}"/>
    <cellStyle name="SAPBEXresItemX 10" xfId="7122" xr:uid="{00000000-0005-0000-0000-0000A5200000}"/>
    <cellStyle name="SAPBEXresItemX 11" xfId="7123" xr:uid="{00000000-0005-0000-0000-0000A6200000}"/>
    <cellStyle name="SAPBEXresItemX 12" xfId="7124" xr:uid="{00000000-0005-0000-0000-0000A7200000}"/>
    <cellStyle name="SAPBEXresItemX 13" xfId="7125" xr:uid="{00000000-0005-0000-0000-0000A8200000}"/>
    <cellStyle name="SAPBEXresItemX 14" xfId="7126" xr:uid="{00000000-0005-0000-0000-0000A9200000}"/>
    <cellStyle name="SAPBEXresItemX 15" xfId="7127" xr:uid="{00000000-0005-0000-0000-0000AA200000}"/>
    <cellStyle name="SAPBEXresItemX 16" xfId="7128" xr:uid="{00000000-0005-0000-0000-0000AB200000}"/>
    <cellStyle name="SAPBEXresItemX 17" xfId="7129" xr:uid="{00000000-0005-0000-0000-0000AC200000}"/>
    <cellStyle name="SAPBEXresItemX 18" xfId="7130" xr:uid="{00000000-0005-0000-0000-0000AD200000}"/>
    <cellStyle name="SAPBEXresItemX 19" xfId="7131" xr:uid="{00000000-0005-0000-0000-0000AE200000}"/>
    <cellStyle name="SAPBEXresItemX 2" xfId="7132" xr:uid="{00000000-0005-0000-0000-0000AF200000}"/>
    <cellStyle name="SAPBEXresItemX 2 2" xfId="7133" xr:uid="{00000000-0005-0000-0000-0000B0200000}"/>
    <cellStyle name="SAPBEXresItemX 20" xfId="7134" xr:uid="{00000000-0005-0000-0000-0000B1200000}"/>
    <cellStyle name="SAPBEXresItemX 21" xfId="7135" xr:uid="{00000000-0005-0000-0000-0000B2200000}"/>
    <cellStyle name="SAPBEXresItemX 22" xfId="7136" xr:uid="{00000000-0005-0000-0000-0000B3200000}"/>
    <cellStyle name="SAPBEXresItemX 23" xfId="7137" xr:uid="{00000000-0005-0000-0000-0000B4200000}"/>
    <cellStyle name="SAPBEXresItemX 24" xfId="7138" xr:uid="{00000000-0005-0000-0000-0000B5200000}"/>
    <cellStyle name="SAPBEXresItemX 25" xfId="7139" xr:uid="{00000000-0005-0000-0000-0000B6200000}"/>
    <cellStyle name="SAPBEXresItemX 26" xfId="7140" xr:uid="{00000000-0005-0000-0000-0000B7200000}"/>
    <cellStyle name="SAPBEXresItemX 27" xfId="7141" xr:uid="{00000000-0005-0000-0000-0000B8200000}"/>
    <cellStyle name="SAPBEXresItemX 28" xfId="7142" xr:uid="{00000000-0005-0000-0000-0000B9200000}"/>
    <cellStyle name="SAPBEXresItemX 29" xfId="7143" xr:uid="{00000000-0005-0000-0000-0000BA200000}"/>
    <cellStyle name="SAPBEXresItemX 3" xfId="7144" xr:uid="{00000000-0005-0000-0000-0000BB200000}"/>
    <cellStyle name="SAPBEXresItemX 30" xfId="7145" xr:uid="{00000000-0005-0000-0000-0000BC200000}"/>
    <cellStyle name="SAPBEXresItemX 31" xfId="7146" xr:uid="{00000000-0005-0000-0000-0000BD200000}"/>
    <cellStyle name="SAPBEXresItemX 32" xfId="7147" xr:uid="{00000000-0005-0000-0000-0000BE200000}"/>
    <cellStyle name="SAPBEXresItemX 33" xfId="7148" xr:uid="{00000000-0005-0000-0000-0000BF200000}"/>
    <cellStyle name="SAPBEXresItemX 34" xfId="7149" xr:uid="{00000000-0005-0000-0000-0000C0200000}"/>
    <cellStyle name="SAPBEXresItemX 35" xfId="7150" xr:uid="{00000000-0005-0000-0000-0000C1200000}"/>
    <cellStyle name="SAPBEXresItemX 36" xfId="7151" xr:uid="{00000000-0005-0000-0000-0000C2200000}"/>
    <cellStyle name="SAPBEXresItemX 37" xfId="7152" xr:uid="{00000000-0005-0000-0000-0000C3200000}"/>
    <cellStyle name="SAPBEXresItemX 38" xfId="7153" xr:uid="{00000000-0005-0000-0000-0000C4200000}"/>
    <cellStyle name="SAPBEXresItemX 39" xfId="7154" xr:uid="{00000000-0005-0000-0000-0000C5200000}"/>
    <cellStyle name="SAPBEXresItemX 4" xfId="7155" xr:uid="{00000000-0005-0000-0000-0000C6200000}"/>
    <cellStyle name="SAPBEXresItemX 40" xfId="7156" xr:uid="{00000000-0005-0000-0000-0000C7200000}"/>
    <cellStyle name="SAPBEXresItemX 41" xfId="7157" xr:uid="{00000000-0005-0000-0000-0000C8200000}"/>
    <cellStyle name="SAPBEXresItemX 42" xfId="7158" xr:uid="{00000000-0005-0000-0000-0000C9200000}"/>
    <cellStyle name="SAPBEXresItemX 43" xfId="7159" xr:uid="{00000000-0005-0000-0000-0000CA200000}"/>
    <cellStyle name="SAPBEXresItemX 44" xfId="7160" xr:uid="{00000000-0005-0000-0000-0000CB200000}"/>
    <cellStyle name="SAPBEXresItemX 45" xfId="7161" xr:uid="{00000000-0005-0000-0000-0000CC200000}"/>
    <cellStyle name="SAPBEXresItemX 46" xfId="7162" xr:uid="{00000000-0005-0000-0000-0000CD200000}"/>
    <cellStyle name="SAPBEXresItemX 5" xfId="7163" xr:uid="{00000000-0005-0000-0000-0000CE200000}"/>
    <cellStyle name="SAPBEXresItemX 6" xfId="7164" xr:uid="{00000000-0005-0000-0000-0000CF200000}"/>
    <cellStyle name="SAPBEXresItemX 7" xfId="7165" xr:uid="{00000000-0005-0000-0000-0000D0200000}"/>
    <cellStyle name="SAPBEXresItemX 8" xfId="7166" xr:uid="{00000000-0005-0000-0000-0000D1200000}"/>
    <cellStyle name="SAPBEXresItemX 9" xfId="7167" xr:uid="{00000000-0005-0000-0000-0000D2200000}"/>
    <cellStyle name="SAPBEXstdData" xfId="7168" xr:uid="{00000000-0005-0000-0000-0000D3200000}"/>
    <cellStyle name="SAPBEXstdData 10" xfId="7169" xr:uid="{00000000-0005-0000-0000-0000D4200000}"/>
    <cellStyle name="SAPBEXstdData 100" xfId="7170" xr:uid="{00000000-0005-0000-0000-0000D5200000}"/>
    <cellStyle name="SAPBEXstdData 101" xfId="7171" xr:uid="{00000000-0005-0000-0000-0000D6200000}"/>
    <cellStyle name="SAPBEXstdData 102" xfId="7172" xr:uid="{00000000-0005-0000-0000-0000D7200000}"/>
    <cellStyle name="SAPBEXstdData 103" xfId="7173" xr:uid="{00000000-0005-0000-0000-0000D8200000}"/>
    <cellStyle name="SAPBEXstdData 104" xfId="7174" xr:uid="{00000000-0005-0000-0000-0000D9200000}"/>
    <cellStyle name="SAPBEXstdData 105" xfId="7175" xr:uid="{00000000-0005-0000-0000-0000DA200000}"/>
    <cellStyle name="SAPBEXstdData 106" xfId="7176" xr:uid="{00000000-0005-0000-0000-0000DB200000}"/>
    <cellStyle name="SAPBEXstdData 107" xfId="7177" xr:uid="{00000000-0005-0000-0000-0000DC200000}"/>
    <cellStyle name="SAPBEXstdData 108" xfId="7178" xr:uid="{00000000-0005-0000-0000-0000DD200000}"/>
    <cellStyle name="SAPBEXstdData 109" xfId="7179" xr:uid="{00000000-0005-0000-0000-0000DE200000}"/>
    <cellStyle name="SAPBEXstdData 11" xfId="7180" xr:uid="{00000000-0005-0000-0000-0000DF200000}"/>
    <cellStyle name="SAPBEXstdData 110" xfId="7181" xr:uid="{00000000-0005-0000-0000-0000E0200000}"/>
    <cellStyle name="SAPBEXstdData 12" xfId="7182" xr:uid="{00000000-0005-0000-0000-0000E1200000}"/>
    <cellStyle name="SAPBEXstdData 13" xfId="7183" xr:uid="{00000000-0005-0000-0000-0000E2200000}"/>
    <cellStyle name="SAPBEXstdData 14" xfId="7184" xr:uid="{00000000-0005-0000-0000-0000E3200000}"/>
    <cellStyle name="SAPBEXstdData 15" xfId="7185" xr:uid="{00000000-0005-0000-0000-0000E4200000}"/>
    <cellStyle name="SAPBEXstdData 16" xfId="7186" xr:uid="{00000000-0005-0000-0000-0000E5200000}"/>
    <cellStyle name="SAPBEXstdData 17" xfId="7187" xr:uid="{00000000-0005-0000-0000-0000E6200000}"/>
    <cellStyle name="SAPBEXstdData 18" xfId="7188" xr:uid="{00000000-0005-0000-0000-0000E7200000}"/>
    <cellStyle name="SAPBEXstdData 19" xfId="7189" xr:uid="{00000000-0005-0000-0000-0000E8200000}"/>
    <cellStyle name="SAPBEXstdData 2" xfId="7190" xr:uid="{00000000-0005-0000-0000-0000E9200000}"/>
    <cellStyle name="SAPBEXstdData 20" xfId="7191" xr:uid="{00000000-0005-0000-0000-0000EA200000}"/>
    <cellStyle name="SAPBEXstdData 21" xfId="7192" xr:uid="{00000000-0005-0000-0000-0000EB200000}"/>
    <cellStyle name="SAPBEXstdData 22" xfId="7193" xr:uid="{00000000-0005-0000-0000-0000EC200000}"/>
    <cellStyle name="SAPBEXstdData 23" xfId="7194" xr:uid="{00000000-0005-0000-0000-0000ED200000}"/>
    <cellStyle name="SAPBEXstdData 24" xfId="7195" xr:uid="{00000000-0005-0000-0000-0000EE200000}"/>
    <cellStyle name="SAPBEXstdData 25" xfId="7196" xr:uid="{00000000-0005-0000-0000-0000EF200000}"/>
    <cellStyle name="SAPBEXstdData 26" xfId="7197" xr:uid="{00000000-0005-0000-0000-0000F0200000}"/>
    <cellStyle name="SAPBEXstdData 27" xfId="7198" xr:uid="{00000000-0005-0000-0000-0000F1200000}"/>
    <cellStyle name="SAPBEXstdData 28" xfId="7199" xr:uid="{00000000-0005-0000-0000-0000F2200000}"/>
    <cellStyle name="SAPBEXstdData 29" xfId="7200" xr:uid="{00000000-0005-0000-0000-0000F3200000}"/>
    <cellStyle name="SAPBEXstdData 3" xfId="7201" xr:uid="{00000000-0005-0000-0000-0000F4200000}"/>
    <cellStyle name="SAPBEXstdData 30" xfId="7202" xr:uid="{00000000-0005-0000-0000-0000F5200000}"/>
    <cellStyle name="SAPBEXstdData 31" xfId="7203" xr:uid="{00000000-0005-0000-0000-0000F6200000}"/>
    <cellStyle name="SAPBEXstdData 32" xfId="7204" xr:uid="{00000000-0005-0000-0000-0000F7200000}"/>
    <cellStyle name="SAPBEXstdData 33" xfId="7205" xr:uid="{00000000-0005-0000-0000-0000F8200000}"/>
    <cellStyle name="SAPBEXstdData 34" xfId="7206" xr:uid="{00000000-0005-0000-0000-0000F9200000}"/>
    <cellStyle name="SAPBEXstdData 35" xfId="7207" xr:uid="{00000000-0005-0000-0000-0000FA200000}"/>
    <cellStyle name="SAPBEXstdData 36" xfId="7208" xr:uid="{00000000-0005-0000-0000-0000FB200000}"/>
    <cellStyle name="SAPBEXstdData 37" xfId="7209" xr:uid="{00000000-0005-0000-0000-0000FC200000}"/>
    <cellStyle name="SAPBEXstdData 38" xfId="7210" xr:uid="{00000000-0005-0000-0000-0000FD200000}"/>
    <cellStyle name="SAPBEXstdData 39" xfId="7211" xr:uid="{00000000-0005-0000-0000-0000FE200000}"/>
    <cellStyle name="SAPBEXstdData 4" xfId="7212" xr:uid="{00000000-0005-0000-0000-0000FF200000}"/>
    <cellStyle name="SAPBEXstdData 40" xfId="7213" xr:uid="{00000000-0005-0000-0000-000000210000}"/>
    <cellStyle name="SAPBEXstdData 41" xfId="7214" xr:uid="{00000000-0005-0000-0000-000001210000}"/>
    <cellStyle name="SAPBEXstdData 42" xfId="7215" xr:uid="{00000000-0005-0000-0000-000002210000}"/>
    <cellStyle name="SAPBEXstdData 43" xfId="7216" xr:uid="{00000000-0005-0000-0000-000003210000}"/>
    <cellStyle name="SAPBEXstdData 44" xfId="7217" xr:uid="{00000000-0005-0000-0000-000004210000}"/>
    <cellStyle name="SAPBEXstdData 45" xfId="7218" xr:uid="{00000000-0005-0000-0000-000005210000}"/>
    <cellStyle name="SAPBEXstdData 46" xfId="7219" xr:uid="{00000000-0005-0000-0000-000006210000}"/>
    <cellStyle name="SAPBEXstdData 47" xfId="7220" xr:uid="{00000000-0005-0000-0000-000007210000}"/>
    <cellStyle name="SAPBEXstdData 48" xfId="7221" xr:uid="{00000000-0005-0000-0000-000008210000}"/>
    <cellStyle name="SAPBEXstdData 49" xfId="7222" xr:uid="{00000000-0005-0000-0000-000009210000}"/>
    <cellStyle name="SAPBEXstdData 5" xfId="7223" xr:uid="{00000000-0005-0000-0000-00000A210000}"/>
    <cellStyle name="SAPBEXstdData 50" xfId="7224" xr:uid="{00000000-0005-0000-0000-00000B210000}"/>
    <cellStyle name="SAPBEXstdData 51" xfId="7225" xr:uid="{00000000-0005-0000-0000-00000C210000}"/>
    <cellStyle name="SAPBEXstdData 52" xfId="7226" xr:uid="{00000000-0005-0000-0000-00000D210000}"/>
    <cellStyle name="SAPBEXstdData 53" xfId="7227" xr:uid="{00000000-0005-0000-0000-00000E210000}"/>
    <cellStyle name="SAPBEXstdData 54" xfId="7228" xr:uid="{00000000-0005-0000-0000-00000F210000}"/>
    <cellStyle name="SAPBEXstdData 55" xfId="7229" xr:uid="{00000000-0005-0000-0000-000010210000}"/>
    <cellStyle name="SAPBEXstdData 56" xfId="7230" xr:uid="{00000000-0005-0000-0000-000011210000}"/>
    <cellStyle name="SAPBEXstdData 57" xfId="7231" xr:uid="{00000000-0005-0000-0000-000012210000}"/>
    <cellStyle name="SAPBEXstdData 58" xfId="7232" xr:uid="{00000000-0005-0000-0000-000013210000}"/>
    <cellStyle name="SAPBEXstdData 59" xfId="7233" xr:uid="{00000000-0005-0000-0000-000014210000}"/>
    <cellStyle name="SAPBEXstdData 6" xfId="7234" xr:uid="{00000000-0005-0000-0000-000015210000}"/>
    <cellStyle name="SAPBEXstdData 60" xfId="7235" xr:uid="{00000000-0005-0000-0000-000016210000}"/>
    <cellStyle name="SAPBEXstdData 61" xfId="7236" xr:uid="{00000000-0005-0000-0000-000017210000}"/>
    <cellStyle name="SAPBEXstdData 62" xfId="7237" xr:uid="{00000000-0005-0000-0000-000018210000}"/>
    <cellStyle name="SAPBEXstdData 63" xfId="7238" xr:uid="{00000000-0005-0000-0000-000019210000}"/>
    <cellStyle name="SAPBEXstdData 64" xfId="7239" xr:uid="{00000000-0005-0000-0000-00001A210000}"/>
    <cellStyle name="SAPBEXstdData 65" xfId="7240" xr:uid="{00000000-0005-0000-0000-00001B210000}"/>
    <cellStyle name="SAPBEXstdData 66" xfId="7241" xr:uid="{00000000-0005-0000-0000-00001C210000}"/>
    <cellStyle name="SAPBEXstdData 67" xfId="7242" xr:uid="{00000000-0005-0000-0000-00001D210000}"/>
    <cellStyle name="SAPBEXstdData 68" xfId="7243" xr:uid="{00000000-0005-0000-0000-00001E210000}"/>
    <cellStyle name="SAPBEXstdData 69" xfId="7244" xr:uid="{00000000-0005-0000-0000-00001F210000}"/>
    <cellStyle name="SAPBEXstdData 7" xfId="7245" xr:uid="{00000000-0005-0000-0000-000020210000}"/>
    <cellStyle name="SAPBEXstdData 70" xfId="7246" xr:uid="{00000000-0005-0000-0000-000021210000}"/>
    <cellStyle name="SAPBEXstdData 71" xfId="7247" xr:uid="{00000000-0005-0000-0000-000022210000}"/>
    <cellStyle name="SAPBEXstdData 72" xfId="7248" xr:uid="{00000000-0005-0000-0000-000023210000}"/>
    <cellStyle name="SAPBEXstdData 73" xfId="7249" xr:uid="{00000000-0005-0000-0000-000024210000}"/>
    <cellStyle name="SAPBEXstdData 74" xfId="7250" xr:uid="{00000000-0005-0000-0000-000025210000}"/>
    <cellStyle name="SAPBEXstdData 75" xfId="7251" xr:uid="{00000000-0005-0000-0000-000026210000}"/>
    <cellStyle name="SAPBEXstdData 76" xfId="7252" xr:uid="{00000000-0005-0000-0000-000027210000}"/>
    <cellStyle name="SAPBEXstdData 77" xfId="7253" xr:uid="{00000000-0005-0000-0000-000028210000}"/>
    <cellStyle name="SAPBEXstdData 78" xfId="7254" xr:uid="{00000000-0005-0000-0000-000029210000}"/>
    <cellStyle name="SAPBEXstdData 79" xfId="7255" xr:uid="{00000000-0005-0000-0000-00002A210000}"/>
    <cellStyle name="SAPBEXstdData 8" xfId="7256" xr:uid="{00000000-0005-0000-0000-00002B210000}"/>
    <cellStyle name="SAPBEXstdData 80" xfId="7257" xr:uid="{00000000-0005-0000-0000-00002C210000}"/>
    <cellStyle name="SAPBEXstdData 81" xfId="7258" xr:uid="{00000000-0005-0000-0000-00002D210000}"/>
    <cellStyle name="SAPBEXstdData 82" xfId="7259" xr:uid="{00000000-0005-0000-0000-00002E210000}"/>
    <cellStyle name="SAPBEXstdData 83" xfId="7260" xr:uid="{00000000-0005-0000-0000-00002F210000}"/>
    <cellStyle name="SAPBEXstdData 84" xfId="7261" xr:uid="{00000000-0005-0000-0000-000030210000}"/>
    <cellStyle name="SAPBEXstdData 85" xfId="7262" xr:uid="{00000000-0005-0000-0000-000031210000}"/>
    <cellStyle name="SAPBEXstdData 86" xfId="7263" xr:uid="{00000000-0005-0000-0000-000032210000}"/>
    <cellStyle name="SAPBEXstdData 87" xfId="7264" xr:uid="{00000000-0005-0000-0000-000033210000}"/>
    <cellStyle name="SAPBEXstdData 88" xfId="7265" xr:uid="{00000000-0005-0000-0000-000034210000}"/>
    <cellStyle name="SAPBEXstdData 89" xfId="7266" xr:uid="{00000000-0005-0000-0000-000035210000}"/>
    <cellStyle name="SAPBEXstdData 9" xfId="7267" xr:uid="{00000000-0005-0000-0000-000036210000}"/>
    <cellStyle name="SAPBEXstdData 90" xfId="7268" xr:uid="{00000000-0005-0000-0000-000037210000}"/>
    <cellStyle name="SAPBEXstdData 91" xfId="7269" xr:uid="{00000000-0005-0000-0000-000038210000}"/>
    <cellStyle name="SAPBEXstdData 92" xfId="7270" xr:uid="{00000000-0005-0000-0000-000039210000}"/>
    <cellStyle name="SAPBEXstdData 93" xfId="7271" xr:uid="{00000000-0005-0000-0000-00003A210000}"/>
    <cellStyle name="SAPBEXstdData 94" xfId="7272" xr:uid="{00000000-0005-0000-0000-00003B210000}"/>
    <cellStyle name="SAPBEXstdData 95" xfId="7273" xr:uid="{00000000-0005-0000-0000-00003C210000}"/>
    <cellStyle name="SAPBEXstdData 96" xfId="7274" xr:uid="{00000000-0005-0000-0000-00003D210000}"/>
    <cellStyle name="SAPBEXstdData 97" xfId="7275" xr:uid="{00000000-0005-0000-0000-00003E210000}"/>
    <cellStyle name="SAPBEXstdData 98" xfId="7276" xr:uid="{00000000-0005-0000-0000-00003F210000}"/>
    <cellStyle name="SAPBEXstdData 99" xfId="7277" xr:uid="{00000000-0005-0000-0000-000040210000}"/>
    <cellStyle name="SAPBEXstdData_(A-7) IS-Inputs" xfId="7278" xr:uid="{00000000-0005-0000-0000-000041210000}"/>
    <cellStyle name="SAPBEXstdDataEmph" xfId="7279" xr:uid="{00000000-0005-0000-0000-000042210000}"/>
    <cellStyle name="SAPBEXstdDataEmph 10" xfId="7280" xr:uid="{00000000-0005-0000-0000-000043210000}"/>
    <cellStyle name="SAPBEXstdDataEmph 11" xfId="7281" xr:uid="{00000000-0005-0000-0000-000044210000}"/>
    <cellStyle name="SAPBEXstdDataEmph 12" xfId="7282" xr:uid="{00000000-0005-0000-0000-000045210000}"/>
    <cellStyle name="SAPBEXstdDataEmph 13" xfId="7283" xr:uid="{00000000-0005-0000-0000-000046210000}"/>
    <cellStyle name="SAPBEXstdDataEmph 14" xfId="7284" xr:uid="{00000000-0005-0000-0000-000047210000}"/>
    <cellStyle name="SAPBEXstdDataEmph 15" xfId="7285" xr:uid="{00000000-0005-0000-0000-000048210000}"/>
    <cellStyle name="SAPBEXstdDataEmph 16" xfId="7286" xr:uid="{00000000-0005-0000-0000-000049210000}"/>
    <cellStyle name="SAPBEXstdDataEmph 17" xfId="7287" xr:uid="{00000000-0005-0000-0000-00004A210000}"/>
    <cellStyle name="SAPBEXstdDataEmph 18" xfId="7288" xr:uid="{00000000-0005-0000-0000-00004B210000}"/>
    <cellStyle name="SAPBEXstdDataEmph 19" xfId="7289" xr:uid="{00000000-0005-0000-0000-00004C210000}"/>
    <cellStyle name="SAPBEXstdDataEmph 2" xfId="7290" xr:uid="{00000000-0005-0000-0000-00004D210000}"/>
    <cellStyle name="SAPBEXstdDataEmph 20" xfId="7291" xr:uid="{00000000-0005-0000-0000-00004E210000}"/>
    <cellStyle name="SAPBEXstdDataEmph 21" xfId="7292" xr:uid="{00000000-0005-0000-0000-00004F210000}"/>
    <cellStyle name="SAPBEXstdDataEmph 22" xfId="7293" xr:uid="{00000000-0005-0000-0000-000050210000}"/>
    <cellStyle name="SAPBEXstdDataEmph 23" xfId="7294" xr:uid="{00000000-0005-0000-0000-000051210000}"/>
    <cellStyle name="SAPBEXstdDataEmph 24" xfId="7295" xr:uid="{00000000-0005-0000-0000-000052210000}"/>
    <cellStyle name="SAPBEXstdDataEmph 25" xfId="7296" xr:uid="{00000000-0005-0000-0000-000053210000}"/>
    <cellStyle name="SAPBEXstdDataEmph 26" xfId="7297" xr:uid="{00000000-0005-0000-0000-000054210000}"/>
    <cellStyle name="SAPBEXstdDataEmph 27" xfId="7298" xr:uid="{00000000-0005-0000-0000-000055210000}"/>
    <cellStyle name="SAPBEXstdDataEmph 28" xfId="7299" xr:uid="{00000000-0005-0000-0000-000056210000}"/>
    <cellStyle name="SAPBEXstdDataEmph 29" xfId="7300" xr:uid="{00000000-0005-0000-0000-000057210000}"/>
    <cellStyle name="SAPBEXstdDataEmph 3" xfId="7301" xr:uid="{00000000-0005-0000-0000-000058210000}"/>
    <cellStyle name="SAPBEXstdDataEmph 30" xfId="7302" xr:uid="{00000000-0005-0000-0000-000059210000}"/>
    <cellStyle name="SAPBEXstdDataEmph 31" xfId="7303" xr:uid="{00000000-0005-0000-0000-00005A210000}"/>
    <cellStyle name="SAPBEXstdDataEmph 32" xfId="7304" xr:uid="{00000000-0005-0000-0000-00005B210000}"/>
    <cellStyle name="SAPBEXstdDataEmph 33" xfId="7305" xr:uid="{00000000-0005-0000-0000-00005C210000}"/>
    <cellStyle name="SAPBEXstdDataEmph 34" xfId="7306" xr:uid="{00000000-0005-0000-0000-00005D210000}"/>
    <cellStyle name="SAPBEXstdDataEmph 35" xfId="7307" xr:uid="{00000000-0005-0000-0000-00005E210000}"/>
    <cellStyle name="SAPBEXstdDataEmph 36" xfId="7308" xr:uid="{00000000-0005-0000-0000-00005F210000}"/>
    <cellStyle name="SAPBEXstdDataEmph 37" xfId="7309" xr:uid="{00000000-0005-0000-0000-000060210000}"/>
    <cellStyle name="SAPBEXstdDataEmph 38" xfId="7310" xr:uid="{00000000-0005-0000-0000-000061210000}"/>
    <cellStyle name="SAPBEXstdDataEmph 39" xfId="7311" xr:uid="{00000000-0005-0000-0000-000062210000}"/>
    <cellStyle name="SAPBEXstdDataEmph 4" xfId="7312" xr:uid="{00000000-0005-0000-0000-000063210000}"/>
    <cellStyle name="SAPBEXstdDataEmph 40" xfId="7313" xr:uid="{00000000-0005-0000-0000-000064210000}"/>
    <cellStyle name="SAPBEXstdDataEmph 41" xfId="7314" xr:uid="{00000000-0005-0000-0000-000065210000}"/>
    <cellStyle name="SAPBEXstdDataEmph 42" xfId="7315" xr:uid="{00000000-0005-0000-0000-000066210000}"/>
    <cellStyle name="SAPBEXstdDataEmph 43" xfId="7316" xr:uid="{00000000-0005-0000-0000-000067210000}"/>
    <cellStyle name="SAPBEXstdDataEmph 44" xfId="7317" xr:uid="{00000000-0005-0000-0000-000068210000}"/>
    <cellStyle name="SAPBEXstdDataEmph 45" xfId="7318" xr:uid="{00000000-0005-0000-0000-000069210000}"/>
    <cellStyle name="SAPBEXstdDataEmph 46" xfId="7319" xr:uid="{00000000-0005-0000-0000-00006A210000}"/>
    <cellStyle name="SAPBEXstdDataEmph 5" xfId="7320" xr:uid="{00000000-0005-0000-0000-00006B210000}"/>
    <cellStyle name="SAPBEXstdDataEmph 6" xfId="7321" xr:uid="{00000000-0005-0000-0000-00006C210000}"/>
    <cellStyle name="SAPBEXstdDataEmph 7" xfId="7322" xr:uid="{00000000-0005-0000-0000-00006D210000}"/>
    <cellStyle name="SAPBEXstdDataEmph 8" xfId="7323" xr:uid="{00000000-0005-0000-0000-00006E210000}"/>
    <cellStyle name="SAPBEXstdDataEmph 9" xfId="7324" xr:uid="{00000000-0005-0000-0000-00006F210000}"/>
    <cellStyle name="SAPBEXstdItem" xfId="7325" xr:uid="{00000000-0005-0000-0000-000070210000}"/>
    <cellStyle name="SAPBEXstdItem 10" xfId="7326" xr:uid="{00000000-0005-0000-0000-000071210000}"/>
    <cellStyle name="SAPBEXstdItem 100" xfId="7327" xr:uid="{00000000-0005-0000-0000-000072210000}"/>
    <cellStyle name="SAPBEXstdItem 101" xfId="7328" xr:uid="{00000000-0005-0000-0000-000073210000}"/>
    <cellStyle name="SAPBEXstdItem 102" xfId="7329" xr:uid="{00000000-0005-0000-0000-000074210000}"/>
    <cellStyle name="SAPBEXstdItem 103" xfId="7330" xr:uid="{00000000-0005-0000-0000-000075210000}"/>
    <cellStyle name="SAPBEXstdItem 104" xfId="7331" xr:uid="{00000000-0005-0000-0000-000076210000}"/>
    <cellStyle name="SAPBEXstdItem 105" xfId="7332" xr:uid="{00000000-0005-0000-0000-000077210000}"/>
    <cellStyle name="SAPBEXstdItem 106" xfId="7333" xr:uid="{00000000-0005-0000-0000-000078210000}"/>
    <cellStyle name="SAPBEXstdItem 107" xfId="7334" xr:uid="{00000000-0005-0000-0000-000079210000}"/>
    <cellStyle name="SAPBEXstdItem 108" xfId="7335" xr:uid="{00000000-0005-0000-0000-00007A210000}"/>
    <cellStyle name="SAPBEXstdItem 109" xfId="7336" xr:uid="{00000000-0005-0000-0000-00007B210000}"/>
    <cellStyle name="SAPBEXstdItem 11" xfId="7337" xr:uid="{00000000-0005-0000-0000-00007C210000}"/>
    <cellStyle name="SAPBEXstdItem 110" xfId="7338" xr:uid="{00000000-0005-0000-0000-00007D210000}"/>
    <cellStyle name="SAPBEXstdItem 12" xfId="7339" xr:uid="{00000000-0005-0000-0000-00007E210000}"/>
    <cellStyle name="SAPBEXstdItem 13" xfId="7340" xr:uid="{00000000-0005-0000-0000-00007F210000}"/>
    <cellStyle name="SAPBEXstdItem 14" xfId="7341" xr:uid="{00000000-0005-0000-0000-000080210000}"/>
    <cellStyle name="SAPBEXstdItem 15" xfId="7342" xr:uid="{00000000-0005-0000-0000-000081210000}"/>
    <cellStyle name="SAPBEXstdItem 16" xfId="7343" xr:uid="{00000000-0005-0000-0000-000082210000}"/>
    <cellStyle name="SAPBEXstdItem 17" xfId="7344" xr:uid="{00000000-0005-0000-0000-000083210000}"/>
    <cellStyle name="SAPBEXstdItem 18" xfId="7345" xr:uid="{00000000-0005-0000-0000-000084210000}"/>
    <cellStyle name="SAPBEXstdItem 19" xfId="7346" xr:uid="{00000000-0005-0000-0000-000085210000}"/>
    <cellStyle name="SAPBEXstdItem 2" xfId="7347" xr:uid="{00000000-0005-0000-0000-000086210000}"/>
    <cellStyle name="SAPBEXstdItem 20" xfId="7348" xr:uid="{00000000-0005-0000-0000-000087210000}"/>
    <cellStyle name="SAPBEXstdItem 21" xfId="7349" xr:uid="{00000000-0005-0000-0000-000088210000}"/>
    <cellStyle name="SAPBEXstdItem 22" xfId="7350" xr:uid="{00000000-0005-0000-0000-000089210000}"/>
    <cellStyle name="SAPBEXstdItem 23" xfId="7351" xr:uid="{00000000-0005-0000-0000-00008A210000}"/>
    <cellStyle name="SAPBEXstdItem 24" xfId="7352" xr:uid="{00000000-0005-0000-0000-00008B210000}"/>
    <cellStyle name="SAPBEXstdItem 25" xfId="7353" xr:uid="{00000000-0005-0000-0000-00008C210000}"/>
    <cellStyle name="SAPBEXstdItem 26" xfId="7354" xr:uid="{00000000-0005-0000-0000-00008D210000}"/>
    <cellStyle name="SAPBEXstdItem 27" xfId="7355" xr:uid="{00000000-0005-0000-0000-00008E210000}"/>
    <cellStyle name="SAPBEXstdItem 28" xfId="7356" xr:uid="{00000000-0005-0000-0000-00008F210000}"/>
    <cellStyle name="SAPBEXstdItem 29" xfId="7357" xr:uid="{00000000-0005-0000-0000-000090210000}"/>
    <cellStyle name="SAPBEXstdItem 3" xfId="7358" xr:uid="{00000000-0005-0000-0000-000091210000}"/>
    <cellStyle name="SAPBEXstdItem 30" xfId="7359" xr:uid="{00000000-0005-0000-0000-000092210000}"/>
    <cellStyle name="SAPBEXstdItem 31" xfId="7360" xr:uid="{00000000-0005-0000-0000-000093210000}"/>
    <cellStyle name="SAPBEXstdItem 32" xfId="7361" xr:uid="{00000000-0005-0000-0000-000094210000}"/>
    <cellStyle name="SAPBEXstdItem 33" xfId="7362" xr:uid="{00000000-0005-0000-0000-000095210000}"/>
    <cellStyle name="SAPBEXstdItem 34" xfId="7363" xr:uid="{00000000-0005-0000-0000-000096210000}"/>
    <cellStyle name="SAPBEXstdItem 35" xfId="7364" xr:uid="{00000000-0005-0000-0000-000097210000}"/>
    <cellStyle name="SAPBEXstdItem 36" xfId="7365" xr:uid="{00000000-0005-0000-0000-000098210000}"/>
    <cellStyle name="SAPBEXstdItem 37" xfId="7366" xr:uid="{00000000-0005-0000-0000-000099210000}"/>
    <cellStyle name="SAPBEXstdItem 38" xfId="7367" xr:uid="{00000000-0005-0000-0000-00009A210000}"/>
    <cellStyle name="SAPBEXstdItem 39" xfId="7368" xr:uid="{00000000-0005-0000-0000-00009B210000}"/>
    <cellStyle name="SAPBEXstdItem 4" xfId="7369" xr:uid="{00000000-0005-0000-0000-00009C210000}"/>
    <cellStyle name="SAPBEXstdItem 40" xfId="7370" xr:uid="{00000000-0005-0000-0000-00009D210000}"/>
    <cellStyle name="SAPBEXstdItem 41" xfId="7371" xr:uid="{00000000-0005-0000-0000-00009E210000}"/>
    <cellStyle name="SAPBEXstdItem 42" xfId="7372" xr:uid="{00000000-0005-0000-0000-00009F210000}"/>
    <cellStyle name="SAPBEXstdItem 43" xfId="7373" xr:uid="{00000000-0005-0000-0000-0000A0210000}"/>
    <cellStyle name="SAPBEXstdItem 44" xfId="7374" xr:uid="{00000000-0005-0000-0000-0000A1210000}"/>
    <cellStyle name="SAPBEXstdItem 45" xfId="7375" xr:uid="{00000000-0005-0000-0000-0000A2210000}"/>
    <cellStyle name="SAPBEXstdItem 46" xfId="7376" xr:uid="{00000000-0005-0000-0000-0000A3210000}"/>
    <cellStyle name="SAPBEXstdItem 47" xfId="7377" xr:uid="{00000000-0005-0000-0000-0000A4210000}"/>
    <cellStyle name="SAPBEXstdItem 48" xfId="7378" xr:uid="{00000000-0005-0000-0000-0000A5210000}"/>
    <cellStyle name="SAPBEXstdItem 49" xfId="7379" xr:uid="{00000000-0005-0000-0000-0000A6210000}"/>
    <cellStyle name="SAPBEXstdItem 5" xfId="7380" xr:uid="{00000000-0005-0000-0000-0000A7210000}"/>
    <cellStyle name="SAPBEXstdItem 50" xfId="7381" xr:uid="{00000000-0005-0000-0000-0000A8210000}"/>
    <cellStyle name="SAPBEXstdItem 51" xfId="7382" xr:uid="{00000000-0005-0000-0000-0000A9210000}"/>
    <cellStyle name="SAPBEXstdItem 52" xfId="7383" xr:uid="{00000000-0005-0000-0000-0000AA210000}"/>
    <cellStyle name="SAPBEXstdItem 53" xfId="7384" xr:uid="{00000000-0005-0000-0000-0000AB210000}"/>
    <cellStyle name="SAPBEXstdItem 54" xfId="7385" xr:uid="{00000000-0005-0000-0000-0000AC210000}"/>
    <cellStyle name="SAPBEXstdItem 55" xfId="7386" xr:uid="{00000000-0005-0000-0000-0000AD210000}"/>
    <cellStyle name="SAPBEXstdItem 56" xfId="7387" xr:uid="{00000000-0005-0000-0000-0000AE210000}"/>
    <cellStyle name="SAPBEXstdItem 57" xfId="7388" xr:uid="{00000000-0005-0000-0000-0000AF210000}"/>
    <cellStyle name="SAPBEXstdItem 58" xfId="7389" xr:uid="{00000000-0005-0000-0000-0000B0210000}"/>
    <cellStyle name="SAPBEXstdItem 59" xfId="7390" xr:uid="{00000000-0005-0000-0000-0000B1210000}"/>
    <cellStyle name="SAPBEXstdItem 6" xfId="7391" xr:uid="{00000000-0005-0000-0000-0000B2210000}"/>
    <cellStyle name="SAPBEXstdItem 60" xfId="7392" xr:uid="{00000000-0005-0000-0000-0000B3210000}"/>
    <cellStyle name="SAPBEXstdItem 61" xfId="7393" xr:uid="{00000000-0005-0000-0000-0000B4210000}"/>
    <cellStyle name="SAPBEXstdItem 62" xfId="7394" xr:uid="{00000000-0005-0000-0000-0000B5210000}"/>
    <cellStyle name="SAPBEXstdItem 63" xfId="7395" xr:uid="{00000000-0005-0000-0000-0000B6210000}"/>
    <cellStyle name="SAPBEXstdItem 64" xfId="7396" xr:uid="{00000000-0005-0000-0000-0000B7210000}"/>
    <cellStyle name="SAPBEXstdItem 65" xfId="7397" xr:uid="{00000000-0005-0000-0000-0000B8210000}"/>
    <cellStyle name="SAPBEXstdItem 66" xfId="7398" xr:uid="{00000000-0005-0000-0000-0000B9210000}"/>
    <cellStyle name="SAPBEXstdItem 67" xfId="7399" xr:uid="{00000000-0005-0000-0000-0000BA210000}"/>
    <cellStyle name="SAPBEXstdItem 68" xfId="7400" xr:uid="{00000000-0005-0000-0000-0000BB210000}"/>
    <cellStyle name="SAPBEXstdItem 69" xfId="7401" xr:uid="{00000000-0005-0000-0000-0000BC210000}"/>
    <cellStyle name="SAPBEXstdItem 7" xfId="7402" xr:uid="{00000000-0005-0000-0000-0000BD210000}"/>
    <cellStyle name="SAPBEXstdItem 70" xfId="7403" xr:uid="{00000000-0005-0000-0000-0000BE210000}"/>
    <cellStyle name="SAPBEXstdItem 71" xfId="7404" xr:uid="{00000000-0005-0000-0000-0000BF210000}"/>
    <cellStyle name="SAPBEXstdItem 72" xfId="7405" xr:uid="{00000000-0005-0000-0000-0000C0210000}"/>
    <cellStyle name="SAPBEXstdItem 73" xfId="7406" xr:uid="{00000000-0005-0000-0000-0000C1210000}"/>
    <cellStyle name="SAPBEXstdItem 74" xfId="7407" xr:uid="{00000000-0005-0000-0000-0000C2210000}"/>
    <cellStyle name="SAPBEXstdItem 75" xfId="7408" xr:uid="{00000000-0005-0000-0000-0000C3210000}"/>
    <cellStyle name="SAPBEXstdItem 76" xfId="7409" xr:uid="{00000000-0005-0000-0000-0000C4210000}"/>
    <cellStyle name="SAPBEXstdItem 77" xfId="7410" xr:uid="{00000000-0005-0000-0000-0000C5210000}"/>
    <cellStyle name="SAPBEXstdItem 78" xfId="7411" xr:uid="{00000000-0005-0000-0000-0000C6210000}"/>
    <cellStyle name="SAPBEXstdItem 79" xfId="7412" xr:uid="{00000000-0005-0000-0000-0000C7210000}"/>
    <cellStyle name="SAPBEXstdItem 8" xfId="7413" xr:uid="{00000000-0005-0000-0000-0000C8210000}"/>
    <cellStyle name="SAPBEXstdItem 80" xfId="7414" xr:uid="{00000000-0005-0000-0000-0000C9210000}"/>
    <cellStyle name="SAPBEXstdItem 81" xfId="7415" xr:uid="{00000000-0005-0000-0000-0000CA210000}"/>
    <cellStyle name="SAPBEXstdItem 82" xfId="7416" xr:uid="{00000000-0005-0000-0000-0000CB210000}"/>
    <cellStyle name="SAPBEXstdItem 83" xfId="7417" xr:uid="{00000000-0005-0000-0000-0000CC210000}"/>
    <cellStyle name="SAPBEXstdItem 84" xfId="7418" xr:uid="{00000000-0005-0000-0000-0000CD210000}"/>
    <cellStyle name="SAPBEXstdItem 85" xfId="7419" xr:uid="{00000000-0005-0000-0000-0000CE210000}"/>
    <cellStyle name="SAPBEXstdItem 86" xfId="7420" xr:uid="{00000000-0005-0000-0000-0000CF210000}"/>
    <cellStyle name="SAPBEXstdItem 87" xfId="7421" xr:uid="{00000000-0005-0000-0000-0000D0210000}"/>
    <cellStyle name="SAPBEXstdItem 88" xfId="7422" xr:uid="{00000000-0005-0000-0000-0000D1210000}"/>
    <cellStyle name="SAPBEXstdItem 89" xfId="7423" xr:uid="{00000000-0005-0000-0000-0000D2210000}"/>
    <cellStyle name="SAPBEXstdItem 9" xfId="7424" xr:uid="{00000000-0005-0000-0000-0000D3210000}"/>
    <cellStyle name="SAPBEXstdItem 90" xfId="7425" xr:uid="{00000000-0005-0000-0000-0000D4210000}"/>
    <cellStyle name="SAPBEXstdItem 91" xfId="7426" xr:uid="{00000000-0005-0000-0000-0000D5210000}"/>
    <cellStyle name="SAPBEXstdItem 92" xfId="7427" xr:uid="{00000000-0005-0000-0000-0000D6210000}"/>
    <cellStyle name="SAPBEXstdItem 93" xfId="7428" xr:uid="{00000000-0005-0000-0000-0000D7210000}"/>
    <cellStyle name="SAPBEXstdItem 94" xfId="7429" xr:uid="{00000000-0005-0000-0000-0000D8210000}"/>
    <cellStyle name="SAPBEXstdItem 95" xfId="7430" xr:uid="{00000000-0005-0000-0000-0000D9210000}"/>
    <cellStyle name="SAPBEXstdItem 96" xfId="7431" xr:uid="{00000000-0005-0000-0000-0000DA210000}"/>
    <cellStyle name="SAPBEXstdItem 97" xfId="7432" xr:uid="{00000000-0005-0000-0000-0000DB210000}"/>
    <cellStyle name="SAPBEXstdItem 98" xfId="7433" xr:uid="{00000000-0005-0000-0000-0000DC210000}"/>
    <cellStyle name="SAPBEXstdItem 99" xfId="7434" xr:uid="{00000000-0005-0000-0000-0000DD210000}"/>
    <cellStyle name="SAPBEXstdItem_(A-7) IS-Inputs" xfId="7435" xr:uid="{00000000-0005-0000-0000-0000DE210000}"/>
    <cellStyle name="SAPBEXstdItemX" xfId="7436" xr:uid="{00000000-0005-0000-0000-0000DF210000}"/>
    <cellStyle name="SAPBEXstdItemX 10" xfId="7437" xr:uid="{00000000-0005-0000-0000-0000E0210000}"/>
    <cellStyle name="SAPBEXstdItemX 11" xfId="7438" xr:uid="{00000000-0005-0000-0000-0000E1210000}"/>
    <cellStyle name="SAPBEXstdItemX 12" xfId="7439" xr:uid="{00000000-0005-0000-0000-0000E2210000}"/>
    <cellStyle name="SAPBEXstdItemX 13" xfId="7440" xr:uid="{00000000-0005-0000-0000-0000E3210000}"/>
    <cellStyle name="SAPBEXstdItemX 14" xfId="7441" xr:uid="{00000000-0005-0000-0000-0000E4210000}"/>
    <cellStyle name="SAPBEXstdItemX 15" xfId="7442" xr:uid="{00000000-0005-0000-0000-0000E5210000}"/>
    <cellStyle name="SAPBEXstdItemX 16" xfId="7443" xr:uid="{00000000-0005-0000-0000-0000E6210000}"/>
    <cellStyle name="SAPBEXstdItemX 17" xfId="7444" xr:uid="{00000000-0005-0000-0000-0000E7210000}"/>
    <cellStyle name="SAPBEXstdItemX 18" xfId="7445" xr:uid="{00000000-0005-0000-0000-0000E8210000}"/>
    <cellStyle name="SAPBEXstdItemX 19" xfId="7446" xr:uid="{00000000-0005-0000-0000-0000E9210000}"/>
    <cellStyle name="SAPBEXstdItemX 2" xfId="7447" xr:uid="{00000000-0005-0000-0000-0000EA210000}"/>
    <cellStyle name="SAPBEXstdItemX 2 2" xfId="7448" xr:uid="{00000000-0005-0000-0000-0000EB210000}"/>
    <cellStyle name="SAPBEXstdItemX 20" xfId="7449" xr:uid="{00000000-0005-0000-0000-0000EC210000}"/>
    <cellStyle name="SAPBEXstdItemX 21" xfId="7450" xr:uid="{00000000-0005-0000-0000-0000ED210000}"/>
    <cellStyle name="SAPBEXstdItemX 22" xfId="7451" xr:uid="{00000000-0005-0000-0000-0000EE210000}"/>
    <cellStyle name="SAPBEXstdItemX 23" xfId="7452" xr:uid="{00000000-0005-0000-0000-0000EF210000}"/>
    <cellStyle name="SAPBEXstdItemX 24" xfId="7453" xr:uid="{00000000-0005-0000-0000-0000F0210000}"/>
    <cellStyle name="SAPBEXstdItemX 25" xfId="7454" xr:uid="{00000000-0005-0000-0000-0000F1210000}"/>
    <cellStyle name="SAPBEXstdItemX 26" xfId="7455" xr:uid="{00000000-0005-0000-0000-0000F2210000}"/>
    <cellStyle name="SAPBEXstdItemX 27" xfId="7456" xr:uid="{00000000-0005-0000-0000-0000F3210000}"/>
    <cellStyle name="SAPBEXstdItemX 28" xfId="7457" xr:uid="{00000000-0005-0000-0000-0000F4210000}"/>
    <cellStyle name="SAPBEXstdItemX 29" xfId="7458" xr:uid="{00000000-0005-0000-0000-0000F5210000}"/>
    <cellStyle name="SAPBEXstdItemX 3" xfId="7459" xr:uid="{00000000-0005-0000-0000-0000F6210000}"/>
    <cellStyle name="SAPBEXstdItemX 30" xfId="7460" xr:uid="{00000000-0005-0000-0000-0000F7210000}"/>
    <cellStyle name="SAPBEXstdItemX 31" xfId="7461" xr:uid="{00000000-0005-0000-0000-0000F8210000}"/>
    <cellStyle name="SAPBEXstdItemX 32" xfId="7462" xr:uid="{00000000-0005-0000-0000-0000F9210000}"/>
    <cellStyle name="SAPBEXstdItemX 33" xfId="7463" xr:uid="{00000000-0005-0000-0000-0000FA210000}"/>
    <cellStyle name="SAPBEXstdItemX 34" xfId="7464" xr:uid="{00000000-0005-0000-0000-0000FB210000}"/>
    <cellStyle name="SAPBEXstdItemX 35" xfId="7465" xr:uid="{00000000-0005-0000-0000-0000FC210000}"/>
    <cellStyle name="SAPBEXstdItemX 36" xfId="7466" xr:uid="{00000000-0005-0000-0000-0000FD210000}"/>
    <cellStyle name="SAPBEXstdItemX 37" xfId="7467" xr:uid="{00000000-0005-0000-0000-0000FE210000}"/>
    <cellStyle name="SAPBEXstdItemX 38" xfId="7468" xr:uid="{00000000-0005-0000-0000-0000FF210000}"/>
    <cellStyle name="SAPBEXstdItemX 39" xfId="7469" xr:uid="{00000000-0005-0000-0000-000000220000}"/>
    <cellStyle name="SAPBEXstdItemX 4" xfId="7470" xr:uid="{00000000-0005-0000-0000-000001220000}"/>
    <cellStyle name="SAPBEXstdItemX 40" xfId="7471" xr:uid="{00000000-0005-0000-0000-000002220000}"/>
    <cellStyle name="SAPBEXstdItemX 41" xfId="7472" xr:uid="{00000000-0005-0000-0000-000003220000}"/>
    <cellStyle name="SAPBEXstdItemX 42" xfId="7473" xr:uid="{00000000-0005-0000-0000-000004220000}"/>
    <cellStyle name="SAPBEXstdItemX 43" xfId="7474" xr:uid="{00000000-0005-0000-0000-000005220000}"/>
    <cellStyle name="SAPBEXstdItemX 44" xfId="7475" xr:uid="{00000000-0005-0000-0000-000006220000}"/>
    <cellStyle name="SAPBEXstdItemX 45" xfId="7476" xr:uid="{00000000-0005-0000-0000-000007220000}"/>
    <cellStyle name="SAPBEXstdItemX 46" xfId="7477" xr:uid="{00000000-0005-0000-0000-000008220000}"/>
    <cellStyle name="SAPBEXstdItemX 5" xfId="7478" xr:uid="{00000000-0005-0000-0000-000009220000}"/>
    <cellStyle name="SAPBEXstdItemX 6" xfId="7479" xr:uid="{00000000-0005-0000-0000-00000A220000}"/>
    <cellStyle name="SAPBEXstdItemX 7" xfId="7480" xr:uid="{00000000-0005-0000-0000-00000B220000}"/>
    <cellStyle name="SAPBEXstdItemX 8" xfId="7481" xr:uid="{00000000-0005-0000-0000-00000C220000}"/>
    <cellStyle name="SAPBEXstdItemX 9" xfId="7482" xr:uid="{00000000-0005-0000-0000-00000D220000}"/>
    <cellStyle name="SAPBEXtitle" xfId="7483" xr:uid="{00000000-0005-0000-0000-00000E220000}"/>
    <cellStyle name="SAPBEXtitle 10" xfId="7484" xr:uid="{00000000-0005-0000-0000-00000F220000}"/>
    <cellStyle name="SAPBEXtitle 11" xfId="7485" xr:uid="{00000000-0005-0000-0000-000010220000}"/>
    <cellStyle name="SAPBEXtitle 12" xfId="7486" xr:uid="{00000000-0005-0000-0000-000011220000}"/>
    <cellStyle name="SAPBEXtitle 13" xfId="7487" xr:uid="{00000000-0005-0000-0000-000012220000}"/>
    <cellStyle name="SAPBEXtitle 14" xfId="7488" xr:uid="{00000000-0005-0000-0000-000013220000}"/>
    <cellStyle name="SAPBEXtitle 15" xfId="7489" xr:uid="{00000000-0005-0000-0000-000014220000}"/>
    <cellStyle name="SAPBEXtitle 16" xfId="7490" xr:uid="{00000000-0005-0000-0000-000015220000}"/>
    <cellStyle name="SAPBEXtitle 17" xfId="7491" xr:uid="{00000000-0005-0000-0000-000016220000}"/>
    <cellStyle name="SAPBEXtitle 18" xfId="7492" xr:uid="{00000000-0005-0000-0000-000017220000}"/>
    <cellStyle name="SAPBEXtitle 19" xfId="7493" xr:uid="{00000000-0005-0000-0000-000018220000}"/>
    <cellStyle name="SAPBEXtitle 2" xfId="7494" xr:uid="{00000000-0005-0000-0000-000019220000}"/>
    <cellStyle name="SAPBEXtitle 2 2" xfId="7495" xr:uid="{00000000-0005-0000-0000-00001A220000}"/>
    <cellStyle name="SAPBEXtitle 20" xfId="7496" xr:uid="{00000000-0005-0000-0000-00001B220000}"/>
    <cellStyle name="SAPBEXtitle 21" xfId="7497" xr:uid="{00000000-0005-0000-0000-00001C220000}"/>
    <cellStyle name="SAPBEXtitle 22" xfId="7498" xr:uid="{00000000-0005-0000-0000-00001D220000}"/>
    <cellStyle name="SAPBEXtitle 23" xfId="7499" xr:uid="{00000000-0005-0000-0000-00001E220000}"/>
    <cellStyle name="SAPBEXtitle 24" xfId="7500" xr:uid="{00000000-0005-0000-0000-00001F220000}"/>
    <cellStyle name="SAPBEXtitle 25" xfId="7501" xr:uid="{00000000-0005-0000-0000-000020220000}"/>
    <cellStyle name="SAPBEXtitle 26" xfId="7502" xr:uid="{00000000-0005-0000-0000-000021220000}"/>
    <cellStyle name="SAPBEXtitle 27" xfId="7503" xr:uid="{00000000-0005-0000-0000-000022220000}"/>
    <cellStyle name="SAPBEXtitle 28" xfId="7504" xr:uid="{00000000-0005-0000-0000-000023220000}"/>
    <cellStyle name="SAPBEXtitle 29" xfId="7505" xr:uid="{00000000-0005-0000-0000-000024220000}"/>
    <cellStyle name="SAPBEXtitle 3" xfId="7506" xr:uid="{00000000-0005-0000-0000-000025220000}"/>
    <cellStyle name="SAPBEXtitle 30" xfId="7507" xr:uid="{00000000-0005-0000-0000-000026220000}"/>
    <cellStyle name="SAPBEXtitle 31" xfId="7508" xr:uid="{00000000-0005-0000-0000-000027220000}"/>
    <cellStyle name="SAPBEXtitle 32" xfId="7509" xr:uid="{00000000-0005-0000-0000-000028220000}"/>
    <cellStyle name="SAPBEXtitle 33" xfId="7510" xr:uid="{00000000-0005-0000-0000-000029220000}"/>
    <cellStyle name="SAPBEXtitle 34" xfId="7511" xr:uid="{00000000-0005-0000-0000-00002A220000}"/>
    <cellStyle name="SAPBEXtitle 35" xfId="7512" xr:uid="{00000000-0005-0000-0000-00002B220000}"/>
    <cellStyle name="SAPBEXtitle 36" xfId="7513" xr:uid="{00000000-0005-0000-0000-00002C220000}"/>
    <cellStyle name="SAPBEXtitle 37" xfId="7514" xr:uid="{00000000-0005-0000-0000-00002D220000}"/>
    <cellStyle name="SAPBEXtitle 38" xfId="7515" xr:uid="{00000000-0005-0000-0000-00002E220000}"/>
    <cellStyle name="SAPBEXtitle 39" xfId="7516" xr:uid="{00000000-0005-0000-0000-00002F220000}"/>
    <cellStyle name="SAPBEXtitle 4" xfId="7517" xr:uid="{00000000-0005-0000-0000-000030220000}"/>
    <cellStyle name="SAPBEXtitle 40" xfId="7518" xr:uid="{00000000-0005-0000-0000-000031220000}"/>
    <cellStyle name="SAPBEXtitle 41" xfId="7519" xr:uid="{00000000-0005-0000-0000-000032220000}"/>
    <cellStyle name="SAPBEXtitle 42" xfId="7520" xr:uid="{00000000-0005-0000-0000-000033220000}"/>
    <cellStyle name="SAPBEXtitle 43" xfId="7521" xr:uid="{00000000-0005-0000-0000-000034220000}"/>
    <cellStyle name="SAPBEXtitle 44" xfId="7522" xr:uid="{00000000-0005-0000-0000-000035220000}"/>
    <cellStyle name="SAPBEXtitle 45" xfId="7523" xr:uid="{00000000-0005-0000-0000-000036220000}"/>
    <cellStyle name="SAPBEXtitle 46" xfId="7524" xr:uid="{00000000-0005-0000-0000-000037220000}"/>
    <cellStyle name="SAPBEXtitle 5" xfId="7525" xr:uid="{00000000-0005-0000-0000-000038220000}"/>
    <cellStyle name="SAPBEXtitle 6" xfId="7526" xr:uid="{00000000-0005-0000-0000-000039220000}"/>
    <cellStyle name="SAPBEXtitle 7" xfId="7527" xr:uid="{00000000-0005-0000-0000-00003A220000}"/>
    <cellStyle name="SAPBEXtitle 8" xfId="7528" xr:uid="{00000000-0005-0000-0000-00003B220000}"/>
    <cellStyle name="SAPBEXtitle 9" xfId="7529" xr:uid="{00000000-0005-0000-0000-00003C220000}"/>
    <cellStyle name="SAPBEXunassignedItem" xfId="7530" xr:uid="{00000000-0005-0000-0000-00003D220000}"/>
    <cellStyle name="SAPBEXunassignedItem 10" xfId="7531" xr:uid="{00000000-0005-0000-0000-00003E220000}"/>
    <cellStyle name="SAPBEXunassignedItem 10 2" xfId="7532" xr:uid="{00000000-0005-0000-0000-00003F220000}"/>
    <cellStyle name="SAPBEXunassignedItem 10 3" xfId="7533" xr:uid="{00000000-0005-0000-0000-000040220000}"/>
    <cellStyle name="SAPBEXunassignedItem 10 4" xfId="7534" xr:uid="{00000000-0005-0000-0000-000041220000}"/>
    <cellStyle name="SAPBEXunassignedItem 10 5" xfId="7535" xr:uid="{00000000-0005-0000-0000-000042220000}"/>
    <cellStyle name="SAPBEXunassignedItem 10 6" xfId="7536" xr:uid="{00000000-0005-0000-0000-000043220000}"/>
    <cellStyle name="SAPBEXunassignedItem 100" xfId="7537" xr:uid="{00000000-0005-0000-0000-000044220000}"/>
    <cellStyle name="SAPBEXunassignedItem 101" xfId="7538" xr:uid="{00000000-0005-0000-0000-000045220000}"/>
    <cellStyle name="SAPBEXunassignedItem 102" xfId="7539" xr:uid="{00000000-0005-0000-0000-000046220000}"/>
    <cellStyle name="SAPBEXunassignedItem 103" xfId="7540" xr:uid="{00000000-0005-0000-0000-000047220000}"/>
    <cellStyle name="SAPBEXunassignedItem 104" xfId="7541" xr:uid="{00000000-0005-0000-0000-000048220000}"/>
    <cellStyle name="SAPBEXunassignedItem 105" xfId="7542" xr:uid="{00000000-0005-0000-0000-000049220000}"/>
    <cellStyle name="SAPBEXunassignedItem 106" xfId="7543" xr:uid="{00000000-0005-0000-0000-00004A220000}"/>
    <cellStyle name="SAPBEXunassignedItem 107" xfId="7544" xr:uid="{00000000-0005-0000-0000-00004B220000}"/>
    <cellStyle name="SAPBEXunassignedItem 108" xfId="7545" xr:uid="{00000000-0005-0000-0000-00004C220000}"/>
    <cellStyle name="SAPBEXunassignedItem 109" xfId="7546" xr:uid="{00000000-0005-0000-0000-00004D220000}"/>
    <cellStyle name="SAPBEXunassignedItem 11" xfId="7547" xr:uid="{00000000-0005-0000-0000-00004E220000}"/>
    <cellStyle name="SAPBEXunassignedItem 11 2" xfId="7548" xr:uid="{00000000-0005-0000-0000-00004F220000}"/>
    <cellStyle name="SAPBEXunassignedItem 11 3" xfId="7549" xr:uid="{00000000-0005-0000-0000-000050220000}"/>
    <cellStyle name="SAPBEXunassignedItem 11 4" xfId="7550" xr:uid="{00000000-0005-0000-0000-000051220000}"/>
    <cellStyle name="SAPBEXunassignedItem 11 5" xfId="7551" xr:uid="{00000000-0005-0000-0000-000052220000}"/>
    <cellStyle name="SAPBEXunassignedItem 11 6" xfId="7552" xr:uid="{00000000-0005-0000-0000-000053220000}"/>
    <cellStyle name="SAPBEXunassignedItem 12" xfId="7553" xr:uid="{00000000-0005-0000-0000-000054220000}"/>
    <cellStyle name="SAPBEXunassignedItem 12 2" xfId="7554" xr:uid="{00000000-0005-0000-0000-000055220000}"/>
    <cellStyle name="SAPBEXunassignedItem 12 3" xfId="7555" xr:uid="{00000000-0005-0000-0000-000056220000}"/>
    <cellStyle name="SAPBEXunassignedItem 12 4" xfId="7556" xr:uid="{00000000-0005-0000-0000-000057220000}"/>
    <cellStyle name="SAPBEXunassignedItem 12 5" xfId="7557" xr:uid="{00000000-0005-0000-0000-000058220000}"/>
    <cellStyle name="SAPBEXunassignedItem 12 6" xfId="7558" xr:uid="{00000000-0005-0000-0000-000059220000}"/>
    <cellStyle name="SAPBEXunassignedItem 13" xfId="7559" xr:uid="{00000000-0005-0000-0000-00005A220000}"/>
    <cellStyle name="SAPBEXunassignedItem 13 2" xfId="7560" xr:uid="{00000000-0005-0000-0000-00005B220000}"/>
    <cellStyle name="SAPBEXunassignedItem 13 3" xfId="7561" xr:uid="{00000000-0005-0000-0000-00005C220000}"/>
    <cellStyle name="SAPBEXunassignedItem 13 4" xfId="7562" xr:uid="{00000000-0005-0000-0000-00005D220000}"/>
    <cellStyle name="SAPBEXunassignedItem 13 5" xfId="7563" xr:uid="{00000000-0005-0000-0000-00005E220000}"/>
    <cellStyle name="SAPBEXunassignedItem 13 6" xfId="7564" xr:uid="{00000000-0005-0000-0000-00005F220000}"/>
    <cellStyle name="SAPBEXunassignedItem 14" xfId="7565" xr:uid="{00000000-0005-0000-0000-000060220000}"/>
    <cellStyle name="SAPBEXunassignedItem 14 2" xfId="7566" xr:uid="{00000000-0005-0000-0000-000061220000}"/>
    <cellStyle name="SAPBEXunassignedItem 14 3" xfId="7567" xr:uid="{00000000-0005-0000-0000-000062220000}"/>
    <cellStyle name="SAPBEXunassignedItem 14 4" xfId="7568" xr:uid="{00000000-0005-0000-0000-000063220000}"/>
    <cellStyle name="SAPBEXunassignedItem 14 5" xfId="7569" xr:uid="{00000000-0005-0000-0000-000064220000}"/>
    <cellStyle name="SAPBEXunassignedItem 14 6" xfId="7570" xr:uid="{00000000-0005-0000-0000-000065220000}"/>
    <cellStyle name="SAPBEXunassignedItem 15" xfId="7571" xr:uid="{00000000-0005-0000-0000-000066220000}"/>
    <cellStyle name="SAPBEXunassignedItem 15 2" xfId="7572" xr:uid="{00000000-0005-0000-0000-000067220000}"/>
    <cellStyle name="SAPBEXunassignedItem 15 3" xfId="7573" xr:uid="{00000000-0005-0000-0000-000068220000}"/>
    <cellStyle name="SAPBEXunassignedItem 15 4" xfId="7574" xr:uid="{00000000-0005-0000-0000-000069220000}"/>
    <cellStyle name="SAPBEXunassignedItem 15 5" xfId="7575" xr:uid="{00000000-0005-0000-0000-00006A220000}"/>
    <cellStyle name="SAPBEXunassignedItem 15 6" xfId="7576" xr:uid="{00000000-0005-0000-0000-00006B220000}"/>
    <cellStyle name="SAPBEXunassignedItem 16" xfId="7577" xr:uid="{00000000-0005-0000-0000-00006C220000}"/>
    <cellStyle name="SAPBEXunassignedItem 16 2" xfId="7578" xr:uid="{00000000-0005-0000-0000-00006D220000}"/>
    <cellStyle name="SAPBEXunassignedItem 16 3" xfId="7579" xr:uid="{00000000-0005-0000-0000-00006E220000}"/>
    <cellStyle name="SAPBEXunassignedItem 16 4" xfId="7580" xr:uid="{00000000-0005-0000-0000-00006F220000}"/>
    <cellStyle name="SAPBEXunassignedItem 16 5" xfId="7581" xr:uid="{00000000-0005-0000-0000-000070220000}"/>
    <cellStyle name="SAPBEXunassignedItem 16 6" xfId="7582" xr:uid="{00000000-0005-0000-0000-000071220000}"/>
    <cellStyle name="SAPBEXunassignedItem 17" xfId="7583" xr:uid="{00000000-0005-0000-0000-000072220000}"/>
    <cellStyle name="SAPBEXunassignedItem 17 2" xfId="7584" xr:uid="{00000000-0005-0000-0000-000073220000}"/>
    <cellStyle name="SAPBEXunassignedItem 17 3" xfId="7585" xr:uid="{00000000-0005-0000-0000-000074220000}"/>
    <cellStyle name="SAPBEXunassignedItem 17 4" xfId="7586" xr:uid="{00000000-0005-0000-0000-000075220000}"/>
    <cellStyle name="SAPBEXunassignedItem 17 5" xfId="7587" xr:uid="{00000000-0005-0000-0000-000076220000}"/>
    <cellStyle name="SAPBEXunassignedItem 17 6" xfId="7588" xr:uid="{00000000-0005-0000-0000-000077220000}"/>
    <cellStyle name="SAPBEXunassignedItem 18" xfId="7589" xr:uid="{00000000-0005-0000-0000-000078220000}"/>
    <cellStyle name="SAPBEXunassignedItem 18 2" xfId="7590" xr:uid="{00000000-0005-0000-0000-000079220000}"/>
    <cellStyle name="SAPBEXunassignedItem 18 3" xfId="7591" xr:uid="{00000000-0005-0000-0000-00007A220000}"/>
    <cellStyle name="SAPBEXunassignedItem 18 4" xfId="7592" xr:uid="{00000000-0005-0000-0000-00007B220000}"/>
    <cellStyle name="SAPBEXunassignedItem 18 5" xfId="7593" xr:uid="{00000000-0005-0000-0000-00007C220000}"/>
    <cellStyle name="SAPBEXunassignedItem 18 6" xfId="7594" xr:uid="{00000000-0005-0000-0000-00007D220000}"/>
    <cellStyle name="SAPBEXunassignedItem 19" xfId="7595" xr:uid="{00000000-0005-0000-0000-00007E220000}"/>
    <cellStyle name="SAPBEXunassignedItem 19 2" xfId="7596" xr:uid="{00000000-0005-0000-0000-00007F220000}"/>
    <cellStyle name="SAPBEXunassignedItem 19 3" xfId="7597" xr:uid="{00000000-0005-0000-0000-000080220000}"/>
    <cellStyle name="SAPBEXunassignedItem 19 4" xfId="7598" xr:uid="{00000000-0005-0000-0000-000081220000}"/>
    <cellStyle name="SAPBEXunassignedItem 19 5" xfId="7599" xr:uid="{00000000-0005-0000-0000-000082220000}"/>
    <cellStyle name="SAPBEXunassignedItem 19 6" xfId="7600" xr:uid="{00000000-0005-0000-0000-000083220000}"/>
    <cellStyle name="SAPBEXunassignedItem 2" xfId="7601" xr:uid="{00000000-0005-0000-0000-000084220000}"/>
    <cellStyle name="SAPBEXunassignedItem 2 2" xfId="7602" xr:uid="{00000000-0005-0000-0000-000085220000}"/>
    <cellStyle name="SAPBEXunassignedItem 2 3" xfId="7603" xr:uid="{00000000-0005-0000-0000-000086220000}"/>
    <cellStyle name="SAPBEXunassignedItem 2 4" xfId="7604" xr:uid="{00000000-0005-0000-0000-000087220000}"/>
    <cellStyle name="SAPBEXunassignedItem 2 5" xfId="7605" xr:uid="{00000000-0005-0000-0000-000088220000}"/>
    <cellStyle name="SAPBEXunassignedItem 2 6" xfId="7606" xr:uid="{00000000-0005-0000-0000-000089220000}"/>
    <cellStyle name="SAPBEXunassignedItem 20" xfId="7607" xr:uid="{00000000-0005-0000-0000-00008A220000}"/>
    <cellStyle name="SAPBEXunassignedItem 20 2" xfId="7608" xr:uid="{00000000-0005-0000-0000-00008B220000}"/>
    <cellStyle name="SAPBEXunassignedItem 20 3" xfId="7609" xr:uid="{00000000-0005-0000-0000-00008C220000}"/>
    <cellStyle name="SAPBEXunassignedItem 20 4" xfId="7610" xr:uid="{00000000-0005-0000-0000-00008D220000}"/>
    <cellStyle name="SAPBEXunassignedItem 20 5" xfId="7611" xr:uid="{00000000-0005-0000-0000-00008E220000}"/>
    <cellStyle name="SAPBEXunassignedItem 20 6" xfId="7612" xr:uid="{00000000-0005-0000-0000-00008F220000}"/>
    <cellStyle name="SAPBEXunassignedItem 21" xfId="7613" xr:uid="{00000000-0005-0000-0000-000090220000}"/>
    <cellStyle name="SAPBEXunassignedItem 21 2" xfId="7614" xr:uid="{00000000-0005-0000-0000-000091220000}"/>
    <cellStyle name="SAPBEXunassignedItem 21 3" xfId="7615" xr:uid="{00000000-0005-0000-0000-000092220000}"/>
    <cellStyle name="SAPBEXunassignedItem 21 4" xfId="7616" xr:uid="{00000000-0005-0000-0000-000093220000}"/>
    <cellStyle name="SAPBEXunassignedItem 21 5" xfId="7617" xr:uid="{00000000-0005-0000-0000-000094220000}"/>
    <cellStyle name="SAPBEXunassignedItem 21 6" xfId="7618" xr:uid="{00000000-0005-0000-0000-000095220000}"/>
    <cellStyle name="SAPBEXunassignedItem 22" xfId="7619" xr:uid="{00000000-0005-0000-0000-000096220000}"/>
    <cellStyle name="SAPBEXunassignedItem 22 2" xfId="7620" xr:uid="{00000000-0005-0000-0000-000097220000}"/>
    <cellStyle name="SAPBEXunassignedItem 22 3" xfId="7621" xr:uid="{00000000-0005-0000-0000-000098220000}"/>
    <cellStyle name="SAPBEXunassignedItem 22 4" xfId="7622" xr:uid="{00000000-0005-0000-0000-000099220000}"/>
    <cellStyle name="SAPBEXunassignedItem 22 5" xfId="7623" xr:uid="{00000000-0005-0000-0000-00009A220000}"/>
    <cellStyle name="SAPBEXunassignedItem 22 6" xfId="7624" xr:uid="{00000000-0005-0000-0000-00009B220000}"/>
    <cellStyle name="SAPBEXunassignedItem 23" xfId="7625" xr:uid="{00000000-0005-0000-0000-00009C220000}"/>
    <cellStyle name="SAPBEXunassignedItem 23 2" xfId="7626" xr:uid="{00000000-0005-0000-0000-00009D220000}"/>
    <cellStyle name="SAPBEXunassignedItem 23 3" xfId="7627" xr:uid="{00000000-0005-0000-0000-00009E220000}"/>
    <cellStyle name="SAPBEXunassignedItem 23 4" xfId="7628" xr:uid="{00000000-0005-0000-0000-00009F220000}"/>
    <cellStyle name="SAPBEXunassignedItem 23 5" xfId="7629" xr:uid="{00000000-0005-0000-0000-0000A0220000}"/>
    <cellStyle name="SAPBEXunassignedItem 23 6" xfId="7630" xr:uid="{00000000-0005-0000-0000-0000A1220000}"/>
    <cellStyle name="SAPBEXunassignedItem 24" xfId="7631" xr:uid="{00000000-0005-0000-0000-0000A2220000}"/>
    <cellStyle name="SAPBEXunassignedItem 24 2" xfId="7632" xr:uid="{00000000-0005-0000-0000-0000A3220000}"/>
    <cellStyle name="SAPBEXunassignedItem 24 3" xfId="7633" xr:uid="{00000000-0005-0000-0000-0000A4220000}"/>
    <cellStyle name="SAPBEXunassignedItem 24 4" xfId="7634" xr:uid="{00000000-0005-0000-0000-0000A5220000}"/>
    <cellStyle name="SAPBEXunassignedItem 24 5" xfId="7635" xr:uid="{00000000-0005-0000-0000-0000A6220000}"/>
    <cellStyle name="SAPBEXunassignedItem 24 6" xfId="7636" xr:uid="{00000000-0005-0000-0000-0000A7220000}"/>
    <cellStyle name="SAPBEXunassignedItem 25" xfId="7637" xr:uid="{00000000-0005-0000-0000-0000A8220000}"/>
    <cellStyle name="SAPBEXunassignedItem 25 2" xfId="7638" xr:uid="{00000000-0005-0000-0000-0000A9220000}"/>
    <cellStyle name="SAPBEXunassignedItem 25 3" xfId="7639" xr:uid="{00000000-0005-0000-0000-0000AA220000}"/>
    <cellStyle name="SAPBEXunassignedItem 25 4" xfId="7640" xr:uid="{00000000-0005-0000-0000-0000AB220000}"/>
    <cellStyle name="SAPBEXunassignedItem 25 5" xfId="7641" xr:uid="{00000000-0005-0000-0000-0000AC220000}"/>
    <cellStyle name="SAPBEXunassignedItem 25 6" xfId="7642" xr:uid="{00000000-0005-0000-0000-0000AD220000}"/>
    <cellStyle name="SAPBEXunassignedItem 26" xfId="7643" xr:uid="{00000000-0005-0000-0000-0000AE220000}"/>
    <cellStyle name="SAPBEXunassignedItem 26 2" xfId="7644" xr:uid="{00000000-0005-0000-0000-0000AF220000}"/>
    <cellStyle name="SAPBEXunassignedItem 26 3" xfId="7645" xr:uid="{00000000-0005-0000-0000-0000B0220000}"/>
    <cellStyle name="SAPBEXunassignedItem 26 4" xfId="7646" xr:uid="{00000000-0005-0000-0000-0000B1220000}"/>
    <cellStyle name="SAPBEXunassignedItem 26 5" xfId="7647" xr:uid="{00000000-0005-0000-0000-0000B2220000}"/>
    <cellStyle name="SAPBEXunassignedItem 26 6" xfId="7648" xr:uid="{00000000-0005-0000-0000-0000B3220000}"/>
    <cellStyle name="SAPBEXunassignedItem 27" xfId="7649" xr:uid="{00000000-0005-0000-0000-0000B4220000}"/>
    <cellStyle name="SAPBEXunassignedItem 27 2" xfId="7650" xr:uid="{00000000-0005-0000-0000-0000B5220000}"/>
    <cellStyle name="SAPBEXunassignedItem 27 3" xfId="7651" xr:uid="{00000000-0005-0000-0000-0000B6220000}"/>
    <cellStyle name="SAPBEXunassignedItem 27 4" xfId="7652" xr:uid="{00000000-0005-0000-0000-0000B7220000}"/>
    <cellStyle name="SAPBEXunassignedItem 27 5" xfId="7653" xr:uid="{00000000-0005-0000-0000-0000B8220000}"/>
    <cellStyle name="SAPBEXunassignedItem 27 6" xfId="7654" xr:uid="{00000000-0005-0000-0000-0000B9220000}"/>
    <cellStyle name="SAPBEXunassignedItem 28" xfId="7655" xr:uid="{00000000-0005-0000-0000-0000BA220000}"/>
    <cellStyle name="SAPBEXunassignedItem 28 2" xfId="7656" xr:uid="{00000000-0005-0000-0000-0000BB220000}"/>
    <cellStyle name="SAPBEXunassignedItem 28 3" xfId="7657" xr:uid="{00000000-0005-0000-0000-0000BC220000}"/>
    <cellStyle name="SAPBEXunassignedItem 28 4" xfId="7658" xr:uid="{00000000-0005-0000-0000-0000BD220000}"/>
    <cellStyle name="SAPBEXunassignedItem 28 5" xfId="7659" xr:uid="{00000000-0005-0000-0000-0000BE220000}"/>
    <cellStyle name="SAPBEXunassignedItem 28 6" xfId="7660" xr:uid="{00000000-0005-0000-0000-0000BF220000}"/>
    <cellStyle name="SAPBEXunassignedItem 29" xfId="7661" xr:uid="{00000000-0005-0000-0000-0000C0220000}"/>
    <cellStyle name="SAPBEXunassignedItem 29 2" xfId="7662" xr:uid="{00000000-0005-0000-0000-0000C1220000}"/>
    <cellStyle name="SAPBEXunassignedItem 29 3" xfId="7663" xr:uid="{00000000-0005-0000-0000-0000C2220000}"/>
    <cellStyle name="SAPBEXunassignedItem 29 4" xfId="7664" xr:uid="{00000000-0005-0000-0000-0000C3220000}"/>
    <cellStyle name="SAPBEXunassignedItem 29 5" xfId="7665" xr:uid="{00000000-0005-0000-0000-0000C4220000}"/>
    <cellStyle name="SAPBEXunassignedItem 29 6" xfId="7666" xr:uid="{00000000-0005-0000-0000-0000C5220000}"/>
    <cellStyle name="SAPBEXunassignedItem 3" xfId="7667" xr:uid="{00000000-0005-0000-0000-0000C6220000}"/>
    <cellStyle name="SAPBEXunassignedItem 3 2" xfId="7668" xr:uid="{00000000-0005-0000-0000-0000C7220000}"/>
    <cellStyle name="SAPBEXunassignedItem 3 3" xfId="7669" xr:uid="{00000000-0005-0000-0000-0000C8220000}"/>
    <cellStyle name="SAPBEXunassignedItem 3 4" xfId="7670" xr:uid="{00000000-0005-0000-0000-0000C9220000}"/>
    <cellStyle name="SAPBEXunassignedItem 3 5" xfId="7671" xr:uid="{00000000-0005-0000-0000-0000CA220000}"/>
    <cellStyle name="SAPBEXunassignedItem 3 6" xfId="7672" xr:uid="{00000000-0005-0000-0000-0000CB220000}"/>
    <cellStyle name="SAPBEXunassignedItem 30" xfId="7673" xr:uid="{00000000-0005-0000-0000-0000CC220000}"/>
    <cellStyle name="SAPBEXunassignedItem 30 2" xfId="7674" xr:uid="{00000000-0005-0000-0000-0000CD220000}"/>
    <cellStyle name="SAPBEXunassignedItem 30 3" xfId="7675" xr:uid="{00000000-0005-0000-0000-0000CE220000}"/>
    <cellStyle name="SAPBEXunassignedItem 30 4" xfId="7676" xr:uid="{00000000-0005-0000-0000-0000CF220000}"/>
    <cellStyle name="SAPBEXunassignedItem 30 5" xfId="7677" xr:uid="{00000000-0005-0000-0000-0000D0220000}"/>
    <cellStyle name="SAPBEXunassignedItem 30 6" xfId="7678" xr:uid="{00000000-0005-0000-0000-0000D1220000}"/>
    <cellStyle name="SAPBEXunassignedItem 31" xfId="7679" xr:uid="{00000000-0005-0000-0000-0000D2220000}"/>
    <cellStyle name="SAPBEXunassignedItem 31 2" xfId="7680" xr:uid="{00000000-0005-0000-0000-0000D3220000}"/>
    <cellStyle name="SAPBEXunassignedItem 31 3" xfId="7681" xr:uid="{00000000-0005-0000-0000-0000D4220000}"/>
    <cellStyle name="SAPBEXunassignedItem 31 4" xfId="7682" xr:uid="{00000000-0005-0000-0000-0000D5220000}"/>
    <cellStyle name="SAPBEXunassignedItem 31 5" xfId="7683" xr:uid="{00000000-0005-0000-0000-0000D6220000}"/>
    <cellStyle name="SAPBEXunassignedItem 31 6" xfId="7684" xr:uid="{00000000-0005-0000-0000-0000D7220000}"/>
    <cellStyle name="SAPBEXunassignedItem 32" xfId="7685" xr:uid="{00000000-0005-0000-0000-0000D8220000}"/>
    <cellStyle name="SAPBEXunassignedItem 32 2" xfId="7686" xr:uid="{00000000-0005-0000-0000-0000D9220000}"/>
    <cellStyle name="SAPBEXunassignedItem 32 3" xfId="7687" xr:uid="{00000000-0005-0000-0000-0000DA220000}"/>
    <cellStyle name="SAPBEXunassignedItem 32 4" xfId="7688" xr:uid="{00000000-0005-0000-0000-0000DB220000}"/>
    <cellStyle name="SAPBEXunassignedItem 32 5" xfId="7689" xr:uid="{00000000-0005-0000-0000-0000DC220000}"/>
    <cellStyle name="SAPBEXunassignedItem 32 6" xfId="7690" xr:uid="{00000000-0005-0000-0000-0000DD220000}"/>
    <cellStyle name="SAPBEXunassignedItem 33" xfId="7691" xr:uid="{00000000-0005-0000-0000-0000DE220000}"/>
    <cellStyle name="SAPBEXunassignedItem 33 2" xfId="7692" xr:uid="{00000000-0005-0000-0000-0000DF220000}"/>
    <cellStyle name="SAPBEXunassignedItem 33 3" xfId="7693" xr:uid="{00000000-0005-0000-0000-0000E0220000}"/>
    <cellStyle name="SAPBEXunassignedItem 33 4" xfId="7694" xr:uid="{00000000-0005-0000-0000-0000E1220000}"/>
    <cellStyle name="SAPBEXunassignedItem 33 5" xfId="7695" xr:uid="{00000000-0005-0000-0000-0000E2220000}"/>
    <cellStyle name="SAPBEXunassignedItem 33 6" xfId="7696" xr:uid="{00000000-0005-0000-0000-0000E3220000}"/>
    <cellStyle name="SAPBEXunassignedItem 34" xfId="7697" xr:uid="{00000000-0005-0000-0000-0000E4220000}"/>
    <cellStyle name="SAPBEXunassignedItem 34 2" xfId="7698" xr:uid="{00000000-0005-0000-0000-0000E5220000}"/>
    <cellStyle name="SAPBEXunassignedItem 34 3" xfId="7699" xr:uid="{00000000-0005-0000-0000-0000E6220000}"/>
    <cellStyle name="SAPBEXunassignedItem 34 4" xfId="7700" xr:uid="{00000000-0005-0000-0000-0000E7220000}"/>
    <cellStyle name="SAPBEXunassignedItem 34 5" xfId="7701" xr:uid="{00000000-0005-0000-0000-0000E8220000}"/>
    <cellStyle name="SAPBEXunassignedItem 34 6" xfId="7702" xr:uid="{00000000-0005-0000-0000-0000E9220000}"/>
    <cellStyle name="SAPBEXunassignedItem 35" xfId="7703" xr:uid="{00000000-0005-0000-0000-0000EA220000}"/>
    <cellStyle name="SAPBEXunassignedItem 35 2" xfId="7704" xr:uid="{00000000-0005-0000-0000-0000EB220000}"/>
    <cellStyle name="SAPBEXunassignedItem 35 3" xfId="7705" xr:uid="{00000000-0005-0000-0000-0000EC220000}"/>
    <cellStyle name="SAPBEXunassignedItem 35 4" xfId="7706" xr:uid="{00000000-0005-0000-0000-0000ED220000}"/>
    <cellStyle name="SAPBEXunassignedItem 35 5" xfId="7707" xr:uid="{00000000-0005-0000-0000-0000EE220000}"/>
    <cellStyle name="SAPBEXunassignedItem 35 6" xfId="7708" xr:uid="{00000000-0005-0000-0000-0000EF220000}"/>
    <cellStyle name="SAPBEXunassignedItem 36" xfId="7709" xr:uid="{00000000-0005-0000-0000-0000F0220000}"/>
    <cellStyle name="SAPBEXunassignedItem 36 2" xfId="7710" xr:uid="{00000000-0005-0000-0000-0000F1220000}"/>
    <cellStyle name="SAPBEXunassignedItem 36 3" xfId="7711" xr:uid="{00000000-0005-0000-0000-0000F2220000}"/>
    <cellStyle name="SAPBEXunassignedItem 36 4" xfId="7712" xr:uid="{00000000-0005-0000-0000-0000F3220000}"/>
    <cellStyle name="SAPBEXunassignedItem 36 5" xfId="7713" xr:uid="{00000000-0005-0000-0000-0000F4220000}"/>
    <cellStyle name="SAPBEXunassignedItem 36 6" xfId="7714" xr:uid="{00000000-0005-0000-0000-0000F5220000}"/>
    <cellStyle name="SAPBEXunassignedItem 37" xfId="7715" xr:uid="{00000000-0005-0000-0000-0000F6220000}"/>
    <cellStyle name="SAPBEXunassignedItem 37 2" xfId="7716" xr:uid="{00000000-0005-0000-0000-0000F7220000}"/>
    <cellStyle name="SAPBEXunassignedItem 37 3" xfId="7717" xr:uid="{00000000-0005-0000-0000-0000F8220000}"/>
    <cellStyle name="SAPBEXunassignedItem 37 4" xfId="7718" xr:uid="{00000000-0005-0000-0000-0000F9220000}"/>
    <cellStyle name="SAPBEXunassignedItem 37 5" xfId="7719" xr:uid="{00000000-0005-0000-0000-0000FA220000}"/>
    <cellStyle name="SAPBEXunassignedItem 37 6" xfId="7720" xr:uid="{00000000-0005-0000-0000-0000FB220000}"/>
    <cellStyle name="SAPBEXunassignedItem 38" xfId="7721" xr:uid="{00000000-0005-0000-0000-0000FC220000}"/>
    <cellStyle name="SAPBEXunassignedItem 38 2" xfId="7722" xr:uid="{00000000-0005-0000-0000-0000FD220000}"/>
    <cellStyle name="SAPBEXunassignedItem 38 3" xfId="7723" xr:uid="{00000000-0005-0000-0000-0000FE220000}"/>
    <cellStyle name="SAPBEXunassignedItem 38 4" xfId="7724" xr:uid="{00000000-0005-0000-0000-0000FF220000}"/>
    <cellStyle name="SAPBEXunassignedItem 38 5" xfId="7725" xr:uid="{00000000-0005-0000-0000-000000230000}"/>
    <cellStyle name="SAPBEXunassignedItem 38 6" xfId="7726" xr:uid="{00000000-0005-0000-0000-000001230000}"/>
    <cellStyle name="SAPBEXunassignedItem 39" xfId="7727" xr:uid="{00000000-0005-0000-0000-000002230000}"/>
    <cellStyle name="SAPBEXunassignedItem 39 2" xfId="7728" xr:uid="{00000000-0005-0000-0000-000003230000}"/>
    <cellStyle name="SAPBEXunassignedItem 39 3" xfId="7729" xr:uid="{00000000-0005-0000-0000-000004230000}"/>
    <cellStyle name="SAPBEXunassignedItem 39 4" xfId="7730" xr:uid="{00000000-0005-0000-0000-000005230000}"/>
    <cellStyle name="SAPBEXunassignedItem 39 5" xfId="7731" xr:uid="{00000000-0005-0000-0000-000006230000}"/>
    <cellStyle name="SAPBEXunassignedItem 39 6" xfId="7732" xr:uid="{00000000-0005-0000-0000-000007230000}"/>
    <cellStyle name="SAPBEXunassignedItem 4" xfId="7733" xr:uid="{00000000-0005-0000-0000-000008230000}"/>
    <cellStyle name="SAPBEXunassignedItem 4 2" xfId="7734" xr:uid="{00000000-0005-0000-0000-000009230000}"/>
    <cellStyle name="SAPBEXunassignedItem 4 3" xfId="7735" xr:uid="{00000000-0005-0000-0000-00000A230000}"/>
    <cellStyle name="SAPBEXunassignedItem 4 4" xfId="7736" xr:uid="{00000000-0005-0000-0000-00000B230000}"/>
    <cellStyle name="SAPBEXunassignedItem 4 5" xfId="7737" xr:uid="{00000000-0005-0000-0000-00000C230000}"/>
    <cellStyle name="SAPBEXunassignedItem 4 6" xfId="7738" xr:uid="{00000000-0005-0000-0000-00000D230000}"/>
    <cellStyle name="SAPBEXunassignedItem 40" xfId="7739" xr:uid="{00000000-0005-0000-0000-00000E230000}"/>
    <cellStyle name="SAPBEXunassignedItem 40 2" xfId="7740" xr:uid="{00000000-0005-0000-0000-00000F230000}"/>
    <cellStyle name="SAPBEXunassignedItem 40 3" xfId="7741" xr:uid="{00000000-0005-0000-0000-000010230000}"/>
    <cellStyle name="SAPBEXunassignedItem 40 4" xfId="7742" xr:uid="{00000000-0005-0000-0000-000011230000}"/>
    <cellStyle name="SAPBEXunassignedItem 40 5" xfId="7743" xr:uid="{00000000-0005-0000-0000-000012230000}"/>
    <cellStyle name="SAPBEXunassignedItem 40 6" xfId="7744" xr:uid="{00000000-0005-0000-0000-000013230000}"/>
    <cellStyle name="SAPBEXunassignedItem 41" xfId="7745" xr:uid="{00000000-0005-0000-0000-000014230000}"/>
    <cellStyle name="SAPBEXunassignedItem 41 2" xfId="7746" xr:uid="{00000000-0005-0000-0000-000015230000}"/>
    <cellStyle name="SAPBEXunassignedItem 41 3" xfId="7747" xr:uid="{00000000-0005-0000-0000-000016230000}"/>
    <cellStyle name="SAPBEXunassignedItem 41 4" xfId="7748" xr:uid="{00000000-0005-0000-0000-000017230000}"/>
    <cellStyle name="SAPBEXunassignedItem 41 5" xfId="7749" xr:uid="{00000000-0005-0000-0000-000018230000}"/>
    <cellStyle name="SAPBEXunassignedItem 41 6" xfId="7750" xr:uid="{00000000-0005-0000-0000-000019230000}"/>
    <cellStyle name="SAPBEXunassignedItem 42" xfId="7751" xr:uid="{00000000-0005-0000-0000-00001A230000}"/>
    <cellStyle name="SAPBEXunassignedItem 42 2" xfId="7752" xr:uid="{00000000-0005-0000-0000-00001B230000}"/>
    <cellStyle name="SAPBEXunassignedItem 42 3" xfId="7753" xr:uid="{00000000-0005-0000-0000-00001C230000}"/>
    <cellStyle name="SAPBEXunassignedItem 42 4" xfId="7754" xr:uid="{00000000-0005-0000-0000-00001D230000}"/>
    <cellStyle name="SAPBEXunassignedItem 42 5" xfId="7755" xr:uid="{00000000-0005-0000-0000-00001E230000}"/>
    <cellStyle name="SAPBEXunassignedItem 42 6" xfId="7756" xr:uid="{00000000-0005-0000-0000-00001F230000}"/>
    <cellStyle name="SAPBEXunassignedItem 43" xfId="7757" xr:uid="{00000000-0005-0000-0000-000020230000}"/>
    <cellStyle name="SAPBEXunassignedItem 43 2" xfId="7758" xr:uid="{00000000-0005-0000-0000-000021230000}"/>
    <cellStyle name="SAPBEXunassignedItem 43 3" xfId="7759" xr:uid="{00000000-0005-0000-0000-000022230000}"/>
    <cellStyle name="SAPBEXunassignedItem 43 4" xfId="7760" xr:uid="{00000000-0005-0000-0000-000023230000}"/>
    <cellStyle name="SAPBEXunassignedItem 43 5" xfId="7761" xr:uid="{00000000-0005-0000-0000-000024230000}"/>
    <cellStyle name="SAPBEXunassignedItem 43 6" xfId="7762" xr:uid="{00000000-0005-0000-0000-000025230000}"/>
    <cellStyle name="SAPBEXunassignedItem 44" xfId="7763" xr:uid="{00000000-0005-0000-0000-000026230000}"/>
    <cellStyle name="SAPBEXunassignedItem 44 2" xfId="7764" xr:uid="{00000000-0005-0000-0000-000027230000}"/>
    <cellStyle name="SAPBEXunassignedItem 44 3" xfId="7765" xr:uid="{00000000-0005-0000-0000-000028230000}"/>
    <cellStyle name="SAPBEXunassignedItem 44 4" xfId="7766" xr:uid="{00000000-0005-0000-0000-000029230000}"/>
    <cellStyle name="SAPBEXunassignedItem 44 5" xfId="7767" xr:uid="{00000000-0005-0000-0000-00002A230000}"/>
    <cellStyle name="SAPBEXunassignedItem 44 6" xfId="7768" xr:uid="{00000000-0005-0000-0000-00002B230000}"/>
    <cellStyle name="SAPBEXunassignedItem 45" xfId="7769" xr:uid="{00000000-0005-0000-0000-00002C230000}"/>
    <cellStyle name="SAPBEXunassignedItem 45 2" xfId="7770" xr:uid="{00000000-0005-0000-0000-00002D230000}"/>
    <cellStyle name="SAPBEXunassignedItem 45 3" xfId="7771" xr:uid="{00000000-0005-0000-0000-00002E230000}"/>
    <cellStyle name="SAPBEXunassignedItem 45 4" xfId="7772" xr:uid="{00000000-0005-0000-0000-00002F230000}"/>
    <cellStyle name="SAPBEXunassignedItem 45 5" xfId="7773" xr:uid="{00000000-0005-0000-0000-000030230000}"/>
    <cellStyle name="SAPBEXunassignedItem 45 6" xfId="7774" xr:uid="{00000000-0005-0000-0000-000031230000}"/>
    <cellStyle name="SAPBEXunassignedItem 46" xfId="7775" xr:uid="{00000000-0005-0000-0000-000032230000}"/>
    <cellStyle name="SAPBEXunassignedItem 46 2" xfId="7776" xr:uid="{00000000-0005-0000-0000-000033230000}"/>
    <cellStyle name="SAPBEXunassignedItem 46 3" xfId="7777" xr:uid="{00000000-0005-0000-0000-000034230000}"/>
    <cellStyle name="SAPBEXunassignedItem 46 4" xfId="7778" xr:uid="{00000000-0005-0000-0000-000035230000}"/>
    <cellStyle name="SAPBEXunassignedItem 46 5" xfId="7779" xr:uid="{00000000-0005-0000-0000-000036230000}"/>
    <cellStyle name="SAPBEXunassignedItem 46 6" xfId="7780" xr:uid="{00000000-0005-0000-0000-000037230000}"/>
    <cellStyle name="SAPBEXunassignedItem 47" xfId="7781" xr:uid="{00000000-0005-0000-0000-000038230000}"/>
    <cellStyle name="SAPBEXunassignedItem 47 2" xfId="7782" xr:uid="{00000000-0005-0000-0000-000039230000}"/>
    <cellStyle name="SAPBEXunassignedItem 47 3" xfId="7783" xr:uid="{00000000-0005-0000-0000-00003A230000}"/>
    <cellStyle name="SAPBEXunassignedItem 47 4" xfId="7784" xr:uid="{00000000-0005-0000-0000-00003B230000}"/>
    <cellStyle name="SAPBEXunassignedItem 47 5" xfId="7785" xr:uid="{00000000-0005-0000-0000-00003C230000}"/>
    <cellStyle name="SAPBEXunassignedItem 47 6" xfId="7786" xr:uid="{00000000-0005-0000-0000-00003D230000}"/>
    <cellStyle name="SAPBEXunassignedItem 48" xfId="7787" xr:uid="{00000000-0005-0000-0000-00003E230000}"/>
    <cellStyle name="SAPBEXunassignedItem 48 2" xfId="7788" xr:uid="{00000000-0005-0000-0000-00003F230000}"/>
    <cellStyle name="SAPBEXunassignedItem 48 3" xfId="7789" xr:uid="{00000000-0005-0000-0000-000040230000}"/>
    <cellStyle name="SAPBEXunassignedItem 48 4" xfId="7790" xr:uid="{00000000-0005-0000-0000-000041230000}"/>
    <cellStyle name="SAPBEXunassignedItem 48 5" xfId="7791" xr:uid="{00000000-0005-0000-0000-000042230000}"/>
    <cellStyle name="SAPBEXunassignedItem 48 6" xfId="7792" xr:uid="{00000000-0005-0000-0000-000043230000}"/>
    <cellStyle name="SAPBEXunassignedItem 49" xfId="7793" xr:uid="{00000000-0005-0000-0000-000044230000}"/>
    <cellStyle name="SAPBEXunassignedItem 49 2" xfId="7794" xr:uid="{00000000-0005-0000-0000-000045230000}"/>
    <cellStyle name="SAPBEXunassignedItem 49 3" xfId="7795" xr:uid="{00000000-0005-0000-0000-000046230000}"/>
    <cellStyle name="SAPBEXunassignedItem 49 4" xfId="7796" xr:uid="{00000000-0005-0000-0000-000047230000}"/>
    <cellStyle name="SAPBEXunassignedItem 49 5" xfId="7797" xr:uid="{00000000-0005-0000-0000-000048230000}"/>
    <cellStyle name="SAPBEXunassignedItem 49 6" xfId="7798" xr:uid="{00000000-0005-0000-0000-000049230000}"/>
    <cellStyle name="SAPBEXunassignedItem 5" xfId="7799" xr:uid="{00000000-0005-0000-0000-00004A230000}"/>
    <cellStyle name="SAPBEXunassignedItem 5 2" xfId="7800" xr:uid="{00000000-0005-0000-0000-00004B230000}"/>
    <cellStyle name="SAPBEXunassignedItem 5 3" xfId="7801" xr:uid="{00000000-0005-0000-0000-00004C230000}"/>
    <cellStyle name="SAPBEXunassignedItem 5 4" xfId="7802" xr:uid="{00000000-0005-0000-0000-00004D230000}"/>
    <cellStyle name="SAPBEXunassignedItem 5 5" xfId="7803" xr:uid="{00000000-0005-0000-0000-00004E230000}"/>
    <cellStyle name="SAPBEXunassignedItem 5 6" xfId="7804" xr:uid="{00000000-0005-0000-0000-00004F230000}"/>
    <cellStyle name="SAPBEXunassignedItem 50" xfId="7805" xr:uid="{00000000-0005-0000-0000-000050230000}"/>
    <cellStyle name="SAPBEXunassignedItem 50 2" xfId="7806" xr:uid="{00000000-0005-0000-0000-000051230000}"/>
    <cellStyle name="SAPBEXunassignedItem 50 3" xfId="7807" xr:uid="{00000000-0005-0000-0000-000052230000}"/>
    <cellStyle name="SAPBEXunassignedItem 50 4" xfId="7808" xr:uid="{00000000-0005-0000-0000-000053230000}"/>
    <cellStyle name="SAPBEXunassignedItem 50 5" xfId="7809" xr:uid="{00000000-0005-0000-0000-000054230000}"/>
    <cellStyle name="SAPBEXunassignedItem 50 6" xfId="7810" xr:uid="{00000000-0005-0000-0000-000055230000}"/>
    <cellStyle name="SAPBEXunassignedItem 51" xfId="7811" xr:uid="{00000000-0005-0000-0000-000056230000}"/>
    <cellStyle name="SAPBEXunassignedItem 51 2" xfId="7812" xr:uid="{00000000-0005-0000-0000-000057230000}"/>
    <cellStyle name="SAPBEXunassignedItem 51 3" xfId="7813" xr:uid="{00000000-0005-0000-0000-000058230000}"/>
    <cellStyle name="SAPBEXunassignedItem 51 4" xfId="7814" xr:uid="{00000000-0005-0000-0000-000059230000}"/>
    <cellStyle name="SAPBEXunassignedItem 51 5" xfId="7815" xr:uid="{00000000-0005-0000-0000-00005A230000}"/>
    <cellStyle name="SAPBEXunassignedItem 51 6" xfId="7816" xr:uid="{00000000-0005-0000-0000-00005B230000}"/>
    <cellStyle name="SAPBEXunassignedItem 52" xfId="7817" xr:uid="{00000000-0005-0000-0000-00005C230000}"/>
    <cellStyle name="SAPBEXunassignedItem 52 2" xfId="7818" xr:uid="{00000000-0005-0000-0000-00005D230000}"/>
    <cellStyle name="SAPBEXunassignedItem 52 3" xfId="7819" xr:uid="{00000000-0005-0000-0000-00005E230000}"/>
    <cellStyle name="SAPBEXunassignedItem 52 4" xfId="7820" xr:uid="{00000000-0005-0000-0000-00005F230000}"/>
    <cellStyle name="SAPBEXunassignedItem 52 5" xfId="7821" xr:uid="{00000000-0005-0000-0000-000060230000}"/>
    <cellStyle name="SAPBEXunassignedItem 52 6" xfId="7822" xr:uid="{00000000-0005-0000-0000-000061230000}"/>
    <cellStyle name="SAPBEXunassignedItem 53" xfId="7823" xr:uid="{00000000-0005-0000-0000-000062230000}"/>
    <cellStyle name="SAPBEXunassignedItem 53 2" xfId="7824" xr:uid="{00000000-0005-0000-0000-000063230000}"/>
    <cellStyle name="SAPBEXunassignedItem 53 3" xfId="7825" xr:uid="{00000000-0005-0000-0000-000064230000}"/>
    <cellStyle name="SAPBEXunassignedItem 53 4" xfId="7826" xr:uid="{00000000-0005-0000-0000-000065230000}"/>
    <cellStyle name="SAPBEXunassignedItem 53 5" xfId="7827" xr:uid="{00000000-0005-0000-0000-000066230000}"/>
    <cellStyle name="SAPBEXunassignedItem 53 6" xfId="7828" xr:uid="{00000000-0005-0000-0000-000067230000}"/>
    <cellStyle name="SAPBEXunassignedItem 54" xfId="7829" xr:uid="{00000000-0005-0000-0000-000068230000}"/>
    <cellStyle name="SAPBEXunassignedItem 54 2" xfId="7830" xr:uid="{00000000-0005-0000-0000-000069230000}"/>
    <cellStyle name="SAPBEXunassignedItem 54 3" xfId="7831" xr:uid="{00000000-0005-0000-0000-00006A230000}"/>
    <cellStyle name="SAPBEXunassignedItem 54 4" xfId="7832" xr:uid="{00000000-0005-0000-0000-00006B230000}"/>
    <cellStyle name="SAPBEXunassignedItem 54 5" xfId="7833" xr:uid="{00000000-0005-0000-0000-00006C230000}"/>
    <cellStyle name="SAPBEXunassignedItem 54 6" xfId="7834" xr:uid="{00000000-0005-0000-0000-00006D230000}"/>
    <cellStyle name="SAPBEXunassignedItem 55" xfId="7835" xr:uid="{00000000-0005-0000-0000-00006E230000}"/>
    <cellStyle name="SAPBEXunassignedItem 55 2" xfId="7836" xr:uid="{00000000-0005-0000-0000-00006F230000}"/>
    <cellStyle name="SAPBEXunassignedItem 55 3" xfId="7837" xr:uid="{00000000-0005-0000-0000-000070230000}"/>
    <cellStyle name="SAPBEXunassignedItem 55 4" xfId="7838" xr:uid="{00000000-0005-0000-0000-000071230000}"/>
    <cellStyle name="SAPBEXunassignedItem 55 5" xfId="7839" xr:uid="{00000000-0005-0000-0000-000072230000}"/>
    <cellStyle name="SAPBEXunassignedItem 55 6" xfId="7840" xr:uid="{00000000-0005-0000-0000-000073230000}"/>
    <cellStyle name="SAPBEXunassignedItem 56" xfId="7841" xr:uid="{00000000-0005-0000-0000-000074230000}"/>
    <cellStyle name="SAPBEXunassignedItem 56 2" xfId="7842" xr:uid="{00000000-0005-0000-0000-000075230000}"/>
    <cellStyle name="SAPBEXunassignedItem 56 3" xfId="7843" xr:uid="{00000000-0005-0000-0000-000076230000}"/>
    <cellStyle name="SAPBEXunassignedItem 56 4" xfId="7844" xr:uid="{00000000-0005-0000-0000-000077230000}"/>
    <cellStyle name="SAPBEXunassignedItem 56 5" xfId="7845" xr:uid="{00000000-0005-0000-0000-000078230000}"/>
    <cellStyle name="SAPBEXunassignedItem 56 6" xfId="7846" xr:uid="{00000000-0005-0000-0000-000079230000}"/>
    <cellStyle name="SAPBEXunassignedItem 57" xfId="7847" xr:uid="{00000000-0005-0000-0000-00007A230000}"/>
    <cellStyle name="SAPBEXunassignedItem 57 2" xfId="7848" xr:uid="{00000000-0005-0000-0000-00007B230000}"/>
    <cellStyle name="SAPBEXunassignedItem 57 3" xfId="7849" xr:uid="{00000000-0005-0000-0000-00007C230000}"/>
    <cellStyle name="SAPBEXunassignedItem 57 4" xfId="7850" xr:uid="{00000000-0005-0000-0000-00007D230000}"/>
    <cellStyle name="SAPBEXunassignedItem 57 5" xfId="7851" xr:uid="{00000000-0005-0000-0000-00007E230000}"/>
    <cellStyle name="SAPBEXunassignedItem 57 6" xfId="7852" xr:uid="{00000000-0005-0000-0000-00007F230000}"/>
    <cellStyle name="SAPBEXunassignedItem 58" xfId="7853" xr:uid="{00000000-0005-0000-0000-000080230000}"/>
    <cellStyle name="SAPBEXunassignedItem 58 2" xfId="7854" xr:uid="{00000000-0005-0000-0000-000081230000}"/>
    <cellStyle name="SAPBEXunassignedItem 58 3" xfId="7855" xr:uid="{00000000-0005-0000-0000-000082230000}"/>
    <cellStyle name="SAPBEXunassignedItem 58 4" xfId="7856" xr:uid="{00000000-0005-0000-0000-000083230000}"/>
    <cellStyle name="SAPBEXunassignedItem 58 5" xfId="7857" xr:uid="{00000000-0005-0000-0000-000084230000}"/>
    <cellStyle name="SAPBEXunassignedItem 58 6" xfId="7858" xr:uid="{00000000-0005-0000-0000-000085230000}"/>
    <cellStyle name="SAPBEXunassignedItem 59" xfId="7859" xr:uid="{00000000-0005-0000-0000-000086230000}"/>
    <cellStyle name="SAPBEXunassignedItem 59 2" xfId="7860" xr:uid="{00000000-0005-0000-0000-000087230000}"/>
    <cellStyle name="SAPBEXunassignedItem 59 3" xfId="7861" xr:uid="{00000000-0005-0000-0000-000088230000}"/>
    <cellStyle name="SAPBEXunassignedItem 59 4" xfId="7862" xr:uid="{00000000-0005-0000-0000-000089230000}"/>
    <cellStyle name="SAPBEXunassignedItem 59 5" xfId="7863" xr:uid="{00000000-0005-0000-0000-00008A230000}"/>
    <cellStyle name="SAPBEXunassignedItem 59 6" xfId="7864" xr:uid="{00000000-0005-0000-0000-00008B230000}"/>
    <cellStyle name="SAPBEXunassignedItem 6" xfId="7865" xr:uid="{00000000-0005-0000-0000-00008C230000}"/>
    <cellStyle name="SAPBEXunassignedItem 6 2" xfId="7866" xr:uid="{00000000-0005-0000-0000-00008D230000}"/>
    <cellStyle name="SAPBEXunassignedItem 6 3" xfId="7867" xr:uid="{00000000-0005-0000-0000-00008E230000}"/>
    <cellStyle name="SAPBEXunassignedItem 6 4" xfId="7868" xr:uid="{00000000-0005-0000-0000-00008F230000}"/>
    <cellStyle name="SAPBEXunassignedItem 6 5" xfId="7869" xr:uid="{00000000-0005-0000-0000-000090230000}"/>
    <cellStyle name="SAPBEXunassignedItem 6 6" xfId="7870" xr:uid="{00000000-0005-0000-0000-000091230000}"/>
    <cellStyle name="SAPBEXunassignedItem 60" xfId="7871" xr:uid="{00000000-0005-0000-0000-000092230000}"/>
    <cellStyle name="SAPBEXunassignedItem 60 2" xfId="7872" xr:uid="{00000000-0005-0000-0000-000093230000}"/>
    <cellStyle name="SAPBEXunassignedItem 60 3" xfId="7873" xr:uid="{00000000-0005-0000-0000-000094230000}"/>
    <cellStyle name="SAPBEXunassignedItem 60 4" xfId="7874" xr:uid="{00000000-0005-0000-0000-000095230000}"/>
    <cellStyle name="SAPBEXunassignedItem 60 5" xfId="7875" xr:uid="{00000000-0005-0000-0000-000096230000}"/>
    <cellStyle name="SAPBEXunassignedItem 60 6" xfId="7876" xr:uid="{00000000-0005-0000-0000-000097230000}"/>
    <cellStyle name="SAPBEXunassignedItem 61" xfId="7877" xr:uid="{00000000-0005-0000-0000-000098230000}"/>
    <cellStyle name="SAPBEXunassignedItem 61 2" xfId="7878" xr:uid="{00000000-0005-0000-0000-000099230000}"/>
    <cellStyle name="SAPBEXunassignedItem 61 3" xfId="7879" xr:uid="{00000000-0005-0000-0000-00009A230000}"/>
    <cellStyle name="SAPBEXunassignedItem 61 4" xfId="7880" xr:uid="{00000000-0005-0000-0000-00009B230000}"/>
    <cellStyle name="SAPBEXunassignedItem 61 5" xfId="7881" xr:uid="{00000000-0005-0000-0000-00009C230000}"/>
    <cellStyle name="SAPBEXunassignedItem 61 6" xfId="7882" xr:uid="{00000000-0005-0000-0000-00009D230000}"/>
    <cellStyle name="SAPBEXunassignedItem 62" xfId="7883" xr:uid="{00000000-0005-0000-0000-00009E230000}"/>
    <cellStyle name="SAPBEXunassignedItem 62 2" xfId="7884" xr:uid="{00000000-0005-0000-0000-00009F230000}"/>
    <cellStyle name="SAPBEXunassignedItem 62 3" xfId="7885" xr:uid="{00000000-0005-0000-0000-0000A0230000}"/>
    <cellStyle name="SAPBEXunassignedItem 62 4" xfId="7886" xr:uid="{00000000-0005-0000-0000-0000A1230000}"/>
    <cellStyle name="SAPBEXunassignedItem 62 5" xfId="7887" xr:uid="{00000000-0005-0000-0000-0000A2230000}"/>
    <cellStyle name="SAPBEXunassignedItem 62 6" xfId="7888" xr:uid="{00000000-0005-0000-0000-0000A3230000}"/>
    <cellStyle name="SAPBEXunassignedItem 63" xfId="7889" xr:uid="{00000000-0005-0000-0000-0000A4230000}"/>
    <cellStyle name="SAPBEXunassignedItem 63 2" xfId="7890" xr:uid="{00000000-0005-0000-0000-0000A5230000}"/>
    <cellStyle name="SAPBEXunassignedItem 63 3" xfId="7891" xr:uid="{00000000-0005-0000-0000-0000A6230000}"/>
    <cellStyle name="SAPBEXunassignedItem 63 4" xfId="7892" xr:uid="{00000000-0005-0000-0000-0000A7230000}"/>
    <cellStyle name="SAPBEXunassignedItem 63 5" xfId="7893" xr:uid="{00000000-0005-0000-0000-0000A8230000}"/>
    <cellStyle name="SAPBEXunassignedItem 63 6" xfId="7894" xr:uid="{00000000-0005-0000-0000-0000A9230000}"/>
    <cellStyle name="SAPBEXunassignedItem 64" xfId="7895" xr:uid="{00000000-0005-0000-0000-0000AA230000}"/>
    <cellStyle name="SAPBEXunassignedItem 64 2" xfId="7896" xr:uid="{00000000-0005-0000-0000-0000AB230000}"/>
    <cellStyle name="SAPBEXunassignedItem 64 3" xfId="7897" xr:uid="{00000000-0005-0000-0000-0000AC230000}"/>
    <cellStyle name="SAPBEXunassignedItem 64 4" xfId="7898" xr:uid="{00000000-0005-0000-0000-0000AD230000}"/>
    <cellStyle name="SAPBEXunassignedItem 64 5" xfId="7899" xr:uid="{00000000-0005-0000-0000-0000AE230000}"/>
    <cellStyle name="SAPBEXunassignedItem 64 6" xfId="7900" xr:uid="{00000000-0005-0000-0000-0000AF230000}"/>
    <cellStyle name="SAPBEXunassignedItem 65" xfId="7901" xr:uid="{00000000-0005-0000-0000-0000B0230000}"/>
    <cellStyle name="SAPBEXunassignedItem 65 2" xfId="7902" xr:uid="{00000000-0005-0000-0000-0000B1230000}"/>
    <cellStyle name="SAPBEXunassignedItem 65 3" xfId="7903" xr:uid="{00000000-0005-0000-0000-0000B2230000}"/>
    <cellStyle name="SAPBEXunassignedItem 65 4" xfId="7904" xr:uid="{00000000-0005-0000-0000-0000B3230000}"/>
    <cellStyle name="SAPBEXunassignedItem 65 5" xfId="7905" xr:uid="{00000000-0005-0000-0000-0000B4230000}"/>
    <cellStyle name="SAPBEXunassignedItem 65 6" xfId="7906" xr:uid="{00000000-0005-0000-0000-0000B5230000}"/>
    <cellStyle name="SAPBEXunassignedItem 66" xfId="7907" xr:uid="{00000000-0005-0000-0000-0000B6230000}"/>
    <cellStyle name="SAPBEXunassignedItem 66 2" xfId="7908" xr:uid="{00000000-0005-0000-0000-0000B7230000}"/>
    <cellStyle name="SAPBEXunassignedItem 66 3" xfId="7909" xr:uid="{00000000-0005-0000-0000-0000B8230000}"/>
    <cellStyle name="SAPBEXunassignedItem 66 4" xfId="7910" xr:uid="{00000000-0005-0000-0000-0000B9230000}"/>
    <cellStyle name="SAPBEXunassignedItem 66 5" xfId="7911" xr:uid="{00000000-0005-0000-0000-0000BA230000}"/>
    <cellStyle name="SAPBEXunassignedItem 66 6" xfId="7912" xr:uid="{00000000-0005-0000-0000-0000BB230000}"/>
    <cellStyle name="SAPBEXunassignedItem 67" xfId="7913" xr:uid="{00000000-0005-0000-0000-0000BC230000}"/>
    <cellStyle name="SAPBEXunassignedItem 68" xfId="7914" xr:uid="{00000000-0005-0000-0000-0000BD230000}"/>
    <cellStyle name="SAPBEXunassignedItem 69" xfId="7915" xr:uid="{00000000-0005-0000-0000-0000BE230000}"/>
    <cellStyle name="SAPBEXunassignedItem 7" xfId="7916" xr:uid="{00000000-0005-0000-0000-0000BF230000}"/>
    <cellStyle name="SAPBEXunassignedItem 7 2" xfId="7917" xr:uid="{00000000-0005-0000-0000-0000C0230000}"/>
    <cellStyle name="SAPBEXunassignedItem 7 3" xfId="7918" xr:uid="{00000000-0005-0000-0000-0000C1230000}"/>
    <cellStyle name="SAPBEXunassignedItem 7 4" xfId="7919" xr:uid="{00000000-0005-0000-0000-0000C2230000}"/>
    <cellStyle name="SAPBEXunassignedItem 7 5" xfId="7920" xr:uid="{00000000-0005-0000-0000-0000C3230000}"/>
    <cellStyle name="SAPBEXunassignedItem 7 6" xfId="7921" xr:uid="{00000000-0005-0000-0000-0000C4230000}"/>
    <cellStyle name="SAPBEXunassignedItem 70" xfId="7922" xr:uid="{00000000-0005-0000-0000-0000C5230000}"/>
    <cellStyle name="SAPBEXunassignedItem 71" xfId="7923" xr:uid="{00000000-0005-0000-0000-0000C6230000}"/>
    <cellStyle name="SAPBEXunassignedItem 72" xfId="7924" xr:uid="{00000000-0005-0000-0000-0000C7230000}"/>
    <cellStyle name="SAPBEXunassignedItem 73" xfId="7925" xr:uid="{00000000-0005-0000-0000-0000C8230000}"/>
    <cellStyle name="SAPBEXunassignedItem 74" xfId="7926" xr:uid="{00000000-0005-0000-0000-0000C9230000}"/>
    <cellStyle name="SAPBEXunassignedItem 75" xfId="7927" xr:uid="{00000000-0005-0000-0000-0000CA230000}"/>
    <cellStyle name="SAPBEXunassignedItem 76" xfId="7928" xr:uid="{00000000-0005-0000-0000-0000CB230000}"/>
    <cellStyle name="SAPBEXunassignedItem 77" xfId="7929" xr:uid="{00000000-0005-0000-0000-0000CC230000}"/>
    <cellStyle name="SAPBEXunassignedItem 78" xfId="7930" xr:uid="{00000000-0005-0000-0000-0000CD230000}"/>
    <cellStyle name="SAPBEXunassignedItem 79" xfId="7931" xr:uid="{00000000-0005-0000-0000-0000CE230000}"/>
    <cellStyle name="SAPBEXunassignedItem 8" xfId="7932" xr:uid="{00000000-0005-0000-0000-0000CF230000}"/>
    <cellStyle name="SAPBEXunassignedItem 8 2" xfId="7933" xr:uid="{00000000-0005-0000-0000-0000D0230000}"/>
    <cellStyle name="SAPBEXunassignedItem 8 3" xfId="7934" xr:uid="{00000000-0005-0000-0000-0000D1230000}"/>
    <cellStyle name="SAPBEXunassignedItem 8 4" xfId="7935" xr:uid="{00000000-0005-0000-0000-0000D2230000}"/>
    <cellStyle name="SAPBEXunassignedItem 8 5" xfId="7936" xr:uid="{00000000-0005-0000-0000-0000D3230000}"/>
    <cellStyle name="SAPBEXunassignedItem 8 6" xfId="7937" xr:uid="{00000000-0005-0000-0000-0000D4230000}"/>
    <cellStyle name="SAPBEXunassignedItem 80" xfId="7938" xr:uid="{00000000-0005-0000-0000-0000D5230000}"/>
    <cellStyle name="SAPBEXunassignedItem 81" xfId="7939" xr:uid="{00000000-0005-0000-0000-0000D6230000}"/>
    <cellStyle name="SAPBEXunassignedItem 82" xfId="7940" xr:uid="{00000000-0005-0000-0000-0000D7230000}"/>
    <cellStyle name="SAPBEXunassignedItem 83" xfId="7941" xr:uid="{00000000-0005-0000-0000-0000D8230000}"/>
    <cellStyle name="SAPBEXunassignedItem 84" xfId="7942" xr:uid="{00000000-0005-0000-0000-0000D9230000}"/>
    <cellStyle name="SAPBEXunassignedItem 85" xfId="7943" xr:uid="{00000000-0005-0000-0000-0000DA230000}"/>
    <cellStyle name="SAPBEXunassignedItem 86" xfId="7944" xr:uid="{00000000-0005-0000-0000-0000DB230000}"/>
    <cellStyle name="SAPBEXunassignedItem 87" xfId="7945" xr:uid="{00000000-0005-0000-0000-0000DC230000}"/>
    <cellStyle name="SAPBEXunassignedItem 88" xfId="7946" xr:uid="{00000000-0005-0000-0000-0000DD230000}"/>
    <cellStyle name="SAPBEXunassignedItem 89" xfId="7947" xr:uid="{00000000-0005-0000-0000-0000DE230000}"/>
    <cellStyle name="SAPBEXunassignedItem 9" xfId="7948" xr:uid="{00000000-0005-0000-0000-0000DF230000}"/>
    <cellStyle name="SAPBEXunassignedItem 9 2" xfId="7949" xr:uid="{00000000-0005-0000-0000-0000E0230000}"/>
    <cellStyle name="SAPBEXunassignedItem 9 3" xfId="7950" xr:uid="{00000000-0005-0000-0000-0000E1230000}"/>
    <cellStyle name="SAPBEXunassignedItem 9 4" xfId="7951" xr:uid="{00000000-0005-0000-0000-0000E2230000}"/>
    <cellStyle name="SAPBEXunassignedItem 9 5" xfId="7952" xr:uid="{00000000-0005-0000-0000-0000E3230000}"/>
    <cellStyle name="SAPBEXunassignedItem 9 6" xfId="7953" xr:uid="{00000000-0005-0000-0000-0000E4230000}"/>
    <cellStyle name="SAPBEXunassignedItem 90" xfId="7954" xr:uid="{00000000-0005-0000-0000-0000E5230000}"/>
    <cellStyle name="SAPBEXunassignedItem 91" xfId="7955" xr:uid="{00000000-0005-0000-0000-0000E6230000}"/>
    <cellStyle name="SAPBEXunassignedItem 92" xfId="7956" xr:uid="{00000000-0005-0000-0000-0000E7230000}"/>
    <cellStyle name="SAPBEXunassignedItem 93" xfId="7957" xr:uid="{00000000-0005-0000-0000-0000E8230000}"/>
    <cellStyle name="SAPBEXunassignedItem 94" xfId="7958" xr:uid="{00000000-0005-0000-0000-0000E9230000}"/>
    <cellStyle name="SAPBEXunassignedItem 95" xfId="7959" xr:uid="{00000000-0005-0000-0000-0000EA230000}"/>
    <cellStyle name="SAPBEXunassignedItem 96" xfId="7960" xr:uid="{00000000-0005-0000-0000-0000EB230000}"/>
    <cellStyle name="SAPBEXunassignedItem 97" xfId="7961" xr:uid="{00000000-0005-0000-0000-0000EC230000}"/>
    <cellStyle name="SAPBEXunassignedItem 98" xfId="7962" xr:uid="{00000000-0005-0000-0000-0000ED230000}"/>
    <cellStyle name="SAPBEXunassignedItem 99" xfId="7963" xr:uid="{00000000-0005-0000-0000-0000EE230000}"/>
    <cellStyle name="SAPBEXunassignedItem_(A-7) IS-Inputs" xfId="7964" xr:uid="{00000000-0005-0000-0000-0000EF230000}"/>
    <cellStyle name="SAPBEXundefined" xfId="7965" xr:uid="{00000000-0005-0000-0000-0000F0230000}"/>
    <cellStyle name="SAPBEXundefined 10" xfId="7966" xr:uid="{00000000-0005-0000-0000-0000F1230000}"/>
    <cellStyle name="SAPBEXundefined 11" xfId="7967" xr:uid="{00000000-0005-0000-0000-0000F2230000}"/>
    <cellStyle name="SAPBEXundefined 12" xfId="7968" xr:uid="{00000000-0005-0000-0000-0000F3230000}"/>
    <cellStyle name="SAPBEXundefined 13" xfId="7969" xr:uid="{00000000-0005-0000-0000-0000F4230000}"/>
    <cellStyle name="SAPBEXundefined 14" xfId="7970" xr:uid="{00000000-0005-0000-0000-0000F5230000}"/>
    <cellStyle name="SAPBEXundefined 15" xfId="7971" xr:uid="{00000000-0005-0000-0000-0000F6230000}"/>
    <cellStyle name="SAPBEXundefined 16" xfId="7972" xr:uid="{00000000-0005-0000-0000-0000F7230000}"/>
    <cellStyle name="SAPBEXundefined 17" xfId="7973" xr:uid="{00000000-0005-0000-0000-0000F8230000}"/>
    <cellStyle name="SAPBEXundefined 18" xfId="7974" xr:uid="{00000000-0005-0000-0000-0000F9230000}"/>
    <cellStyle name="SAPBEXundefined 19" xfId="7975" xr:uid="{00000000-0005-0000-0000-0000FA230000}"/>
    <cellStyle name="SAPBEXundefined 2" xfId="7976" xr:uid="{00000000-0005-0000-0000-0000FB230000}"/>
    <cellStyle name="SAPBEXundefined 2 2" xfId="7977" xr:uid="{00000000-0005-0000-0000-0000FC230000}"/>
    <cellStyle name="SAPBEXundefined 20" xfId="7978" xr:uid="{00000000-0005-0000-0000-0000FD230000}"/>
    <cellStyle name="SAPBEXundefined 21" xfId="7979" xr:uid="{00000000-0005-0000-0000-0000FE230000}"/>
    <cellStyle name="SAPBEXundefined 22" xfId="7980" xr:uid="{00000000-0005-0000-0000-0000FF230000}"/>
    <cellStyle name="SAPBEXundefined 23" xfId="7981" xr:uid="{00000000-0005-0000-0000-000000240000}"/>
    <cellStyle name="SAPBEXundefined 24" xfId="7982" xr:uid="{00000000-0005-0000-0000-000001240000}"/>
    <cellStyle name="SAPBEXundefined 25" xfId="7983" xr:uid="{00000000-0005-0000-0000-000002240000}"/>
    <cellStyle name="SAPBEXundefined 26" xfId="7984" xr:uid="{00000000-0005-0000-0000-000003240000}"/>
    <cellStyle name="SAPBEXundefined 27" xfId="7985" xr:uid="{00000000-0005-0000-0000-000004240000}"/>
    <cellStyle name="SAPBEXundefined 28" xfId="7986" xr:uid="{00000000-0005-0000-0000-000005240000}"/>
    <cellStyle name="SAPBEXundefined 29" xfId="7987" xr:uid="{00000000-0005-0000-0000-000006240000}"/>
    <cellStyle name="SAPBEXundefined 3" xfId="7988" xr:uid="{00000000-0005-0000-0000-000007240000}"/>
    <cellStyle name="SAPBEXundefined 30" xfId="7989" xr:uid="{00000000-0005-0000-0000-000008240000}"/>
    <cellStyle name="SAPBEXundefined 31" xfId="7990" xr:uid="{00000000-0005-0000-0000-000009240000}"/>
    <cellStyle name="SAPBEXundefined 32" xfId="7991" xr:uid="{00000000-0005-0000-0000-00000A240000}"/>
    <cellStyle name="SAPBEXundefined 33" xfId="7992" xr:uid="{00000000-0005-0000-0000-00000B240000}"/>
    <cellStyle name="SAPBEXundefined 34" xfId="7993" xr:uid="{00000000-0005-0000-0000-00000C240000}"/>
    <cellStyle name="SAPBEXundefined 35" xfId="7994" xr:uid="{00000000-0005-0000-0000-00000D240000}"/>
    <cellStyle name="SAPBEXundefined 36" xfId="7995" xr:uid="{00000000-0005-0000-0000-00000E240000}"/>
    <cellStyle name="SAPBEXundefined 37" xfId="7996" xr:uid="{00000000-0005-0000-0000-00000F240000}"/>
    <cellStyle name="SAPBEXundefined 38" xfId="7997" xr:uid="{00000000-0005-0000-0000-000010240000}"/>
    <cellStyle name="SAPBEXundefined 39" xfId="7998" xr:uid="{00000000-0005-0000-0000-000011240000}"/>
    <cellStyle name="SAPBEXundefined 4" xfId="7999" xr:uid="{00000000-0005-0000-0000-000012240000}"/>
    <cellStyle name="SAPBEXundefined 40" xfId="8000" xr:uid="{00000000-0005-0000-0000-000013240000}"/>
    <cellStyle name="SAPBEXundefined 41" xfId="8001" xr:uid="{00000000-0005-0000-0000-000014240000}"/>
    <cellStyle name="SAPBEXundefined 42" xfId="8002" xr:uid="{00000000-0005-0000-0000-000015240000}"/>
    <cellStyle name="SAPBEXundefined 43" xfId="8003" xr:uid="{00000000-0005-0000-0000-000016240000}"/>
    <cellStyle name="SAPBEXundefined 44" xfId="8004" xr:uid="{00000000-0005-0000-0000-000017240000}"/>
    <cellStyle name="SAPBEXundefined 45" xfId="8005" xr:uid="{00000000-0005-0000-0000-000018240000}"/>
    <cellStyle name="SAPBEXundefined 46" xfId="8006" xr:uid="{00000000-0005-0000-0000-000019240000}"/>
    <cellStyle name="SAPBEXundefined 47" xfId="8007" xr:uid="{00000000-0005-0000-0000-00001A240000}"/>
    <cellStyle name="SAPBEXundefined 5" xfId="8008" xr:uid="{00000000-0005-0000-0000-00001B240000}"/>
    <cellStyle name="SAPBEXundefined 6" xfId="8009" xr:uid="{00000000-0005-0000-0000-00001C240000}"/>
    <cellStyle name="SAPBEXundefined 7" xfId="8010" xr:uid="{00000000-0005-0000-0000-00001D240000}"/>
    <cellStyle name="SAPBEXundefined 8" xfId="8011" xr:uid="{00000000-0005-0000-0000-00001E240000}"/>
    <cellStyle name="SAPBEXundefined 9" xfId="8012" xr:uid="{00000000-0005-0000-0000-00001F240000}"/>
    <cellStyle name="Sheet Title" xfId="8013" xr:uid="{00000000-0005-0000-0000-000020240000}"/>
    <cellStyle name="SubHeading" xfId="8014" xr:uid="{00000000-0005-0000-0000-000021240000}"/>
    <cellStyle name="SubsidTitle" xfId="8015" xr:uid="{00000000-0005-0000-0000-000022240000}"/>
    <cellStyle name="Table Data" xfId="8016" xr:uid="{00000000-0005-0000-0000-000023240000}"/>
    <cellStyle name="Table Headings Bold" xfId="8017" xr:uid="{00000000-0005-0000-0000-000024240000}"/>
    <cellStyle name="Title" xfId="8246" builtinId="15" customBuiltin="1"/>
    <cellStyle name="Title 10" xfId="8018" xr:uid="{00000000-0005-0000-0000-000026240000}"/>
    <cellStyle name="Title 11" xfId="8019" xr:uid="{00000000-0005-0000-0000-000027240000}"/>
    <cellStyle name="Title 12" xfId="8020" xr:uid="{00000000-0005-0000-0000-000028240000}"/>
    <cellStyle name="Title 13" xfId="8021" xr:uid="{00000000-0005-0000-0000-000029240000}"/>
    <cellStyle name="Title 2" xfId="8022" xr:uid="{00000000-0005-0000-0000-00002A240000}"/>
    <cellStyle name="Title 2 2" xfId="8023" xr:uid="{00000000-0005-0000-0000-00002B240000}"/>
    <cellStyle name="Title 2 2 2" xfId="8024" xr:uid="{00000000-0005-0000-0000-00002C240000}"/>
    <cellStyle name="Title 2 2 3" xfId="8025" xr:uid="{00000000-0005-0000-0000-00002D240000}"/>
    <cellStyle name="Title 2 2 4" xfId="8026" xr:uid="{00000000-0005-0000-0000-00002E240000}"/>
    <cellStyle name="Title 2 2 5" xfId="8027" xr:uid="{00000000-0005-0000-0000-00002F240000}"/>
    <cellStyle name="Title 2 2 6" xfId="8028" xr:uid="{00000000-0005-0000-0000-000030240000}"/>
    <cellStyle name="Title 2 2 7" xfId="8029" xr:uid="{00000000-0005-0000-0000-000031240000}"/>
    <cellStyle name="Title 2 2 8" xfId="8030" xr:uid="{00000000-0005-0000-0000-000032240000}"/>
    <cellStyle name="Title 2 3" xfId="8031" xr:uid="{00000000-0005-0000-0000-000033240000}"/>
    <cellStyle name="Title 2 4" xfId="8032" xr:uid="{00000000-0005-0000-0000-000034240000}"/>
    <cellStyle name="Title 2 5" xfId="8033" xr:uid="{00000000-0005-0000-0000-000035240000}"/>
    <cellStyle name="Title 3" xfId="8034" xr:uid="{00000000-0005-0000-0000-000036240000}"/>
    <cellStyle name="Title 3 2" xfId="8035" xr:uid="{00000000-0005-0000-0000-000037240000}"/>
    <cellStyle name="Title 3 3" xfId="8036" xr:uid="{00000000-0005-0000-0000-000038240000}"/>
    <cellStyle name="Title 3 4" xfId="8037" xr:uid="{00000000-0005-0000-0000-000039240000}"/>
    <cellStyle name="Title 3 5" xfId="8038" xr:uid="{00000000-0005-0000-0000-00003A240000}"/>
    <cellStyle name="Title 3 6" xfId="8039" xr:uid="{00000000-0005-0000-0000-00003B240000}"/>
    <cellStyle name="Title 3 7" xfId="8040" xr:uid="{00000000-0005-0000-0000-00003C240000}"/>
    <cellStyle name="Title 3 8" xfId="8041" xr:uid="{00000000-0005-0000-0000-00003D240000}"/>
    <cellStyle name="Title 4" xfId="8042" xr:uid="{00000000-0005-0000-0000-00003E240000}"/>
    <cellStyle name="Title 4 2" xfId="8043" xr:uid="{00000000-0005-0000-0000-00003F240000}"/>
    <cellStyle name="Title 4 3" xfId="8044" xr:uid="{00000000-0005-0000-0000-000040240000}"/>
    <cellStyle name="Title 4 4" xfId="8045" xr:uid="{00000000-0005-0000-0000-000041240000}"/>
    <cellStyle name="Title 4 5" xfId="8046" xr:uid="{00000000-0005-0000-0000-000042240000}"/>
    <cellStyle name="Title 4 6" xfId="8047" xr:uid="{00000000-0005-0000-0000-000043240000}"/>
    <cellStyle name="Title 4 7" xfId="8048" xr:uid="{00000000-0005-0000-0000-000044240000}"/>
    <cellStyle name="Title 4 8" xfId="8049" xr:uid="{00000000-0005-0000-0000-000045240000}"/>
    <cellStyle name="Title 5" xfId="8050" xr:uid="{00000000-0005-0000-0000-000046240000}"/>
    <cellStyle name="Title 5 2" xfId="8051" xr:uid="{00000000-0005-0000-0000-000047240000}"/>
    <cellStyle name="Title 5 3" xfId="8052" xr:uid="{00000000-0005-0000-0000-000048240000}"/>
    <cellStyle name="Title 5 4" xfId="8053" xr:uid="{00000000-0005-0000-0000-000049240000}"/>
    <cellStyle name="Title 5 5" xfId="8054" xr:uid="{00000000-0005-0000-0000-00004A240000}"/>
    <cellStyle name="Title 5 6" xfId="8055" xr:uid="{00000000-0005-0000-0000-00004B240000}"/>
    <cellStyle name="Title 5 7" xfId="8056" xr:uid="{00000000-0005-0000-0000-00004C240000}"/>
    <cellStyle name="Title 5 8" xfId="8057" xr:uid="{00000000-0005-0000-0000-00004D240000}"/>
    <cellStyle name="Title 6" xfId="8058" xr:uid="{00000000-0005-0000-0000-00004E240000}"/>
    <cellStyle name="Title 7" xfId="8059" xr:uid="{00000000-0005-0000-0000-00004F240000}"/>
    <cellStyle name="Title 8" xfId="8060" xr:uid="{00000000-0005-0000-0000-000050240000}"/>
    <cellStyle name="Title 9" xfId="8061" xr:uid="{00000000-0005-0000-0000-000051240000}"/>
    <cellStyle name="Total" xfId="25" builtinId="25" customBuiltin="1"/>
    <cellStyle name="Total 10" xfId="8062" xr:uid="{00000000-0005-0000-0000-000053240000}"/>
    <cellStyle name="Total 10 2" xfId="8063" xr:uid="{00000000-0005-0000-0000-000054240000}"/>
    <cellStyle name="Total 10 3" xfId="8064" xr:uid="{00000000-0005-0000-0000-000055240000}"/>
    <cellStyle name="Total 11" xfId="8065" xr:uid="{00000000-0005-0000-0000-000056240000}"/>
    <cellStyle name="Total 12" xfId="8301" xr:uid="{00000000-0005-0000-0000-000057240000}"/>
    <cellStyle name="Total 13" xfId="8932" xr:uid="{00000000-0005-0000-0000-000058240000}"/>
    <cellStyle name="Total 2" xfId="8066" xr:uid="{00000000-0005-0000-0000-000059240000}"/>
    <cellStyle name="Total 2 2" xfId="8067" xr:uid="{00000000-0005-0000-0000-00005A240000}"/>
    <cellStyle name="Total 2 2 2" xfId="8068" xr:uid="{00000000-0005-0000-0000-00005B240000}"/>
    <cellStyle name="Total 2 3" xfId="8069" xr:uid="{00000000-0005-0000-0000-00005C240000}"/>
    <cellStyle name="Total 2 3 2" xfId="8070" xr:uid="{00000000-0005-0000-0000-00005D240000}"/>
    <cellStyle name="Total 2 4" xfId="8071" xr:uid="{00000000-0005-0000-0000-00005E240000}"/>
    <cellStyle name="Total 2 4 2" xfId="8072" xr:uid="{00000000-0005-0000-0000-00005F240000}"/>
    <cellStyle name="Total 2 5" xfId="8073" xr:uid="{00000000-0005-0000-0000-000060240000}"/>
    <cellStyle name="Total 3" xfId="8074" xr:uid="{00000000-0005-0000-0000-000061240000}"/>
    <cellStyle name="Total 3 2" xfId="8075" xr:uid="{00000000-0005-0000-0000-000062240000}"/>
    <cellStyle name="Total 3 2 2" xfId="8076" xr:uid="{00000000-0005-0000-0000-000063240000}"/>
    <cellStyle name="Total 3 3" xfId="8077" xr:uid="{00000000-0005-0000-0000-000064240000}"/>
    <cellStyle name="Total 3 4" xfId="8078" xr:uid="{00000000-0005-0000-0000-000065240000}"/>
    <cellStyle name="Total 3 5" xfId="8079" xr:uid="{00000000-0005-0000-0000-000066240000}"/>
    <cellStyle name="Total 4" xfId="8080" xr:uid="{00000000-0005-0000-0000-000067240000}"/>
    <cellStyle name="Total 4 2" xfId="8081" xr:uid="{00000000-0005-0000-0000-000068240000}"/>
    <cellStyle name="Total 4 3" xfId="8082" xr:uid="{00000000-0005-0000-0000-000069240000}"/>
    <cellStyle name="Total 4 4" xfId="8083" xr:uid="{00000000-0005-0000-0000-00006A240000}"/>
    <cellStyle name="Total 4 5" xfId="8084" xr:uid="{00000000-0005-0000-0000-00006B240000}"/>
    <cellStyle name="Total 5" xfId="8085" xr:uid="{00000000-0005-0000-0000-00006C240000}"/>
    <cellStyle name="Total 5 2" xfId="8086" xr:uid="{00000000-0005-0000-0000-00006D240000}"/>
    <cellStyle name="Total 5 3" xfId="8087" xr:uid="{00000000-0005-0000-0000-00006E240000}"/>
    <cellStyle name="Total 5 4" xfId="8088" xr:uid="{00000000-0005-0000-0000-00006F240000}"/>
    <cellStyle name="Total 6" xfId="8089" xr:uid="{00000000-0005-0000-0000-000070240000}"/>
    <cellStyle name="Total 6 2" xfId="8090" xr:uid="{00000000-0005-0000-0000-000071240000}"/>
    <cellStyle name="Total 6 3" xfId="8091" xr:uid="{00000000-0005-0000-0000-000072240000}"/>
    <cellStyle name="Total 6 4" xfId="8092" xr:uid="{00000000-0005-0000-0000-000073240000}"/>
    <cellStyle name="Total 7" xfId="8093" xr:uid="{00000000-0005-0000-0000-000074240000}"/>
    <cellStyle name="Total 7 2" xfId="8094" xr:uid="{00000000-0005-0000-0000-000075240000}"/>
    <cellStyle name="Total 7 3" xfId="8095" xr:uid="{00000000-0005-0000-0000-000076240000}"/>
    <cellStyle name="Total 7 4" xfId="8096" xr:uid="{00000000-0005-0000-0000-000077240000}"/>
    <cellStyle name="Total 8" xfId="8097" xr:uid="{00000000-0005-0000-0000-000078240000}"/>
    <cellStyle name="Total 8 2" xfId="8098" xr:uid="{00000000-0005-0000-0000-000079240000}"/>
    <cellStyle name="Total 8 3" xfId="8099" xr:uid="{00000000-0005-0000-0000-00007A240000}"/>
    <cellStyle name="Total 9" xfId="8100" xr:uid="{00000000-0005-0000-0000-00007B240000}"/>
    <cellStyle name="Total 9 2" xfId="8101" xr:uid="{00000000-0005-0000-0000-00007C240000}"/>
    <cellStyle name="Total 9 3" xfId="8102" xr:uid="{00000000-0005-0000-0000-00007D240000}"/>
    <cellStyle name="Totals" xfId="8103" xr:uid="{00000000-0005-0000-0000-00007E240000}"/>
    <cellStyle name="Totals [0]" xfId="8104" xr:uid="{00000000-0005-0000-0000-00007F240000}"/>
    <cellStyle name="Totals [2]" xfId="8105" xr:uid="{00000000-0005-0000-0000-000080240000}"/>
    <cellStyle name="Warning Text" xfId="8257" builtinId="11" customBuiltin="1"/>
    <cellStyle name="Warning Text 10" xfId="8106" xr:uid="{00000000-0005-0000-0000-000082240000}"/>
    <cellStyle name="Warning Text 10 2" xfId="8107" xr:uid="{00000000-0005-0000-0000-000083240000}"/>
    <cellStyle name="Warning Text 10 3" xfId="8108" xr:uid="{00000000-0005-0000-0000-000084240000}"/>
    <cellStyle name="Warning Text 10 4" xfId="8109" xr:uid="{00000000-0005-0000-0000-000085240000}"/>
    <cellStyle name="Warning Text 10 5" xfId="8110" xr:uid="{00000000-0005-0000-0000-000086240000}"/>
    <cellStyle name="Warning Text 10 6" xfId="8111" xr:uid="{00000000-0005-0000-0000-000087240000}"/>
    <cellStyle name="Warning Text 10 7" xfId="8112" xr:uid="{00000000-0005-0000-0000-000088240000}"/>
    <cellStyle name="Warning Text 10 8" xfId="8113" xr:uid="{00000000-0005-0000-0000-000089240000}"/>
    <cellStyle name="Warning Text 11" xfId="8114" xr:uid="{00000000-0005-0000-0000-00008A240000}"/>
    <cellStyle name="Warning Text 11 2" xfId="8115" xr:uid="{00000000-0005-0000-0000-00008B240000}"/>
    <cellStyle name="Warning Text 12" xfId="8116" xr:uid="{00000000-0005-0000-0000-00008C240000}"/>
    <cellStyle name="Warning Text 13" xfId="8117" xr:uid="{00000000-0005-0000-0000-00008D240000}"/>
    <cellStyle name="Warning Text 14" xfId="8118" xr:uid="{00000000-0005-0000-0000-00008E240000}"/>
    <cellStyle name="Warning Text 15" xfId="8119" xr:uid="{00000000-0005-0000-0000-00008F240000}"/>
    <cellStyle name="Warning Text 16" xfId="8120" xr:uid="{00000000-0005-0000-0000-000090240000}"/>
    <cellStyle name="Warning Text 17" xfId="8121" xr:uid="{00000000-0005-0000-0000-000091240000}"/>
    <cellStyle name="Warning Text 18" xfId="8122" xr:uid="{00000000-0005-0000-0000-000092240000}"/>
    <cellStyle name="Warning Text 19" xfId="8123" xr:uid="{00000000-0005-0000-0000-000093240000}"/>
    <cellStyle name="Warning Text 2" xfId="8124" xr:uid="{00000000-0005-0000-0000-000094240000}"/>
    <cellStyle name="Warning Text 2 10" xfId="8125" xr:uid="{00000000-0005-0000-0000-000095240000}"/>
    <cellStyle name="Warning Text 2 11" xfId="8905" xr:uid="{00000000-0005-0000-0000-000096240000}"/>
    <cellStyle name="Warning Text 2 2" xfId="8126" xr:uid="{00000000-0005-0000-0000-000097240000}"/>
    <cellStyle name="Warning Text 2 2 2" xfId="8127" xr:uid="{00000000-0005-0000-0000-000098240000}"/>
    <cellStyle name="Warning Text 2 2 3" xfId="8128" xr:uid="{00000000-0005-0000-0000-000099240000}"/>
    <cellStyle name="Warning Text 2 2 4" xfId="8129" xr:uid="{00000000-0005-0000-0000-00009A240000}"/>
    <cellStyle name="Warning Text 2 2 5" xfId="8130" xr:uid="{00000000-0005-0000-0000-00009B240000}"/>
    <cellStyle name="Warning Text 2 2 6" xfId="8131" xr:uid="{00000000-0005-0000-0000-00009C240000}"/>
    <cellStyle name="Warning Text 2 2 7" xfId="8132" xr:uid="{00000000-0005-0000-0000-00009D240000}"/>
    <cellStyle name="Warning Text 2 2 8" xfId="8133" xr:uid="{00000000-0005-0000-0000-00009E240000}"/>
    <cellStyle name="Warning Text 2 3" xfId="8134" xr:uid="{00000000-0005-0000-0000-00009F240000}"/>
    <cellStyle name="Warning Text 2 4" xfId="8135" xr:uid="{00000000-0005-0000-0000-0000A0240000}"/>
    <cellStyle name="Warning Text 2 4 2" xfId="8136" xr:uid="{00000000-0005-0000-0000-0000A1240000}"/>
    <cellStyle name="Warning Text 2 5" xfId="8137" xr:uid="{00000000-0005-0000-0000-0000A2240000}"/>
    <cellStyle name="Warning Text 2 6" xfId="8138" xr:uid="{00000000-0005-0000-0000-0000A3240000}"/>
    <cellStyle name="Warning Text 2 7" xfId="8139" xr:uid="{00000000-0005-0000-0000-0000A4240000}"/>
    <cellStyle name="Warning Text 2 8" xfId="8140" xr:uid="{00000000-0005-0000-0000-0000A5240000}"/>
    <cellStyle name="Warning Text 2 9" xfId="8141" xr:uid="{00000000-0005-0000-0000-0000A6240000}"/>
    <cellStyle name="Warning Text 20" xfId="8142" xr:uid="{00000000-0005-0000-0000-0000A7240000}"/>
    <cellStyle name="Warning Text 21" xfId="8143" xr:uid="{00000000-0005-0000-0000-0000A8240000}"/>
    <cellStyle name="Warning Text 22" xfId="8144" xr:uid="{00000000-0005-0000-0000-0000A9240000}"/>
    <cellStyle name="Warning Text 23" xfId="8145" xr:uid="{00000000-0005-0000-0000-0000AA240000}"/>
    <cellStyle name="Warning Text 24" xfId="8146" xr:uid="{00000000-0005-0000-0000-0000AB240000}"/>
    <cellStyle name="Warning Text 24 2" xfId="8147" xr:uid="{00000000-0005-0000-0000-0000AC240000}"/>
    <cellStyle name="Warning Text 25" xfId="8148" xr:uid="{00000000-0005-0000-0000-0000AD240000}"/>
    <cellStyle name="Warning Text 26" xfId="8925" xr:uid="{00000000-0005-0000-0000-0000AE240000}"/>
    <cellStyle name="Warning Text 3" xfId="8149" xr:uid="{00000000-0005-0000-0000-0000AF240000}"/>
    <cellStyle name="Warning Text 3 2" xfId="8150" xr:uid="{00000000-0005-0000-0000-0000B0240000}"/>
    <cellStyle name="Warning Text 3 2 2" xfId="8151" xr:uid="{00000000-0005-0000-0000-0000B1240000}"/>
    <cellStyle name="Warning Text 3 2 3" xfId="8152" xr:uid="{00000000-0005-0000-0000-0000B2240000}"/>
    <cellStyle name="Warning Text 3 2 4" xfId="8153" xr:uid="{00000000-0005-0000-0000-0000B3240000}"/>
    <cellStyle name="Warning Text 3 2 5" xfId="8154" xr:uid="{00000000-0005-0000-0000-0000B4240000}"/>
    <cellStyle name="Warning Text 3 2 6" xfId="8155" xr:uid="{00000000-0005-0000-0000-0000B5240000}"/>
    <cellStyle name="Warning Text 3 2 7" xfId="8156" xr:uid="{00000000-0005-0000-0000-0000B6240000}"/>
    <cellStyle name="Warning Text 3 2 8" xfId="8157" xr:uid="{00000000-0005-0000-0000-0000B7240000}"/>
    <cellStyle name="Warning Text 3 3" xfId="8158" xr:uid="{00000000-0005-0000-0000-0000B8240000}"/>
    <cellStyle name="Warning Text 3 4" xfId="8159" xr:uid="{00000000-0005-0000-0000-0000B9240000}"/>
    <cellStyle name="Warning Text 3 5" xfId="8160" xr:uid="{00000000-0005-0000-0000-0000BA240000}"/>
    <cellStyle name="Warning Text 3 6" xfId="8161" xr:uid="{00000000-0005-0000-0000-0000BB240000}"/>
    <cellStyle name="Warning Text 3 7" xfId="8162" xr:uid="{00000000-0005-0000-0000-0000BC240000}"/>
    <cellStyle name="Warning Text 3 8" xfId="8163" xr:uid="{00000000-0005-0000-0000-0000BD240000}"/>
    <cellStyle name="Warning Text 3 9" xfId="8164" xr:uid="{00000000-0005-0000-0000-0000BE240000}"/>
    <cellStyle name="Warning Text 4" xfId="8165" xr:uid="{00000000-0005-0000-0000-0000BF240000}"/>
    <cellStyle name="Warning Text 4 2" xfId="8166" xr:uid="{00000000-0005-0000-0000-0000C0240000}"/>
    <cellStyle name="Warning Text 4 2 2" xfId="8167" xr:uid="{00000000-0005-0000-0000-0000C1240000}"/>
    <cellStyle name="Warning Text 4 2 3" xfId="8168" xr:uid="{00000000-0005-0000-0000-0000C2240000}"/>
    <cellStyle name="Warning Text 4 2 4" xfId="8169" xr:uid="{00000000-0005-0000-0000-0000C3240000}"/>
    <cellStyle name="Warning Text 4 2 5" xfId="8170" xr:uid="{00000000-0005-0000-0000-0000C4240000}"/>
    <cellStyle name="Warning Text 4 2 6" xfId="8171" xr:uid="{00000000-0005-0000-0000-0000C5240000}"/>
    <cellStyle name="Warning Text 4 2 7" xfId="8172" xr:uid="{00000000-0005-0000-0000-0000C6240000}"/>
    <cellStyle name="Warning Text 4 2 8" xfId="8173" xr:uid="{00000000-0005-0000-0000-0000C7240000}"/>
    <cellStyle name="Warning Text 4 3" xfId="8174" xr:uid="{00000000-0005-0000-0000-0000C8240000}"/>
    <cellStyle name="Warning Text 4 4" xfId="8175" xr:uid="{00000000-0005-0000-0000-0000C9240000}"/>
    <cellStyle name="Warning Text 4 5" xfId="8176" xr:uid="{00000000-0005-0000-0000-0000CA240000}"/>
    <cellStyle name="Warning Text 4 6" xfId="8177" xr:uid="{00000000-0005-0000-0000-0000CB240000}"/>
    <cellStyle name="Warning Text 4 7" xfId="8178" xr:uid="{00000000-0005-0000-0000-0000CC240000}"/>
    <cellStyle name="Warning Text 4 8" xfId="8179" xr:uid="{00000000-0005-0000-0000-0000CD240000}"/>
    <cellStyle name="Warning Text 4 9" xfId="8180" xr:uid="{00000000-0005-0000-0000-0000CE240000}"/>
    <cellStyle name="Warning Text 5" xfId="8181" xr:uid="{00000000-0005-0000-0000-0000CF240000}"/>
    <cellStyle name="Warning Text 5 2" xfId="8182" xr:uid="{00000000-0005-0000-0000-0000D0240000}"/>
    <cellStyle name="Warning Text 5 2 2" xfId="8183" xr:uid="{00000000-0005-0000-0000-0000D1240000}"/>
    <cellStyle name="Warning Text 5 2 3" xfId="8184" xr:uid="{00000000-0005-0000-0000-0000D2240000}"/>
    <cellStyle name="Warning Text 5 2 4" xfId="8185" xr:uid="{00000000-0005-0000-0000-0000D3240000}"/>
    <cellStyle name="Warning Text 5 2 5" xfId="8186" xr:uid="{00000000-0005-0000-0000-0000D4240000}"/>
    <cellStyle name="Warning Text 5 2 6" xfId="8187" xr:uid="{00000000-0005-0000-0000-0000D5240000}"/>
    <cellStyle name="Warning Text 5 2 7" xfId="8188" xr:uid="{00000000-0005-0000-0000-0000D6240000}"/>
    <cellStyle name="Warning Text 5 2 8" xfId="8189" xr:uid="{00000000-0005-0000-0000-0000D7240000}"/>
    <cellStyle name="Warning Text 5 3" xfId="8190" xr:uid="{00000000-0005-0000-0000-0000D8240000}"/>
    <cellStyle name="Warning Text 5 4" xfId="8191" xr:uid="{00000000-0005-0000-0000-0000D9240000}"/>
    <cellStyle name="Warning Text 5 5" xfId="8192" xr:uid="{00000000-0005-0000-0000-0000DA240000}"/>
    <cellStyle name="Warning Text 5 6" xfId="8193" xr:uid="{00000000-0005-0000-0000-0000DB240000}"/>
    <cellStyle name="Warning Text 5 7" xfId="8194" xr:uid="{00000000-0005-0000-0000-0000DC240000}"/>
    <cellStyle name="Warning Text 5 8" xfId="8195" xr:uid="{00000000-0005-0000-0000-0000DD240000}"/>
    <cellStyle name="Warning Text 5 9" xfId="8196" xr:uid="{00000000-0005-0000-0000-0000DE240000}"/>
    <cellStyle name="Warning Text 6" xfId="8197" xr:uid="{00000000-0005-0000-0000-0000DF240000}"/>
    <cellStyle name="Warning Text 6 2" xfId="8198" xr:uid="{00000000-0005-0000-0000-0000E0240000}"/>
    <cellStyle name="Warning Text 6 2 2" xfId="8199" xr:uid="{00000000-0005-0000-0000-0000E1240000}"/>
    <cellStyle name="Warning Text 6 2 3" xfId="8200" xr:uid="{00000000-0005-0000-0000-0000E2240000}"/>
    <cellStyle name="Warning Text 6 2 4" xfId="8201" xr:uid="{00000000-0005-0000-0000-0000E3240000}"/>
    <cellStyle name="Warning Text 6 2 5" xfId="8202" xr:uid="{00000000-0005-0000-0000-0000E4240000}"/>
    <cellStyle name="Warning Text 6 2 6" xfId="8203" xr:uid="{00000000-0005-0000-0000-0000E5240000}"/>
    <cellStyle name="Warning Text 6 2 7" xfId="8204" xr:uid="{00000000-0005-0000-0000-0000E6240000}"/>
    <cellStyle name="Warning Text 6 2 8" xfId="8205" xr:uid="{00000000-0005-0000-0000-0000E7240000}"/>
    <cellStyle name="Warning Text 6 3" xfId="8206" xr:uid="{00000000-0005-0000-0000-0000E8240000}"/>
    <cellStyle name="Warning Text 6 4" xfId="8207" xr:uid="{00000000-0005-0000-0000-0000E9240000}"/>
    <cellStyle name="Warning Text 6 5" xfId="8208" xr:uid="{00000000-0005-0000-0000-0000EA240000}"/>
    <cellStyle name="Warning Text 6 6" xfId="8209" xr:uid="{00000000-0005-0000-0000-0000EB240000}"/>
    <cellStyle name="Warning Text 6 7" xfId="8210" xr:uid="{00000000-0005-0000-0000-0000EC240000}"/>
    <cellStyle name="Warning Text 6 8" xfId="8211" xr:uid="{00000000-0005-0000-0000-0000ED240000}"/>
    <cellStyle name="Warning Text 6 9" xfId="8212" xr:uid="{00000000-0005-0000-0000-0000EE240000}"/>
    <cellStyle name="Warning Text 7" xfId="8213" xr:uid="{00000000-0005-0000-0000-0000EF240000}"/>
    <cellStyle name="Warning Text 7 2" xfId="8214" xr:uid="{00000000-0005-0000-0000-0000F0240000}"/>
    <cellStyle name="Warning Text 7 2 2" xfId="8215" xr:uid="{00000000-0005-0000-0000-0000F1240000}"/>
    <cellStyle name="Warning Text 7 2 3" xfId="8216" xr:uid="{00000000-0005-0000-0000-0000F2240000}"/>
    <cellStyle name="Warning Text 7 2 4" xfId="8217" xr:uid="{00000000-0005-0000-0000-0000F3240000}"/>
    <cellStyle name="Warning Text 7 2 5" xfId="8218" xr:uid="{00000000-0005-0000-0000-0000F4240000}"/>
    <cellStyle name="Warning Text 7 2 6" xfId="8219" xr:uid="{00000000-0005-0000-0000-0000F5240000}"/>
    <cellStyle name="Warning Text 7 2 7" xfId="8220" xr:uid="{00000000-0005-0000-0000-0000F6240000}"/>
    <cellStyle name="Warning Text 7 2 8" xfId="8221" xr:uid="{00000000-0005-0000-0000-0000F7240000}"/>
    <cellStyle name="Warning Text 7 3" xfId="8222" xr:uid="{00000000-0005-0000-0000-0000F8240000}"/>
    <cellStyle name="Warning Text 7 4" xfId="8223" xr:uid="{00000000-0005-0000-0000-0000F9240000}"/>
    <cellStyle name="Warning Text 7 5" xfId="8224" xr:uid="{00000000-0005-0000-0000-0000FA240000}"/>
    <cellStyle name="Warning Text 7 6" xfId="8225" xr:uid="{00000000-0005-0000-0000-0000FB240000}"/>
    <cellStyle name="Warning Text 7 7" xfId="8226" xr:uid="{00000000-0005-0000-0000-0000FC240000}"/>
    <cellStyle name="Warning Text 7 8" xfId="8227" xr:uid="{00000000-0005-0000-0000-0000FD240000}"/>
    <cellStyle name="Warning Text 7 9" xfId="8228" xr:uid="{00000000-0005-0000-0000-0000FE240000}"/>
    <cellStyle name="Warning Text 8" xfId="8229" xr:uid="{00000000-0005-0000-0000-0000FF240000}"/>
    <cellStyle name="Warning Text 8 2" xfId="8230" xr:uid="{00000000-0005-0000-0000-000000250000}"/>
    <cellStyle name="Warning Text 8 3" xfId="8231" xr:uid="{00000000-0005-0000-0000-000001250000}"/>
    <cellStyle name="Warning Text 8 4" xfId="8232" xr:uid="{00000000-0005-0000-0000-000002250000}"/>
    <cellStyle name="Warning Text 8 5" xfId="8233" xr:uid="{00000000-0005-0000-0000-000003250000}"/>
    <cellStyle name="Warning Text 8 6" xfId="8234" xr:uid="{00000000-0005-0000-0000-000004250000}"/>
    <cellStyle name="Warning Text 8 7" xfId="8235" xr:uid="{00000000-0005-0000-0000-000005250000}"/>
    <cellStyle name="Warning Text 8 8" xfId="8236" xr:uid="{00000000-0005-0000-0000-000006250000}"/>
    <cellStyle name="Warning Text 9" xfId="8237" xr:uid="{00000000-0005-0000-0000-000007250000}"/>
    <cellStyle name="Warning Text 9 2" xfId="8238" xr:uid="{00000000-0005-0000-0000-000008250000}"/>
    <cellStyle name="Warning Text 9 3" xfId="8239" xr:uid="{00000000-0005-0000-0000-000009250000}"/>
    <cellStyle name="Warning Text 9 4" xfId="8240" xr:uid="{00000000-0005-0000-0000-00000A250000}"/>
    <cellStyle name="Warning Text 9 5" xfId="8241" xr:uid="{00000000-0005-0000-0000-00000B250000}"/>
    <cellStyle name="Warning Text 9 6" xfId="8242" xr:uid="{00000000-0005-0000-0000-00000C250000}"/>
    <cellStyle name="Warning Text 9 7" xfId="8243" xr:uid="{00000000-0005-0000-0000-00000D250000}"/>
    <cellStyle name="Warning Text 9 8" xfId="8244" xr:uid="{00000000-0005-0000-0000-00000E250000}"/>
    <cellStyle name="Year" xfId="8245" xr:uid="{00000000-0005-0000-0000-00000F25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  <color rgb="FF6ED749"/>
      <color rgb="FF36EA6E"/>
      <color rgb="FFB1F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GL%20Replacement\Essbase\Essbase%20Reports\2006-06\Prelim%20Income%20Statements%20-%20June%202006_0713_11%20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GLMonthlyFiles/2007-09/Balance%20Sheet%20-%20Sept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c\Local%20Settings\Temporary%20Internet%20Files\OLK12\SEC%20Balance%20Sheet%20-%20Final%20Year%202004%20(022105_lsd)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vs Budget"/>
      <sheetName val="2006 vs 2005"/>
      <sheetName val="Summary vs Budget"/>
      <sheetName val="Summary vs 2005"/>
      <sheetName val="2nd Qtr vs Budget"/>
      <sheetName val="2nd Qtr vs 2005"/>
      <sheetName val="2nd Qtr vs 1st Qtr"/>
      <sheetName val="Diluted EPS"/>
      <sheetName val="Quarter Recon"/>
      <sheetName val="EPS Recon"/>
      <sheetName val="Diluted Sh March 2005"/>
      <sheetName val="Essbase Recon"/>
      <sheetName val="Raven"/>
      <sheetName val="Data"/>
      <sheetName val="Recon Essbase"/>
      <sheetName val="June 2005"/>
      <sheetName val="1st Qtr 2006"/>
      <sheetName val="3rd Qtr 2004"/>
      <sheetName val="2nd Qtr 2005"/>
      <sheetName val="3rd Qtr 2005"/>
      <sheetName val="4th Qtr 2005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4">
          <cell r="G4" t="str">
            <v>Jun</v>
          </cell>
          <cell r="H4" t="str">
            <v>Jun</v>
          </cell>
          <cell r="I4" t="str">
            <v>Y-T-D(Jun)</v>
          </cell>
          <cell r="J4" t="str">
            <v>Y-T-D(Jun)</v>
          </cell>
          <cell r="Q4" t="str">
            <v>Y-T-D(Jun)</v>
          </cell>
          <cell r="R4" t="str">
            <v>Jun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2007 Balance Sheet"/>
      <sheetName val="123104 vs 93004"/>
      <sheetName val="Sept07vsJune07"/>
      <sheetName val="Essbase"/>
      <sheetName val="Def'd Debits"/>
      <sheetName val="Recon to Lawson"/>
      <sheetName val="Recon to 2006"/>
      <sheetName val="ALL ACCOUNTS"/>
      <sheetName val="Util Plant"/>
      <sheetName val="Accum Depr"/>
      <sheetName val="Gas Stored"/>
      <sheetName val="Non Util Prop"/>
      <sheetName val="Inv in Subs"/>
      <sheetName val="Other Inv"/>
      <sheetName val="Cash"/>
      <sheetName val="Acct Rec"/>
      <sheetName val="Allow Uncoll Acct"/>
      <sheetName val="Accrued Rev"/>
      <sheetName val="Inv of Gas"/>
      <sheetName val="Prepaid Prop"/>
      <sheetName val="Unamt Debt Disc"/>
      <sheetName val="Def Reg and Other"/>
      <sheetName val="Comm Stock"/>
      <sheetName val="Prem on Stock"/>
      <sheetName val="Retain Earn"/>
      <sheetName val="Pref Stock"/>
      <sheetName val="Long Term Debt"/>
      <sheetName val="Acct Pay"/>
      <sheetName val="Note Pay"/>
      <sheetName val="Curr Por LT Debt"/>
      <sheetName val="Cust Depos"/>
      <sheetName val="Taxes Accrued"/>
      <sheetName val="Interest Accrued"/>
      <sheetName val="Oth Current Liab"/>
      <sheetName val="Def Taxes Inv Credit"/>
      <sheetName val="Other Liabilities"/>
    </sheetNames>
    <sheetDataSet>
      <sheetData sheetId="0" refreshError="1"/>
      <sheetData sheetId="1" refreshError="1"/>
      <sheetData sheetId="2" refreshError="1"/>
      <sheetData sheetId="3">
        <row r="6">
          <cell r="D6" t="str">
            <v>Y-T-D(Sep)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BS WORKPAPERS"/>
      <sheetName val="SEC UTILITY PLANT"/>
      <sheetName val="SEC ACCUM DEPR"/>
      <sheetName val="SEC NON-UTIL PROP"/>
      <sheetName val="SEC NON-UT DEPR &amp; AMORT"/>
      <sheetName val="SEC AIRCRAFT"/>
      <sheetName val="SEC OTHER INV"/>
      <sheetName val="SEC NW ENERGY"/>
      <sheetName val="SEC NNGFC"/>
      <sheetName val="SEC INT REC - NW ENERGY"/>
      <sheetName val="SEC INT REC - NNGFC"/>
      <sheetName val="SEC CASH"/>
      <sheetName val="SEC AR - TRADE"/>
      <sheetName val="SEC ALLOW UNCOLL ACCTS"/>
      <sheetName val="SEC ACCRUED REV"/>
      <sheetName val="SEC INVENTORIES"/>
      <sheetName val="SEC PREPAIDS"/>
      <sheetName val="SEC INC TAX ASSET"/>
      <sheetName val="SEC LOSS DERIVATIVES"/>
      <sheetName val="SEC UNAMORT LOSS DEBT RED"/>
      <sheetName val="SEC OTHER REG ASSETS"/>
      <sheetName val="SEC INVEST LIFE INS"/>
      <sheetName val="SEC OTHER ASSETS"/>
      <sheetName val="SEC COMMON STOCK"/>
      <sheetName val="SEC PREM ON COM STK"/>
      <sheetName val="SEC UNEARNED COMP"/>
      <sheetName val="SEC ACCUM COMPR INCOME"/>
      <sheetName val="SEC EARNINGS INV IN BUSINESS"/>
      <sheetName val="SEC PREFERENCE STOCK"/>
      <sheetName val="SEC PREFERRED STOCK"/>
      <sheetName val="SEC LONG-TERM DEBT"/>
      <sheetName val="SEC NOTES PAYABLE"/>
      <sheetName val="SEC ACCOUNTS PAYABLE"/>
      <sheetName val="SEC CURRENT DEBT"/>
      <sheetName val="SEC TAXES ACCRUED"/>
      <sheetName val="SEC INTEREST ACCRUED - OTHER"/>
      <sheetName val="SEC OTH CURR LIAB"/>
      <sheetName val="SEC CUSTOMER ADV"/>
      <sheetName val="SEC DEF INCOME TAX LIAB"/>
      <sheetName val="SEC DEF INVEST TAX CREDITS"/>
      <sheetName val="SEC OTHER LIAB"/>
      <sheetName val="SEC BEG RET EARN"/>
      <sheetName val="SEC NET INCOME"/>
      <sheetName val="SEC COMMON STK DIVIDENDS"/>
      <sheetName val="SEC CAPITAL STOCK EXPENSE"/>
      <sheetName val="LAW UTIL PLANT"/>
      <sheetName val="LAW ACCUM DEPR"/>
      <sheetName val="LAW GAS STORED"/>
      <sheetName val="LAW NON UTIL PROP"/>
      <sheetName val="LAW INV IN SUBS"/>
      <sheetName val="LAW OTHER INV"/>
      <sheetName val="LAW CASH"/>
      <sheetName val="LAW ACCT REC"/>
      <sheetName val="LAW ALLOW UNCOLL ACCT"/>
      <sheetName val="LAW ACCRUED REV"/>
      <sheetName val="LAW INV OF GAS"/>
      <sheetName val="LAW PREPAID PROP"/>
      <sheetName val="LAW UNAMT DEBT DISC"/>
      <sheetName val="LAW DEF REG AND OTHER"/>
      <sheetName val="FARLEY"/>
      <sheetName val="LAW COMM STOCK"/>
      <sheetName val="LAW PREM ON STOCK"/>
      <sheetName val="LAW RETAIN EARN"/>
      <sheetName val="LAW PREF STOCK"/>
      <sheetName val="LAW LONG TERM DEBT"/>
      <sheetName val="LAW ACCT PAY"/>
      <sheetName val="LAW NOTE PAY"/>
      <sheetName val="LAW CURR POR LT DEBT"/>
      <sheetName val="LAW CUST DEPOS"/>
      <sheetName val="LAW TAXES ACCRUED"/>
      <sheetName val="LAW INTEREST ACCRUED"/>
      <sheetName val="LAW DIVIDENDS DECLARED"/>
      <sheetName val="LAW OTH CURRENT LIAB"/>
      <sheetName val="LAW DEF TAXES INV CREDIT"/>
      <sheetName val="LAW OTHER LIABILITIES"/>
    </sheetNames>
    <sheetDataSet>
      <sheetData sheetId="0" refreshError="1">
        <row r="7">
          <cell r="F7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23">
          <cell r="B23">
            <v>13433580.029999999</v>
          </cell>
        </row>
      </sheetData>
      <sheetData sheetId="49" refreshError="1">
        <row r="42">
          <cell r="B42">
            <v>33963480.640000001</v>
          </cell>
        </row>
        <row r="44">
          <cell r="B44">
            <v>-5244349.6099999994</v>
          </cell>
        </row>
      </sheetData>
      <sheetData sheetId="50" refreshError="1">
        <row r="20">
          <cell r="B20">
            <v>-8517804.8300000001</v>
          </cell>
        </row>
        <row r="22">
          <cell r="B22">
            <v>5725355.6499999994</v>
          </cell>
        </row>
        <row r="24">
          <cell r="B24">
            <v>8518430.1699999999</v>
          </cell>
        </row>
        <row r="26">
          <cell r="B26">
            <v>-56356.429999999978</v>
          </cell>
        </row>
      </sheetData>
      <sheetData sheetId="51" refreshError="1">
        <row r="45">
          <cell r="B45">
            <v>6620882.8100000005</v>
          </cell>
        </row>
        <row r="47">
          <cell r="B47">
            <v>2752714.13</v>
          </cell>
        </row>
      </sheetData>
      <sheetData sheetId="52" refreshError="1">
        <row r="96">
          <cell r="B96">
            <v>2475325.4900000002</v>
          </cell>
        </row>
      </sheetData>
      <sheetData sheetId="53" refreshError="1">
        <row r="42">
          <cell r="B42">
            <v>69122705.230000019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>
        <row r="46">
          <cell r="B46">
            <v>3299115</v>
          </cell>
        </row>
      </sheetData>
      <sheetData sheetId="59" refreshError="1">
        <row r="159">
          <cell r="B159">
            <v>64734000</v>
          </cell>
        </row>
        <row r="161">
          <cell r="B161">
            <v>-10911988.169999987</v>
          </cell>
        </row>
        <row r="163">
          <cell r="B163">
            <v>7332394</v>
          </cell>
        </row>
        <row r="165">
          <cell r="B165">
            <v>45011073.32</v>
          </cell>
        </row>
        <row r="167">
          <cell r="B167">
            <v>91755639.98999998</v>
          </cell>
        </row>
      </sheetData>
      <sheetData sheetId="60" refreshError="1"/>
      <sheetData sheetId="61" refreshError="1"/>
      <sheetData sheetId="62" refreshError="1"/>
      <sheetData sheetId="63" refreshError="1">
        <row r="23">
          <cell r="B23">
            <v>-1817780.5</v>
          </cell>
        </row>
        <row r="25">
          <cell r="B25">
            <v>-862208.77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17">
          <cell r="B17">
            <v>3058749.56</v>
          </cell>
        </row>
      </sheetData>
      <sheetData sheetId="70" refreshError="1"/>
      <sheetData sheetId="71" refreshError="1"/>
      <sheetData sheetId="72" refreshError="1">
        <row r="15">
          <cell r="B15">
            <v>5.8207660913467407E-10</v>
          </cell>
        </row>
      </sheetData>
      <sheetData sheetId="73" refreshError="1"/>
      <sheetData sheetId="74" refreshError="1">
        <row r="34">
          <cell r="B34">
            <v>210359956.91999999</v>
          </cell>
        </row>
      </sheetData>
      <sheetData sheetId="75" refreshError="1">
        <row r="76">
          <cell r="B76">
            <v>1529272.67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44"/>
  <sheetViews>
    <sheetView workbookViewId="0">
      <selection activeCell="E36" sqref="E36"/>
    </sheetView>
  </sheetViews>
  <sheetFormatPr defaultColWidth="10.26953125" defaultRowHeight="13" x14ac:dyDescent="0.25"/>
  <cols>
    <col min="1" max="1" width="4.7265625" style="1" customWidth="1"/>
    <col min="2" max="2" width="61.7265625" style="1" customWidth="1"/>
    <col min="3" max="3" width="13.7265625" style="2" customWidth="1"/>
    <col min="4" max="4" width="5.7265625" style="2" customWidth="1"/>
    <col min="5" max="5" width="13.7265625" style="2" customWidth="1"/>
    <col min="6" max="6" width="16.7265625" style="2" customWidth="1"/>
    <col min="7" max="11" width="10.26953125" style="2" customWidth="1"/>
    <col min="12" max="12" width="18.54296875" style="2" customWidth="1"/>
    <col min="13" max="16384" width="10.26953125" style="2"/>
  </cols>
  <sheetData>
    <row r="1" spans="1:5" x14ac:dyDescent="0.25">
      <c r="A1" s="1" t="s">
        <v>0</v>
      </c>
      <c r="E1" s="1" t="s">
        <v>1</v>
      </c>
    </row>
    <row r="2" spans="1:5" x14ac:dyDescent="0.25">
      <c r="A2" s="4" t="s">
        <v>341</v>
      </c>
    </row>
    <row r="3" spans="1:5" x14ac:dyDescent="0.25">
      <c r="A3" s="4" t="str">
        <f>+'Page 1'!A3</f>
        <v>Twelve Months Ended December 31, 2020</v>
      </c>
    </row>
    <row r="6" spans="1:5" x14ac:dyDescent="0.25">
      <c r="C6" s="7" t="s">
        <v>10</v>
      </c>
      <c r="D6" s="7"/>
      <c r="E6" s="7" t="s">
        <v>11</v>
      </c>
    </row>
    <row r="7" spans="1:5" x14ac:dyDescent="0.25">
      <c r="A7" s="1" t="s">
        <v>17</v>
      </c>
      <c r="C7" s="7" t="s">
        <v>14</v>
      </c>
      <c r="D7" s="7"/>
      <c r="E7" s="7" t="s">
        <v>14</v>
      </c>
    </row>
    <row r="8" spans="1:5" x14ac:dyDescent="0.25">
      <c r="A8" s="13" t="s">
        <v>46</v>
      </c>
      <c r="C8" s="9" t="s">
        <v>18</v>
      </c>
      <c r="D8" s="7"/>
      <c r="E8" s="9" t="s">
        <v>18</v>
      </c>
    </row>
    <row r="9" spans="1:5" x14ac:dyDescent="0.25">
      <c r="C9" s="7" t="s">
        <v>76</v>
      </c>
      <c r="D9" s="7"/>
      <c r="E9" s="7" t="s">
        <v>77</v>
      </c>
    </row>
    <row r="11" spans="1:5" x14ac:dyDescent="0.25">
      <c r="B11" s="1" t="s">
        <v>101</v>
      </c>
      <c r="C11" s="21"/>
      <c r="E11" s="21"/>
    </row>
    <row r="12" spans="1:5" x14ac:dyDescent="0.25">
      <c r="A12" s="1">
        <v>1</v>
      </c>
      <c r="B12" s="1" t="s">
        <v>104</v>
      </c>
      <c r="C12" s="20"/>
      <c r="D12" s="8"/>
      <c r="E12" s="8">
        <f>'Page 1'!C10</f>
        <v>72959972.44855766</v>
      </c>
    </row>
    <row r="13" spans="1:5" x14ac:dyDescent="0.25">
      <c r="A13" s="1">
        <v>2</v>
      </c>
      <c r="B13" s="1" t="s">
        <v>111</v>
      </c>
      <c r="C13" s="11"/>
      <c r="D13" s="5"/>
      <c r="E13" s="6">
        <f>'Page 1'!C11</f>
        <v>2271072.2999999998</v>
      </c>
    </row>
    <row r="14" spans="1:5" x14ac:dyDescent="0.25">
      <c r="A14" s="1">
        <v>3</v>
      </c>
      <c r="B14" s="1" t="s">
        <v>115</v>
      </c>
      <c r="C14" s="12"/>
      <c r="D14" s="5"/>
      <c r="E14" s="15">
        <f>'Page 1'!C12</f>
        <v>-2496178.5500000003</v>
      </c>
    </row>
    <row r="15" spans="1:5" x14ac:dyDescent="0.25">
      <c r="C15" s="6"/>
      <c r="D15" s="19"/>
      <c r="E15" s="6"/>
    </row>
    <row r="16" spans="1:5" x14ac:dyDescent="0.25">
      <c r="A16" s="1">
        <v>4</v>
      </c>
      <c r="B16" s="1" t="s">
        <v>129</v>
      </c>
      <c r="C16" s="6">
        <f>SUM(C12:C15)</f>
        <v>0</v>
      </c>
      <c r="D16" s="19"/>
      <c r="E16" s="6">
        <f>SUM(E12:E15)</f>
        <v>72734866.19855766</v>
      </c>
    </row>
    <row r="17" spans="1:5" x14ac:dyDescent="0.25">
      <c r="B17" s="14"/>
      <c r="C17" s="6"/>
      <c r="D17" s="19"/>
      <c r="E17" s="6"/>
    </row>
    <row r="18" spans="1:5" x14ac:dyDescent="0.25">
      <c r="B18" s="1" t="s">
        <v>138</v>
      </c>
      <c r="C18" s="6"/>
      <c r="D18" s="19"/>
      <c r="E18" s="6"/>
    </row>
    <row r="19" spans="1:5" x14ac:dyDescent="0.25">
      <c r="A19" s="1">
        <v>5</v>
      </c>
      <c r="B19" s="1" t="s">
        <v>143</v>
      </c>
      <c r="C19" s="11"/>
      <c r="D19" s="19"/>
      <c r="E19" s="6">
        <f>'Page 1'!C16</f>
        <v>24883746.063560367</v>
      </c>
    </row>
    <row r="20" spans="1:5" x14ac:dyDescent="0.25">
      <c r="A20" s="1">
        <v>6</v>
      </c>
      <c r="B20" s="1" t="s">
        <v>148</v>
      </c>
      <c r="C20" s="11"/>
      <c r="D20" s="19"/>
      <c r="E20" s="6">
        <f>'Page 1'!C17</f>
        <v>89636.923512000038</v>
      </c>
    </row>
    <row r="21" spans="1:5" x14ac:dyDescent="0.25">
      <c r="A21" s="1">
        <v>7</v>
      </c>
      <c r="B21" s="1" t="s">
        <v>151</v>
      </c>
      <c r="C21" s="12"/>
      <c r="D21" s="19"/>
      <c r="E21" s="15">
        <f>'Page 1'!C18</f>
        <v>18730452.126805801</v>
      </c>
    </row>
    <row r="22" spans="1:5" x14ac:dyDescent="0.25">
      <c r="C22" s="6"/>
      <c r="D22" s="19"/>
      <c r="E22" s="6"/>
    </row>
    <row r="23" spans="1:5" x14ac:dyDescent="0.25">
      <c r="A23" s="1">
        <v>8</v>
      </c>
      <c r="B23" s="1" t="s">
        <v>159</v>
      </c>
      <c r="C23" s="6">
        <f>SUM(C19:C22)</f>
        <v>0</v>
      </c>
      <c r="D23" s="19"/>
      <c r="E23" s="6">
        <f>SUM(E19:E22)</f>
        <v>43703835.113878168</v>
      </c>
    </row>
    <row r="24" spans="1:5" x14ac:dyDescent="0.25">
      <c r="B24" s="3"/>
      <c r="C24" s="6"/>
      <c r="D24" s="19"/>
      <c r="E24" s="6"/>
    </row>
    <row r="25" spans="1:5" x14ac:dyDescent="0.25">
      <c r="C25" s="6"/>
      <c r="D25" s="19"/>
      <c r="E25" s="6"/>
    </row>
    <row r="26" spans="1:5" x14ac:dyDescent="0.25">
      <c r="A26" s="1">
        <v>9</v>
      </c>
      <c r="B26" s="1" t="s">
        <v>165</v>
      </c>
      <c r="C26" s="11"/>
      <c r="D26" s="19"/>
      <c r="E26" s="6">
        <f>'Page 1'!C21</f>
        <v>1368032.1544041645</v>
      </c>
    </row>
    <row r="27" spans="1:5" x14ac:dyDescent="0.25">
      <c r="A27" s="1">
        <v>10</v>
      </c>
      <c r="B27" s="1" t="s">
        <v>170</v>
      </c>
      <c r="C27" s="11"/>
      <c r="D27" s="19"/>
      <c r="E27" s="6">
        <v>0</v>
      </c>
    </row>
    <row r="28" spans="1:5" x14ac:dyDescent="0.25">
      <c r="A28" s="1">
        <v>11</v>
      </c>
      <c r="B28" s="1" t="s">
        <v>167</v>
      </c>
      <c r="C28" s="11"/>
      <c r="D28" s="19"/>
      <c r="E28" s="6">
        <f>+'Page 1'!C22</f>
        <v>1628078.4</v>
      </c>
    </row>
    <row r="29" spans="1:5" x14ac:dyDescent="0.25">
      <c r="A29" s="1">
        <v>12</v>
      </c>
      <c r="B29" s="1" t="s">
        <v>171</v>
      </c>
      <c r="C29" s="11"/>
      <c r="D29" s="19"/>
      <c r="E29" s="6">
        <f>'Page 1'!C23</f>
        <v>3837790.6691579032</v>
      </c>
    </row>
    <row r="30" spans="1:5" x14ac:dyDescent="0.25">
      <c r="A30" s="1">
        <v>13</v>
      </c>
      <c r="B30" s="1" t="s">
        <v>174</v>
      </c>
      <c r="C30" s="12"/>
      <c r="D30" s="19"/>
      <c r="E30" s="15">
        <f>'Page 1'!C24</f>
        <v>11177644.226568783</v>
      </c>
    </row>
    <row r="31" spans="1:5" x14ac:dyDescent="0.25">
      <c r="C31" s="6"/>
      <c r="D31" s="19"/>
      <c r="E31" s="6"/>
    </row>
    <row r="32" spans="1:5" x14ac:dyDescent="0.25">
      <c r="A32" s="1">
        <v>14</v>
      </c>
      <c r="B32" s="1" t="s">
        <v>178</v>
      </c>
      <c r="C32" s="15">
        <f>SUM(C23:C31)</f>
        <v>0</v>
      </c>
      <c r="D32" s="19"/>
      <c r="E32" s="15">
        <f>SUM(E23:E31)</f>
        <v>61715380.564009011</v>
      </c>
    </row>
    <row r="33" spans="1:5" x14ac:dyDescent="0.25">
      <c r="C33" s="5"/>
      <c r="D33" s="19"/>
      <c r="E33" s="5"/>
    </row>
    <row r="34" spans="1:5" ht="13.5" thickBot="1" x14ac:dyDescent="0.3">
      <c r="A34" s="1">
        <v>15</v>
      </c>
      <c r="B34" s="1" t="s">
        <v>184</v>
      </c>
      <c r="C34" s="16">
        <f>C16-C32</f>
        <v>0</v>
      </c>
      <c r="D34" s="22"/>
      <c r="E34" s="16">
        <f>E16-E32</f>
        <v>11019485.634548649</v>
      </c>
    </row>
    <row r="35" spans="1:5" ht="13.5" thickTop="1" x14ac:dyDescent="0.25">
      <c r="C35" s="17"/>
      <c r="D35" s="22"/>
      <c r="E35" s="17"/>
    </row>
    <row r="36" spans="1:5" ht="13.5" thickBot="1" x14ac:dyDescent="0.3">
      <c r="A36" s="1">
        <v>16</v>
      </c>
      <c r="B36" s="1" t="s">
        <v>187</v>
      </c>
      <c r="C36" s="16" t="e">
        <f>#REF!*1000</f>
        <v>#REF!</v>
      </c>
      <c r="D36" s="22"/>
      <c r="E36" s="16">
        <f>'Page 1'!C41</f>
        <v>201863886.6437462</v>
      </c>
    </row>
    <row r="37" spans="1:5" ht="13.5" thickTop="1" x14ac:dyDescent="0.25">
      <c r="C37" s="8"/>
      <c r="D37" s="23"/>
      <c r="E37" s="8"/>
    </row>
    <row r="38" spans="1:5" x14ac:dyDescent="0.25">
      <c r="D38" s="23"/>
    </row>
    <row r="39" spans="1:5" ht="13.5" thickBot="1" x14ac:dyDescent="0.3">
      <c r="A39" s="1">
        <v>17</v>
      </c>
      <c r="B39" s="1" t="s">
        <v>192</v>
      </c>
      <c r="C39" s="18" t="e">
        <f>ROUND(+C34/C36,5)</f>
        <v>#REF!</v>
      </c>
      <c r="D39" s="23"/>
      <c r="E39" s="18">
        <f>ROUND(+E34/E36,5)</f>
        <v>5.459E-2</v>
      </c>
    </row>
    <row r="40" spans="1:5" ht="13.5" thickTop="1" x14ac:dyDescent="0.25">
      <c r="C40" s="10"/>
      <c r="D40" s="23"/>
      <c r="E40" s="10"/>
    </row>
    <row r="41" spans="1:5" ht="13.5" thickBot="1" x14ac:dyDescent="0.3">
      <c r="A41" s="1">
        <v>18</v>
      </c>
      <c r="B41" s="1" t="s">
        <v>198</v>
      </c>
      <c r="C41" s="18" t="e">
        <f>((+C39-'Cost of Cap'!$E$12-'Cost of Cap'!$E$13-'Cost of Cap'!$E$14)/'Cost of Cap'!$C$15)</f>
        <v>#REF!</v>
      </c>
      <c r="D41" s="23"/>
      <c r="E41" s="18">
        <f>((+E39-'Cost of Cap'!$E$12-'Cost of Cap'!$E$13-'Cost of Cap'!$E$14)/'Cost of Cap'!$C$15)</f>
        <v>6.7388261061241586E-2</v>
      </c>
    </row>
    <row r="42" spans="1:5" ht="13.5" thickTop="1" x14ac:dyDescent="0.25">
      <c r="D42" s="23"/>
    </row>
    <row r="43" spans="1:5" x14ac:dyDescent="0.25">
      <c r="D43" s="23"/>
    </row>
    <row r="44" spans="1:5" x14ac:dyDescent="0.25">
      <c r="D44" s="23"/>
    </row>
  </sheetData>
  <phoneticPr fontId="0" type="noConversion"/>
  <pageMargins left="0.75" right="0.75" top="1" bottom="1" header="0.5" footer="0.5"/>
  <pageSetup scale="90" orientation="portrait" r:id="rId1"/>
  <headerFooter alignWithMargins="0">
    <oddFooter>&amp;C&amp;"Times New Roman,Regular"&amp;8&amp;F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42"/>
  </sheetPr>
  <dimension ref="A1:M125"/>
  <sheetViews>
    <sheetView showGridLines="0" zoomScaleNormal="100" workbookViewId="0">
      <pane xSplit="3" ySplit="9" topLeftCell="D10" activePane="bottomRight" state="frozen"/>
      <selection activeCell="E43" sqref="E43"/>
      <selection pane="topRight" activeCell="E43" sqref="E43"/>
      <selection pane="bottomLeft" activeCell="E43" sqref="E43"/>
      <selection pane="bottomRight" activeCell="L120" sqref="L120"/>
    </sheetView>
  </sheetViews>
  <sheetFormatPr defaultColWidth="9.1796875" defaultRowHeight="12.5" x14ac:dyDescent="0.25"/>
  <cols>
    <col min="1" max="1" width="4.7265625" style="24" customWidth="1"/>
    <col min="2" max="2" width="37.7265625" style="24" customWidth="1"/>
    <col min="3" max="13" width="15.7265625" style="30" customWidth="1"/>
    <col min="14" max="16384" width="9.1796875" style="30"/>
  </cols>
  <sheetData>
    <row r="1" spans="1:13" s="24" customFormat="1" x14ac:dyDescent="0.25">
      <c r="A1" s="24" t="s">
        <v>0</v>
      </c>
      <c r="C1" s="26"/>
      <c r="D1" s="26"/>
      <c r="E1" s="26"/>
      <c r="F1" s="26"/>
      <c r="I1" s="81"/>
      <c r="L1" s="26"/>
      <c r="M1" s="26"/>
    </row>
    <row r="2" spans="1:13" s="24" customFormat="1" x14ac:dyDescent="0.25">
      <c r="A2" s="24" t="str">
        <f>+'Page 1'!A2</f>
        <v>Washington Annual Commission Basis Report</v>
      </c>
      <c r="C2" s="26"/>
      <c r="D2" s="26"/>
      <c r="E2" s="26"/>
      <c r="F2" s="26"/>
      <c r="L2" s="26"/>
      <c r="M2" s="26"/>
    </row>
    <row r="3" spans="1:13" s="24" customFormat="1" x14ac:dyDescent="0.25">
      <c r="A3" s="24" t="str">
        <f>+A53</f>
        <v>Adjustments to Test Period</v>
      </c>
    </row>
    <row r="4" spans="1:13" s="24" customFormat="1" x14ac:dyDescent="0.25">
      <c r="A4" s="24" t="str">
        <f>+'Page 1'!A3</f>
        <v>Twelve Months Ended December 31, 2020</v>
      </c>
      <c r="C4" s="26"/>
      <c r="D4" s="26"/>
      <c r="E4" s="26"/>
      <c r="F4" s="26"/>
      <c r="G4" s="26"/>
      <c r="H4" s="26"/>
      <c r="I4" s="26"/>
      <c r="J4" s="26"/>
      <c r="K4" s="26"/>
    </row>
    <row r="5" spans="1:13" s="24" customFormat="1" x14ac:dyDescent="0.25"/>
    <row r="6" spans="1:13" s="81" customFormat="1" x14ac:dyDescent="0.25">
      <c r="A6" s="24"/>
      <c r="B6" s="24"/>
      <c r="C6" s="82"/>
      <c r="D6" s="82" t="s">
        <v>16</v>
      </c>
      <c r="E6" s="82"/>
      <c r="F6" s="82"/>
      <c r="G6" s="82"/>
      <c r="H6" s="82"/>
      <c r="I6" s="82" t="s">
        <v>437</v>
      </c>
      <c r="J6" s="82"/>
      <c r="K6" s="82"/>
      <c r="L6" s="82"/>
      <c r="M6" s="82"/>
    </row>
    <row r="7" spans="1:13" s="81" customFormat="1" x14ac:dyDescent="0.25">
      <c r="A7" s="24"/>
      <c r="B7" s="24"/>
      <c r="C7" s="82"/>
      <c r="D7" s="82" t="s">
        <v>35</v>
      </c>
      <c r="E7" s="82" t="s">
        <v>353</v>
      </c>
      <c r="F7" s="82"/>
      <c r="G7" s="82" t="s">
        <v>37</v>
      </c>
      <c r="H7" s="82" t="s">
        <v>38</v>
      </c>
      <c r="I7" s="82" t="s">
        <v>438</v>
      </c>
      <c r="J7" s="82"/>
      <c r="K7" s="82"/>
      <c r="L7" s="82"/>
      <c r="M7" s="82"/>
    </row>
    <row r="8" spans="1:13" s="81" customFormat="1" x14ac:dyDescent="0.25">
      <c r="A8" s="24" t="s">
        <v>17</v>
      </c>
      <c r="B8" s="24"/>
      <c r="C8" s="82" t="s">
        <v>395</v>
      </c>
      <c r="D8" s="82" t="s">
        <v>58</v>
      </c>
      <c r="E8" s="82" t="s">
        <v>84</v>
      </c>
      <c r="F8" s="82" t="s">
        <v>59</v>
      </c>
      <c r="G8" s="82" t="s">
        <v>60</v>
      </c>
      <c r="H8" s="82" t="s">
        <v>61</v>
      </c>
      <c r="I8" s="82" t="s">
        <v>439</v>
      </c>
      <c r="J8" s="82" t="s">
        <v>63</v>
      </c>
      <c r="K8" s="82" t="s">
        <v>305</v>
      </c>
      <c r="L8" s="82" t="s">
        <v>64</v>
      </c>
      <c r="M8" s="82" t="s">
        <v>396</v>
      </c>
    </row>
    <row r="9" spans="1:13" s="81" customFormat="1" x14ac:dyDescent="0.25">
      <c r="A9" s="101" t="s">
        <v>46</v>
      </c>
      <c r="B9" s="24"/>
      <c r="C9" s="140" t="s">
        <v>1</v>
      </c>
      <c r="D9" s="140" t="s">
        <v>81</v>
      </c>
      <c r="E9" s="140" t="s">
        <v>42</v>
      </c>
      <c r="F9" s="140" t="s">
        <v>42</v>
      </c>
      <c r="G9" s="140" t="s">
        <v>42</v>
      </c>
      <c r="H9" s="140" t="s">
        <v>42</v>
      </c>
      <c r="I9" s="140" t="s">
        <v>42</v>
      </c>
      <c r="J9" s="140" t="s">
        <v>42</v>
      </c>
      <c r="K9" s="140" t="s">
        <v>42</v>
      </c>
      <c r="L9" s="140" t="s">
        <v>47</v>
      </c>
      <c r="M9" s="140" t="s">
        <v>1</v>
      </c>
    </row>
    <row r="10" spans="1:13" s="81" customFormat="1" x14ac:dyDescent="0.25">
      <c r="A10" s="24"/>
      <c r="B10" s="24"/>
      <c r="C10" s="82"/>
      <c r="D10" s="82" t="s">
        <v>76</v>
      </c>
      <c r="E10" s="82" t="s">
        <v>77</v>
      </c>
      <c r="F10" s="82" t="s">
        <v>78</v>
      </c>
      <c r="G10" s="82" t="s">
        <v>79</v>
      </c>
      <c r="H10" s="82" t="s">
        <v>80</v>
      </c>
      <c r="I10" s="82" t="s">
        <v>89</v>
      </c>
      <c r="J10" s="82" t="s">
        <v>90</v>
      </c>
      <c r="K10" s="82" t="s">
        <v>91</v>
      </c>
      <c r="L10" s="82" t="s">
        <v>92</v>
      </c>
      <c r="M10" s="82"/>
    </row>
    <row r="11" spans="1:13" x14ac:dyDescent="0.25">
      <c r="B11" s="81" t="s">
        <v>101</v>
      </c>
      <c r="C11" s="75"/>
      <c r="D11" s="75"/>
      <c r="E11" s="75"/>
      <c r="F11" s="41"/>
      <c r="G11" s="41"/>
      <c r="H11" s="41"/>
      <c r="I11" s="41"/>
      <c r="J11" s="41"/>
      <c r="K11" s="41"/>
      <c r="L11" s="41"/>
      <c r="M11" s="41"/>
    </row>
    <row r="12" spans="1:13" x14ac:dyDescent="0.25">
      <c r="A12" s="24">
        <v>1</v>
      </c>
      <c r="B12" s="81" t="s">
        <v>113</v>
      </c>
      <c r="C12" s="102">
        <f>+'Page 1'!C10</f>
        <v>72959972.44855766</v>
      </c>
      <c r="D12" s="102">
        <f>+'a Rev &amp; Cost'!H36</f>
        <v>2405648.8070246275</v>
      </c>
      <c r="E12" s="102"/>
      <c r="F12" s="92"/>
      <c r="G12" s="92"/>
      <c r="H12" s="92"/>
      <c r="I12" s="92"/>
      <c r="J12" s="92"/>
      <c r="K12" s="92"/>
      <c r="L12" s="92">
        <f>SUM(D12:K12)</f>
        <v>2405648.8070246275</v>
      </c>
      <c r="M12" s="92">
        <f>+L12+C12</f>
        <v>75365621.255582288</v>
      </c>
    </row>
    <row r="13" spans="1:13" x14ac:dyDescent="0.25">
      <c r="A13" s="24">
        <f>+A12+1</f>
        <v>2</v>
      </c>
      <c r="B13" s="143" t="s">
        <v>119</v>
      </c>
      <c r="C13" s="102">
        <f>+'Page 1'!C11</f>
        <v>2271072.2999999998</v>
      </c>
      <c r="D13" s="102">
        <f>+'a Rev &amp; Cost'!H34</f>
        <v>0</v>
      </c>
      <c r="E13" s="102"/>
      <c r="F13" s="92"/>
      <c r="G13" s="92"/>
      <c r="H13" s="92"/>
      <c r="I13" s="92"/>
      <c r="J13" s="92"/>
      <c r="K13" s="92"/>
      <c r="L13" s="92">
        <f>SUM(D13:K13)</f>
        <v>0</v>
      </c>
      <c r="M13" s="92">
        <f>+L13+C13</f>
        <v>2271072.2999999998</v>
      </c>
    </row>
    <row r="14" spans="1:13" x14ac:dyDescent="0.25">
      <c r="A14" s="24">
        <f>+A13+1</f>
        <v>3</v>
      </c>
      <c r="B14" s="143" t="s">
        <v>115</v>
      </c>
      <c r="C14" s="103">
        <f>+'Page 1'!C12</f>
        <v>-2496178.5500000003</v>
      </c>
      <c r="D14" s="103"/>
      <c r="E14" s="103">
        <f>+'b Misc Revenues'!G23</f>
        <v>-65974.08076573626</v>
      </c>
      <c r="F14" s="93"/>
      <c r="G14" s="93"/>
      <c r="H14" s="93"/>
      <c r="I14" s="93"/>
      <c r="J14" s="93"/>
      <c r="K14" s="93"/>
      <c r="L14" s="93">
        <f>SUM(D14:K14)</f>
        <v>-65974.08076573626</v>
      </c>
      <c r="M14" s="93">
        <f>+L14+C14</f>
        <v>-2562152.6307657366</v>
      </c>
    </row>
    <row r="15" spans="1:13" x14ac:dyDescent="0.25">
      <c r="B15" s="81"/>
      <c r="C15" s="102"/>
      <c r="D15" s="102"/>
      <c r="E15" s="102"/>
      <c r="F15" s="92"/>
      <c r="G15" s="92"/>
      <c r="H15" s="92"/>
      <c r="I15" s="92"/>
      <c r="J15" s="92"/>
      <c r="K15" s="92"/>
      <c r="L15" s="92"/>
      <c r="M15" s="92"/>
    </row>
    <row r="16" spans="1:13" x14ac:dyDescent="0.25">
      <c r="A16" s="24">
        <f>+A14+1</f>
        <v>4</v>
      </c>
      <c r="B16" s="81" t="s">
        <v>129</v>
      </c>
      <c r="C16" s="102">
        <f>+'Page 1'!C13</f>
        <v>72734866.19855766</v>
      </c>
      <c r="D16" s="102">
        <f t="shared" ref="D16:L16" si="0">SUM(D12:D14)</f>
        <v>2405648.8070246275</v>
      </c>
      <c r="E16" s="102">
        <f>SUM(E12:E14)</f>
        <v>-65974.08076573626</v>
      </c>
      <c r="F16" s="92">
        <f t="shared" si="0"/>
        <v>0</v>
      </c>
      <c r="G16" s="92">
        <f t="shared" si="0"/>
        <v>0</v>
      </c>
      <c r="H16" s="92">
        <f t="shared" si="0"/>
        <v>0</v>
      </c>
      <c r="I16" s="92">
        <f t="shared" si="0"/>
        <v>0</v>
      </c>
      <c r="J16" s="92">
        <f t="shared" si="0"/>
        <v>0</v>
      </c>
      <c r="K16" s="92">
        <f>SUM(K12:K14)</f>
        <v>0</v>
      </c>
      <c r="L16" s="92">
        <f t="shared" si="0"/>
        <v>2339674.7262588912</v>
      </c>
      <c r="M16" s="92">
        <f>+L16+C16</f>
        <v>75074540.924816549</v>
      </c>
    </row>
    <row r="17" spans="1:13" x14ac:dyDescent="0.25">
      <c r="B17" s="139"/>
      <c r="C17" s="102"/>
      <c r="D17" s="102"/>
      <c r="E17" s="102"/>
      <c r="F17" s="92"/>
      <c r="G17" s="92"/>
      <c r="H17" s="92"/>
      <c r="I17" s="92"/>
      <c r="J17" s="92"/>
      <c r="K17" s="92"/>
      <c r="L17" s="92"/>
      <c r="M17" s="92"/>
    </row>
    <row r="18" spans="1:13" x14ac:dyDescent="0.25">
      <c r="B18" s="81" t="s">
        <v>138</v>
      </c>
      <c r="C18" s="102"/>
      <c r="D18" s="102"/>
      <c r="E18" s="102"/>
      <c r="F18" s="92"/>
      <c r="G18" s="92"/>
      <c r="H18" s="92"/>
      <c r="I18" s="92"/>
      <c r="J18" s="92"/>
      <c r="K18" s="92"/>
      <c r="L18" s="92"/>
      <c r="M18" s="92"/>
    </row>
    <row r="19" spans="1:13" x14ac:dyDescent="0.25">
      <c r="A19" s="24">
        <f>+A16+1</f>
        <v>5</v>
      </c>
      <c r="B19" s="81" t="s">
        <v>143</v>
      </c>
      <c r="C19" s="102">
        <f>+'Page 1'!C16</f>
        <v>24883746.063560367</v>
      </c>
      <c r="D19" s="102">
        <f>+'a Rev &amp; Cost'!H51</f>
        <v>1048772.7428610218</v>
      </c>
      <c r="E19" s="102"/>
      <c r="F19" s="92"/>
      <c r="G19" s="92"/>
      <c r="H19" s="92"/>
      <c r="I19" s="92"/>
      <c r="J19" s="92"/>
      <c r="K19" s="92"/>
      <c r="L19" s="92">
        <f>SUM(D19:K19)</f>
        <v>1048772.7428610218</v>
      </c>
      <c r="M19" s="92">
        <f>+L19+C19</f>
        <v>25932518.806421388</v>
      </c>
    </row>
    <row r="20" spans="1:13" x14ac:dyDescent="0.25">
      <c r="A20" s="24">
        <f>+A19+1</f>
        <v>6</v>
      </c>
      <c r="B20" s="81" t="s">
        <v>153</v>
      </c>
      <c r="C20" s="102">
        <f>+'Page 1'!C17</f>
        <v>89636.923512000038</v>
      </c>
      <c r="D20" s="102">
        <f>(+D12+D13)*'Cost of Cap'!$C$52</f>
        <v>2189.140414392411</v>
      </c>
      <c r="E20" s="102">
        <f>(+E12+E13)*'Cost of Cap'!$C$52</f>
        <v>0</v>
      </c>
      <c r="F20" s="92"/>
      <c r="G20" s="92">
        <f>+'d Uncollectibles'!C45</f>
        <v>-17092.923512000038</v>
      </c>
      <c r="H20" s="92"/>
      <c r="I20" s="92"/>
      <c r="J20" s="92"/>
      <c r="K20" s="92"/>
      <c r="L20" s="92">
        <f>SUM(D20:K20)</f>
        <v>-14903.783097607626</v>
      </c>
      <c r="M20" s="92">
        <f>+L20+C20</f>
        <v>74733.140414392416</v>
      </c>
    </row>
    <row r="21" spans="1:13" x14ac:dyDescent="0.25">
      <c r="A21" s="24">
        <f>+A20+1</f>
        <v>7</v>
      </c>
      <c r="B21" s="81" t="s">
        <v>156</v>
      </c>
      <c r="C21" s="103">
        <f>+'Page 1'!C18</f>
        <v>18730452.126805801</v>
      </c>
      <c r="D21" s="93"/>
      <c r="E21" s="93"/>
      <c r="F21" s="93">
        <f>'c Bonuses'!H32</f>
        <v>88795.271637713464</v>
      </c>
      <c r="G21" s="93"/>
      <c r="H21" s="93"/>
      <c r="I21" s="93">
        <f>-' f Sales &amp; Mktg'!E23</f>
        <v>-493259</v>
      </c>
      <c r="J21" s="93">
        <f>'g Claims'!D23</f>
        <v>3257</v>
      </c>
      <c r="K21" s="93">
        <f>+'h Clearing'!D13</f>
        <v>0</v>
      </c>
      <c r="L21" s="93">
        <f>SUM(D21:K21)</f>
        <v>-401206.72836228652</v>
      </c>
      <c r="M21" s="93">
        <f>+L21+C21</f>
        <v>18329245.398443513</v>
      </c>
    </row>
    <row r="22" spans="1:13" x14ac:dyDescent="0.25">
      <c r="B22" s="81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</row>
    <row r="23" spans="1:13" x14ac:dyDescent="0.25">
      <c r="A23" s="24">
        <f>+A21+1</f>
        <v>8</v>
      </c>
      <c r="B23" s="143" t="s">
        <v>159</v>
      </c>
      <c r="C23" s="102">
        <f>+'Page 1'!C19</f>
        <v>43703835.113878168</v>
      </c>
      <c r="D23" s="92">
        <f t="shared" ref="D23:L23" si="1">D19+D20+D21</f>
        <v>1050961.8832754141</v>
      </c>
      <c r="E23" s="92">
        <f>E19+E20+E21</f>
        <v>0</v>
      </c>
      <c r="F23" s="92">
        <f t="shared" si="1"/>
        <v>88795.271637713464</v>
      </c>
      <c r="G23" s="92">
        <f t="shared" si="1"/>
        <v>-17092.923512000038</v>
      </c>
      <c r="H23" s="92">
        <f t="shared" si="1"/>
        <v>0</v>
      </c>
      <c r="I23" s="92">
        <f t="shared" si="1"/>
        <v>-493259</v>
      </c>
      <c r="J23" s="92">
        <f t="shared" si="1"/>
        <v>3257</v>
      </c>
      <c r="K23" s="92">
        <f>K19+K20+K21</f>
        <v>0</v>
      </c>
      <c r="L23" s="92">
        <f t="shared" si="1"/>
        <v>632662.23140112753</v>
      </c>
      <c r="M23" s="92">
        <f>+L23+C23</f>
        <v>44336497.345279299</v>
      </c>
    </row>
    <row r="24" spans="1:13" x14ac:dyDescent="0.25">
      <c r="B24" s="8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</row>
    <row r="25" spans="1:13" x14ac:dyDescent="0.25">
      <c r="B25" s="8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</row>
    <row r="26" spans="1:13" x14ac:dyDescent="0.25">
      <c r="A26" s="24">
        <f>+A23+1</f>
        <v>9</v>
      </c>
      <c r="B26" s="81" t="s">
        <v>165</v>
      </c>
      <c r="C26" s="102">
        <f>+'Page 1'!C21</f>
        <v>1368032.1544041645</v>
      </c>
      <c r="D26" s="92">
        <f>D$89</f>
        <v>264014</v>
      </c>
      <c r="E26" s="92">
        <f>E$89</f>
        <v>-13293</v>
      </c>
      <c r="F26" s="92">
        <f t="shared" ref="F26:K26" si="2">F89</f>
        <v>-18869</v>
      </c>
      <c r="G26" s="92">
        <f t="shared" si="2"/>
        <v>3590</v>
      </c>
      <c r="H26" s="92">
        <f t="shared" si="2"/>
        <v>0</v>
      </c>
      <c r="I26" s="92">
        <f t="shared" si="2"/>
        <v>103584</v>
      </c>
      <c r="J26" s="92">
        <f t="shared" si="2"/>
        <v>-712</v>
      </c>
      <c r="K26" s="92">
        <f t="shared" si="2"/>
        <v>0</v>
      </c>
      <c r="L26" s="92">
        <f>SUM(D26:K26)</f>
        <v>338314</v>
      </c>
      <c r="M26" s="92">
        <f>+L26+C26</f>
        <v>1706346.1544041645</v>
      </c>
    </row>
    <row r="27" spans="1:13" x14ac:dyDescent="0.25">
      <c r="A27" s="24">
        <f>+A26+1</f>
        <v>10</v>
      </c>
      <c r="B27" s="81" t="s">
        <v>167</v>
      </c>
      <c r="C27" s="102">
        <f>+'Page 1'!C22</f>
        <v>1628078.4</v>
      </c>
      <c r="D27" s="92"/>
      <c r="E27" s="92"/>
      <c r="F27" s="92"/>
      <c r="G27" s="92"/>
      <c r="H27" s="92"/>
      <c r="I27" s="92"/>
      <c r="J27" s="92"/>
      <c r="K27" s="92"/>
      <c r="L27" s="92">
        <f>SUM(D27:K27)</f>
        <v>0</v>
      </c>
      <c r="M27" s="92">
        <f>+L27+C27</f>
        <v>1628078.4</v>
      </c>
    </row>
    <row r="28" spans="1:13" x14ac:dyDescent="0.25">
      <c r="A28" s="24">
        <f>+A27+1</f>
        <v>11</v>
      </c>
      <c r="B28" s="81" t="s">
        <v>171</v>
      </c>
      <c r="C28" s="102">
        <f>+'Page 1'!C23</f>
        <v>3837790.6691579032</v>
      </c>
      <c r="D28" s="92">
        <f>(+D16*(+'Cost of Cap'!$C28+'Cost of Cap'!$C29+'Cost of Cap'!$C30))</f>
        <v>97476.889660637898</v>
      </c>
      <c r="E28" s="92">
        <f>(+E16*(+'Cost of Cap'!$C28+'Cost of Cap'!$C29+'Cost of Cap'!$C30))</f>
        <v>-2673.2697526276334</v>
      </c>
      <c r="F28" s="92"/>
      <c r="G28" s="92"/>
      <c r="H28" s="92"/>
      <c r="I28" s="92"/>
      <c r="J28" s="92"/>
      <c r="K28" s="92"/>
      <c r="L28" s="92">
        <f>SUM(D28:K28)</f>
        <v>94803.619908010267</v>
      </c>
      <c r="M28" s="92">
        <f>+L28+C28</f>
        <v>3932594.2890659133</v>
      </c>
    </row>
    <row r="29" spans="1:13" x14ac:dyDescent="0.25">
      <c r="A29" s="24">
        <f>+A28+1</f>
        <v>12</v>
      </c>
      <c r="B29" s="81" t="s">
        <v>174</v>
      </c>
      <c r="C29" s="103">
        <f>+'Page 1'!C24</f>
        <v>11177644.226568783</v>
      </c>
      <c r="D29" s="93"/>
      <c r="E29" s="93"/>
      <c r="F29" s="93"/>
      <c r="G29" s="93"/>
      <c r="H29" s="93"/>
      <c r="I29" s="93"/>
      <c r="J29" s="93"/>
      <c r="K29" s="93"/>
      <c r="L29" s="93">
        <f>SUM(D29:K29)</f>
        <v>0</v>
      </c>
      <c r="M29" s="93">
        <f>+L29+C29</f>
        <v>11177644.226568783</v>
      </c>
    </row>
    <row r="30" spans="1:13" x14ac:dyDescent="0.25">
      <c r="B30" s="8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</row>
    <row r="31" spans="1:13" x14ac:dyDescent="0.25">
      <c r="A31" s="24">
        <f>+A29+1</f>
        <v>13</v>
      </c>
      <c r="B31" s="81" t="s">
        <v>178</v>
      </c>
      <c r="C31" s="103">
        <f>+'Page 1'!C26</f>
        <v>61715380.564009011</v>
      </c>
      <c r="D31" s="93">
        <f t="shared" ref="D31:L31" si="3">SUM(D23:D29)</f>
        <v>1412452.7729360519</v>
      </c>
      <c r="E31" s="93">
        <f>SUM(E23:E29)</f>
        <v>-15966.269752627633</v>
      </c>
      <c r="F31" s="93">
        <f t="shared" si="3"/>
        <v>69926.271637713464</v>
      </c>
      <c r="G31" s="93">
        <f t="shared" si="3"/>
        <v>-13502.923512000038</v>
      </c>
      <c r="H31" s="93">
        <f t="shared" si="3"/>
        <v>0</v>
      </c>
      <c r="I31" s="93">
        <f t="shared" si="3"/>
        <v>-389675</v>
      </c>
      <c r="J31" s="93">
        <f t="shared" si="3"/>
        <v>2545</v>
      </c>
      <c r="K31" s="93">
        <f>SUM(K23:K29)</f>
        <v>0</v>
      </c>
      <c r="L31" s="93">
        <f t="shared" si="3"/>
        <v>1065779.8513091379</v>
      </c>
      <c r="M31" s="93">
        <f>+L31+C31</f>
        <v>62781160.415318146</v>
      </c>
    </row>
    <row r="32" spans="1:13" x14ac:dyDescent="0.25">
      <c r="B32" s="81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</row>
    <row r="33" spans="1:13" ht="13" thickBot="1" x14ac:dyDescent="0.3">
      <c r="A33" s="24">
        <f>+A31+1</f>
        <v>14</v>
      </c>
      <c r="B33" s="81" t="s">
        <v>186</v>
      </c>
      <c r="C33" s="142">
        <f>+'Page 1'!C28</f>
        <v>11019485.634548649</v>
      </c>
      <c r="D33" s="94">
        <f t="shared" ref="D33:L33" si="4">D16-D31</f>
        <v>993196.03408857551</v>
      </c>
      <c r="E33" s="94">
        <f>E16-E31</f>
        <v>-50007.811013108629</v>
      </c>
      <c r="F33" s="94">
        <f t="shared" si="4"/>
        <v>-69926.271637713464</v>
      </c>
      <c r="G33" s="94">
        <f t="shared" si="4"/>
        <v>13502.923512000038</v>
      </c>
      <c r="H33" s="94">
        <f t="shared" si="4"/>
        <v>0</v>
      </c>
      <c r="I33" s="94">
        <f t="shared" si="4"/>
        <v>389675</v>
      </c>
      <c r="J33" s="94">
        <f t="shared" si="4"/>
        <v>-2545</v>
      </c>
      <c r="K33" s="94">
        <f>K16-K31</f>
        <v>0</v>
      </c>
      <c r="L33" s="94">
        <f t="shared" si="4"/>
        <v>1273894.8749497533</v>
      </c>
      <c r="M33" s="94">
        <f>+L33+C33</f>
        <v>12293380.509498402</v>
      </c>
    </row>
    <row r="34" spans="1:13" ht="13" thickTop="1" x14ac:dyDescent="0.25">
      <c r="B34" s="8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</row>
    <row r="35" spans="1:13" x14ac:dyDescent="0.25">
      <c r="B35" s="81" t="s">
        <v>179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</row>
    <row r="36" spans="1:13" x14ac:dyDescent="0.25">
      <c r="A36" s="24">
        <f>+A33+1</f>
        <v>15</v>
      </c>
      <c r="B36" s="81" t="s">
        <v>191</v>
      </c>
      <c r="C36" s="102">
        <f>+'Page 1'!C31</f>
        <v>390157104.42000002</v>
      </c>
      <c r="D36" s="92"/>
      <c r="E36" s="92"/>
      <c r="F36" s="92">
        <f>'c Bonuses'!H36</f>
        <v>44506.055937257719</v>
      </c>
      <c r="G36" s="92"/>
      <c r="H36" s="92"/>
      <c r="I36" s="92"/>
      <c r="J36" s="92">
        <f>'g Claims'!E23</f>
        <v>5688</v>
      </c>
      <c r="K36" s="92">
        <f>+'h Clearing'!D20</f>
        <v>0</v>
      </c>
      <c r="L36" s="92">
        <f>SUM(D36:K36)</f>
        <v>50194.055937257719</v>
      </c>
      <c r="M36" s="92">
        <f>+L36+C36</f>
        <v>390207298.47593725</v>
      </c>
    </row>
    <row r="37" spans="1:13" x14ac:dyDescent="0.25">
      <c r="A37" s="24">
        <f>+A36+1</f>
        <v>16</v>
      </c>
      <c r="B37" s="81" t="s">
        <v>195</v>
      </c>
      <c r="C37" s="103">
        <f>+'Page 1'!C32</f>
        <v>-155701952.67000002</v>
      </c>
      <c r="D37" s="93"/>
      <c r="E37" s="93"/>
      <c r="F37" s="93"/>
      <c r="G37" s="93"/>
      <c r="H37" s="93"/>
      <c r="I37" s="93"/>
      <c r="J37" s="93"/>
      <c r="K37" s="93"/>
      <c r="L37" s="93">
        <f>SUM(D37:K37)</f>
        <v>0</v>
      </c>
      <c r="M37" s="93">
        <f>+L37+C37</f>
        <v>-155701952.67000002</v>
      </c>
    </row>
    <row r="38" spans="1:13" x14ac:dyDescent="0.25">
      <c r="B38" s="81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</row>
    <row r="39" spans="1:13" x14ac:dyDescent="0.25">
      <c r="A39" s="24">
        <f>+A37+1</f>
        <v>17</v>
      </c>
      <c r="B39" s="81" t="s">
        <v>200</v>
      </c>
      <c r="C39" s="92">
        <f t="shared" ref="C39:L39" si="5">C36+C37</f>
        <v>234455151.75</v>
      </c>
      <c r="D39" s="92">
        <f t="shared" si="5"/>
        <v>0</v>
      </c>
      <c r="E39" s="92">
        <f>E36+E37</f>
        <v>0</v>
      </c>
      <c r="F39" s="92">
        <f t="shared" si="5"/>
        <v>44506.055937257719</v>
      </c>
      <c r="G39" s="92">
        <f t="shared" si="5"/>
        <v>0</v>
      </c>
      <c r="H39" s="92">
        <f t="shared" si="5"/>
        <v>0</v>
      </c>
      <c r="I39" s="92">
        <f t="shared" si="5"/>
        <v>0</v>
      </c>
      <c r="J39" s="92">
        <f t="shared" si="5"/>
        <v>5688</v>
      </c>
      <c r="K39" s="92">
        <f>K36+K37</f>
        <v>0</v>
      </c>
      <c r="L39" s="92">
        <f t="shared" si="5"/>
        <v>50194.055937257719</v>
      </c>
      <c r="M39" s="92">
        <f>+L39+C39</f>
        <v>234505345.80593726</v>
      </c>
    </row>
    <row r="40" spans="1:13" x14ac:dyDescent="0.25">
      <c r="B40" s="81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</row>
    <row r="41" spans="1:13" x14ac:dyDescent="0.25">
      <c r="A41" s="24">
        <f>+A39+1</f>
        <v>18</v>
      </c>
      <c r="B41" s="30" t="s">
        <v>480</v>
      </c>
      <c r="C41" s="218">
        <f>+'Page 1'!C35</f>
        <v>3543665.409031197</v>
      </c>
      <c r="D41" s="92"/>
      <c r="E41" s="92"/>
      <c r="F41" s="92"/>
      <c r="G41" s="92"/>
      <c r="H41" s="92"/>
      <c r="I41" s="92"/>
      <c r="J41" s="92"/>
      <c r="K41" s="92"/>
      <c r="L41" s="92">
        <f>SUM(D41:K41)</f>
        <v>0</v>
      </c>
      <c r="M41" s="92">
        <f>+L41+C41</f>
        <v>3543665.409031197</v>
      </c>
    </row>
    <row r="42" spans="1:13" x14ac:dyDescent="0.25">
      <c r="A42" s="24">
        <f>+A41+1</f>
        <v>19</v>
      </c>
      <c r="B42" s="81" t="s">
        <v>204</v>
      </c>
      <c r="C42" s="218">
        <f>+'Page 1'!C36</f>
        <v>2472931.66</v>
      </c>
      <c r="D42" s="92"/>
      <c r="E42" s="92"/>
      <c r="F42" s="92"/>
      <c r="G42" s="92"/>
      <c r="H42" s="92"/>
      <c r="I42" s="92"/>
      <c r="J42" s="92"/>
      <c r="K42" s="92"/>
      <c r="L42" s="92">
        <f>SUM(D42:K42)</f>
        <v>0</v>
      </c>
      <c r="M42" s="92">
        <f>+L42+C42</f>
        <v>2472931.66</v>
      </c>
    </row>
    <row r="43" spans="1:13" x14ac:dyDescent="0.25">
      <c r="A43" s="24">
        <f>+A42+1</f>
        <v>20</v>
      </c>
      <c r="B43" s="89" t="s">
        <v>479</v>
      </c>
      <c r="C43" s="218">
        <f>+'Page 1'!C37</f>
        <v>-1082301.6599999999</v>
      </c>
      <c r="D43" s="92"/>
      <c r="E43" s="92"/>
      <c r="F43" s="92"/>
      <c r="G43" s="92"/>
      <c r="H43" s="92"/>
      <c r="I43" s="92"/>
      <c r="J43" s="92"/>
      <c r="K43" s="92"/>
      <c r="L43" s="92">
        <f>SUM(D43:K43)</f>
        <v>0</v>
      </c>
      <c r="M43" s="92">
        <f>+L43+C43</f>
        <v>-1082301.6599999999</v>
      </c>
    </row>
    <row r="44" spans="1:13" x14ac:dyDescent="0.25">
      <c r="A44" s="24">
        <f>+A43+1</f>
        <v>21</v>
      </c>
      <c r="B44" s="81" t="s">
        <v>210</v>
      </c>
      <c r="C44" s="218">
        <f>+'Page 1'!C38</f>
        <v>3166377.56</v>
      </c>
      <c r="D44" s="92"/>
      <c r="E44" s="92"/>
      <c r="F44" s="92"/>
      <c r="G44" s="92"/>
      <c r="H44" s="92"/>
      <c r="I44" s="92"/>
      <c r="J44" s="92"/>
      <c r="K44" s="92"/>
      <c r="L44" s="92">
        <f>SUM(D44:K44)</f>
        <v>0</v>
      </c>
      <c r="M44" s="92">
        <f>+L44+C44</f>
        <v>3166377.56</v>
      </c>
    </row>
    <row r="45" spans="1:13" x14ac:dyDescent="0.25">
      <c r="A45" s="24">
        <f>+A44+1</f>
        <v>22</v>
      </c>
      <c r="B45" s="81" t="s">
        <v>214</v>
      </c>
      <c r="C45" s="103">
        <f>+'Page 1'!C39</f>
        <v>-40691938.075284988</v>
      </c>
      <c r="D45" s="93"/>
      <c r="E45" s="93"/>
      <c r="F45" s="93"/>
      <c r="G45" s="93"/>
      <c r="H45" s="93"/>
      <c r="I45" s="93"/>
      <c r="J45" s="93"/>
      <c r="K45" s="93"/>
      <c r="L45" s="93">
        <f>SUM(D45:K45)</f>
        <v>0</v>
      </c>
      <c r="M45" s="93">
        <f>+L45+C45</f>
        <v>-40691938.075284988</v>
      </c>
    </row>
    <row r="46" spans="1:13" x14ac:dyDescent="0.25">
      <c r="B46" s="81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</row>
    <row r="47" spans="1:13" ht="13" thickBot="1" x14ac:dyDescent="0.3">
      <c r="A47" s="24">
        <f>+A45+1</f>
        <v>23</v>
      </c>
      <c r="B47" s="81" t="s">
        <v>187</v>
      </c>
      <c r="C47" s="94">
        <f t="shared" ref="C47:L47" si="6">SUM(C39:C45)</f>
        <v>201863886.6437462</v>
      </c>
      <c r="D47" s="94">
        <f t="shared" si="6"/>
        <v>0</v>
      </c>
      <c r="E47" s="94">
        <f t="shared" si="6"/>
        <v>0</v>
      </c>
      <c r="F47" s="94">
        <f t="shared" si="6"/>
        <v>44506.055937257719</v>
      </c>
      <c r="G47" s="94">
        <f t="shared" si="6"/>
        <v>0</v>
      </c>
      <c r="H47" s="94">
        <f t="shared" si="6"/>
        <v>0</v>
      </c>
      <c r="I47" s="94">
        <f t="shared" si="6"/>
        <v>0</v>
      </c>
      <c r="J47" s="94">
        <f t="shared" si="6"/>
        <v>5688</v>
      </c>
      <c r="K47" s="94">
        <f t="shared" si="6"/>
        <v>0</v>
      </c>
      <c r="L47" s="94">
        <f t="shared" si="6"/>
        <v>50194.055937257719</v>
      </c>
      <c r="M47" s="94">
        <f>+L47+C47</f>
        <v>201914080.69968346</v>
      </c>
    </row>
    <row r="48" spans="1:13" ht="13" thickTop="1" x14ac:dyDescent="0.25">
      <c r="B48" s="81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</row>
    <row r="49" spans="1:13" x14ac:dyDescent="0.25">
      <c r="A49" s="24">
        <f>+A47+1</f>
        <v>24</v>
      </c>
      <c r="B49" s="81" t="s">
        <v>223</v>
      </c>
      <c r="C49" s="92"/>
      <c r="D49" s="92">
        <f>ROUND(+D47*'Cost of Cap'!$C$47,0)</f>
        <v>0</v>
      </c>
      <c r="E49" s="92">
        <f>ROUND(+E47*'Cost of Cap'!$C$47,0)</f>
        <v>0</v>
      </c>
      <c r="F49" s="92">
        <f>ROUND(+F47*'Cost of Cap'!$C$47,0)</f>
        <v>1055</v>
      </c>
      <c r="G49" s="92">
        <f>ROUND(+G47*'Cost of Cap'!$C$47,0)</f>
        <v>0</v>
      </c>
      <c r="H49" s="92">
        <f>ROUND(+H47*'Cost of Cap'!$C$47,0)</f>
        <v>0</v>
      </c>
      <c r="I49" s="92">
        <f>ROUND(+I47*'Cost of Cap'!$C$47,0)</f>
        <v>0</v>
      </c>
      <c r="J49" s="92">
        <f>ROUND(+J47*'Cost of Cap'!$C$47,0)</f>
        <v>135</v>
      </c>
      <c r="K49" s="92">
        <f>ROUND(+K47*'Cost of Cap'!$C$47,0)</f>
        <v>0</v>
      </c>
      <c r="L49" s="92">
        <f>SUM(D49:J49)</f>
        <v>1190</v>
      </c>
      <c r="M49" s="92">
        <f>+L49+C49</f>
        <v>1190</v>
      </c>
    </row>
    <row r="50" spans="1:13" x14ac:dyDescent="0.25">
      <c r="B50" s="81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</row>
    <row r="51" spans="1:13" x14ac:dyDescent="0.25">
      <c r="B51" s="81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</row>
    <row r="52" spans="1:13" s="24" customFormat="1" x14ac:dyDescent="0.25">
      <c r="A52" s="24" t="s">
        <v>2</v>
      </c>
      <c r="B52" s="81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</row>
    <row r="53" spans="1:13" s="24" customFormat="1" x14ac:dyDescent="0.25">
      <c r="A53" s="24" t="s">
        <v>312</v>
      </c>
      <c r="B53" s="81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</row>
    <row r="54" spans="1:13" s="24" customFormat="1" x14ac:dyDescent="0.25">
      <c r="A54" s="24" t="str">
        <f>+A4</f>
        <v>Twelve Months Ended December 31, 2020</v>
      </c>
      <c r="B54" s="81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</row>
    <row r="55" spans="1:13" s="24" customFormat="1" x14ac:dyDescent="0.25">
      <c r="A55" s="24" t="s">
        <v>13</v>
      </c>
      <c r="B55" s="81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</row>
    <row r="56" spans="1:13" s="81" customFormat="1" x14ac:dyDescent="0.25">
      <c r="A56" s="24"/>
      <c r="B56" s="144"/>
      <c r="C56" s="82"/>
      <c r="D56" s="82" t="s">
        <v>16</v>
      </c>
      <c r="E56" s="82"/>
      <c r="F56" s="82"/>
      <c r="G56" s="82"/>
      <c r="H56" s="82"/>
      <c r="I56" s="82"/>
      <c r="J56" s="82"/>
      <c r="K56" s="82"/>
      <c r="L56" s="82"/>
      <c r="M56" s="82"/>
    </row>
    <row r="57" spans="1:13" s="81" customFormat="1" x14ac:dyDescent="0.25">
      <c r="A57" s="24"/>
      <c r="C57" s="82"/>
      <c r="D57" s="82" t="s">
        <v>35</v>
      </c>
      <c r="E57" s="82" t="s">
        <v>353</v>
      </c>
      <c r="F57" s="82"/>
      <c r="G57" s="82" t="s">
        <v>37</v>
      </c>
      <c r="H57" s="82" t="s">
        <v>38</v>
      </c>
      <c r="I57" s="82" t="s">
        <v>39</v>
      </c>
      <c r="J57" s="82"/>
      <c r="K57" s="82"/>
      <c r="L57" s="82"/>
      <c r="M57" s="82"/>
    </row>
    <row r="58" spans="1:13" s="81" customFormat="1" x14ac:dyDescent="0.25">
      <c r="A58" s="26" t="s">
        <v>17</v>
      </c>
      <c r="C58" s="82"/>
      <c r="D58" s="82" t="s">
        <v>58</v>
      </c>
      <c r="E58" s="82" t="s">
        <v>84</v>
      </c>
      <c r="F58" s="82" t="s">
        <v>59</v>
      </c>
      <c r="G58" s="82" t="s">
        <v>60</v>
      </c>
      <c r="H58" s="82" t="s">
        <v>61</v>
      </c>
      <c r="I58" s="82" t="s">
        <v>62</v>
      </c>
      <c r="J58" s="82" t="s">
        <v>63</v>
      </c>
      <c r="K58" s="82" t="s">
        <v>305</v>
      </c>
      <c r="L58" s="82" t="s">
        <v>64</v>
      </c>
      <c r="M58" s="82"/>
    </row>
    <row r="59" spans="1:13" s="81" customFormat="1" x14ac:dyDescent="0.25">
      <c r="A59" s="28" t="s">
        <v>46</v>
      </c>
      <c r="B59" s="140" t="s">
        <v>240</v>
      </c>
      <c r="C59" s="140"/>
      <c r="D59" s="140" t="s">
        <v>81</v>
      </c>
      <c r="E59" s="140" t="s">
        <v>42</v>
      </c>
      <c r="F59" s="140" t="s">
        <v>42</v>
      </c>
      <c r="G59" s="140" t="s">
        <v>42</v>
      </c>
      <c r="H59" s="140" t="s">
        <v>42</v>
      </c>
      <c r="I59" s="140" t="s">
        <v>42</v>
      </c>
      <c r="J59" s="140" t="s">
        <v>42</v>
      </c>
      <c r="K59" s="140" t="s">
        <v>42</v>
      </c>
      <c r="L59" s="140" t="s">
        <v>47</v>
      </c>
      <c r="M59" s="140"/>
    </row>
    <row r="60" spans="1:13" s="81" customFormat="1" x14ac:dyDescent="0.25">
      <c r="A60" s="24"/>
      <c r="C60" s="82"/>
      <c r="D60" s="82" t="s">
        <v>76</v>
      </c>
      <c r="E60" s="82" t="s">
        <v>77</v>
      </c>
      <c r="F60" s="82" t="s">
        <v>78</v>
      </c>
      <c r="G60" s="82" t="s">
        <v>79</v>
      </c>
      <c r="H60" s="82" t="s">
        <v>80</v>
      </c>
      <c r="I60" s="82" t="s">
        <v>89</v>
      </c>
      <c r="J60" s="82" t="s">
        <v>90</v>
      </c>
      <c r="K60" s="82" t="s">
        <v>91</v>
      </c>
      <c r="L60" s="141" t="s">
        <v>92</v>
      </c>
      <c r="M60" s="141"/>
    </row>
    <row r="61" spans="1:13" x14ac:dyDescent="0.25">
      <c r="B61" s="81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</row>
    <row r="62" spans="1:13" x14ac:dyDescent="0.25">
      <c r="A62" s="24">
        <v>1</v>
      </c>
      <c r="B62" s="81" t="s">
        <v>244</v>
      </c>
      <c r="C62" s="92"/>
      <c r="D62" s="92">
        <f t="shared" ref="D62:K62" si="7">D16</f>
        <v>2405648.8070246275</v>
      </c>
      <c r="E62" s="92">
        <f t="shared" si="7"/>
        <v>-65974.08076573626</v>
      </c>
      <c r="F62" s="92">
        <f t="shared" si="7"/>
        <v>0</v>
      </c>
      <c r="G62" s="92">
        <f t="shared" si="7"/>
        <v>0</v>
      </c>
      <c r="H62" s="92">
        <f t="shared" si="7"/>
        <v>0</v>
      </c>
      <c r="I62" s="92">
        <f t="shared" si="7"/>
        <v>0</v>
      </c>
      <c r="J62" s="92">
        <f t="shared" si="7"/>
        <v>0</v>
      </c>
      <c r="K62" s="92">
        <f t="shared" si="7"/>
        <v>0</v>
      </c>
      <c r="L62" s="92">
        <f>SUM(D62:K62)</f>
        <v>2339674.7262588912</v>
      </c>
      <c r="M62" s="92"/>
    </row>
    <row r="63" spans="1:13" x14ac:dyDescent="0.25">
      <c r="A63" s="24">
        <v>2</v>
      </c>
      <c r="B63" s="143" t="s">
        <v>329</v>
      </c>
      <c r="C63" s="92"/>
      <c r="D63" s="92">
        <f t="shared" ref="D63:K63" si="8">D23+D27+D28</f>
        <v>1148438.7729360519</v>
      </c>
      <c r="E63" s="92">
        <f t="shared" si="8"/>
        <v>-2673.2697526276334</v>
      </c>
      <c r="F63" s="92">
        <f t="shared" si="8"/>
        <v>88795.271637713464</v>
      </c>
      <c r="G63" s="92">
        <f t="shared" si="8"/>
        <v>-17092.923512000038</v>
      </c>
      <c r="H63" s="92">
        <f t="shared" si="8"/>
        <v>0</v>
      </c>
      <c r="I63" s="92">
        <f t="shared" si="8"/>
        <v>-493259</v>
      </c>
      <c r="J63" s="92">
        <f t="shared" si="8"/>
        <v>3257</v>
      </c>
      <c r="K63" s="92">
        <f t="shared" si="8"/>
        <v>0</v>
      </c>
      <c r="L63" s="92">
        <f>SUM(D63:K63)</f>
        <v>727465.85130913765</v>
      </c>
      <c r="M63" s="92"/>
    </row>
    <row r="64" spans="1:13" x14ac:dyDescent="0.25">
      <c r="A64" s="24">
        <v>3</v>
      </c>
      <c r="B64" s="81" t="s">
        <v>246</v>
      </c>
      <c r="C64" s="92"/>
      <c r="D64" s="92">
        <f t="shared" ref="D64:K64" si="9">D29</f>
        <v>0</v>
      </c>
      <c r="E64" s="92">
        <f t="shared" si="9"/>
        <v>0</v>
      </c>
      <c r="F64" s="92">
        <f t="shared" si="9"/>
        <v>0</v>
      </c>
      <c r="G64" s="92">
        <f t="shared" si="9"/>
        <v>0</v>
      </c>
      <c r="H64" s="92">
        <f t="shared" si="9"/>
        <v>0</v>
      </c>
      <c r="I64" s="92">
        <f t="shared" si="9"/>
        <v>0</v>
      </c>
      <c r="J64" s="92">
        <f t="shared" si="9"/>
        <v>0</v>
      </c>
      <c r="K64" s="92">
        <f t="shared" si="9"/>
        <v>0</v>
      </c>
      <c r="L64" s="92">
        <f>SUM(D64:K64)</f>
        <v>0</v>
      </c>
      <c r="M64" s="92"/>
    </row>
    <row r="65" spans="1:13" x14ac:dyDescent="0.25">
      <c r="A65" s="24">
        <v>4</v>
      </c>
      <c r="B65" s="81" t="s">
        <v>247</v>
      </c>
      <c r="C65" s="92"/>
      <c r="D65" s="92">
        <f t="shared" ref="D65:K65" si="10">D49</f>
        <v>0</v>
      </c>
      <c r="E65" s="92">
        <f t="shared" si="10"/>
        <v>0</v>
      </c>
      <c r="F65" s="92">
        <f t="shared" si="10"/>
        <v>1055</v>
      </c>
      <c r="G65" s="92">
        <f t="shared" si="10"/>
        <v>0</v>
      </c>
      <c r="H65" s="92">
        <f t="shared" si="10"/>
        <v>0</v>
      </c>
      <c r="I65" s="92">
        <f t="shared" si="10"/>
        <v>0</v>
      </c>
      <c r="J65" s="92">
        <f t="shared" si="10"/>
        <v>135</v>
      </c>
      <c r="K65" s="92">
        <f t="shared" si="10"/>
        <v>0</v>
      </c>
      <c r="L65" s="92">
        <f>SUM(D65:K65)</f>
        <v>1190</v>
      </c>
      <c r="M65" s="92"/>
    </row>
    <row r="66" spans="1:13" x14ac:dyDescent="0.25">
      <c r="A66" s="24">
        <v>5</v>
      </c>
      <c r="B66" s="81" t="s">
        <v>249</v>
      </c>
      <c r="C66" s="93"/>
      <c r="D66" s="93">
        <v>0</v>
      </c>
      <c r="E66" s="93">
        <v>0</v>
      </c>
      <c r="F66" s="93">
        <v>0</v>
      </c>
      <c r="G66" s="93">
        <v>0</v>
      </c>
      <c r="H66" s="93">
        <v>0</v>
      </c>
      <c r="I66" s="93">
        <v>0</v>
      </c>
      <c r="J66" s="93">
        <v>0</v>
      </c>
      <c r="K66" s="93">
        <v>0</v>
      </c>
      <c r="L66" s="93">
        <f>SUM(D66:K66)</f>
        <v>0</v>
      </c>
      <c r="M66" s="93"/>
    </row>
    <row r="67" spans="1:13" x14ac:dyDescent="0.25">
      <c r="B67" s="81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</row>
    <row r="68" spans="1:13" x14ac:dyDescent="0.25">
      <c r="A68" s="24">
        <v>6</v>
      </c>
      <c r="B68" s="81" t="s">
        <v>182</v>
      </c>
      <c r="C68" s="92"/>
      <c r="D68" s="92">
        <f t="shared" ref="D68:L68" si="11">D62-D63-D64-D65-D66</f>
        <v>1257210.0340885755</v>
      </c>
      <c r="E68" s="92">
        <f>E62-E63-E64-E65-E66</f>
        <v>-63300.811013108629</v>
      </c>
      <c r="F68" s="92">
        <f t="shared" si="11"/>
        <v>-89850.271637713464</v>
      </c>
      <c r="G68" s="92">
        <f t="shared" si="11"/>
        <v>17092.923512000038</v>
      </c>
      <c r="H68" s="92">
        <f t="shared" si="11"/>
        <v>0</v>
      </c>
      <c r="I68" s="92">
        <f t="shared" si="11"/>
        <v>493259</v>
      </c>
      <c r="J68" s="92">
        <f t="shared" si="11"/>
        <v>-3392</v>
      </c>
      <c r="K68" s="92">
        <f>K62-K63-K64-K65-K66</f>
        <v>0</v>
      </c>
      <c r="L68" s="92">
        <f t="shared" si="11"/>
        <v>1611018.8749497535</v>
      </c>
      <c r="M68" s="92"/>
    </row>
    <row r="69" spans="1:13" x14ac:dyDescent="0.25">
      <c r="A69" s="24" t="s">
        <v>169</v>
      </c>
      <c r="B69" s="81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</row>
    <row r="70" spans="1:13" x14ac:dyDescent="0.25">
      <c r="A70" s="24">
        <v>7</v>
      </c>
      <c r="B70" s="81" t="s">
        <v>252</v>
      </c>
      <c r="C70" s="92"/>
      <c r="D70" s="92">
        <f>ROUND(+D68*$D$94,0)</f>
        <v>0</v>
      </c>
      <c r="E70" s="92">
        <f>ROUND(+E68*$D$94,0)</f>
        <v>0</v>
      </c>
      <c r="F70" s="92">
        <f t="shared" ref="F70:K70" si="12">ROUND(+F68*$D$97,0)</f>
        <v>0</v>
      </c>
      <c r="G70" s="92">
        <f t="shared" si="12"/>
        <v>0</v>
      </c>
      <c r="H70" s="92">
        <f t="shared" si="12"/>
        <v>0</v>
      </c>
      <c r="I70" s="92">
        <f t="shared" si="12"/>
        <v>0</v>
      </c>
      <c r="J70" s="92">
        <f t="shared" si="12"/>
        <v>0</v>
      </c>
      <c r="K70" s="92">
        <f t="shared" si="12"/>
        <v>0</v>
      </c>
      <c r="L70" s="92">
        <f>SUM(D70:K70)</f>
        <v>0</v>
      </c>
      <c r="M70" s="92"/>
    </row>
    <row r="71" spans="1:13" x14ac:dyDescent="0.25">
      <c r="A71" s="24">
        <v>8</v>
      </c>
      <c r="B71" s="81" t="s">
        <v>254</v>
      </c>
      <c r="C71" s="93"/>
      <c r="D71" s="93">
        <v>0</v>
      </c>
      <c r="E71" s="93">
        <v>0</v>
      </c>
      <c r="F71" s="93">
        <v>0</v>
      </c>
      <c r="G71" s="93">
        <v>0</v>
      </c>
      <c r="H71" s="93">
        <v>0</v>
      </c>
      <c r="I71" s="93">
        <v>0</v>
      </c>
      <c r="J71" s="93">
        <v>0</v>
      </c>
      <c r="K71" s="93">
        <v>0</v>
      </c>
      <c r="L71" s="93">
        <f>SUM(D71:K71)</f>
        <v>0</v>
      </c>
      <c r="M71" s="93"/>
    </row>
    <row r="72" spans="1:13" x14ac:dyDescent="0.25">
      <c r="B72" s="81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</row>
    <row r="73" spans="1:13" x14ac:dyDescent="0.25">
      <c r="A73" s="24">
        <v>9</v>
      </c>
      <c r="B73" s="81" t="s">
        <v>257</v>
      </c>
      <c r="C73" s="92"/>
      <c r="D73" s="92">
        <f t="shared" ref="D73:L73" si="13">D70+D71</f>
        <v>0</v>
      </c>
      <c r="E73" s="92">
        <f>E70+E71</f>
        <v>0</v>
      </c>
      <c r="F73" s="92">
        <f t="shared" si="13"/>
        <v>0</v>
      </c>
      <c r="G73" s="92">
        <f t="shared" si="13"/>
        <v>0</v>
      </c>
      <c r="H73" s="92">
        <f t="shared" si="13"/>
        <v>0</v>
      </c>
      <c r="I73" s="92">
        <f t="shared" si="13"/>
        <v>0</v>
      </c>
      <c r="J73" s="92">
        <f t="shared" si="13"/>
        <v>0</v>
      </c>
      <c r="K73" s="92">
        <f>K70+K71</f>
        <v>0</v>
      </c>
      <c r="L73" s="92">
        <f t="shared" si="13"/>
        <v>0</v>
      </c>
      <c r="M73" s="92"/>
    </row>
    <row r="74" spans="1:13" x14ac:dyDescent="0.25">
      <c r="B74" s="81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</row>
    <row r="75" spans="1:13" x14ac:dyDescent="0.25">
      <c r="A75" s="24">
        <v>10</v>
      </c>
      <c r="B75" s="81" t="s">
        <v>258</v>
      </c>
      <c r="C75" s="92"/>
      <c r="D75" s="92">
        <v>0</v>
      </c>
      <c r="E75" s="92">
        <v>0</v>
      </c>
      <c r="F75" s="92">
        <v>0</v>
      </c>
      <c r="G75" s="92">
        <v>0</v>
      </c>
      <c r="H75" s="92">
        <v>0</v>
      </c>
      <c r="I75" s="92">
        <v>0</v>
      </c>
      <c r="J75" s="92">
        <v>0</v>
      </c>
      <c r="K75" s="92">
        <v>0</v>
      </c>
      <c r="L75" s="92">
        <f>SUM(D75:K75)</f>
        <v>0</v>
      </c>
      <c r="M75" s="92"/>
    </row>
    <row r="76" spans="1:13" x14ac:dyDescent="0.25">
      <c r="A76" s="24">
        <v>11</v>
      </c>
      <c r="B76" s="81" t="s">
        <v>259</v>
      </c>
      <c r="C76" s="93"/>
      <c r="D76" s="93">
        <v>0</v>
      </c>
      <c r="E76" s="93">
        <v>0</v>
      </c>
      <c r="F76" s="93">
        <v>0</v>
      </c>
      <c r="G76" s="93">
        <v>0</v>
      </c>
      <c r="H76" s="93">
        <v>0</v>
      </c>
      <c r="I76" s="93">
        <v>0</v>
      </c>
      <c r="J76" s="93">
        <v>0</v>
      </c>
      <c r="K76" s="93">
        <v>0</v>
      </c>
      <c r="L76" s="93">
        <f>SUM(D76:K76)</f>
        <v>0</v>
      </c>
      <c r="M76" s="93"/>
    </row>
    <row r="77" spans="1:13" x14ac:dyDescent="0.25">
      <c r="B77" s="81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</row>
    <row r="78" spans="1:13" x14ac:dyDescent="0.25">
      <c r="A78" s="24">
        <v>12</v>
      </c>
      <c r="B78" s="81" t="s">
        <v>188</v>
      </c>
      <c r="C78" s="93"/>
      <c r="D78" s="93">
        <f t="shared" ref="D78:L78" si="14">D68-D73-D75-D76</f>
        <v>1257210.0340885755</v>
      </c>
      <c r="E78" s="93">
        <f>E68-E73-E75-E76</f>
        <v>-63300.811013108629</v>
      </c>
      <c r="F78" s="93">
        <f t="shared" si="14"/>
        <v>-89850.271637713464</v>
      </c>
      <c r="G78" s="93">
        <f t="shared" si="14"/>
        <v>17092.923512000038</v>
      </c>
      <c r="H78" s="93">
        <f t="shared" si="14"/>
        <v>0</v>
      </c>
      <c r="I78" s="93">
        <f t="shared" si="14"/>
        <v>493259</v>
      </c>
      <c r="J78" s="93">
        <f t="shared" si="14"/>
        <v>-3392</v>
      </c>
      <c r="K78" s="93">
        <f>K68-K73-K75-K76</f>
        <v>0</v>
      </c>
      <c r="L78" s="93">
        <f t="shared" si="14"/>
        <v>1611018.8749497535</v>
      </c>
      <c r="M78" s="93"/>
    </row>
    <row r="79" spans="1:13" x14ac:dyDescent="0.25">
      <c r="B79" s="81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</row>
    <row r="80" spans="1:13" x14ac:dyDescent="0.25">
      <c r="A80" s="24">
        <v>13</v>
      </c>
      <c r="B80" s="81" t="s">
        <v>261</v>
      </c>
      <c r="C80" s="92"/>
      <c r="D80" s="92">
        <f>ROUND(+D78*$D$95,0)</f>
        <v>264014</v>
      </c>
      <c r="E80" s="92">
        <f>ROUND(+E78*$D$95,0)</f>
        <v>-13293</v>
      </c>
      <c r="F80" s="92">
        <f t="shared" ref="F80:K80" si="15">ROUND(+F78*$D$98,0)</f>
        <v>-18869</v>
      </c>
      <c r="G80" s="92">
        <f t="shared" si="15"/>
        <v>3590</v>
      </c>
      <c r="H80" s="92">
        <f t="shared" si="15"/>
        <v>0</v>
      </c>
      <c r="I80" s="92">
        <f t="shared" si="15"/>
        <v>103584</v>
      </c>
      <c r="J80" s="92">
        <f t="shared" si="15"/>
        <v>-712</v>
      </c>
      <c r="K80" s="92">
        <f t="shared" si="15"/>
        <v>0</v>
      </c>
      <c r="L80" s="92">
        <f>SUM(D80:K80)</f>
        <v>338314</v>
      </c>
      <c r="M80" s="92"/>
    </row>
    <row r="81" spans="1:13" x14ac:dyDescent="0.25">
      <c r="A81" s="24">
        <v>14</v>
      </c>
      <c r="B81" s="81" t="s">
        <v>262</v>
      </c>
      <c r="C81" s="93"/>
      <c r="D81" s="93">
        <v>0</v>
      </c>
      <c r="E81" s="93">
        <v>0</v>
      </c>
      <c r="F81" s="93">
        <v>0</v>
      </c>
      <c r="G81" s="93">
        <v>0</v>
      </c>
      <c r="H81" s="93">
        <v>0</v>
      </c>
      <c r="I81" s="93">
        <v>0</v>
      </c>
      <c r="J81" s="93">
        <v>0</v>
      </c>
      <c r="K81" s="93">
        <v>0</v>
      </c>
      <c r="L81" s="93">
        <f>SUM(D81:K81)</f>
        <v>0</v>
      </c>
      <c r="M81" s="93"/>
    </row>
    <row r="82" spans="1:13" x14ac:dyDescent="0.25">
      <c r="B82" s="81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</row>
    <row r="83" spans="1:13" x14ac:dyDescent="0.25">
      <c r="A83" s="24">
        <v>15</v>
      </c>
      <c r="B83" s="81" t="s">
        <v>263</v>
      </c>
      <c r="C83" s="92"/>
      <c r="D83" s="92">
        <f t="shared" ref="D83:L83" si="16">D80+D81</f>
        <v>264014</v>
      </c>
      <c r="E83" s="92">
        <f>E80+E81</f>
        <v>-13293</v>
      </c>
      <c r="F83" s="92">
        <f t="shared" si="16"/>
        <v>-18869</v>
      </c>
      <c r="G83" s="92">
        <f t="shared" si="16"/>
        <v>3590</v>
      </c>
      <c r="H83" s="92">
        <f t="shared" si="16"/>
        <v>0</v>
      </c>
      <c r="I83" s="92">
        <f t="shared" si="16"/>
        <v>103584</v>
      </c>
      <c r="J83" s="92">
        <f t="shared" si="16"/>
        <v>-712</v>
      </c>
      <c r="K83" s="92">
        <f>K80+K81</f>
        <v>0</v>
      </c>
      <c r="L83" s="92">
        <f t="shared" si="16"/>
        <v>338314</v>
      </c>
      <c r="M83" s="92"/>
    </row>
    <row r="84" spans="1:13" x14ac:dyDescent="0.25">
      <c r="B84" s="81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</row>
    <row r="85" spans="1:13" x14ac:dyDescent="0.25">
      <c r="A85" s="24">
        <v>16</v>
      </c>
      <c r="B85" s="81" t="s">
        <v>264</v>
      </c>
      <c r="C85" s="92"/>
      <c r="D85" s="92">
        <v>0</v>
      </c>
      <c r="E85" s="92">
        <v>0</v>
      </c>
      <c r="F85" s="92">
        <v>0</v>
      </c>
      <c r="G85" s="92">
        <v>0</v>
      </c>
      <c r="H85" s="92">
        <v>0</v>
      </c>
      <c r="I85" s="92">
        <v>0</v>
      </c>
      <c r="J85" s="92">
        <v>0</v>
      </c>
      <c r="K85" s="92">
        <v>0</v>
      </c>
      <c r="L85" s="92">
        <f>SUM(D85:K85)</f>
        <v>0</v>
      </c>
      <c r="M85" s="92"/>
    </row>
    <row r="86" spans="1:13" x14ac:dyDescent="0.25">
      <c r="A86" s="24">
        <v>17</v>
      </c>
      <c r="B86" s="81" t="s">
        <v>265</v>
      </c>
      <c r="C86" s="92"/>
      <c r="D86" s="92">
        <v>0</v>
      </c>
      <c r="E86" s="92">
        <v>0</v>
      </c>
      <c r="F86" s="92">
        <v>0</v>
      </c>
      <c r="G86" s="92">
        <v>0</v>
      </c>
      <c r="H86" s="92">
        <v>0</v>
      </c>
      <c r="I86" s="92">
        <v>0</v>
      </c>
      <c r="J86" s="92">
        <v>0</v>
      </c>
      <c r="K86" s="92">
        <v>0</v>
      </c>
      <c r="L86" s="92">
        <f>SUM(D86:K86)</f>
        <v>0</v>
      </c>
      <c r="M86" s="92"/>
    </row>
    <row r="87" spans="1:13" x14ac:dyDescent="0.25">
      <c r="A87" s="24">
        <v>18</v>
      </c>
      <c r="B87" s="81" t="s">
        <v>266</v>
      </c>
      <c r="C87" s="93"/>
      <c r="D87" s="93">
        <v>0</v>
      </c>
      <c r="E87" s="93">
        <v>0</v>
      </c>
      <c r="F87" s="93">
        <v>0</v>
      </c>
      <c r="G87" s="93">
        <v>0</v>
      </c>
      <c r="H87" s="93">
        <v>0</v>
      </c>
      <c r="I87" s="93">
        <v>0</v>
      </c>
      <c r="J87" s="93">
        <v>0</v>
      </c>
      <c r="K87" s="93">
        <v>0</v>
      </c>
      <c r="L87" s="93">
        <f>SUM(D87:K87)</f>
        <v>0</v>
      </c>
      <c r="M87" s="93"/>
    </row>
    <row r="88" spans="1:13" x14ac:dyDescent="0.25">
      <c r="B88" s="81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</row>
    <row r="89" spans="1:13" ht="13" thickBot="1" x14ac:dyDescent="0.3">
      <c r="A89" s="24">
        <v>19</v>
      </c>
      <c r="B89" s="81" t="s">
        <v>267</v>
      </c>
      <c r="C89" s="94"/>
      <c r="D89" s="94">
        <f t="shared" ref="D89:L89" si="17">D83+D85+D87</f>
        <v>264014</v>
      </c>
      <c r="E89" s="94">
        <f>E83+E85+E87</f>
        <v>-13293</v>
      </c>
      <c r="F89" s="94">
        <f t="shared" si="17"/>
        <v>-18869</v>
      </c>
      <c r="G89" s="94">
        <f t="shared" si="17"/>
        <v>3590</v>
      </c>
      <c r="H89" s="94">
        <f t="shared" si="17"/>
        <v>0</v>
      </c>
      <c r="I89" s="94">
        <f t="shared" si="17"/>
        <v>103584</v>
      </c>
      <c r="J89" s="94">
        <f t="shared" si="17"/>
        <v>-712</v>
      </c>
      <c r="K89" s="94">
        <f>K83+K85+K87</f>
        <v>0</v>
      </c>
      <c r="L89" s="94">
        <f t="shared" si="17"/>
        <v>338314</v>
      </c>
      <c r="M89" s="94"/>
    </row>
    <row r="90" spans="1:13" ht="13" thickTop="1" x14ac:dyDescent="0.25">
      <c r="B90" s="81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</row>
    <row r="91" spans="1:13" ht="13" thickBot="1" x14ac:dyDescent="0.3">
      <c r="A91" s="24">
        <v>20</v>
      </c>
      <c r="B91" s="81" t="s">
        <v>268</v>
      </c>
      <c r="C91" s="94"/>
      <c r="D91" s="94">
        <f t="shared" ref="D91:L91" si="18">D73+D86</f>
        <v>0</v>
      </c>
      <c r="E91" s="94">
        <f>E73+E86</f>
        <v>0</v>
      </c>
      <c r="F91" s="94">
        <f t="shared" si="18"/>
        <v>0</v>
      </c>
      <c r="G91" s="94">
        <f t="shared" si="18"/>
        <v>0</v>
      </c>
      <c r="H91" s="94">
        <f t="shared" si="18"/>
        <v>0</v>
      </c>
      <c r="I91" s="94">
        <f t="shared" si="18"/>
        <v>0</v>
      </c>
      <c r="J91" s="94">
        <f t="shared" si="18"/>
        <v>0</v>
      </c>
      <c r="K91" s="94">
        <f>K73+K86</f>
        <v>0</v>
      </c>
      <c r="L91" s="94">
        <f t="shared" si="18"/>
        <v>0</v>
      </c>
      <c r="M91" s="94"/>
    </row>
    <row r="92" spans="1:13" ht="13" thickTop="1" x14ac:dyDescent="0.25">
      <c r="B92" s="8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</row>
    <row r="93" spans="1:13" x14ac:dyDescent="0.25">
      <c r="B93" s="81"/>
      <c r="C93" s="41"/>
      <c r="D93" s="41"/>
      <c r="E93" s="41"/>
      <c r="F93" s="41"/>
      <c r="H93" s="41"/>
      <c r="I93" s="41"/>
      <c r="J93" s="41"/>
      <c r="K93" s="41"/>
      <c r="L93" s="41"/>
      <c r="M93" s="41"/>
    </row>
    <row r="94" spans="1:13" x14ac:dyDescent="0.25">
      <c r="A94" s="24" t="s">
        <v>269</v>
      </c>
      <c r="B94" s="81"/>
      <c r="C94" s="31"/>
      <c r="D94" s="31">
        <f>'Cost of Cap'!C51</f>
        <v>0</v>
      </c>
      <c r="E94" s="31">
        <f>'Cost of Cap'!D51</f>
        <v>0</v>
      </c>
      <c r="F94" s="41"/>
      <c r="G94" s="41"/>
      <c r="H94" s="41"/>
      <c r="I94" s="41"/>
      <c r="J94" s="41"/>
      <c r="K94" s="41"/>
      <c r="L94" s="41"/>
      <c r="M94" s="41"/>
    </row>
    <row r="95" spans="1:13" x14ac:dyDescent="0.25">
      <c r="A95" s="24" t="s">
        <v>270</v>
      </c>
      <c r="B95" s="81"/>
      <c r="C95" s="31"/>
      <c r="D95" s="31">
        <f>'Cost of Cap'!$C$50</f>
        <v>0.21</v>
      </c>
      <c r="E95" s="31">
        <f>'Cost of Cap'!$C$50</f>
        <v>0.21</v>
      </c>
      <c r="F95" s="41"/>
      <c r="G95" s="41"/>
      <c r="H95" s="41"/>
      <c r="I95" s="41"/>
      <c r="J95" s="41"/>
      <c r="K95" s="41"/>
      <c r="L95" s="41"/>
      <c r="M95" s="41"/>
    </row>
    <row r="96" spans="1:13" x14ac:dyDescent="0.25">
      <c r="B96" s="81"/>
      <c r="C96" s="31"/>
      <c r="D96" s="31"/>
      <c r="E96" s="31"/>
    </row>
    <row r="97" spans="1:7" x14ac:dyDescent="0.25">
      <c r="A97" s="24" t="s">
        <v>269</v>
      </c>
      <c r="B97" s="81"/>
      <c r="C97" s="31"/>
      <c r="D97" s="31">
        <f>$D$94</f>
        <v>0</v>
      </c>
      <c r="E97" s="31">
        <f>$D$94</f>
        <v>0</v>
      </c>
      <c r="G97" s="41"/>
    </row>
    <row r="98" spans="1:7" x14ac:dyDescent="0.25">
      <c r="A98" s="24" t="s">
        <v>270</v>
      </c>
      <c r="B98" s="81"/>
      <c r="C98" s="31"/>
      <c r="D98" s="31">
        <f>$D$95</f>
        <v>0.21</v>
      </c>
      <c r="E98" s="31">
        <f>$D$95</f>
        <v>0.21</v>
      </c>
      <c r="G98" s="41"/>
    </row>
    <row r="99" spans="1:7" x14ac:dyDescent="0.25">
      <c r="C99" s="41"/>
      <c r="D99" s="41"/>
      <c r="E99" s="41"/>
      <c r="G99" s="41"/>
    </row>
    <row r="100" spans="1:7" x14ac:dyDescent="0.25">
      <c r="B100" s="81"/>
      <c r="C100" s="41"/>
      <c r="D100" s="41"/>
      <c r="E100" s="41"/>
      <c r="G100" s="41"/>
    </row>
    <row r="101" spans="1:7" x14ac:dyDescent="0.25">
      <c r="B101" s="81"/>
    </row>
    <row r="102" spans="1:7" x14ac:dyDescent="0.25">
      <c r="B102" s="81"/>
      <c r="D102" s="30" t="s">
        <v>76</v>
      </c>
      <c r="E102" s="30" t="s">
        <v>76</v>
      </c>
      <c r="G102" s="41"/>
    </row>
    <row r="103" spans="1:7" x14ac:dyDescent="0.25">
      <c r="B103" s="81"/>
      <c r="D103" s="30" t="s">
        <v>77</v>
      </c>
      <c r="E103" s="30" t="s">
        <v>77</v>
      </c>
      <c r="F103" s="41"/>
      <c r="G103" s="41"/>
    </row>
    <row r="104" spans="1:7" x14ac:dyDescent="0.25">
      <c r="B104" s="81"/>
      <c r="D104" s="30" t="s">
        <v>78</v>
      </c>
      <c r="E104" s="30" t="s">
        <v>78</v>
      </c>
      <c r="F104" s="41"/>
      <c r="G104" s="41"/>
    </row>
    <row r="105" spans="1:7" x14ac:dyDescent="0.25">
      <c r="D105" s="30" t="s">
        <v>79</v>
      </c>
      <c r="E105" s="30" t="s">
        <v>79</v>
      </c>
      <c r="F105" s="41"/>
      <c r="G105" s="41"/>
    </row>
    <row r="106" spans="1:7" x14ac:dyDescent="0.25">
      <c r="D106" s="30" t="s">
        <v>80</v>
      </c>
      <c r="E106" s="30" t="s">
        <v>80</v>
      </c>
      <c r="F106" s="41"/>
      <c r="G106" s="41"/>
    </row>
    <row r="107" spans="1:7" x14ac:dyDescent="0.25">
      <c r="D107" s="30" t="s">
        <v>89</v>
      </c>
      <c r="E107" s="30" t="s">
        <v>89</v>
      </c>
      <c r="F107" s="41"/>
      <c r="G107" s="41"/>
    </row>
    <row r="108" spans="1:7" x14ac:dyDescent="0.25">
      <c r="D108" s="30" t="s">
        <v>90</v>
      </c>
      <c r="E108" s="30" t="s">
        <v>90</v>
      </c>
      <c r="F108" s="41"/>
      <c r="G108" s="41"/>
    </row>
    <row r="109" spans="1:7" x14ac:dyDescent="0.25">
      <c r="D109" s="30" t="s">
        <v>91</v>
      </c>
      <c r="E109" s="30" t="s">
        <v>91</v>
      </c>
      <c r="F109" s="41"/>
      <c r="G109" s="41"/>
    </row>
    <row r="110" spans="1:7" x14ac:dyDescent="0.25">
      <c r="D110" s="30" t="s">
        <v>92</v>
      </c>
      <c r="E110" s="30" t="s">
        <v>92</v>
      </c>
      <c r="F110" s="41"/>
      <c r="G110" s="41"/>
    </row>
    <row r="111" spans="1:7" x14ac:dyDescent="0.25">
      <c r="D111" s="30" t="s">
        <v>93</v>
      </c>
      <c r="E111" s="30" t="s">
        <v>93</v>
      </c>
      <c r="F111" s="41"/>
      <c r="G111" s="41"/>
    </row>
    <row r="112" spans="1:7" x14ac:dyDescent="0.25">
      <c r="D112" s="30" t="s">
        <v>94</v>
      </c>
      <c r="E112" s="30" t="s">
        <v>94</v>
      </c>
      <c r="F112" s="41"/>
      <c r="G112" s="41"/>
    </row>
    <row r="113" spans="1:11" x14ac:dyDescent="0.25">
      <c r="D113" s="30" t="s">
        <v>95</v>
      </c>
      <c r="E113" s="30" t="s">
        <v>95</v>
      </c>
      <c r="F113" s="41"/>
      <c r="G113" s="41"/>
    </row>
    <row r="114" spans="1:11" x14ac:dyDescent="0.25">
      <c r="D114" s="30" t="s">
        <v>96</v>
      </c>
      <c r="E114" s="30" t="s">
        <v>96</v>
      </c>
      <c r="F114" s="41"/>
      <c r="G114" s="41"/>
    </row>
    <row r="115" spans="1:11" x14ac:dyDescent="0.25">
      <c r="D115" s="30" t="s">
        <v>97</v>
      </c>
      <c r="E115" s="30" t="s">
        <v>97</v>
      </c>
      <c r="F115" s="41"/>
      <c r="G115" s="41"/>
    </row>
    <row r="116" spans="1:11" x14ac:dyDescent="0.25">
      <c r="D116" s="30" t="s">
        <v>98</v>
      </c>
      <c r="E116" s="30" t="s">
        <v>98</v>
      </c>
      <c r="F116" s="41"/>
      <c r="G116" s="41"/>
    </row>
    <row r="117" spans="1:11" x14ac:dyDescent="0.25">
      <c r="D117" s="30" t="s">
        <v>99</v>
      </c>
      <c r="E117" s="30" t="s">
        <v>99</v>
      </c>
      <c r="F117" s="41"/>
      <c r="G117" s="41"/>
    </row>
    <row r="118" spans="1:11" x14ac:dyDescent="0.25">
      <c r="D118" s="30" t="s">
        <v>242</v>
      </c>
      <c r="E118" s="30" t="s">
        <v>242</v>
      </c>
      <c r="F118" s="41"/>
      <c r="G118" s="41"/>
    </row>
    <row r="119" spans="1:11" x14ac:dyDescent="0.25">
      <c r="D119" s="30" t="s">
        <v>284</v>
      </c>
      <c r="E119" s="30" t="s">
        <v>284</v>
      </c>
      <c r="F119" s="41"/>
      <c r="G119" s="41"/>
    </row>
    <row r="120" spans="1:11" x14ac:dyDescent="0.25">
      <c r="C120" s="41"/>
      <c r="D120" s="41"/>
      <c r="E120" s="41"/>
      <c r="F120" s="41"/>
      <c r="G120" s="41"/>
    </row>
    <row r="121" spans="1:11" x14ac:dyDescent="0.25">
      <c r="C121" s="41"/>
      <c r="D121" s="41"/>
      <c r="E121" s="41"/>
      <c r="F121" s="41"/>
      <c r="G121" s="41"/>
    </row>
    <row r="122" spans="1:11" x14ac:dyDescent="0.25">
      <c r="A122" s="24">
        <v>1</v>
      </c>
      <c r="B122" s="24" t="s">
        <v>285</v>
      </c>
      <c r="D122" s="30">
        <f t="shared" ref="D122:K122" si="19">D33+D26-D49</f>
        <v>1257210.0340885755</v>
      </c>
      <c r="E122" s="30">
        <f t="shared" si="19"/>
        <v>-63300.811013108629</v>
      </c>
      <c r="F122" s="30">
        <f t="shared" si="19"/>
        <v>-89850.271637713464</v>
      </c>
      <c r="G122" s="30">
        <f t="shared" si="19"/>
        <v>17092.923512000038</v>
      </c>
      <c r="H122" s="30">
        <f t="shared" si="19"/>
        <v>0</v>
      </c>
      <c r="I122" s="30">
        <f t="shared" si="19"/>
        <v>493259</v>
      </c>
      <c r="J122" s="30">
        <f t="shared" si="19"/>
        <v>-3392</v>
      </c>
      <c r="K122" s="30">
        <f t="shared" si="19"/>
        <v>0</v>
      </c>
    </row>
    <row r="123" spans="1:11" x14ac:dyDescent="0.25">
      <c r="A123" s="24">
        <v>2</v>
      </c>
      <c r="B123" s="24" t="s">
        <v>286</v>
      </c>
      <c r="D123" s="30">
        <f t="shared" ref="D123:K123" si="20">D26</f>
        <v>264014</v>
      </c>
      <c r="E123" s="30">
        <f t="shared" si="20"/>
        <v>-13293</v>
      </c>
      <c r="F123" s="30">
        <f t="shared" si="20"/>
        <v>-18869</v>
      </c>
      <c r="G123" s="30">
        <f t="shared" si="20"/>
        <v>3590</v>
      </c>
      <c r="H123" s="30">
        <f t="shared" si="20"/>
        <v>0</v>
      </c>
      <c r="I123" s="30">
        <f t="shared" si="20"/>
        <v>103584</v>
      </c>
      <c r="J123" s="30">
        <f t="shared" si="20"/>
        <v>-712</v>
      </c>
      <c r="K123" s="30">
        <f t="shared" si="20"/>
        <v>0</v>
      </c>
    </row>
    <row r="124" spans="1:11" x14ac:dyDescent="0.25">
      <c r="A124" s="24">
        <v>3</v>
      </c>
      <c r="B124" s="24" t="s">
        <v>287</v>
      </c>
      <c r="D124" s="30">
        <f>D122*$D$98</f>
        <v>264014.10715860088</v>
      </c>
      <c r="E124" s="298">
        <f t="shared" ref="E124:K124" si="21">E122*$D$98</f>
        <v>-13293.170312752811</v>
      </c>
      <c r="F124" s="298">
        <f t="shared" si="21"/>
        <v>-18868.557043919827</v>
      </c>
      <c r="G124" s="298">
        <f t="shared" si="21"/>
        <v>3589.5139375200079</v>
      </c>
      <c r="H124" s="298">
        <f t="shared" si="21"/>
        <v>0</v>
      </c>
      <c r="I124" s="298">
        <f t="shared" si="21"/>
        <v>103584.39</v>
      </c>
      <c r="J124" s="298">
        <f t="shared" si="21"/>
        <v>-712.31999999999994</v>
      </c>
      <c r="K124" s="298">
        <f t="shared" si="21"/>
        <v>0</v>
      </c>
    </row>
    <row r="125" spans="1:11" x14ac:dyDescent="0.25">
      <c r="A125" s="24">
        <v>4</v>
      </c>
      <c r="B125" s="24" t="s">
        <v>288</v>
      </c>
      <c r="D125" s="30">
        <f t="shared" ref="D125:K125" si="22">D123-D124</f>
        <v>-0.10715860087657347</v>
      </c>
      <c r="E125" s="30">
        <f t="shared" si="22"/>
        <v>0.17031275281078706</v>
      </c>
      <c r="F125" s="30">
        <f t="shared" si="22"/>
        <v>-0.4429560801727348</v>
      </c>
      <c r="G125" s="30">
        <f t="shared" si="22"/>
        <v>0.48606247999214247</v>
      </c>
      <c r="H125" s="30">
        <f t="shared" si="22"/>
        <v>0</v>
      </c>
      <c r="I125" s="30">
        <f t="shared" si="22"/>
        <v>-0.38999999999941792</v>
      </c>
      <c r="J125" s="30">
        <f t="shared" si="22"/>
        <v>0.31999999999993634</v>
      </c>
      <c r="K125" s="30">
        <f t="shared" si="22"/>
        <v>0</v>
      </c>
    </row>
  </sheetData>
  <phoneticPr fontId="0" type="noConversion"/>
  <printOptions horizontalCentered="1"/>
  <pageMargins left="0.5" right="0.5" top="0.5" bottom="0.5" header="0.25" footer="0.25"/>
  <pageSetup scale="60" fitToHeight="2" orientation="landscape" r:id="rId1"/>
  <headerFooter alignWithMargins="0"/>
  <rowBreaks count="1" manualBreakCount="1">
    <brk id="50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2"/>
    <pageSetUpPr fitToPage="1"/>
  </sheetPr>
  <dimension ref="A1:L55"/>
  <sheetViews>
    <sheetView showGridLines="0" zoomScale="80" zoomScaleNormal="80" workbookViewId="0">
      <selection activeCell="G46" sqref="G46"/>
    </sheetView>
  </sheetViews>
  <sheetFormatPr defaultColWidth="8.81640625" defaultRowHeight="12.5" x14ac:dyDescent="0.25"/>
  <cols>
    <col min="1" max="1" width="9.1796875" style="359" bestFit="1" customWidth="1"/>
    <col min="2" max="2" width="37.54296875" style="348" bestFit="1" customWidth="1"/>
    <col min="3" max="8" width="15.1796875" style="348" customWidth="1"/>
    <col min="9" max="16384" width="8.81640625" style="348"/>
  </cols>
  <sheetData>
    <row r="1" spans="1:8" s="323" customFormat="1" ht="12" customHeight="1" x14ac:dyDescent="0.25">
      <c r="A1" s="322" t="s">
        <v>0</v>
      </c>
      <c r="H1" s="324" t="s">
        <v>427</v>
      </c>
    </row>
    <row r="2" spans="1:8" s="323" customFormat="1" x14ac:dyDescent="0.25">
      <c r="A2" s="324" t="s">
        <v>341</v>
      </c>
      <c r="C2" s="325"/>
      <c r="G2" s="326"/>
    </row>
    <row r="3" spans="1:8" s="323" customFormat="1" x14ac:dyDescent="0.25">
      <c r="A3" s="322" t="s">
        <v>548</v>
      </c>
      <c r="C3" s="327"/>
      <c r="G3" s="326"/>
    </row>
    <row r="4" spans="1:8" s="323" customFormat="1" x14ac:dyDescent="0.25">
      <c r="A4" s="322" t="s">
        <v>389</v>
      </c>
      <c r="C4" s="327"/>
      <c r="G4" s="326"/>
    </row>
    <row r="5" spans="1:8" s="323" customFormat="1" x14ac:dyDescent="0.25">
      <c r="A5" s="322"/>
      <c r="C5" s="327"/>
      <c r="G5" s="326"/>
    </row>
    <row r="6" spans="1:8" s="323" customFormat="1" ht="13" thickBot="1" x14ac:dyDescent="0.3">
      <c r="A6" s="328">
        <v>1</v>
      </c>
      <c r="B6" s="329" t="s">
        <v>84</v>
      </c>
      <c r="C6" s="330"/>
      <c r="D6" s="331"/>
      <c r="E6" s="331"/>
      <c r="F6" s="331"/>
      <c r="G6" s="332"/>
      <c r="H6" s="331"/>
    </row>
    <row r="7" spans="1:8" s="323" customFormat="1" x14ac:dyDescent="0.25">
      <c r="A7" s="328">
        <v>2</v>
      </c>
      <c r="C7" s="333"/>
      <c r="D7" s="334"/>
      <c r="E7" s="335"/>
      <c r="F7" s="334"/>
      <c r="G7" s="336"/>
      <c r="H7" s="334"/>
    </row>
    <row r="8" spans="1:8" s="323" customFormat="1" x14ac:dyDescent="0.25">
      <c r="A8" s="328">
        <v>3</v>
      </c>
      <c r="C8" s="337"/>
      <c r="D8" s="333"/>
      <c r="E8" s="338"/>
      <c r="F8" s="339"/>
      <c r="G8" s="340"/>
      <c r="H8" s="333"/>
    </row>
    <row r="9" spans="1:8" s="323" customFormat="1" x14ac:dyDescent="0.25">
      <c r="A9" s="328">
        <v>4</v>
      </c>
      <c r="C9" s="333" t="s">
        <v>302</v>
      </c>
      <c r="D9" s="333"/>
      <c r="E9" s="333" t="s">
        <v>65</v>
      </c>
      <c r="F9" s="333"/>
      <c r="G9" s="340"/>
      <c r="H9" s="333" t="s">
        <v>41</v>
      </c>
    </row>
    <row r="10" spans="1:8" s="323" customFormat="1" x14ac:dyDescent="0.25">
      <c r="A10" s="328">
        <v>5</v>
      </c>
      <c r="C10" s="333" t="s">
        <v>303</v>
      </c>
      <c r="D10" s="333" t="s">
        <v>302</v>
      </c>
      <c r="E10" s="333" t="s">
        <v>303</v>
      </c>
      <c r="F10" s="333" t="s">
        <v>65</v>
      </c>
      <c r="G10" s="341" t="s">
        <v>65</v>
      </c>
      <c r="H10" s="333" t="s">
        <v>66</v>
      </c>
    </row>
    <row r="11" spans="1:8" s="323" customFormat="1" x14ac:dyDescent="0.25">
      <c r="A11" s="328">
        <v>6</v>
      </c>
      <c r="B11" s="342"/>
      <c r="C11" s="343" t="s">
        <v>82</v>
      </c>
      <c r="D11" s="343" t="s">
        <v>83</v>
      </c>
      <c r="E11" s="343" t="s">
        <v>82</v>
      </c>
      <c r="F11" s="343" t="s">
        <v>84</v>
      </c>
      <c r="G11" s="344" t="s">
        <v>19</v>
      </c>
      <c r="H11" s="343" t="s">
        <v>85</v>
      </c>
    </row>
    <row r="12" spans="1:8" s="345" customFormat="1" x14ac:dyDescent="0.25">
      <c r="A12" s="328">
        <v>7</v>
      </c>
      <c r="C12" s="328" t="s">
        <v>76</v>
      </c>
      <c r="D12" s="328" t="s">
        <v>77</v>
      </c>
      <c r="E12" s="328" t="s">
        <v>78</v>
      </c>
      <c r="F12" s="328" t="s">
        <v>79</v>
      </c>
      <c r="G12" s="328" t="s">
        <v>80</v>
      </c>
      <c r="H12" s="328" t="s">
        <v>89</v>
      </c>
    </row>
    <row r="13" spans="1:8" x14ac:dyDescent="0.25">
      <c r="A13" s="328">
        <v>8</v>
      </c>
      <c r="B13" s="346" t="s">
        <v>334</v>
      </c>
      <c r="C13" s="347"/>
      <c r="D13" s="347"/>
      <c r="E13" s="347"/>
      <c r="F13" s="328"/>
      <c r="G13" s="328"/>
      <c r="H13" s="347"/>
    </row>
    <row r="14" spans="1:8" x14ac:dyDescent="0.25">
      <c r="A14" s="328">
        <v>9</v>
      </c>
      <c r="B14" s="349" t="s">
        <v>108</v>
      </c>
      <c r="C14" s="501">
        <v>52610362</v>
      </c>
      <c r="D14" s="502">
        <v>51280792.420000002</v>
      </c>
      <c r="E14" s="501">
        <v>54555435.036751106</v>
      </c>
      <c r="F14" s="389">
        <v>52804871.60936594</v>
      </c>
      <c r="G14" s="388">
        <v>0.78355884872664716</v>
      </c>
      <c r="H14" s="389">
        <v>1524079.1893659383</v>
      </c>
    </row>
    <row r="15" spans="1:8" x14ac:dyDescent="0.25">
      <c r="A15" s="328">
        <v>10</v>
      </c>
      <c r="B15" s="349" t="s">
        <v>40</v>
      </c>
      <c r="C15" s="501">
        <v>22004647</v>
      </c>
      <c r="D15" s="502">
        <v>18981614.330000002</v>
      </c>
      <c r="E15" s="501">
        <v>23492298.580861293</v>
      </c>
      <c r="F15" s="389">
        <v>20087927.486216348</v>
      </c>
      <c r="G15" s="388">
        <v>0.74366415526936214</v>
      </c>
      <c r="H15" s="389">
        <v>1106313.1562163457</v>
      </c>
    </row>
    <row r="16" spans="1:8" x14ac:dyDescent="0.25">
      <c r="A16" s="328">
        <v>11</v>
      </c>
      <c r="B16" s="349" t="s">
        <v>120</v>
      </c>
      <c r="C16" s="501">
        <v>3018729</v>
      </c>
      <c r="D16" s="502">
        <v>1909623.1300000001</v>
      </c>
      <c r="E16" s="501">
        <v>3018729</v>
      </c>
      <c r="F16" s="389">
        <v>1909623.1300000001</v>
      </c>
      <c r="G16" s="388">
        <v>0.63259177289514901</v>
      </c>
      <c r="H16" s="389">
        <v>0</v>
      </c>
    </row>
    <row r="17" spans="1:8" x14ac:dyDescent="0.25">
      <c r="A17" s="328">
        <v>12</v>
      </c>
      <c r="B17" s="349" t="s">
        <v>125</v>
      </c>
      <c r="C17" s="501">
        <v>1198317</v>
      </c>
      <c r="D17" s="502">
        <v>563199.03</v>
      </c>
      <c r="E17" s="501">
        <v>1198317</v>
      </c>
      <c r="F17" s="389">
        <v>563199.03</v>
      </c>
      <c r="G17" s="388">
        <v>0.46999168834290095</v>
      </c>
      <c r="H17" s="389">
        <v>0</v>
      </c>
    </row>
    <row r="18" spans="1:8" x14ac:dyDescent="0.25">
      <c r="A18" s="328">
        <v>13</v>
      </c>
      <c r="B18" s="349"/>
      <c r="C18" s="350"/>
      <c r="D18" s="387"/>
      <c r="E18" s="350"/>
      <c r="F18" s="388"/>
      <c r="G18" s="388"/>
      <c r="H18" s="389"/>
    </row>
    <row r="19" spans="1:8" x14ac:dyDescent="0.25">
      <c r="A19" s="328">
        <v>14</v>
      </c>
      <c r="B19" s="351"/>
      <c r="C19" s="352"/>
      <c r="D19" s="352"/>
      <c r="E19" s="352"/>
      <c r="F19" s="352"/>
      <c r="G19" s="352"/>
      <c r="H19" s="352"/>
    </row>
    <row r="20" spans="1:8" x14ac:dyDescent="0.25">
      <c r="A20" s="328">
        <v>15</v>
      </c>
      <c r="B20" s="349" t="s">
        <v>141</v>
      </c>
      <c r="C20" s="350">
        <f>SUM(C14:C19)</f>
        <v>78832055</v>
      </c>
      <c r="D20" s="385">
        <f t="shared" ref="D20:H20" si="0">SUM(D14:D19)</f>
        <v>72735228.909999996</v>
      </c>
      <c r="E20" s="385">
        <f t="shared" si="0"/>
        <v>82264779.617612392</v>
      </c>
      <c r="F20" s="385">
        <f t="shared" si="0"/>
        <v>75365621.255582288</v>
      </c>
      <c r="G20" s="350"/>
      <c r="H20" s="385">
        <f t="shared" si="0"/>
        <v>2630392.345582284</v>
      </c>
    </row>
    <row r="21" spans="1:8" x14ac:dyDescent="0.25">
      <c r="A21" s="328">
        <v>16</v>
      </c>
      <c r="B21" s="353"/>
      <c r="C21" s="350"/>
      <c r="D21" s="389"/>
    </row>
    <row r="22" spans="1:8" x14ac:dyDescent="0.25">
      <c r="A22" s="328">
        <v>17</v>
      </c>
      <c r="B22" s="349" t="s">
        <v>390</v>
      </c>
      <c r="C22" s="501">
        <v>-208610.06139916554</v>
      </c>
      <c r="D22" s="502">
        <v>224743.53855765672</v>
      </c>
      <c r="E22" s="350"/>
      <c r="F22" s="503"/>
      <c r="G22" s="504"/>
      <c r="H22" s="389">
        <v>-224743.53855765672</v>
      </c>
    </row>
    <row r="23" spans="1:8" x14ac:dyDescent="0.25">
      <c r="A23" s="328">
        <v>18</v>
      </c>
      <c r="B23" s="349"/>
      <c r="C23" s="350"/>
      <c r="D23" s="389"/>
      <c r="E23" s="350"/>
    </row>
    <row r="24" spans="1:8" x14ac:dyDescent="0.25">
      <c r="A24" s="328">
        <v>19</v>
      </c>
      <c r="B24" s="349" t="s">
        <v>157</v>
      </c>
      <c r="C24" s="350"/>
      <c r="D24" s="388"/>
      <c r="E24" s="350"/>
    </row>
    <row r="25" spans="1:8" x14ac:dyDescent="0.25">
      <c r="A25" s="328">
        <v>20</v>
      </c>
      <c r="B25" s="354"/>
      <c r="C25" s="390"/>
      <c r="D25" s="390"/>
      <c r="E25" s="390"/>
      <c r="F25" s="390"/>
      <c r="H25" s="390"/>
    </row>
    <row r="26" spans="1:8" x14ac:dyDescent="0.25">
      <c r="A26" s="328">
        <v>21</v>
      </c>
      <c r="B26" s="349" t="s">
        <v>304</v>
      </c>
      <c r="C26" s="350">
        <f>SUM(C20:C25)</f>
        <v>78623444.938600838</v>
      </c>
      <c r="D26" s="385">
        <f t="shared" ref="D26:H26" si="1">SUM(D20:D25)</f>
        <v>72959972.44855766</v>
      </c>
      <c r="E26" s="385">
        <f t="shared" si="1"/>
        <v>82264779.617612392</v>
      </c>
      <c r="F26" s="385">
        <f t="shared" si="1"/>
        <v>75365621.255582288</v>
      </c>
      <c r="G26" s="385"/>
      <c r="H26" s="385">
        <f t="shared" si="1"/>
        <v>2405648.8070246275</v>
      </c>
    </row>
    <row r="27" spans="1:8" x14ac:dyDescent="0.25">
      <c r="A27" s="328">
        <v>22</v>
      </c>
      <c r="B27" s="353"/>
      <c r="C27" s="350"/>
      <c r="D27" s="389"/>
    </row>
    <row r="28" spans="1:8" x14ac:dyDescent="0.25">
      <c r="A28" s="328">
        <v>23</v>
      </c>
      <c r="B28" s="353"/>
      <c r="C28" s="350"/>
      <c r="D28" s="389"/>
    </row>
    <row r="29" spans="1:8" x14ac:dyDescent="0.25">
      <c r="A29" s="328">
        <v>24</v>
      </c>
      <c r="B29" s="355" t="s">
        <v>342</v>
      </c>
      <c r="C29" s="350"/>
      <c r="G29" s="389"/>
    </row>
    <row r="30" spans="1:8" x14ac:dyDescent="0.25">
      <c r="A30" s="328">
        <v>25</v>
      </c>
      <c r="B30" s="349" t="s">
        <v>362</v>
      </c>
      <c r="C30" s="350">
        <v>12030303</v>
      </c>
      <c r="D30" s="502">
        <v>1525913.73</v>
      </c>
      <c r="E30" s="350">
        <v>12030303</v>
      </c>
      <c r="F30" s="389">
        <v>1525913.73</v>
      </c>
      <c r="G30" s="388">
        <v>0.12683917686861254</v>
      </c>
      <c r="H30" s="356">
        <v>0</v>
      </c>
    </row>
    <row r="31" spans="1:8" x14ac:dyDescent="0.25">
      <c r="A31" s="328">
        <v>26</v>
      </c>
      <c r="B31" s="349" t="s">
        <v>363</v>
      </c>
      <c r="C31" s="350">
        <v>7433242</v>
      </c>
      <c r="D31" s="502">
        <v>745158.57</v>
      </c>
      <c r="E31" s="350">
        <v>7433242</v>
      </c>
      <c r="F31" s="389">
        <v>745158.57</v>
      </c>
      <c r="G31" s="388">
        <v>0.10024677926535958</v>
      </c>
      <c r="H31" s="356">
        <v>0</v>
      </c>
    </row>
    <row r="32" spans="1:8" x14ac:dyDescent="0.25">
      <c r="A32" s="328">
        <v>27</v>
      </c>
      <c r="B32" s="349" t="s">
        <v>391</v>
      </c>
      <c r="C32" s="350">
        <v>0</v>
      </c>
      <c r="D32" s="502">
        <v>0</v>
      </c>
      <c r="E32" s="350">
        <v>0</v>
      </c>
      <c r="F32" s="389">
        <v>0</v>
      </c>
      <c r="H32" s="356">
        <v>0</v>
      </c>
    </row>
    <row r="33" spans="1:12" x14ac:dyDescent="0.25">
      <c r="A33" s="328">
        <v>28</v>
      </c>
      <c r="B33" s="349" t="s">
        <v>189</v>
      </c>
      <c r="C33" s="505">
        <v>0</v>
      </c>
      <c r="D33" s="506">
        <v>0</v>
      </c>
      <c r="E33" s="505">
        <v>0</v>
      </c>
      <c r="F33" s="507">
        <v>0</v>
      </c>
      <c r="H33" s="508">
        <v>0</v>
      </c>
    </row>
    <row r="34" spans="1:12" x14ac:dyDescent="0.25">
      <c r="A34" s="328">
        <v>29</v>
      </c>
      <c r="B34" s="349" t="s">
        <v>343</v>
      </c>
      <c r="C34" s="357">
        <f>SUM(C30:C33)</f>
        <v>19463545</v>
      </c>
      <c r="D34" s="358">
        <f t="shared" ref="D34:F34" si="2">SUM(D30:D33)</f>
        <v>2271072.2999999998</v>
      </c>
      <c r="E34" s="358">
        <f t="shared" si="2"/>
        <v>19463545</v>
      </c>
      <c r="F34" s="358">
        <f t="shared" si="2"/>
        <v>2271072.2999999998</v>
      </c>
      <c r="H34" s="358">
        <f>SUM(H30:H33)</f>
        <v>0</v>
      </c>
    </row>
    <row r="35" spans="1:12" x14ac:dyDescent="0.25">
      <c r="A35" s="328">
        <v>30</v>
      </c>
      <c r="B35" s="349"/>
      <c r="C35" s="505"/>
      <c r="D35" s="509"/>
      <c r="E35" s="505"/>
      <c r="F35" s="507"/>
      <c r="H35" s="508"/>
      <c r="L35" s="386"/>
    </row>
    <row r="36" spans="1:12" ht="13" thickBot="1" x14ac:dyDescent="0.3">
      <c r="A36" s="328">
        <v>31</v>
      </c>
      <c r="B36" s="359" t="s">
        <v>518</v>
      </c>
      <c r="C36" s="360">
        <f>C26+C34</f>
        <v>98086989.938600838</v>
      </c>
      <c r="D36" s="361">
        <f t="shared" ref="D36:H36" si="3">D26+D34</f>
        <v>75231044.748557657</v>
      </c>
      <c r="E36" s="361">
        <f t="shared" si="3"/>
        <v>101728324.61761239</v>
      </c>
      <c r="F36" s="361">
        <f t="shared" si="3"/>
        <v>77636693.555582285</v>
      </c>
      <c r="G36" s="361"/>
      <c r="H36" s="361">
        <f t="shared" si="3"/>
        <v>2405648.8070246275</v>
      </c>
    </row>
    <row r="37" spans="1:12" ht="13" thickTop="1" x14ac:dyDescent="0.25">
      <c r="A37" s="328">
        <v>32</v>
      </c>
      <c r="F37" s="362"/>
      <c r="H37" s="362"/>
    </row>
    <row r="38" spans="1:12" x14ac:dyDescent="0.25">
      <c r="A38" s="328">
        <v>33</v>
      </c>
      <c r="C38" s="350"/>
      <c r="D38" s="363"/>
      <c r="E38" s="350"/>
      <c r="H38" s="364"/>
    </row>
    <row r="39" spans="1:12" x14ac:dyDescent="0.25">
      <c r="A39" s="328">
        <v>34</v>
      </c>
      <c r="E39" s="350"/>
      <c r="H39" s="356"/>
    </row>
    <row r="40" spans="1:12" ht="13" thickBot="1" x14ac:dyDescent="0.3">
      <c r="A40" s="328">
        <v>35</v>
      </c>
      <c r="B40" s="329" t="s">
        <v>211</v>
      </c>
      <c r="C40" s="365"/>
      <c r="D40" s="366"/>
      <c r="E40" s="367"/>
      <c r="F40" s="365"/>
      <c r="G40" s="365"/>
      <c r="H40" s="365"/>
    </row>
    <row r="41" spans="1:12" x14ac:dyDescent="0.25">
      <c r="A41" s="328">
        <v>36</v>
      </c>
      <c r="E41" s="338"/>
    </row>
    <row r="42" spans="1:12" x14ac:dyDescent="0.25">
      <c r="A42" s="328">
        <v>37</v>
      </c>
      <c r="C42" s="368" t="s">
        <v>87</v>
      </c>
      <c r="D42" s="369" t="s">
        <v>87</v>
      </c>
      <c r="E42" s="341" t="s">
        <v>65</v>
      </c>
      <c r="F42" s="341" t="s">
        <v>65</v>
      </c>
      <c r="G42" s="341" t="s">
        <v>65</v>
      </c>
      <c r="H42" s="333" t="s">
        <v>66</v>
      </c>
    </row>
    <row r="43" spans="1:12" x14ac:dyDescent="0.25">
      <c r="A43" s="328">
        <v>38</v>
      </c>
      <c r="C43" s="370" t="s">
        <v>82</v>
      </c>
      <c r="D43" s="371" t="s">
        <v>217</v>
      </c>
      <c r="E43" s="344" t="s">
        <v>82</v>
      </c>
      <c r="F43" s="344" t="s">
        <v>217</v>
      </c>
      <c r="G43" s="344" t="s">
        <v>19</v>
      </c>
      <c r="H43" s="343" t="s">
        <v>85</v>
      </c>
    </row>
    <row r="44" spans="1:12" x14ac:dyDescent="0.25">
      <c r="A44" s="328">
        <v>39</v>
      </c>
      <c r="E44" s="372"/>
      <c r="F44" s="372"/>
      <c r="G44" s="372"/>
      <c r="H44" s="372"/>
    </row>
    <row r="45" spans="1:12" x14ac:dyDescent="0.25">
      <c r="A45" s="328">
        <v>40</v>
      </c>
      <c r="B45" s="348" t="s">
        <v>392</v>
      </c>
      <c r="C45" s="510">
        <v>77425127.938600838</v>
      </c>
      <c r="D45" s="503">
        <v>8074033.8828479899</v>
      </c>
      <c r="E45" s="511">
        <v>81066462.617612392</v>
      </c>
      <c r="F45" s="512">
        <v>8469403.545731226</v>
      </c>
      <c r="G45" s="513">
        <v>0.10857822686887966</v>
      </c>
      <c r="H45" s="356">
        <v>395369.66288323607</v>
      </c>
    </row>
    <row r="46" spans="1:12" x14ac:dyDescent="0.25">
      <c r="A46" s="328">
        <v>41</v>
      </c>
      <c r="B46" s="353"/>
      <c r="C46" s="510"/>
      <c r="D46" s="356"/>
      <c r="E46" s="511"/>
      <c r="F46" s="356"/>
      <c r="G46" s="513"/>
      <c r="H46" s="356"/>
    </row>
    <row r="47" spans="1:12" x14ac:dyDescent="0.25">
      <c r="A47" s="328">
        <v>42</v>
      </c>
      <c r="B47" s="373" t="s">
        <v>393</v>
      </c>
      <c r="C47" s="510">
        <v>78623444.938600838</v>
      </c>
      <c r="D47" s="356">
        <v>16536690.670712376</v>
      </c>
      <c r="E47" s="511">
        <v>82264779.617612392</v>
      </c>
      <c r="F47" s="512">
        <v>17321568.914272159</v>
      </c>
      <c r="G47" s="513">
        <v>0.2155468565094491</v>
      </c>
      <c r="H47" s="356">
        <v>784878.24355978332</v>
      </c>
    </row>
    <row r="48" spans="1:12" x14ac:dyDescent="0.25">
      <c r="A48" s="328">
        <v>43</v>
      </c>
      <c r="B48" s="349"/>
      <c r="C48" s="374"/>
      <c r="D48" s="356"/>
      <c r="E48" s="374"/>
      <c r="F48" s="512"/>
      <c r="G48" s="375"/>
      <c r="H48" s="356"/>
    </row>
    <row r="49" spans="1:8" x14ac:dyDescent="0.25">
      <c r="A49" s="328">
        <v>44</v>
      </c>
      <c r="B49" s="353" t="s">
        <v>516</v>
      </c>
      <c r="C49" s="374"/>
      <c r="D49" s="508">
        <v>273021.51</v>
      </c>
      <c r="E49" s="374"/>
      <c r="F49" s="508">
        <v>141546.34641800245</v>
      </c>
      <c r="G49" s="375"/>
      <c r="H49" s="508">
        <v>-131475.16358199756</v>
      </c>
    </row>
    <row r="50" spans="1:8" x14ac:dyDescent="0.25">
      <c r="A50" s="328">
        <v>45</v>
      </c>
      <c r="B50" s="353"/>
      <c r="C50" s="374"/>
      <c r="D50" s="514"/>
      <c r="E50" s="374"/>
      <c r="F50" s="515"/>
      <c r="G50" s="375"/>
      <c r="H50" s="356"/>
    </row>
    <row r="51" spans="1:8" ht="13" thickBot="1" x14ac:dyDescent="0.3">
      <c r="A51" s="328">
        <v>46</v>
      </c>
      <c r="B51" s="349" t="s">
        <v>229</v>
      </c>
      <c r="C51" s="357"/>
      <c r="D51" s="391">
        <f>SUM(D45:D50)</f>
        <v>24883746.063560367</v>
      </c>
      <c r="E51" s="358"/>
      <c r="F51" s="391">
        <f t="shared" ref="F51:H51" si="4">SUM(F45:F50)</f>
        <v>25932518.806421384</v>
      </c>
      <c r="G51" s="358"/>
      <c r="H51" s="391">
        <f t="shared" si="4"/>
        <v>1048772.7428610218</v>
      </c>
    </row>
    <row r="52" spans="1:8" ht="13" thickTop="1" x14ac:dyDescent="0.25">
      <c r="A52" s="328"/>
      <c r="B52" s="349"/>
      <c r="C52" s="374"/>
      <c r="E52" s="374"/>
      <c r="G52" s="375"/>
    </row>
    <row r="53" spans="1:8" x14ac:dyDescent="0.25">
      <c r="A53" s="328"/>
      <c r="B53" s="353"/>
      <c r="C53" s="374"/>
      <c r="E53" s="374"/>
    </row>
    <row r="54" spans="1:8" x14ac:dyDescent="0.25">
      <c r="A54" s="328"/>
      <c r="B54" s="349"/>
      <c r="C54" s="374"/>
    </row>
    <row r="55" spans="1:8" x14ac:dyDescent="0.25">
      <c r="C55" s="374"/>
    </row>
  </sheetData>
  <phoneticPr fontId="7" type="noConversion"/>
  <printOptions horizontalCentered="1"/>
  <pageMargins left="0.5" right="0.5" top="0.5" bottom="0.5" header="0.25" footer="0.25"/>
  <pageSetup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2"/>
    <pageSetUpPr fitToPage="1"/>
  </sheetPr>
  <dimension ref="A1:AY67"/>
  <sheetViews>
    <sheetView showGridLines="0" zoomScaleNormal="100" zoomScaleSheetLayoutView="85" workbookViewId="0">
      <selection activeCell="H12" sqref="H12:H21"/>
    </sheetView>
  </sheetViews>
  <sheetFormatPr defaultColWidth="9.1796875" defaultRowHeight="12.5" x14ac:dyDescent="0.25"/>
  <cols>
    <col min="1" max="1" width="4.7265625" style="297" customWidth="1"/>
    <col min="2" max="3" width="15.7265625" style="92" customWidth="1"/>
    <col min="4" max="4" width="10.7265625" style="92" customWidth="1"/>
    <col min="5" max="7" width="15.7265625" style="92" customWidth="1"/>
    <col min="8" max="8" width="4.7265625" style="92" customWidth="1"/>
    <col min="9" max="9" width="3.26953125" style="92" customWidth="1"/>
    <col min="10" max="19" width="15.7265625" style="92" customWidth="1"/>
    <col min="20" max="16384" width="9.1796875" style="298"/>
  </cols>
  <sheetData>
    <row r="1" spans="1:51" x14ac:dyDescent="0.25">
      <c r="A1" s="297" t="str">
        <f>'Page 1'!A1</f>
        <v>NW Natural</v>
      </c>
      <c r="G1" s="69" t="s">
        <v>306</v>
      </c>
    </row>
    <row r="2" spans="1:51" x14ac:dyDescent="0.25">
      <c r="A2" s="297" t="str">
        <f>+'Page 1'!A2</f>
        <v>Washington Annual Commission Basis Report</v>
      </c>
    </row>
    <row r="3" spans="1:51" x14ac:dyDescent="0.25">
      <c r="A3" s="69" t="str">
        <f>+Adjustments!A4</f>
        <v>Twelve Months Ended December 31, 2020</v>
      </c>
    </row>
    <row r="4" spans="1:51" x14ac:dyDescent="0.25">
      <c r="A4" s="297" t="s">
        <v>444</v>
      </c>
    </row>
    <row r="7" spans="1:51" x14ac:dyDescent="0.25">
      <c r="A7" s="26" t="s">
        <v>17</v>
      </c>
      <c r="E7" s="179" t="s">
        <v>11</v>
      </c>
    </row>
    <row r="8" spans="1:51" x14ac:dyDescent="0.25">
      <c r="A8" s="28" t="s">
        <v>46</v>
      </c>
      <c r="E8" s="28" t="s">
        <v>87</v>
      </c>
      <c r="F8" s="28" t="s">
        <v>65</v>
      </c>
      <c r="G8" s="28" t="s">
        <v>42</v>
      </c>
    </row>
    <row r="9" spans="1:51" x14ac:dyDescent="0.25">
      <c r="E9" s="26" t="s">
        <v>76</v>
      </c>
      <c r="F9" s="26" t="s">
        <v>77</v>
      </c>
      <c r="G9" s="26" t="s">
        <v>78</v>
      </c>
    </row>
    <row r="10" spans="1:51" x14ac:dyDescent="0.25">
      <c r="J10" s="298"/>
      <c r="K10" s="308">
        <v>2020</v>
      </c>
      <c r="L10" s="392">
        <f>K10-1</f>
        <v>2019</v>
      </c>
      <c r="M10" s="308">
        <f>L10-1</f>
        <v>2018</v>
      </c>
    </row>
    <row r="11" spans="1:51" x14ac:dyDescent="0.25">
      <c r="A11" s="26">
        <v>1</v>
      </c>
      <c r="B11" s="175" t="s">
        <v>443</v>
      </c>
      <c r="J11" s="176" t="s">
        <v>445</v>
      </c>
      <c r="K11" s="176"/>
      <c r="L11" s="176"/>
      <c r="M11" s="176"/>
    </row>
    <row r="12" spans="1:51" x14ac:dyDescent="0.25">
      <c r="A12" s="26">
        <f>+A11+1</f>
        <v>2</v>
      </c>
      <c r="B12" s="107" t="s">
        <v>346</v>
      </c>
      <c r="E12" s="41">
        <f>+'Other Rev, Dep &amp; Other Tax'!C10</f>
        <v>18830</v>
      </c>
      <c r="F12" s="41">
        <f>+J12</f>
        <v>41631.666666666664</v>
      </c>
      <c r="G12" s="41">
        <f>+F12-E12</f>
        <v>22801.666666666664</v>
      </c>
      <c r="H12" s="178" t="s">
        <v>449</v>
      </c>
      <c r="J12" s="92">
        <f>AVERAGE(K12:M12)</f>
        <v>41631.666666666664</v>
      </c>
      <c r="K12" s="92">
        <f>+E12</f>
        <v>18830</v>
      </c>
      <c r="L12" s="102">
        <v>52745</v>
      </c>
      <c r="M12" s="102">
        <v>53320</v>
      </c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</row>
    <row r="13" spans="1:51" x14ac:dyDescent="0.25">
      <c r="A13" s="26">
        <f t="shared" ref="A13:A30" si="0">+A12+1</f>
        <v>3</v>
      </c>
      <c r="B13" s="107" t="s">
        <v>347</v>
      </c>
      <c r="E13" s="92">
        <f>+'Other Rev, Dep &amp; Other Tax'!C11</f>
        <v>91185.250000000015</v>
      </c>
      <c r="F13" s="92">
        <f>+E13</f>
        <v>91185.250000000015</v>
      </c>
      <c r="G13" s="92">
        <f t="shared" ref="G13:G21" si="1">+F13-E13</f>
        <v>0</v>
      </c>
      <c r="H13" s="95"/>
      <c r="J13" s="92">
        <f t="shared" ref="J13:J21" si="2">AVERAGE(K13:M13)</f>
        <v>90156.993333333332</v>
      </c>
      <c r="K13" s="99">
        <f t="shared" ref="K13:K21" si="3">+E13</f>
        <v>91185.250000000015</v>
      </c>
      <c r="L13" s="218">
        <v>90570.889999999985</v>
      </c>
      <c r="M13" s="102">
        <v>88714.839999999982</v>
      </c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</row>
    <row r="14" spans="1:51" x14ac:dyDescent="0.25">
      <c r="A14" s="26">
        <f t="shared" si="0"/>
        <v>4</v>
      </c>
      <c r="B14" s="107" t="s">
        <v>348</v>
      </c>
      <c r="E14" s="92">
        <f>+'Other Rev, Dep &amp; Other Tax'!C12</f>
        <v>2905</v>
      </c>
      <c r="F14" s="92">
        <f t="shared" ref="F14:F21" si="4">+J14</f>
        <v>4537.5</v>
      </c>
      <c r="G14" s="92">
        <f t="shared" si="1"/>
        <v>1632.5</v>
      </c>
      <c r="H14" s="178" t="s">
        <v>449</v>
      </c>
      <c r="J14" s="92">
        <f t="shared" si="2"/>
        <v>4537.5</v>
      </c>
      <c r="K14" s="99">
        <f t="shared" si="3"/>
        <v>2905</v>
      </c>
      <c r="L14" s="218">
        <v>5105</v>
      </c>
      <c r="M14" s="102">
        <v>5602.5</v>
      </c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</row>
    <row r="15" spans="1:51" x14ac:dyDescent="0.25">
      <c r="A15" s="26">
        <f t="shared" si="0"/>
        <v>5</v>
      </c>
      <c r="B15" s="107" t="s">
        <v>349</v>
      </c>
      <c r="E15" s="92">
        <f>+'Other Rev, Dep &amp; Other Tax'!C13</f>
        <v>17323.080000000002</v>
      </c>
      <c r="F15" s="92">
        <f t="shared" si="4"/>
        <v>14239.873333333335</v>
      </c>
      <c r="G15" s="92">
        <f t="shared" si="1"/>
        <v>-3083.2066666666669</v>
      </c>
      <c r="H15" s="178" t="s">
        <v>449</v>
      </c>
      <c r="J15" s="92">
        <f t="shared" si="2"/>
        <v>14239.873333333335</v>
      </c>
      <c r="K15" s="99">
        <f t="shared" si="3"/>
        <v>17323.080000000002</v>
      </c>
      <c r="L15" s="218">
        <v>13169.04</v>
      </c>
      <c r="M15" s="102">
        <v>12227.5</v>
      </c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</row>
    <row r="16" spans="1:51" x14ac:dyDescent="0.25">
      <c r="A16" s="26">
        <f t="shared" si="0"/>
        <v>6</v>
      </c>
      <c r="B16" s="107" t="s">
        <v>350</v>
      </c>
      <c r="E16" s="92">
        <f>+'Other Rev, Dep &amp; Other Tax'!C14</f>
        <v>9750</v>
      </c>
      <c r="F16" s="92">
        <f t="shared" si="4"/>
        <v>23776.666666666668</v>
      </c>
      <c r="G16" s="92">
        <f t="shared" si="1"/>
        <v>14026.666666666668</v>
      </c>
      <c r="H16" s="178" t="s">
        <v>449</v>
      </c>
      <c r="J16" s="92">
        <f t="shared" si="2"/>
        <v>23776.666666666668</v>
      </c>
      <c r="K16" s="99">
        <f t="shared" si="3"/>
        <v>9750</v>
      </c>
      <c r="L16" s="218">
        <v>29110</v>
      </c>
      <c r="M16" s="102">
        <v>32470</v>
      </c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</row>
    <row r="17" spans="1:51" x14ac:dyDescent="0.25">
      <c r="A17" s="26">
        <f t="shared" si="0"/>
        <v>7</v>
      </c>
      <c r="B17" s="107" t="s">
        <v>351</v>
      </c>
      <c r="E17" s="92">
        <f>+'Other Rev, Dep &amp; Other Tax'!C15</f>
        <v>17979.999999999996</v>
      </c>
      <c r="F17" s="92">
        <f t="shared" si="4"/>
        <v>18069.406666666662</v>
      </c>
      <c r="G17" s="92">
        <f t="shared" si="1"/>
        <v>89.406666666665842</v>
      </c>
      <c r="H17" s="178" t="s">
        <v>449</v>
      </c>
      <c r="J17" s="92">
        <f t="shared" si="2"/>
        <v>18069.406666666662</v>
      </c>
      <c r="K17" s="99">
        <f t="shared" si="3"/>
        <v>17979.999999999996</v>
      </c>
      <c r="L17" s="218">
        <v>18042.909999999996</v>
      </c>
      <c r="M17" s="102">
        <v>18185.310000000001</v>
      </c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</row>
    <row r="18" spans="1:51" x14ac:dyDescent="0.25">
      <c r="A18" s="26">
        <f t="shared" si="0"/>
        <v>8</v>
      </c>
      <c r="B18" s="107" t="s">
        <v>352</v>
      </c>
      <c r="E18" s="92">
        <f>+'Other Rev, Dep &amp; Other Tax'!C16</f>
        <v>0</v>
      </c>
      <c r="F18" s="92">
        <f t="shared" si="4"/>
        <v>5475.0728723333341</v>
      </c>
      <c r="G18" s="92">
        <f t="shared" si="1"/>
        <v>5475.0728723333341</v>
      </c>
      <c r="H18" s="178" t="s">
        <v>449</v>
      </c>
      <c r="J18" s="92">
        <f t="shared" si="2"/>
        <v>5475.0728723333341</v>
      </c>
      <c r="K18" s="99">
        <f t="shared" si="3"/>
        <v>0</v>
      </c>
      <c r="L18" s="218">
        <v>6996.6000000000031</v>
      </c>
      <c r="M18" s="102">
        <v>9428.6186170000001</v>
      </c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</row>
    <row r="19" spans="1:51" x14ac:dyDescent="0.25">
      <c r="A19" s="26">
        <f t="shared" si="0"/>
        <v>9</v>
      </c>
      <c r="B19" s="107" t="s">
        <v>425</v>
      </c>
      <c r="E19" s="92">
        <f>+'Other Rev, Dep &amp; Other Tax'!C17</f>
        <v>0</v>
      </c>
      <c r="F19" s="92">
        <f>+J19</f>
        <v>17145.556666666667</v>
      </c>
      <c r="G19" s="92">
        <f t="shared" si="1"/>
        <v>17145.556666666667</v>
      </c>
      <c r="H19" s="178" t="s">
        <v>449</v>
      </c>
      <c r="J19" s="92">
        <f t="shared" si="2"/>
        <v>17145.556666666667</v>
      </c>
      <c r="K19" s="99">
        <f t="shared" si="3"/>
        <v>0</v>
      </c>
      <c r="L19" s="218">
        <v>20330</v>
      </c>
      <c r="M19" s="102">
        <v>31106.67</v>
      </c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</row>
    <row r="20" spans="1:51" x14ac:dyDescent="0.25">
      <c r="A20" s="26">
        <f t="shared" si="0"/>
        <v>10</v>
      </c>
      <c r="B20" s="107" t="s">
        <v>446</v>
      </c>
      <c r="E20" s="92">
        <f>'Other Rev, Dep &amp; Other Tax'!C18</f>
        <v>-2675622.7200000002</v>
      </c>
      <c r="F20" s="102">
        <v>-2792132.1269714031</v>
      </c>
      <c r="G20" s="92">
        <f>+F20-E20</f>
        <v>-116509.40697140293</v>
      </c>
      <c r="H20" s="178"/>
      <c r="J20" s="92">
        <f>AVERAGE(K20:M20)</f>
        <v>-3348048.7435692549</v>
      </c>
      <c r="K20" s="99">
        <f>+E20</f>
        <v>-2675622.7200000002</v>
      </c>
      <c r="L20" s="218">
        <v>-4018107.7007077653</v>
      </c>
      <c r="M20" s="102">
        <v>-3350415.8099999977</v>
      </c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</row>
    <row r="21" spans="1:51" x14ac:dyDescent="0.25">
      <c r="A21" s="26">
        <f t="shared" si="0"/>
        <v>11</v>
      </c>
      <c r="B21" s="107" t="s">
        <v>353</v>
      </c>
      <c r="E21" s="93">
        <f>'Other Rev, Dep &amp; Other Tax'!C19</f>
        <v>21470.839999999997</v>
      </c>
      <c r="F21" s="93">
        <f t="shared" si="4"/>
        <v>13918.503333333334</v>
      </c>
      <c r="G21" s="93">
        <f t="shared" si="1"/>
        <v>-7552.3366666666625</v>
      </c>
      <c r="H21" s="178" t="s">
        <v>449</v>
      </c>
      <c r="J21" s="93">
        <f t="shared" si="2"/>
        <v>13918.503333333334</v>
      </c>
      <c r="K21" s="93">
        <f t="shared" si="3"/>
        <v>21470.839999999997</v>
      </c>
      <c r="L21" s="103">
        <v>13508.3</v>
      </c>
      <c r="M21" s="103">
        <v>6776.37</v>
      </c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</row>
    <row r="22" spans="1:51" x14ac:dyDescent="0.25">
      <c r="A22" s="26">
        <f t="shared" si="0"/>
        <v>12</v>
      </c>
      <c r="B22" s="107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</row>
    <row r="23" spans="1:51" ht="13" thickBot="1" x14ac:dyDescent="0.3">
      <c r="A23" s="26">
        <f t="shared" si="0"/>
        <v>13</v>
      </c>
      <c r="E23" s="115">
        <f>SUM(E12:E21)</f>
        <v>-2496178.5500000003</v>
      </c>
      <c r="F23" s="115">
        <f>SUM(F12:F21)</f>
        <v>-2562152.6307657366</v>
      </c>
      <c r="G23" s="115">
        <f>SUM(G12:G21)</f>
        <v>-65974.08076573626</v>
      </c>
      <c r="J23" s="177">
        <f>SUM(J12:J22)</f>
        <v>-3119097.5040302547</v>
      </c>
      <c r="K23" s="177">
        <f>SUM(K12:K22)</f>
        <v>-2496178.5500000003</v>
      </c>
      <c r="L23" s="177">
        <f>SUM(L12:L22)</f>
        <v>-3768529.9607077655</v>
      </c>
      <c r="M23" s="177">
        <f>SUM(M12:M22)</f>
        <v>-3092584.0013829977</v>
      </c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</row>
    <row r="24" spans="1:51" ht="13" thickTop="1" x14ac:dyDescent="0.25">
      <c r="A24" s="26">
        <f t="shared" si="0"/>
        <v>14</v>
      </c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</row>
    <row r="25" spans="1:51" x14ac:dyDescent="0.25">
      <c r="A25" s="26">
        <f t="shared" si="0"/>
        <v>15</v>
      </c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</row>
    <row r="26" spans="1:51" x14ac:dyDescent="0.25">
      <c r="A26" s="26">
        <f t="shared" si="0"/>
        <v>16</v>
      </c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</row>
    <row r="27" spans="1:51" x14ac:dyDescent="0.25">
      <c r="A27" s="26">
        <f t="shared" si="0"/>
        <v>17</v>
      </c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</row>
    <row r="28" spans="1:51" x14ac:dyDescent="0.25">
      <c r="A28" s="26">
        <f t="shared" si="0"/>
        <v>18</v>
      </c>
      <c r="B28" s="131" t="s">
        <v>447</v>
      </c>
      <c r="C28" s="297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</row>
    <row r="29" spans="1:51" x14ac:dyDescent="0.25">
      <c r="A29" s="26">
        <f t="shared" si="0"/>
        <v>19</v>
      </c>
      <c r="B29" s="297" t="s">
        <v>448</v>
      </c>
      <c r="C29" s="297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</row>
    <row r="30" spans="1:51" x14ac:dyDescent="0.25">
      <c r="A30" s="26">
        <f t="shared" si="0"/>
        <v>20</v>
      </c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</row>
    <row r="31" spans="1:51" x14ac:dyDescent="0.25">
      <c r="A31" s="26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</row>
    <row r="32" spans="1:51" x14ac:dyDescent="0.25">
      <c r="A32" s="26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</row>
    <row r="33" spans="1:51" x14ac:dyDescent="0.25">
      <c r="A33" s="26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</row>
    <row r="34" spans="1:51" x14ac:dyDescent="0.25">
      <c r="A34" s="26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</row>
    <row r="35" spans="1:51" x14ac:dyDescent="0.25">
      <c r="A35" s="26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</row>
    <row r="36" spans="1:51" x14ac:dyDescent="0.25">
      <c r="A36" s="26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</row>
    <row r="37" spans="1:51" x14ac:dyDescent="0.25"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</row>
    <row r="38" spans="1:51" x14ac:dyDescent="0.25"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</row>
    <row r="39" spans="1:51" x14ac:dyDescent="0.25"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</row>
    <row r="40" spans="1:51" x14ac:dyDescent="0.25"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</row>
    <row r="41" spans="1:51" x14ac:dyDescent="0.25"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</row>
    <row r="42" spans="1:51" x14ac:dyDescent="0.25"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</row>
    <row r="43" spans="1:51" x14ac:dyDescent="0.25"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</row>
    <row r="44" spans="1:51" x14ac:dyDescent="0.25"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</row>
    <row r="45" spans="1:51" x14ac:dyDescent="0.25"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</row>
    <row r="46" spans="1:51" x14ac:dyDescent="0.25"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</row>
    <row r="47" spans="1:51" x14ac:dyDescent="0.25"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</row>
    <row r="48" spans="1:51" x14ac:dyDescent="0.25"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</row>
    <row r="49" spans="20:51" x14ac:dyDescent="0.25"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</row>
    <row r="50" spans="20:51" x14ac:dyDescent="0.25"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</row>
    <row r="51" spans="20:51" x14ac:dyDescent="0.25"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</row>
    <row r="52" spans="20:51" x14ac:dyDescent="0.25"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</row>
    <row r="53" spans="20:51" x14ac:dyDescent="0.25"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</row>
    <row r="54" spans="20:51" x14ac:dyDescent="0.25"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</row>
    <row r="55" spans="20:51" x14ac:dyDescent="0.25"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</row>
    <row r="56" spans="20:51" x14ac:dyDescent="0.25"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</row>
    <row r="57" spans="20:51" x14ac:dyDescent="0.25"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</row>
    <row r="58" spans="20:51" x14ac:dyDescent="0.25"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</row>
    <row r="59" spans="20:51" x14ac:dyDescent="0.25"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</row>
    <row r="60" spans="20:51" x14ac:dyDescent="0.25"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</row>
    <row r="61" spans="20:51" x14ac:dyDescent="0.25"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</row>
    <row r="62" spans="20:51" x14ac:dyDescent="0.25"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</row>
    <row r="63" spans="20:51" x14ac:dyDescent="0.25"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</row>
    <row r="64" spans="20:51" x14ac:dyDescent="0.25"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</row>
    <row r="65" spans="20:51" x14ac:dyDescent="0.25"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</row>
    <row r="66" spans="20:51" x14ac:dyDescent="0.25"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</row>
    <row r="67" spans="20:51" x14ac:dyDescent="0.25"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</row>
  </sheetData>
  <phoneticPr fontId="19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indexed="42"/>
    <pageSetUpPr fitToPage="1"/>
  </sheetPr>
  <dimension ref="A1:J43"/>
  <sheetViews>
    <sheetView showGridLines="0" topLeftCell="A31" zoomScale="115" zoomScaleNormal="115" zoomScaleSheetLayoutView="100" workbookViewId="0">
      <selection activeCell="B5" sqref="B5"/>
    </sheetView>
  </sheetViews>
  <sheetFormatPr defaultColWidth="9.1796875" defaultRowHeight="12.5" x14ac:dyDescent="0.25"/>
  <cols>
    <col min="1" max="1" width="4.7265625" style="297" customWidth="1"/>
    <col min="2" max="2" width="36.7265625" style="297" customWidth="1"/>
    <col min="3" max="8" width="13.7265625" style="298" customWidth="1"/>
    <col min="9" max="9" width="11.81640625" style="298" customWidth="1"/>
    <col min="10" max="16384" width="9.1796875" style="298"/>
  </cols>
  <sheetData>
    <row r="1" spans="1:10" x14ac:dyDescent="0.25">
      <c r="A1" s="116" t="str">
        <f>'Page 1'!A1</f>
        <v>NW Natural</v>
      </c>
      <c r="B1" s="116"/>
      <c r="H1" s="69" t="s">
        <v>361</v>
      </c>
    </row>
    <row r="2" spans="1:10" x14ac:dyDescent="0.25">
      <c r="A2" s="116" t="str">
        <f>+'Page 1'!A2</f>
        <v>Washington Annual Commission Basis Report</v>
      </c>
      <c r="B2" s="116"/>
      <c r="H2" s="69"/>
    </row>
    <row r="3" spans="1:10" x14ac:dyDescent="0.25">
      <c r="A3" s="315" t="str">
        <f>+Adjustments!A4</f>
        <v>Twelve Months Ended December 31, 2020</v>
      </c>
      <c r="B3" s="116"/>
      <c r="H3" s="31"/>
    </row>
    <row r="4" spans="1:10" x14ac:dyDescent="0.25">
      <c r="A4" s="116" t="s">
        <v>7</v>
      </c>
      <c r="B4" s="116"/>
      <c r="E4" s="300"/>
      <c r="F4" s="300"/>
      <c r="G4" s="300"/>
      <c r="H4" s="31"/>
    </row>
    <row r="5" spans="1:10" x14ac:dyDescent="0.25">
      <c r="E5" s="300"/>
      <c r="F5" s="300"/>
      <c r="G5" s="300"/>
    </row>
    <row r="6" spans="1:10" x14ac:dyDescent="0.25">
      <c r="E6" s="300"/>
      <c r="F6" s="300"/>
      <c r="G6" s="300"/>
    </row>
    <row r="7" spans="1:10" x14ac:dyDescent="0.25">
      <c r="A7" s="26" t="s">
        <v>17</v>
      </c>
      <c r="C7" s="516" t="s">
        <v>525</v>
      </c>
      <c r="D7" s="516" t="s">
        <v>544</v>
      </c>
      <c r="E7" s="516" t="s">
        <v>553</v>
      </c>
      <c r="F7" s="118" t="s">
        <v>43</v>
      </c>
      <c r="G7" s="517">
        <v>2020</v>
      </c>
      <c r="H7" s="26"/>
    </row>
    <row r="8" spans="1:10" x14ac:dyDescent="0.25">
      <c r="A8" s="28" t="s">
        <v>46</v>
      </c>
      <c r="B8" s="165"/>
      <c r="C8" s="518" t="s">
        <v>526</v>
      </c>
      <c r="D8" s="518" t="s">
        <v>545</v>
      </c>
      <c r="E8" s="518" t="s">
        <v>554</v>
      </c>
      <c r="F8" s="119" t="s">
        <v>53</v>
      </c>
      <c r="G8" s="119" t="s">
        <v>68</v>
      </c>
      <c r="H8" s="28" t="s">
        <v>42</v>
      </c>
    </row>
    <row r="9" spans="1:10" x14ac:dyDescent="0.25">
      <c r="B9" s="26" t="s">
        <v>76</v>
      </c>
      <c r="C9" s="26" t="s">
        <v>77</v>
      </c>
      <c r="D9" s="26" t="s">
        <v>78</v>
      </c>
      <c r="E9" s="118" t="s">
        <v>79</v>
      </c>
      <c r="F9" s="118" t="s">
        <v>80</v>
      </c>
      <c r="G9" s="118" t="s">
        <v>89</v>
      </c>
      <c r="H9" s="26" t="s">
        <v>441</v>
      </c>
    </row>
    <row r="10" spans="1:10" x14ac:dyDescent="0.25">
      <c r="B10" s="91" t="s">
        <v>100</v>
      </c>
      <c r="E10" s="300"/>
      <c r="F10" s="300"/>
      <c r="G10" s="300"/>
    </row>
    <row r="11" spans="1:10" x14ac:dyDescent="0.25">
      <c r="A11" s="26">
        <v>1</v>
      </c>
      <c r="B11" s="69" t="s">
        <v>293</v>
      </c>
      <c r="C11" s="181">
        <v>6107412</v>
      </c>
      <c r="D11" s="181">
        <v>6248052.9786258182</v>
      </c>
      <c r="E11" s="181">
        <v>6790398.8596917978</v>
      </c>
      <c r="F11" s="181">
        <f>SUM(C11:E11)/3</f>
        <v>6381954.6127725393</v>
      </c>
      <c r="G11" s="181">
        <v>6081776.7726291884</v>
      </c>
      <c r="H11" s="110">
        <f>F11-G11</f>
        <v>300177.84014335088</v>
      </c>
    </row>
    <row r="12" spans="1:10" x14ac:dyDescent="0.25">
      <c r="A12" s="26">
        <v>2</v>
      </c>
      <c r="B12" s="69" t="s">
        <v>294</v>
      </c>
      <c r="C12" s="182">
        <v>0</v>
      </c>
      <c r="D12" s="182">
        <v>0</v>
      </c>
      <c r="E12" s="182">
        <v>0</v>
      </c>
      <c r="F12" s="182">
        <f>SUM(C12:E12)/3</f>
        <v>0</v>
      </c>
      <c r="G12" s="182">
        <v>0</v>
      </c>
      <c r="H12" s="79">
        <f>F12-G12</f>
        <v>0</v>
      </c>
    </row>
    <row r="13" spans="1:10" x14ac:dyDescent="0.25">
      <c r="A13" s="26">
        <v>3</v>
      </c>
      <c r="B13" s="91" t="s">
        <v>126</v>
      </c>
      <c r="C13" s="183">
        <f>+C11+C12</f>
        <v>6107412</v>
      </c>
      <c r="D13" s="183">
        <f>+D11+D12</f>
        <v>6248052.9786258182</v>
      </c>
      <c r="E13" s="183">
        <f>+E11+E12</f>
        <v>6790398.8596917978</v>
      </c>
      <c r="F13" s="183">
        <f>+F11+F12</f>
        <v>6381954.6127725393</v>
      </c>
      <c r="G13" s="183">
        <f>SUM(G11:G12)</f>
        <v>6081776.7726291884</v>
      </c>
      <c r="H13" s="78">
        <f>+H11+H12</f>
        <v>300177.84014335088</v>
      </c>
      <c r="J13" s="32"/>
    </row>
    <row r="14" spans="1:10" x14ac:dyDescent="0.25">
      <c r="A14" s="26"/>
      <c r="B14" s="91"/>
      <c r="C14" s="183"/>
      <c r="D14" s="183"/>
      <c r="E14" s="183"/>
      <c r="F14" s="183"/>
      <c r="G14" s="183"/>
      <c r="H14" s="78"/>
    </row>
    <row r="15" spans="1:10" x14ac:dyDescent="0.25">
      <c r="A15" s="26"/>
      <c r="B15" s="91" t="s">
        <v>135</v>
      </c>
      <c r="C15" s="183"/>
      <c r="D15" s="183"/>
      <c r="E15" s="183"/>
      <c r="F15" s="183"/>
      <c r="G15" s="183"/>
      <c r="H15" s="78"/>
      <c r="I15" s="183"/>
    </row>
    <row r="16" spans="1:10" x14ac:dyDescent="0.25">
      <c r="A16" s="26">
        <v>4</v>
      </c>
      <c r="B16" s="69" t="s">
        <v>293</v>
      </c>
      <c r="C16" s="183">
        <v>2952686</v>
      </c>
      <c r="D16" s="183">
        <v>2907512.6813741815</v>
      </c>
      <c r="E16" s="183">
        <v>3267795.5103082033</v>
      </c>
      <c r="F16" s="183">
        <f>SUM(C16:E16)/3</f>
        <v>3042664.7305607945</v>
      </c>
      <c r="G16" s="183">
        <v>2963404.1463971203</v>
      </c>
      <c r="H16" s="78">
        <f>F16-G16</f>
        <v>79260.584163674153</v>
      </c>
      <c r="I16" s="183"/>
    </row>
    <row r="17" spans="1:10" x14ac:dyDescent="0.25">
      <c r="A17" s="26">
        <v>5</v>
      </c>
      <c r="B17" s="69" t="s">
        <v>294</v>
      </c>
      <c r="C17" s="182">
        <v>0</v>
      </c>
      <c r="D17" s="182">
        <v>0</v>
      </c>
      <c r="E17" s="182">
        <v>0</v>
      </c>
      <c r="F17" s="182">
        <f>SUM(C17:E17)/3</f>
        <v>0</v>
      </c>
      <c r="G17" s="182">
        <v>0</v>
      </c>
      <c r="H17" s="79">
        <f>F17-G17</f>
        <v>0</v>
      </c>
      <c r="I17" s="183"/>
    </row>
    <row r="18" spans="1:10" x14ac:dyDescent="0.25">
      <c r="A18" s="26">
        <v>6</v>
      </c>
      <c r="B18" s="91" t="s">
        <v>126</v>
      </c>
      <c r="C18" s="183">
        <f>+C16+C17</f>
        <v>2952686</v>
      </c>
      <c r="D18" s="183">
        <f>+D16+D17</f>
        <v>2907512.6813741815</v>
      </c>
      <c r="E18" s="183">
        <f>+E16+E17</f>
        <v>3267795.5103082033</v>
      </c>
      <c r="F18" s="183">
        <f>+F16+F17</f>
        <v>3042664.7305607945</v>
      </c>
      <c r="G18" s="183">
        <f>SUM(G16:G17)</f>
        <v>2963404.1463971203</v>
      </c>
      <c r="H18" s="78">
        <f>+H16+H17</f>
        <v>79260.584163674153</v>
      </c>
      <c r="I18" s="183"/>
    </row>
    <row r="19" spans="1:10" x14ac:dyDescent="0.25">
      <c r="A19" s="26"/>
      <c r="B19" s="91"/>
      <c r="C19" s="183"/>
      <c r="D19" s="183"/>
      <c r="E19" s="183"/>
      <c r="F19" s="183"/>
      <c r="G19" s="183"/>
      <c r="H19" s="78"/>
      <c r="I19" s="183"/>
    </row>
    <row r="20" spans="1:10" x14ac:dyDescent="0.25">
      <c r="A20" s="26"/>
      <c r="B20" s="91" t="s">
        <v>163</v>
      </c>
      <c r="C20" s="183"/>
      <c r="D20" s="183"/>
      <c r="E20" s="183"/>
      <c r="F20" s="183"/>
      <c r="G20" s="183"/>
      <c r="H20" s="78"/>
      <c r="I20" s="183"/>
    </row>
    <row r="21" spans="1:10" x14ac:dyDescent="0.25">
      <c r="A21" s="26">
        <v>7</v>
      </c>
      <c r="B21" s="69" t="s">
        <v>293</v>
      </c>
      <c r="C21" s="183">
        <v>0</v>
      </c>
      <c r="D21" s="183">
        <v>0</v>
      </c>
      <c r="E21" s="183">
        <v>0</v>
      </c>
      <c r="F21" s="183">
        <f>SUM(C21:E21)/3</f>
        <v>0</v>
      </c>
      <c r="G21" s="183">
        <v>0</v>
      </c>
      <c r="H21" s="78"/>
      <c r="I21" s="183"/>
    </row>
    <row r="22" spans="1:10" x14ac:dyDescent="0.25">
      <c r="A22" s="26">
        <v>8</v>
      </c>
      <c r="B22" s="69" t="s">
        <v>294</v>
      </c>
      <c r="C22" s="182">
        <v>1105922</v>
      </c>
      <c r="D22" s="182">
        <v>535005.84914272558</v>
      </c>
      <c r="E22" s="182">
        <v>0</v>
      </c>
      <c r="F22" s="182">
        <f>SUM(C22:E22)/3</f>
        <v>546975.9497142419</v>
      </c>
      <c r="G22" s="182">
        <v>0</v>
      </c>
      <c r="H22" s="79"/>
      <c r="I22" s="183"/>
      <c r="J22" s="133"/>
    </row>
    <row r="23" spans="1:10" x14ac:dyDescent="0.25">
      <c r="A23" s="26">
        <v>9</v>
      </c>
      <c r="B23" s="91" t="s">
        <v>126</v>
      </c>
      <c r="C23" s="183">
        <f>+C21+C22</f>
        <v>1105922</v>
      </c>
      <c r="D23" s="183">
        <f>+D21+D22</f>
        <v>535005.84914272558</v>
      </c>
      <c r="E23" s="183">
        <f>+E21+E22</f>
        <v>0</v>
      </c>
      <c r="F23" s="183">
        <f>+F21+F22</f>
        <v>546975.9497142419</v>
      </c>
      <c r="G23" s="183">
        <f>SUM(G21:G22)</f>
        <v>0</v>
      </c>
      <c r="H23" s="78">
        <f>F23-G23</f>
        <v>546975.9497142419</v>
      </c>
      <c r="I23" s="183"/>
    </row>
    <row r="24" spans="1:10" x14ac:dyDescent="0.25">
      <c r="A24" s="26"/>
      <c r="B24" s="91"/>
      <c r="C24" s="183"/>
      <c r="D24" s="183"/>
      <c r="E24" s="183"/>
      <c r="F24" s="183"/>
      <c r="G24" s="183"/>
      <c r="H24" s="78"/>
      <c r="I24" s="183"/>
    </row>
    <row r="25" spans="1:10" x14ac:dyDescent="0.25">
      <c r="A25" s="26"/>
      <c r="B25" s="91" t="s">
        <v>180</v>
      </c>
      <c r="C25" s="183"/>
      <c r="D25" s="183"/>
      <c r="E25" s="183"/>
      <c r="F25" s="183"/>
      <c r="G25" s="183"/>
      <c r="H25" s="78"/>
      <c r="I25" s="183"/>
    </row>
    <row r="26" spans="1:10" x14ac:dyDescent="0.25">
      <c r="A26" s="26">
        <v>10</v>
      </c>
      <c r="B26" s="315" t="s">
        <v>293</v>
      </c>
      <c r="C26" s="183">
        <v>0</v>
      </c>
      <c r="D26" s="183">
        <v>0</v>
      </c>
      <c r="E26" s="183">
        <v>0</v>
      </c>
      <c r="F26" s="183">
        <f>SUM(C26:E26)/3</f>
        <v>0</v>
      </c>
      <c r="G26" s="183">
        <v>0</v>
      </c>
      <c r="H26" s="183"/>
      <c r="I26" s="183"/>
    </row>
    <row r="27" spans="1:10" x14ac:dyDescent="0.25">
      <c r="A27" s="26">
        <v>11</v>
      </c>
      <c r="B27" s="315" t="s">
        <v>294</v>
      </c>
      <c r="C27" s="182">
        <v>534668</v>
      </c>
      <c r="D27" s="182">
        <v>354285.84085727436</v>
      </c>
      <c r="E27" s="182">
        <v>0</v>
      </c>
      <c r="F27" s="182">
        <f>SUM(C27:E27)/3</f>
        <v>296317.94695242477</v>
      </c>
      <c r="G27" s="182">
        <v>0</v>
      </c>
      <c r="H27" s="182"/>
      <c r="I27" s="183"/>
    </row>
    <row r="28" spans="1:10" x14ac:dyDescent="0.25">
      <c r="A28" s="26">
        <v>12</v>
      </c>
      <c r="B28" s="316" t="s">
        <v>126</v>
      </c>
      <c r="C28" s="183">
        <f>+C26+C27</f>
        <v>534668</v>
      </c>
      <c r="D28" s="183">
        <f>+D26+D27</f>
        <v>354285.84085727436</v>
      </c>
      <c r="E28" s="183">
        <f>+E26+E27</f>
        <v>0</v>
      </c>
      <c r="F28" s="183">
        <f>+F26+F27</f>
        <v>296317.94695242477</v>
      </c>
      <c r="G28" s="183">
        <f>SUM(G26:G27)</f>
        <v>0</v>
      </c>
      <c r="H28" s="183">
        <f>F28-G28</f>
        <v>296317.94695242477</v>
      </c>
      <c r="I28" s="183"/>
    </row>
    <row r="29" spans="1:10" x14ac:dyDescent="0.25">
      <c r="A29" s="26"/>
      <c r="B29" s="91"/>
      <c r="C29" s="184"/>
      <c r="D29" s="184"/>
      <c r="E29" s="184"/>
      <c r="F29" s="184"/>
      <c r="G29" s="184"/>
      <c r="H29" s="52"/>
    </row>
    <row r="30" spans="1:10" x14ac:dyDescent="0.25">
      <c r="A30" s="26">
        <v>13</v>
      </c>
      <c r="B30" s="69" t="s">
        <v>331</v>
      </c>
      <c r="C30" s="52"/>
      <c r="D30" s="52"/>
      <c r="E30" s="184"/>
      <c r="F30" s="184"/>
      <c r="G30" s="184"/>
      <c r="H30" s="84">
        <f>H13+H23</f>
        <v>847153.78985759278</v>
      </c>
    </row>
    <row r="31" spans="1:10" x14ac:dyDescent="0.25">
      <c r="A31" s="26">
        <v>14</v>
      </c>
      <c r="B31" s="91" t="s">
        <v>190</v>
      </c>
      <c r="E31" s="184"/>
      <c r="F31" s="185" t="s">
        <v>201</v>
      </c>
      <c r="G31" s="300"/>
      <c r="H31" s="42">
        <f>Factors!C120</f>
        <v>0.10481600000000002</v>
      </c>
    </row>
    <row r="32" spans="1:10" ht="13" thickBot="1" x14ac:dyDescent="0.3">
      <c r="A32" s="26">
        <v>15</v>
      </c>
      <c r="B32" s="69" t="s">
        <v>333</v>
      </c>
      <c r="C32" s="52"/>
      <c r="D32" s="52"/>
      <c r="E32" s="184"/>
      <c r="F32" s="185"/>
      <c r="G32" s="300"/>
      <c r="H32" s="83">
        <f>H30*H31</f>
        <v>88795.271637713464</v>
      </c>
    </row>
    <row r="33" spans="1:8" ht="13" thickTop="1" x14ac:dyDescent="0.25">
      <c r="A33" s="26"/>
      <c r="B33" s="91"/>
      <c r="C33" s="52"/>
      <c r="D33" s="52"/>
      <c r="E33" s="52"/>
      <c r="F33" s="51"/>
      <c r="H33" s="84"/>
    </row>
    <row r="34" spans="1:8" x14ac:dyDescent="0.25">
      <c r="A34" s="26">
        <v>16</v>
      </c>
      <c r="B34" s="69" t="s">
        <v>330</v>
      </c>
      <c r="C34" s="52"/>
      <c r="D34" s="52"/>
      <c r="E34" s="52"/>
      <c r="F34" s="51"/>
      <c r="H34" s="84">
        <f>H18+H28</f>
        <v>375578.53111609892</v>
      </c>
    </row>
    <row r="35" spans="1:8" x14ac:dyDescent="0.25">
      <c r="A35" s="26">
        <v>17</v>
      </c>
      <c r="B35" s="91" t="s">
        <v>190</v>
      </c>
      <c r="D35" s="52"/>
      <c r="E35" s="52"/>
      <c r="F35" s="297" t="s">
        <v>50</v>
      </c>
      <c r="H35" s="42">
        <f>Factors!C125</f>
        <v>0.11849999999999999</v>
      </c>
    </row>
    <row r="36" spans="1:8" ht="13" thickBot="1" x14ac:dyDescent="0.3">
      <c r="A36" s="26">
        <v>18</v>
      </c>
      <c r="B36" s="69" t="s">
        <v>332</v>
      </c>
      <c r="E36" s="52"/>
      <c r="H36" s="83">
        <f>H34*H35</f>
        <v>44506.055937257719</v>
      </c>
    </row>
    <row r="37" spans="1:8" ht="13" thickTop="1" x14ac:dyDescent="0.25">
      <c r="E37" s="52"/>
    </row>
    <row r="38" spans="1:8" x14ac:dyDescent="0.25">
      <c r="E38" s="52"/>
    </row>
    <row r="39" spans="1:8" x14ac:dyDescent="0.25">
      <c r="A39" s="297" t="s">
        <v>226</v>
      </c>
      <c r="H39" s="31"/>
    </row>
    <row r="43" spans="1:8" x14ac:dyDescent="0.25">
      <c r="C43" s="26"/>
      <c r="D43" s="26"/>
      <c r="E43" s="26"/>
      <c r="F43" s="26"/>
      <c r="G43" s="26"/>
    </row>
  </sheetData>
  <phoneticPr fontId="0" type="noConversion"/>
  <printOptions horizontalCentered="1"/>
  <pageMargins left="0.75" right="0.75" top="1" bottom="1" header="0.5" footer="0.5"/>
  <pageSetup scale="9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indexed="42"/>
    <pageSetUpPr fitToPage="1"/>
  </sheetPr>
  <dimension ref="A1:G49"/>
  <sheetViews>
    <sheetView showGridLines="0" zoomScaleNormal="100" zoomScaleSheetLayoutView="85" workbookViewId="0">
      <selection activeCell="H20" sqref="H20"/>
    </sheetView>
  </sheetViews>
  <sheetFormatPr defaultColWidth="9.1796875" defaultRowHeight="12.5" x14ac:dyDescent="0.25"/>
  <cols>
    <col min="1" max="1" width="4.7265625" style="297" customWidth="1"/>
    <col min="2" max="2" width="41.7265625" style="297" customWidth="1"/>
    <col min="3" max="6" width="13.7265625" style="298" customWidth="1"/>
    <col min="7" max="16384" width="9.1796875" style="298"/>
  </cols>
  <sheetData>
    <row r="1" spans="1:7" x14ac:dyDescent="0.25">
      <c r="A1" s="116" t="str">
        <f>'Page 1'!A1</f>
        <v>NW Natural</v>
      </c>
      <c r="B1" s="116"/>
      <c r="F1" s="69" t="s">
        <v>3</v>
      </c>
      <c r="G1" s="116"/>
    </row>
    <row r="2" spans="1:7" x14ac:dyDescent="0.25">
      <c r="A2" s="116" t="str">
        <f>+'Page 1'!A2</f>
        <v>Washington Annual Commission Basis Report</v>
      </c>
      <c r="B2" s="116"/>
      <c r="F2" s="69"/>
    </row>
    <row r="3" spans="1:7" x14ac:dyDescent="0.25">
      <c r="A3" s="116" t="str">
        <f>Adjustments!A4</f>
        <v>Twelve Months Ended December 31, 2020</v>
      </c>
      <c r="B3" s="116"/>
      <c r="F3" s="297"/>
    </row>
    <row r="4" spans="1:7" x14ac:dyDescent="0.25">
      <c r="A4" s="116" t="s">
        <v>8</v>
      </c>
      <c r="B4" s="116"/>
    </row>
    <row r="5" spans="1:7" x14ac:dyDescent="0.25">
      <c r="A5" s="116" t="s">
        <v>394</v>
      </c>
      <c r="B5" s="116"/>
    </row>
    <row r="8" spans="1:7" x14ac:dyDescent="0.25">
      <c r="A8" s="297" t="s">
        <v>17</v>
      </c>
      <c r="C8" s="519" t="s">
        <v>555</v>
      </c>
      <c r="D8" s="309">
        <v>2020</v>
      </c>
      <c r="E8" s="309">
        <f>D8-1</f>
        <v>2019</v>
      </c>
      <c r="F8" s="309">
        <f>E8-1</f>
        <v>2018</v>
      </c>
    </row>
    <row r="9" spans="1:7" x14ac:dyDescent="0.25">
      <c r="A9" s="101" t="s">
        <v>46</v>
      </c>
      <c r="C9" s="28" t="s">
        <v>86</v>
      </c>
      <c r="D9" s="28" t="s">
        <v>87</v>
      </c>
      <c r="E9" s="28" t="s">
        <v>87</v>
      </c>
      <c r="F9" s="28" t="s">
        <v>87</v>
      </c>
    </row>
    <row r="10" spans="1:7" x14ac:dyDescent="0.25">
      <c r="C10" s="26" t="s">
        <v>76</v>
      </c>
      <c r="D10" s="26" t="s">
        <v>77</v>
      </c>
      <c r="E10" s="26" t="s">
        <v>78</v>
      </c>
      <c r="F10" s="26" t="s">
        <v>79</v>
      </c>
    </row>
    <row r="11" spans="1:7" x14ac:dyDescent="0.25">
      <c r="B11" s="297" t="s">
        <v>103</v>
      </c>
    </row>
    <row r="12" spans="1:7" x14ac:dyDescent="0.25">
      <c r="A12" s="297">
        <v>1</v>
      </c>
      <c r="B12" s="297" t="s">
        <v>109</v>
      </c>
      <c r="C12" s="112">
        <f>SUM(D12:F12)</f>
        <v>1304425.1320499999</v>
      </c>
      <c r="D12" s="520">
        <v>450901.51766999997</v>
      </c>
      <c r="E12" s="521">
        <v>438515.27899999998</v>
      </c>
      <c r="F12" s="521">
        <v>415008.33538</v>
      </c>
      <c r="G12" s="300"/>
    </row>
    <row r="13" spans="1:7" x14ac:dyDescent="0.25">
      <c r="A13" s="297">
        <v>2</v>
      </c>
      <c r="B13" s="297" t="s">
        <v>114</v>
      </c>
      <c r="C13" s="111">
        <f>SUM(D13:F13)</f>
        <v>613355.40178000007</v>
      </c>
      <c r="D13" s="522">
        <v>193255.01754</v>
      </c>
      <c r="E13" s="208">
        <v>215041.93900000001</v>
      </c>
      <c r="F13" s="208">
        <v>205058.44524</v>
      </c>
      <c r="G13" s="300"/>
    </row>
    <row r="14" spans="1:7" x14ac:dyDescent="0.25">
      <c r="A14" s="297">
        <v>3</v>
      </c>
      <c r="B14" s="297" t="s">
        <v>121</v>
      </c>
      <c r="C14" s="111">
        <f>SUM(D14:F14)</f>
        <v>61937.887210000001</v>
      </c>
      <c r="D14" s="522">
        <v>20151.20894</v>
      </c>
      <c r="E14" s="208">
        <v>20843.187000000002</v>
      </c>
      <c r="F14" s="208">
        <v>20943.491269999999</v>
      </c>
      <c r="G14" s="300"/>
    </row>
    <row r="15" spans="1:7" x14ac:dyDescent="0.25">
      <c r="A15" s="297">
        <v>4</v>
      </c>
      <c r="B15" s="297" t="s">
        <v>127</v>
      </c>
      <c r="C15" s="113">
        <f>SUM(D15:F15)</f>
        <v>55146.150320000001</v>
      </c>
      <c r="D15" s="523">
        <v>18578.161410000001</v>
      </c>
      <c r="E15" s="524">
        <v>17033.258999999998</v>
      </c>
      <c r="F15" s="524">
        <v>19534.729909999998</v>
      </c>
      <c r="G15" s="300"/>
    </row>
    <row r="16" spans="1:7" x14ac:dyDescent="0.25">
      <c r="A16" s="297">
        <v>5</v>
      </c>
      <c r="B16" s="297" t="s">
        <v>131</v>
      </c>
      <c r="C16" s="111">
        <f>SUM(C12:C15)</f>
        <v>2034864.5713600002</v>
      </c>
      <c r="D16" s="208">
        <f>SUM(D12:D15)</f>
        <v>682885.9055600001</v>
      </c>
      <c r="E16" s="208">
        <f>SUM(E12:E15)</f>
        <v>691433.66399999999</v>
      </c>
      <c r="F16" s="208">
        <f>SUM(F12:F15)</f>
        <v>660545.00179999997</v>
      </c>
      <c r="G16" s="300"/>
    </row>
    <row r="17" spans="1:7" x14ac:dyDescent="0.25">
      <c r="C17" s="41"/>
      <c r="D17" s="209"/>
      <c r="E17" s="209"/>
      <c r="F17" s="209"/>
      <c r="G17" s="300"/>
    </row>
    <row r="18" spans="1:7" x14ac:dyDescent="0.25">
      <c r="B18" s="297" t="s">
        <v>142</v>
      </c>
      <c r="C18" s="41"/>
      <c r="D18" s="75"/>
      <c r="E18" s="75"/>
      <c r="F18" s="75"/>
      <c r="G18" s="300"/>
    </row>
    <row r="19" spans="1:7" x14ac:dyDescent="0.25">
      <c r="A19" s="297">
        <v>6</v>
      </c>
      <c r="B19" s="297" t="s">
        <v>109</v>
      </c>
      <c r="C19" s="111">
        <f>SUM(D19:F19)</f>
        <v>1413.0007299999997</v>
      </c>
      <c r="D19" s="525">
        <v>438.286</v>
      </c>
      <c r="E19" s="208">
        <v>517.851</v>
      </c>
      <c r="F19" s="208">
        <v>456.8637299999998</v>
      </c>
      <c r="G19" s="300"/>
    </row>
    <row r="20" spans="1:7" x14ac:dyDescent="0.25">
      <c r="A20" s="297">
        <v>7</v>
      </c>
      <c r="B20" s="297" t="s">
        <v>114</v>
      </c>
      <c r="C20" s="111">
        <f>SUM(D20:F20)</f>
        <v>395.12988000000007</v>
      </c>
      <c r="D20" s="525">
        <v>173.86</v>
      </c>
      <c r="E20" s="208">
        <v>111.884</v>
      </c>
      <c r="F20" s="208">
        <v>109.38588000000003</v>
      </c>
      <c r="G20" s="300"/>
    </row>
    <row r="21" spans="1:7" x14ac:dyDescent="0.25">
      <c r="A21" s="297">
        <v>8</v>
      </c>
      <c r="B21" s="297" t="s">
        <v>121</v>
      </c>
      <c r="C21" s="111">
        <f>SUM(D21:F21)</f>
        <v>24.566569999999992</v>
      </c>
      <c r="D21" s="525">
        <v>7.44</v>
      </c>
      <c r="E21" s="208">
        <v>15.821</v>
      </c>
      <c r="F21" s="208">
        <v>1.3055699999999923</v>
      </c>
      <c r="G21" s="300"/>
    </row>
    <row r="22" spans="1:7" x14ac:dyDescent="0.25">
      <c r="A22" s="297">
        <v>9</v>
      </c>
      <c r="B22" s="297" t="s">
        <v>127</v>
      </c>
      <c r="C22" s="113">
        <f>SUM(D22:F22)</f>
        <v>20</v>
      </c>
      <c r="D22" s="523">
        <v>0</v>
      </c>
      <c r="E22" s="524">
        <v>20</v>
      </c>
      <c r="F22" s="524">
        <v>0</v>
      </c>
      <c r="G22" s="300"/>
    </row>
    <row r="23" spans="1:7" x14ac:dyDescent="0.25">
      <c r="A23" s="297">
        <v>10</v>
      </c>
      <c r="B23" s="297" t="s">
        <v>131</v>
      </c>
      <c r="C23" s="111">
        <f>SUM(C19:C22)</f>
        <v>1852.6971799999997</v>
      </c>
      <c r="D23" s="208">
        <f>SUM(D19:D22)</f>
        <v>619.58600000000001</v>
      </c>
      <c r="E23" s="208">
        <f>SUM(E19:E22)</f>
        <v>665.55600000000004</v>
      </c>
      <c r="F23" s="208">
        <f>SUM(F19:F22)</f>
        <v>567.55517999999984</v>
      </c>
      <c r="G23" s="300"/>
    </row>
    <row r="24" spans="1:7" x14ac:dyDescent="0.25">
      <c r="D24" s="300"/>
      <c r="E24" s="300"/>
      <c r="F24" s="300"/>
    </row>
    <row r="25" spans="1:7" x14ac:dyDescent="0.25">
      <c r="B25" s="297" t="s">
        <v>164</v>
      </c>
    </row>
    <row r="26" spans="1:7" x14ac:dyDescent="0.25">
      <c r="A26" s="297">
        <v>11</v>
      </c>
      <c r="B26" s="297" t="s">
        <v>109</v>
      </c>
      <c r="C26" s="33">
        <f t="shared" ref="C26:D30" si="0">C19/C12</f>
        <v>1.0832363585170774E-3</v>
      </c>
      <c r="D26" s="33">
        <f t="shared" si="0"/>
        <v>9.7202156751392246E-4</v>
      </c>
      <c r="E26" s="33">
        <f t="shared" ref="E26:F30" si="1">E19/E12</f>
        <v>1.1809189435335503E-3</v>
      </c>
      <c r="F26" s="33">
        <f t="shared" si="1"/>
        <v>1.1008543468932382E-3</v>
      </c>
    </row>
    <row r="27" spans="1:7" x14ac:dyDescent="0.25">
      <c r="A27" s="297">
        <v>12</v>
      </c>
      <c r="B27" s="297" t="s">
        <v>114</v>
      </c>
      <c r="C27" s="33">
        <f t="shared" si="0"/>
        <v>6.4421032056342161E-4</v>
      </c>
      <c r="D27" s="33">
        <f t="shared" si="0"/>
        <v>8.9964028987767107E-4</v>
      </c>
      <c r="E27" s="33">
        <f t="shared" si="1"/>
        <v>5.2028920739967844E-4</v>
      </c>
      <c r="F27" s="33">
        <f t="shared" si="1"/>
        <v>5.3343757616017718E-4</v>
      </c>
    </row>
    <row r="28" spans="1:7" x14ac:dyDescent="0.25">
      <c r="A28" s="297">
        <v>13</v>
      </c>
      <c r="B28" s="297" t="s">
        <v>121</v>
      </c>
      <c r="C28" s="33">
        <f t="shared" si="0"/>
        <v>3.9663235390492409E-4</v>
      </c>
      <c r="D28" s="33">
        <f t="shared" si="0"/>
        <v>3.6920861781308096E-4</v>
      </c>
      <c r="E28" s="33">
        <f t="shared" si="1"/>
        <v>7.5904898804582995E-4</v>
      </c>
      <c r="F28" s="33">
        <f t="shared" si="1"/>
        <v>6.2337744131042981E-5</v>
      </c>
    </row>
    <row r="29" spans="1:7" x14ac:dyDescent="0.25">
      <c r="A29" s="297">
        <v>14</v>
      </c>
      <c r="B29" s="297" t="s">
        <v>127</v>
      </c>
      <c r="C29" s="42">
        <f t="shared" si="0"/>
        <v>3.6267264140732859E-4</v>
      </c>
      <c r="D29" s="42">
        <f t="shared" si="0"/>
        <v>0</v>
      </c>
      <c r="E29" s="42">
        <f t="shared" si="1"/>
        <v>1.1741734215395892E-3</v>
      </c>
      <c r="F29" s="42">
        <f t="shared" si="1"/>
        <v>0</v>
      </c>
    </row>
    <row r="30" spans="1:7" x14ac:dyDescent="0.25">
      <c r="A30" s="297">
        <v>15</v>
      </c>
      <c r="B30" s="297" t="s">
        <v>177</v>
      </c>
      <c r="C30" s="33">
        <f>ROUND(C23/C16,5)</f>
        <v>9.1E-4</v>
      </c>
      <c r="D30" s="33">
        <f t="shared" si="0"/>
        <v>9.073052979353981E-4</v>
      </c>
      <c r="E30" s="33">
        <f t="shared" si="1"/>
        <v>9.6257390210031783E-4</v>
      </c>
      <c r="F30" s="33">
        <f t="shared" si="1"/>
        <v>8.5922257901187543E-4</v>
      </c>
    </row>
    <row r="31" spans="1:7" x14ac:dyDescent="0.25">
      <c r="C31" s="33"/>
      <c r="D31" s="33"/>
      <c r="E31" s="33"/>
      <c r="F31" s="33"/>
    </row>
    <row r="32" spans="1:7" x14ac:dyDescent="0.25">
      <c r="B32" s="297" t="s">
        <v>183</v>
      </c>
      <c r="C32" s="41"/>
    </row>
    <row r="33" spans="1:5" x14ac:dyDescent="0.25">
      <c r="A33" s="297">
        <v>16</v>
      </c>
      <c r="B33" s="297" t="s">
        <v>109</v>
      </c>
      <c r="C33" s="41">
        <f>ROUND(C26*D12,0)</f>
        <v>488</v>
      </c>
    </row>
    <row r="34" spans="1:5" x14ac:dyDescent="0.25">
      <c r="A34" s="297">
        <v>17</v>
      </c>
      <c r="B34" s="297" t="s">
        <v>114</v>
      </c>
      <c r="C34" s="92">
        <f>ROUND(C27*D13,0)</f>
        <v>124</v>
      </c>
    </row>
    <row r="35" spans="1:5" x14ac:dyDescent="0.25">
      <c r="A35" s="297">
        <v>18</v>
      </c>
      <c r="B35" s="297" t="s">
        <v>121</v>
      </c>
      <c r="C35" s="92">
        <f>ROUND(C28*D14,0)</f>
        <v>8</v>
      </c>
    </row>
    <row r="36" spans="1:5" x14ac:dyDescent="0.25">
      <c r="A36" s="297">
        <v>19</v>
      </c>
      <c r="B36" s="297" t="s">
        <v>127</v>
      </c>
      <c r="C36" s="93">
        <f>ROUND(C29*D15,0)</f>
        <v>7</v>
      </c>
      <c r="E36" s="41"/>
    </row>
    <row r="37" spans="1:5" x14ac:dyDescent="0.25">
      <c r="A37" s="297">
        <v>20</v>
      </c>
      <c r="B37" s="297" t="s">
        <v>131</v>
      </c>
      <c r="C37" s="41">
        <f>SUM(C33:C36)</f>
        <v>627</v>
      </c>
      <c r="D37" s="41"/>
    </row>
    <row r="39" spans="1:5" x14ac:dyDescent="0.25">
      <c r="A39" s="297">
        <v>21</v>
      </c>
      <c r="B39" s="297" t="s">
        <v>196</v>
      </c>
      <c r="C39" s="42">
        <f>Factors!D11</f>
        <v>0.1157</v>
      </c>
      <c r="D39" s="80" t="s">
        <v>197</v>
      </c>
    </row>
    <row r="40" spans="1:5" x14ac:dyDescent="0.25">
      <c r="C40" s="41"/>
      <c r="D40" s="41"/>
    </row>
    <row r="41" spans="1:5" x14ac:dyDescent="0.25">
      <c r="A41" s="297">
        <v>22</v>
      </c>
      <c r="B41" s="297" t="s">
        <v>202</v>
      </c>
      <c r="C41" s="41">
        <f>ROUND(C37*C39*1000,0)</f>
        <v>72544</v>
      </c>
      <c r="D41" s="41"/>
    </row>
    <row r="42" spans="1:5" x14ac:dyDescent="0.25">
      <c r="C42" s="41"/>
      <c r="D42" s="41"/>
    </row>
    <row r="43" spans="1:5" x14ac:dyDescent="0.25">
      <c r="A43" s="297">
        <v>23</v>
      </c>
      <c r="B43" s="297" t="s">
        <v>205</v>
      </c>
      <c r="C43" s="114">
        <f>+'Page 1'!C17</f>
        <v>89636.923512000038</v>
      </c>
      <c r="D43" s="41"/>
    </row>
    <row r="44" spans="1:5" x14ac:dyDescent="0.25">
      <c r="D44" s="41"/>
    </row>
    <row r="45" spans="1:5" ht="13" thickBot="1" x14ac:dyDescent="0.3">
      <c r="A45" s="297">
        <v>24</v>
      </c>
      <c r="B45" s="297" t="s">
        <v>212</v>
      </c>
      <c r="C45" s="115">
        <f>C41-C43</f>
        <v>-17092.923512000038</v>
      </c>
      <c r="D45" s="41"/>
    </row>
    <row r="46" spans="1:5" ht="13" thickTop="1" x14ac:dyDescent="0.25">
      <c r="C46" s="41"/>
    </row>
    <row r="47" spans="1:5" x14ac:dyDescent="0.25">
      <c r="C47" s="41"/>
      <c r="D47" s="41"/>
    </row>
    <row r="48" spans="1:5" x14ac:dyDescent="0.25">
      <c r="C48" s="41"/>
      <c r="D48" s="41"/>
    </row>
    <row r="49" spans="2:4" x14ac:dyDescent="0.25">
      <c r="B49" s="297" t="s">
        <v>220</v>
      </c>
      <c r="C49" s="33">
        <f>+C30</f>
        <v>9.1E-4</v>
      </c>
      <c r="D49" s="298" t="s">
        <v>221</v>
      </c>
    </row>
  </sheetData>
  <phoneticPr fontId="0" type="noConversion"/>
  <printOptions horizontalCentered="1"/>
  <pageMargins left="0.5" right="0.5" top="0.5" bottom="0.5" header="0.25" footer="0.25"/>
  <pageSetup scale="8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indexed="42"/>
    <pageSetUpPr fitToPage="1"/>
  </sheetPr>
  <dimension ref="A1:L64"/>
  <sheetViews>
    <sheetView showGridLines="0" zoomScaleNormal="100" zoomScaleSheetLayoutView="85" workbookViewId="0"/>
  </sheetViews>
  <sheetFormatPr defaultColWidth="9.1796875" defaultRowHeight="12.5" x14ac:dyDescent="0.25"/>
  <cols>
    <col min="1" max="1" width="5.7265625" style="116" customWidth="1"/>
    <col min="2" max="2" width="3.7265625" style="116" customWidth="1"/>
    <col min="3" max="3" width="58" style="116" customWidth="1"/>
    <col min="4" max="4" width="17.453125" style="300" bestFit="1" customWidth="1"/>
    <col min="5" max="5" width="9.1796875" style="300"/>
    <col min="6" max="6" width="0" style="300" hidden="1" customWidth="1"/>
    <col min="7" max="7" width="14.7265625" style="300" hidden="1" customWidth="1"/>
    <col min="8" max="8" width="15.7265625" style="300" customWidth="1"/>
    <col min="9" max="10" width="9.1796875" style="300"/>
    <col min="11" max="11" width="13.7265625" style="300" customWidth="1"/>
    <col min="12" max="16384" width="9.1796875" style="300"/>
  </cols>
  <sheetData>
    <row r="1" spans="1:12" x14ac:dyDescent="0.25">
      <c r="A1" s="116" t="str">
        <f>'Page 1'!A1</f>
        <v>NW Natural</v>
      </c>
      <c r="D1" s="315" t="s">
        <v>311</v>
      </c>
      <c r="F1" s="526" t="s">
        <v>424</v>
      </c>
    </row>
    <row r="2" spans="1:12" x14ac:dyDescent="0.25">
      <c r="A2" s="116" t="str">
        <f>+'Page 1'!A2</f>
        <v>Washington Annual Commission Basis Report</v>
      </c>
      <c r="D2" s="315"/>
    </row>
    <row r="3" spans="1:12" x14ac:dyDescent="0.25">
      <c r="A3" s="116" t="s">
        <v>308</v>
      </c>
    </row>
    <row r="4" spans="1:12" x14ac:dyDescent="0.25">
      <c r="A4" s="315" t="str">
        <f>+'d Uncollectibles'!A3</f>
        <v>Twelve Months Ended December 31, 2020</v>
      </c>
    </row>
    <row r="6" spans="1:12" x14ac:dyDescent="0.25">
      <c r="A6" s="317" t="s">
        <v>17</v>
      </c>
      <c r="B6" s="318"/>
      <c r="C6" s="318"/>
      <c r="D6" s="118" t="s">
        <v>53</v>
      </c>
    </row>
    <row r="7" spans="1:12" x14ac:dyDescent="0.25">
      <c r="A7" s="319" t="s">
        <v>46</v>
      </c>
      <c r="B7" s="320"/>
      <c r="C7" s="320"/>
      <c r="D7" s="119" t="s">
        <v>309</v>
      </c>
    </row>
    <row r="8" spans="1:12" x14ac:dyDescent="0.25">
      <c r="A8" s="527"/>
      <c r="B8" s="527"/>
      <c r="C8" s="527"/>
    </row>
    <row r="9" spans="1:12" x14ac:dyDescent="0.25">
      <c r="A9" s="527"/>
      <c r="B9" s="376"/>
      <c r="C9" s="320"/>
      <c r="D9" s="163"/>
      <c r="H9" s="207"/>
      <c r="I9" s="207"/>
      <c r="J9" s="206"/>
      <c r="L9" s="116"/>
    </row>
    <row r="10" spans="1:12" x14ac:dyDescent="0.25">
      <c r="A10" s="317">
        <v>1</v>
      </c>
      <c r="B10" s="320"/>
      <c r="C10" s="377" t="s">
        <v>535</v>
      </c>
      <c r="D10" s="379">
        <v>175954274.63083336</v>
      </c>
      <c r="G10" s="528"/>
      <c r="K10" s="102"/>
    </row>
    <row r="11" spans="1:12" x14ac:dyDescent="0.25">
      <c r="A11" s="317">
        <v>2</v>
      </c>
      <c r="B11" s="320"/>
      <c r="C11" s="377" t="s">
        <v>536</v>
      </c>
      <c r="D11" s="379">
        <v>-142254035.21166661</v>
      </c>
      <c r="G11" s="528"/>
      <c r="K11" s="102"/>
    </row>
    <row r="12" spans="1:12" x14ac:dyDescent="0.25">
      <c r="A12" s="317">
        <v>3</v>
      </c>
      <c r="B12" s="320"/>
      <c r="C12" s="378" t="s">
        <v>537</v>
      </c>
      <c r="D12" s="384">
        <f>D10+D11</f>
        <v>33700239.419166744</v>
      </c>
      <c r="G12" s="528"/>
      <c r="K12" s="102"/>
    </row>
    <row r="13" spans="1:12" x14ac:dyDescent="0.25">
      <c r="A13" s="317">
        <v>4</v>
      </c>
      <c r="B13" s="320"/>
      <c r="C13" s="377"/>
      <c r="D13" s="379"/>
      <c r="G13" s="528"/>
      <c r="K13" s="102"/>
    </row>
    <row r="14" spans="1:12" x14ac:dyDescent="0.25">
      <c r="A14" s="317">
        <v>5</v>
      </c>
      <c r="B14" s="320"/>
      <c r="C14" s="377" t="s">
        <v>539</v>
      </c>
      <c r="D14" s="380">
        <v>0.10515252918398453</v>
      </c>
      <c r="G14" s="529"/>
      <c r="K14" s="102"/>
    </row>
    <row r="15" spans="1:12" x14ac:dyDescent="0.25">
      <c r="A15" s="317">
        <v>6</v>
      </c>
      <c r="B15" s="320"/>
      <c r="C15" s="377"/>
      <c r="D15" s="379"/>
      <c r="G15" s="100"/>
      <c r="K15" s="102"/>
    </row>
    <row r="16" spans="1:12" x14ac:dyDescent="0.25">
      <c r="A16" s="317"/>
      <c r="B16" s="320"/>
      <c r="C16" s="320" t="s">
        <v>538</v>
      </c>
      <c r="D16" s="384">
        <f>D12*D14</f>
        <v>3543665.409031197</v>
      </c>
      <c r="G16" s="100"/>
      <c r="K16" s="102"/>
    </row>
    <row r="17" spans="1:11" x14ac:dyDescent="0.25">
      <c r="A17" s="527"/>
      <c r="B17" s="376"/>
      <c r="C17" s="320"/>
      <c r="D17" s="379"/>
      <c r="G17" s="100"/>
      <c r="K17" s="102"/>
    </row>
    <row r="18" spans="1:11" x14ac:dyDescent="0.25">
      <c r="A18" s="317"/>
      <c r="B18" s="377"/>
      <c r="C18" s="320"/>
      <c r="D18" s="379"/>
      <c r="G18" s="100"/>
      <c r="K18" s="102"/>
    </row>
    <row r="19" spans="1:11" x14ac:dyDescent="0.25">
      <c r="A19" s="317"/>
      <c r="B19" s="320"/>
      <c r="C19" s="377"/>
      <c r="D19" s="379"/>
      <c r="G19" s="528"/>
      <c r="K19" s="102"/>
    </row>
    <row r="20" spans="1:11" x14ac:dyDescent="0.25">
      <c r="A20" s="317"/>
      <c r="B20" s="320"/>
      <c r="C20" s="377"/>
      <c r="D20" s="379"/>
      <c r="G20" s="528"/>
      <c r="K20" s="102"/>
    </row>
    <row r="21" spans="1:11" x14ac:dyDescent="0.25">
      <c r="A21" s="317"/>
      <c r="B21" s="320"/>
      <c r="C21" s="377"/>
      <c r="D21" s="379"/>
      <c r="G21" s="528"/>
      <c r="K21" s="102"/>
    </row>
    <row r="22" spans="1:11" x14ac:dyDescent="0.25">
      <c r="A22" s="317"/>
      <c r="B22" s="320"/>
      <c r="C22" s="377"/>
      <c r="D22" s="379"/>
      <c r="G22" s="528"/>
      <c r="K22" s="102"/>
    </row>
    <row r="23" spans="1:11" x14ac:dyDescent="0.25">
      <c r="A23" s="317"/>
      <c r="B23" s="320"/>
      <c r="C23" s="377"/>
      <c r="D23" s="379"/>
      <c r="G23" s="528"/>
      <c r="K23" s="102"/>
    </row>
    <row r="24" spans="1:11" x14ac:dyDescent="0.25">
      <c r="A24" s="317"/>
      <c r="B24" s="320"/>
      <c r="C24" s="377"/>
      <c r="D24" s="379"/>
      <c r="G24" s="528"/>
      <c r="K24" s="102"/>
    </row>
    <row r="25" spans="1:11" x14ac:dyDescent="0.25">
      <c r="A25" s="317"/>
      <c r="B25" s="320"/>
      <c r="C25" s="377"/>
      <c r="D25" s="379"/>
      <c r="G25" s="529"/>
      <c r="K25" s="102"/>
    </row>
    <row r="26" spans="1:11" x14ac:dyDescent="0.25">
      <c r="A26" s="317"/>
      <c r="B26" s="320"/>
      <c r="C26" s="377"/>
      <c r="D26" s="379"/>
      <c r="G26" s="530"/>
      <c r="K26" s="102"/>
    </row>
    <row r="27" spans="1:11" x14ac:dyDescent="0.25">
      <c r="A27" s="317"/>
      <c r="B27" s="320"/>
      <c r="C27" s="377"/>
      <c r="D27" s="379"/>
      <c r="G27" s="100"/>
      <c r="K27" s="102"/>
    </row>
    <row r="28" spans="1:11" x14ac:dyDescent="0.25">
      <c r="A28" s="317"/>
      <c r="B28" s="320"/>
      <c r="C28" s="320"/>
      <c r="D28" s="379"/>
      <c r="G28" s="100"/>
      <c r="K28" s="102"/>
    </row>
    <row r="29" spans="1:11" x14ac:dyDescent="0.25">
      <c r="A29" s="317"/>
      <c r="B29" s="376"/>
      <c r="C29" s="320"/>
      <c r="D29" s="379"/>
      <c r="G29" s="100"/>
      <c r="K29" s="102"/>
    </row>
    <row r="30" spans="1:11" x14ac:dyDescent="0.25">
      <c r="A30" s="317"/>
      <c r="B30" s="320"/>
      <c r="C30" s="320"/>
      <c r="D30" s="379"/>
      <c r="G30" s="528"/>
      <c r="K30" s="102"/>
    </row>
    <row r="31" spans="1:11" x14ac:dyDescent="0.25">
      <c r="A31" s="317"/>
      <c r="B31" s="320"/>
      <c r="C31" s="320"/>
      <c r="D31" s="379"/>
      <c r="G31" s="528"/>
      <c r="K31" s="102"/>
    </row>
    <row r="32" spans="1:11" x14ac:dyDescent="0.25">
      <c r="A32" s="317"/>
      <c r="B32" s="320"/>
      <c r="C32" s="320"/>
      <c r="D32" s="379"/>
      <c r="G32" s="528"/>
      <c r="K32" s="102"/>
    </row>
    <row r="33" spans="1:11" x14ac:dyDescent="0.25">
      <c r="A33" s="317"/>
      <c r="B33" s="320"/>
      <c r="C33" s="320"/>
      <c r="D33" s="379"/>
      <c r="G33" s="528"/>
      <c r="K33" s="102"/>
    </row>
    <row r="34" spans="1:11" x14ac:dyDescent="0.25">
      <c r="A34" s="317"/>
      <c r="B34" s="320"/>
      <c r="C34" s="320"/>
      <c r="D34" s="379"/>
      <c r="G34" s="528"/>
      <c r="K34" s="102"/>
    </row>
    <row r="35" spans="1:11" x14ac:dyDescent="0.25">
      <c r="A35" s="317"/>
      <c r="B35" s="320"/>
      <c r="C35" s="320"/>
      <c r="D35" s="379"/>
      <c r="G35" s="528"/>
      <c r="K35" s="102"/>
    </row>
    <row r="36" spans="1:11" x14ac:dyDescent="0.25">
      <c r="A36" s="317"/>
      <c r="B36" s="320"/>
      <c r="C36" s="320"/>
      <c r="D36" s="379"/>
      <c r="G36" s="528"/>
      <c r="K36" s="102"/>
    </row>
    <row r="37" spans="1:11" x14ac:dyDescent="0.25">
      <c r="A37" s="317"/>
      <c r="B37" s="320"/>
      <c r="C37" s="320"/>
      <c r="D37" s="379"/>
      <c r="G37" s="529"/>
      <c r="K37" s="102"/>
    </row>
    <row r="38" spans="1:11" x14ac:dyDescent="0.25">
      <c r="A38" s="317"/>
      <c r="B38" s="320"/>
      <c r="C38" s="320"/>
      <c r="D38" s="379"/>
      <c r="G38" s="100"/>
      <c r="K38" s="102"/>
    </row>
    <row r="39" spans="1:11" x14ac:dyDescent="0.25">
      <c r="A39" s="317"/>
      <c r="B39" s="320"/>
      <c r="C39" s="320"/>
      <c r="D39" s="379"/>
      <c r="G39" s="100"/>
      <c r="K39" s="102"/>
    </row>
    <row r="40" spans="1:11" x14ac:dyDescent="0.25">
      <c r="A40" s="317"/>
      <c r="B40" s="378"/>
      <c r="C40" s="320"/>
      <c r="D40" s="379"/>
      <c r="G40" s="100"/>
      <c r="K40" s="102"/>
    </row>
    <row r="41" spans="1:11" x14ac:dyDescent="0.25">
      <c r="A41" s="317"/>
      <c r="B41" s="320"/>
      <c r="C41" s="320"/>
      <c r="D41" s="379"/>
      <c r="G41" s="100"/>
      <c r="K41" s="102"/>
    </row>
    <row r="42" spans="1:11" x14ac:dyDescent="0.25">
      <c r="A42" s="317"/>
      <c r="B42" s="320"/>
      <c r="C42" s="320"/>
      <c r="D42" s="379"/>
      <c r="G42" s="100"/>
      <c r="K42" s="102"/>
    </row>
    <row r="43" spans="1:11" x14ac:dyDescent="0.25">
      <c r="A43" s="317"/>
      <c r="B43" s="320"/>
      <c r="C43" s="320"/>
      <c r="D43" s="379"/>
      <c r="G43" s="100"/>
      <c r="K43" s="102"/>
    </row>
    <row r="44" spans="1:11" x14ac:dyDescent="0.25">
      <c r="A44" s="317"/>
      <c r="B44" s="320"/>
      <c r="C44" s="320"/>
      <c r="D44" s="379"/>
      <c r="G44" s="529"/>
      <c r="K44" s="102"/>
    </row>
    <row r="45" spans="1:11" x14ac:dyDescent="0.25">
      <c r="A45" s="317"/>
      <c r="B45" s="378"/>
      <c r="C45" s="320"/>
      <c r="D45" s="379"/>
      <c r="G45" s="100"/>
      <c r="K45" s="102"/>
    </row>
    <row r="46" spans="1:11" x14ac:dyDescent="0.25">
      <c r="A46" s="317"/>
      <c r="B46" s="320"/>
      <c r="C46" s="320"/>
      <c r="D46" s="379"/>
      <c r="G46" s="100"/>
      <c r="K46" s="102"/>
    </row>
    <row r="47" spans="1:11" x14ac:dyDescent="0.25">
      <c r="A47" s="317"/>
      <c r="B47" s="320"/>
      <c r="C47" s="531"/>
      <c r="D47" s="379"/>
      <c r="G47" s="100"/>
      <c r="K47" s="102"/>
    </row>
    <row r="48" spans="1:11" x14ac:dyDescent="0.25">
      <c r="A48" s="317"/>
      <c r="B48" s="531"/>
      <c r="C48" s="320"/>
      <c r="D48" s="379"/>
      <c r="G48" s="100"/>
      <c r="K48" s="102"/>
    </row>
    <row r="49" spans="1:11" x14ac:dyDescent="0.25">
      <c r="A49" s="317"/>
      <c r="B49" s="378"/>
      <c r="C49" s="320"/>
      <c r="D49" s="380"/>
      <c r="G49" s="100"/>
      <c r="K49" s="102"/>
    </row>
    <row r="50" spans="1:11" x14ac:dyDescent="0.25">
      <c r="A50" s="317"/>
      <c r="B50" s="320"/>
      <c r="C50" s="320"/>
      <c r="D50" s="379"/>
      <c r="G50" s="532"/>
      <c r="K50" s="102"/>
    </row>
    <row r="51" spans="1:11" x14ac:dyDescent="0.25">
      <c r="A51" s="317"/>
      <c r="B51" s="320"/>
      <c r="C51" s="320"/>
      <c r="D51" s="379"/>
      <c r="G51" s="100"/>
      <c r="K51" s="102"/>
    </row>
    <row r="52" spans="1:11" x14ac:dyDescent="0.25">
      <c r="A52" s="317"/>
      <c r="B52" s="320"/>
      <c r="C52" s="320"/>
      <c r="D52" s="379"/>
      <c r="G52" s="437"/>
      <c r="K52" s="212"/>
    </row>
    <row r="53" spans="1:11" x14ac:dyDescent="0.25">
      <c r="A53" s="317"/>
      <c r="B53" s="320"/>
      <c r="C53" s="320"/>
      <c r="D53" s="379"/>
      <c r="G53" s="533"/>
      <c r="K53" s="213"/>
    </row>
    <row r="54" spans="1:11" x14ac:dyDescent="0.25">
      <c r="A54" s="317"/>
      <c r="B54" s="320"/>
      <c r="C54" s="378"/>
      <c r="D54" s="379"/>
      <c r="G54" s="437"/>
      <c r="K54" s="212"/>
    </row>
    <row r="55" spans="1:11" x14ac:dyDescent="0.25">
      <c r="A55" s="317"/>
      <c r="B55" s="320"/>
      <c r="C55" s="320"/>
      <c r="D55" s="379"/>
      <c r="G55" s="437"/>
      <c r="K55" s="212"/>
    </row>
    <row r="56" spans="1:11" ht="14.5" x14ac:dyDescent="0.35">
      <c r="A56" s="317"/>
      <c r="B56" s="320"/>
      <c r="C56" s="320"/>
      <c r="D56" s="381"/>
      <c r="G56" s="437"/>
      <c r="K56" s="212"/>
    </row>
    <row r="57" spans="1:11" x14ac:dyDescent="0.25">
      <c r="A57" s="317"/>
      <c r="B57" s="320"/>
      <c r="C57" s="378"/>
      <c r="D57" s="534"/>
      <c r="G57" s="437"/>
      <c r="K57" s="212"/>
    </row>
    <row r="58" spans="1:11" x14ac:dyDescent="0.25">
      <c r="A58" s="317"/>
      <c r="B58" s="320"/>
      <c r="C58" s="320"/>
      <c r="D58" s="534"/>
      <c r="G58" s="437"/>
      <c r="K58" s="212"/>
    </row>
    <row r="59" spans="1:11" x14ac:dyDescent="0.25">
      <c r="A59" s="317"/>
      <c r="B59" s="378"/>
      <c r="C59" s="320"/>
      <c r="D59" s="379"/>
      <c r="G59" s="437"/>
      <c r="K59" s="212"/>
    </row>
    <row r="60" spans="1:11" x14ac:dyDescent="0.25">
      <c r="A60" s="310"/>
      <c r="B60" s="382"/>
      <c r="C60" s="535"/>
      <c r="D60" s="223"/>
      <c r="G60" s="536"/>
      <c r="K60" s="214"/>
    </row>
    <row r="61" spans="1:11" x14ac:dyDescent="0.25">
      <c r="A61" s="310"/>
      <c r="B61" s="382"/>
      <c r="C61" s="537"/>
      <c r="D61" s="383"/>
      <c r="G61" s="411"/>
      <c r="K61" s="212"/>
    </row>
    <row r="62" spans="1:11" x14ac:dyDescent="0.25">
      <c r="A62" s="310"/>
      <c r="B62" s="382"/>
      <c r="C62" s="535"/>
      <c r="D62" s="383"/>
      <c r="G62" s="538"/>
      <c r="K62" s="212"/>
    </row>
    <row r="63" spans="1:11" ht="13" thickBot="1" x14ac:dyDescent="0.3">
      <c r="A63" s="310"/>
      <c r="B63" s="311"/>
      <c r="C63" s="216"/>
      <c r="G63" s="539"/>
      <c r="K63" s="215"/>
    </row>
    <row r="64" spans="1:11" ht="13" thickTop="1" x14ac:dyDescent="0.25">
      <c r="K64" s="216"/>
    </row>
  </sheetData>
  <phoneticPr fontId="0" type="noConversion"/>
  <printOptions horizontalCentered="1"/>
  <pageMargins left="0.5" right="0.5" top="0.5" bottom="0.5" header="0.25" footer="0.25"/>
  <pageSetup scale="8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42"/>
    <pageSetUpPr fitToPage="1"/>
  </sheetPr>
  <dimension ref="A1:H37"/>
  <sheetViews>
    <sheetView showGridLines="0" zoomScaleNormal="100" zoomScaleSheetLayoutView="85" workbookViewId="0">
      <selection activeCell="C24" sqref="C24"/>
    </sheetView>
  </sheetViews>
  <sheetFormatPr defaultColWidth="9.1796875" defaultRowHeight="12.5" x14ac:dyDescent="0.25"/>
  <cols>
    <col min="1" max="1" width="4.7265625" style="297" customWidth="1"/>
    <col min="2" max="2" width="46.7265625" style="297" customWidth="1"/>
    <col min="3" max="5" width="13.7265625" style="298" customWidth="1"/>
    <col min="6" max="16384" width="9.1796875" style="298"/>
  </cols>
  <sheetData>
    <row r="1" spans="1:8" x14ac:dyDescent="0.25">
      <c r="A1" s="116" t="str">
        <f>'Page 1'!A1</f>
        <v>NW Natural</v>
      </c>
      <c r="B1" s="116"/>
      <c r="E1" s="69" t="s">
        <v>307</v>
      </c>
      <c r="G1" s="116"/>
    </row>
    <row r="2" spans="1:8" x14ac:dyDescent="0.25">
      <c r="A2" s="116" t="str">
        <f>+'Page 1'!A2</f>
        <v>Washington Annual Commission Basis Report</v>
      </c>
      <c r="B2" s="116"/>
      <c r="E2" s="69"/>
    </row>
    <row r="3" spans="1:8" x14ac:dyDescent="0.25">
      <c r="A3" s="116" t="str">
        <f>+Taxes!A3</f>
        <v>Twelve Months Ended December 31, 2020</v>
      </c>
      <c r="B3" s="116"/>
    </row>
    <row r="4" spans="1:8" x14ac:dyDescent="0.25">
      <c r="A4" s="116" t="s">
        <v>429</v>
      </c>
      <c r="B4" s="116"/>
    </row>
    <row r="6" spans="1:8" x14ac:dyDescent="0.25">
      <c r="C6" s="72"/>
      <c r="D6" s="72"/>
      <c r="E6" s="72"/>
    </row>
    <row r="7" spans="1:8" x14ac:dyDescent="0.25">
      <c r="A7" s="26" t="s">
        <v>17</v>
      </c>
      <c r="C7" s="72" t="s">
        <v>11</v>
      </c>
      <c r="D7" s="72" t="s">
        <v>44</v>
      </c>
      <c r="E7" s="72" t="s">
        <v>45</v>
      </c>
    </row>
    <row r="8" spans="1:8" x14ac:dyDescent="0.25">
      <c r="A8" s="28" t="s">
        <v>46</v>
      </c>
      <c r="C8" s="28" t="s">
        <v>69</v>
      </c>
      <c r="D8" s="28" t="s">
        <v>71</v>
      </c>
      <c r="E8" s="28" t="s">
        <v>69</v>
      </c>
    </row>
    <row r="9" spans="1:8" x14ac:dyDescent="0.25">
      <c r="A9" s="72"/>
      <c r="C9" s="321"/>
      <c r="D9" s="72"/>
      <c r="E9" s="72"/>
    </row>
    <row r="10" spans="1:8" x14ac:dyDescent="0.25">
      <c r="A10" s="26">
        <v>1</v>
      </c>
      <c r="B10" s="44" t="s">
        <v>435</v>
      </c>
      <c r="C10" s="540">
        <v>124041.88573700002</v>
      </c>
      <c r="D10" s="123">
        <v>1</v>
      </c>
      <c r="E10" s="84">
        <f>ROUND(C10*D10,0)</f>
        <v>124042</v>
      </c>
      <c r="F10" s="299"/>
      <c r="G10" s="299"/>
      <c r="H10" s="299"/>
    </row>
    <row r="11" spans="1:8" x14ac:dyDescent="0.2">
      <c r="A11" s="26"/>
      <c r="B11" s="541"/>
      <c r="C11" s="542"/>
      <c r="D11" s="123"/>
      <c r="E11" s="299"/>
      <c r="F11" s="299"/>
      <c r="G11" s="299"/>
      <c r="H11" s="299"/>
    </row>
    <row r="12" spans="1:8" x14ac:dyDescent="0.25">
      <c r="A12" s="26">
        <v>2</v>
      </c>
      <c r="B12" s="44" t="s">
        <v>430</v>
      </c>
      <c r="C12" s="542">
        <v>2564.540500000001</v>
      </c>
      <c r="D12" s="123">
        <v>1</v>
      </c>
      <c r="E12" s="173">
        <f>ROUND(C12*D12,0)</f>
        <v>2565</v>
      </c>
      <c r="F12" s="163"/>
      <c r="G12" s="299"/>
      <c r="H12" s="299"/>
    </row>
    <row r="13" spans="1:8" x14ac:dyDescent="0.2">
      <c r="A13" s="26"/>
      <c r="B13" s="541" t="s">
        <v>453</v>
      </c>
      <c r="C13" s="543"/>
      <c r="D13" s="123"/>
      <c r="E13" s="299"/>
      <c r="F13" s="299"/>
      <c r="G13" s="299"/>
      <c r="H13" s="299"/>
    </row>
    <row r="14" spans="1:8" x14ac:dyDescent="0.25">
      <c r="A14" s="26"/>
      <c r="B14" s="44"/>
      <c r="C14" s="218"/>
      <c r="D14" s="123"/>
      <c r="E14" s="170"/>
      <c r="F14" s="299"/>
      <c r="G14" s="299"/>
      <c r="H14" s="299"/>
    </row>
    <row r="15" spans="1:8" x14ac:dyDescent="0.25">
      <c r="A15" s="26">
        <f>+A12+1</f>
        <v>3</v>
      </c>
      <c r="B15" s="44" t="s">
        <v>431</v>
      </c>
      <c r="C15" s="218">
        <v>13485.804566000006</v>
      </c>
      <c r="D15" s="123">
        <v>1</v>
      </c>
      <c r="E15" s="173">
        <f>ROUND(C15*D15,0)</f>
        <v>13486</v>
      </c>
      <c r="F15" s="299"/>
      <c r="G15" s="299"/>
      <c r="H15" s="299"/>
    </row>
    <row r="16" spans="1:8" x14ac:dyDescent="0.25">
      <c r="A16" s="26"/>
      <c r="B16" s="46"/>
      <c r="C16" s="218"/>
      <c r="D16" s="123"/>
      <c r="E16" s="170"/>
      <c r="F16" s="299"/>
      <c r="G16" s="299"/>
      <c r="H16" s="299"/>
    </row>
    <row r="17" spans="1:8" x14ac:dyDescent="0.25">
      <c r="A17" s="26">
        <f>+A15+1</f>
        <v>4</v>
      </c>
      <c r="B17" s="44" t="s">
        <v>432</v>
      </c>
      <c r="C17" s="218">
        <v>220680.06712999992</v>
      </c>
      <c r="D17" s="123">
        <v>1</v>
      </c>
      <c r="E17" s="173">
        <f>ROUND(C17*D17,0)</f>
        <v>220680</v>
      </c>
      <c r="F17" s="299"/>
      <c r="G17" s="299"/>
      <c r="H17" s="299"/>
    </row>
    <row r="18" spans="1:8" x14ac:dyDescent="0.25">
      <c r="A18" s="26"/>
      <c r="B18" s="46"/>
      <c r="C18" s="218"/>
      <c r="D18" s="123"/>
      <c r="E18" s="299"/>
      <c r="F18" s="299"/>
      <c r="G18" s="299"/>
      <c r="H18" s="299"/>
    </row>
    <row r="19" spans="1:8" x14ac:dyDescent="0.25">
      <c r="A19" s="26">
        <f>+A17+1</f>
        <v>5</v>
      </c>
      <c r="B19" s="44" t="s">
        <v>433</v>
      </c>
      <c r="C19" s="218">
        <v>56029.402070000018</v>
      </c>
      <c r="D19" s="123">
        <v>1</v>
      </c>
      <c r="E19" s="173">
        <f>ROUND(C19*D19,0)</f>
        <v>56029</v>
      </c>
      <c r="F19" s="299"/>
      <c r="G19" s="299"/>
      <c r="H19" s="299"/>
    </row>
    <row r="20" spans="1:8" x14ac:dyDescent="0.25">
      <c r="A20" s="26"/>
      <c r="B20" s="44"/>
      <c r="C20" s="218"/>
      <c r="D20" s="171"/>
      <c r="E20" s="418"/>
      <c r="F20" s="299"/>
      <c r="G20" s="299"/>
      <c r="H20" s="299"/>
    </row>
    <row r="21" spans="1:8" x14ac:dyDescent="0.25">
      <c r="A21" s="26">
        <f>+A19+1</f>
        <v>6</v>
      </c>
      <c r="B21" s="44" t="s">
        <v>434</v>
      </c>
      <c r="C21" s="218">
        <v>273062.03534200008</v>
      </c>
      <c r="D21" s="416">
        <f>ROUND(47699/170415,3)</f>
        <v>0.28000000000000003</v>
      </c>
      <c r="E21" s="174">
        <f>ROUND(C21*D21,0)</f>
        <v>76457</v>
      </c>
      <c r="F21" s="299"/>
      <c r="G21" s="299"/>
      <c r="H21" s="299"/>
    </row>
    <row r="22" spans="1:8" x14ac:dyDescent="0.25">
      <c r="A22" s="26"/>
      <c r="C22" s="300"/>
      <c r="D22" s="172"/>
    </row>
    <row r="23" spans="1:8" ht="13" thickBot="1" x14ac:dyDescent="0.3">
      <c r="A23" s="26">
        <f>+A21+1</f>
        <v>7</v>
      </c>
      <c r="B23" s="297" t="s">
        <v>436</v>
      </c>
      <c r="D23" s="172"/>
      <c r="E23" s="115">
        <f>SUM(E10:E21)</f>
        <v>493259</v>
      </c>
    </row>
    <row r="24" spans="1:8" ht="13" thickTop="1" x14ac:dyDescent="0.25"/>
    <row r="26" spans="1:8" x14ac:dyDescent="0.25">
      <c r="B26" s="44"/>
    </row>
    <row r="27" spans="1:8" x14ac:dyDescent="0.25">
      <c r="B27" s="44"/>
    </row>
    <row r="28" spans="1:8" x14ac:dyDescent="0.25">
      <c r="B28" s="44"/>
    </row>
    <row r="29" spans="1:8" x14ac:dyDescent="0.25">
      <c r="B29" s="169"/>
    </row>
    <row r="30" spans="1:8" x14ac:dyDescent="0.25">
      <c r="B30" s="44"/>
    </row>
    <row r="31" spans="1:8" x14ac:dyDescent="0.25">
      <c r="B31" s="44"/>
    </row>
    <row r="32" spans="1:8" x14ac:dyDescent="0.25">
      <c r="B32" s="46"/>
    </row>
    <row r="33" spans="2:2" x14ac:dyDescent="0.25">
      <c r="B33" s="44"/>
    </row>
    <row r="34" spans="2:2" x14ac:dyDescent="0.25">
      <c r="B34" s="46"/>
    </row>
    <row r="35" spans="2:2" x14ac:dyDescent="0.25">
      <c r="B35" s="44"/>
    </row>
    <row r="36" spans="2:2" x14ac:dyDescent="0.25">
      <c r="B36" s="44"/>
    </row>
    <row r="37" spans="2:2" x14ac:dyDescent="0.25">
      <c r="B37" s="44"/>
    </row>
  </sheetData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42"/>
    <pageSetUpPr fitToPage="1"/>
  </sheetPr>
  <dimension ref="A1:G51"/>
  <sheetViews>
    <sheetView showGridLines="0" tabSelected="1" zoomScaleNormal="100" zoomScaleSheetLayoutView="85" workbookViewId="0">
      <selection activeCell="H8" sqref="H8"/>
    </sheetView>
  </sheetViews>
  <sheetFormatPr defaultColWidth="9.1796875" defaultRowHeight="12.5" x14ac:dyDescent="0.25"/>
  <cols>
    <col min="1" max="1" width="4.7265625" style="297" customWidth="1"/>
    <col min="2" max="2" width="40.7265625" style="297" customWidth="1"/>
    <col min="3" max="3" width="12.7265625" style="298" customWidth="1"/>
    <col min="4" max="5" width="13.7265625" style="298" customWidth="1"/>
    <col min="6" max="16384" width="9.1796875" style="298"/>
  </cols>
  <sheetData>
    <row r="1" spans="1:7" x14ac:dyDescent="0.25">
      <c r="A1" s="116" t="str">
        <f>'Page 1'!A1</f>
        <v>NW Natural</v>
      </c>
      <c r="B1" s="116"/>
      <c r="D1" s="297"/>
      <c r="E1" s="69" t="s">
        <v>4</v>
      </c>
      <c r="G1" s="116"/>
    </row>
    <row r="2" spans="1:7" x14ac:dyDescent="0.25">
      <c r="A2" s="116" t="str">
        <f>+'Page 1'!A2</f>
        <v>Washington Annual Commission Basis Report</v>
      </c>
      <c r="B2" s="116"/>
      <c r="D2" s="297"/>
      <c r="E2" s="69"/>
    </row>
    <row r="3" spans="1:7" x14ac:dyDescent="0.25">
      <c r="A3" s="116" t="str">
        <f>'d Uncollectibles'!A3</f>
        <v>Twelve Months Ended December 31, 2020</v>
      </c>
      <c r="B3" s="116"/>
      <c r="D3" s="297"/>
      <c r="E3" s="297"/>
    </row>
    <row r="4" spans="1:7" x14ac:dyDescent="0.25">
      <c r="A4" s="116" t="s">
        <v>9</v>
      </c>
      <c r="B4" s="116"/>
      <c r="D4" s="297"/>
      <c r="E4" s="297"/>
    </row>
    <row r="5" spans="1:7" x14ac:dyDescent="0.25">
      <c r="A5" s="116"/>
      <c r="B5" s="116"/>
      <c r="D5" s="297"/>
      <c r="E5" s="297"/>
    </row>
    <row r="6" spans="1:7" x14ac:dyDescent="0.25">
      <c r="D6" s="297"/>
      <c r="E6" s="297"/>
    </row>
    <row r="7" spans="1:7" x14ac:dyDescent="0.25">
      <c r="A7" s="26" t="s">
        <v>17</v>
      </c>
      <c r="D7" s="297"/>
      <c r="E7" s="297"/>
    </row>
    <row r="8" spans="1:7" x14ac:dyDescent="0.25">
      <c r="A8" s="28" t="s">
        <v>46</v>
      </c>
      <c r="D8" s="28" t="s">
        <v>74</v>
      </c>
      <c r="E8" s="28" t="s">
        <v>75</v>
      </c>
    </row>
    <row r="9" spans="1:7" x14ac:dyDescent="0.25">
      <c r="A9" s="26"/>
      <c r="D9" s="26" t="s">
        <v>76</v>
      </c>
      <c r="E9" s="26" t="s">
        <v>77</v>
      </c>
    </row>
    <row r="10" spans="1:7" x14ac:dyDescent="0.25">
      <c r="A10" s="26"/>
      <c r="D10" s="26"/>
      <c r="E10" s="26"/>
    </row>
    <row r="11" spans="1:7" x14ac:dyDescent="0.25">
      <c r="A11" s="26">
        <v>1</v>
      </c>
      <c r="B11" s="297" t="s">
        <v>110</v>
      </c>
      <c r="D11" s="544">
        <v>141138.89000000001</v>
      </c>
      <c r="E11" s="544">
        <v>46268.43</v>
      </c>
      <c r="F11" s="300"/>
    </row>
    <row r="12" spans="1:7" x14ac:dyDescent="0.25">
      <c r="A12" s="26"/>
      <c r="D12" s="300"/>
      <c r="E12" s="300"/>
      <c r="F12" s="300"/>
    </row>
    <row r="13" spans="1:7" x14ac:dyDescent="0.25">
      <c r="A13" s="26"/>
      <c r="B13" s="297" t="s">
        <v>122</v>
      </c>
      <c r="D13" s="300"/>
      <c r="E13" s="300"/>
      <c r="F13" s="300"/>
    </row>
    <row r="14" spans="1:7" x14ac:dyDescent="0.25">
      <c r="A14" s="26">
        <v>2</v>
      </c>
      <c r="B14" s="297" t="s">
        <v>128</v>
      </c>
      <c r="D14" s="102">
        <v>166138.89000000001</v>
      </c>
      <c r="E14" s="102">
        <v>94268.43</v>
      </c>
      <c r="F14" s="300"/>
    </row>
    <row r="15" spans="1:7" x14ac:dyDescent="0.25">
      <c r="A15" s="26">
        <v>3</v>
      </c>
      <c r="B15" s="297" t="s">
        <v>132</v>
      </c>
      <c r="D15" s="103">
        <f>+D50</f>
        <v>5295.333333333333</v>
      </c>
      <c r="E15" s="103">
        <v>0</v>
      </c>
      <c r="F15" s="300"/>
    </row>
    <row r="16" spans="1:7" x14ac:dyDescent="0.25">
      <c r="A16" s="26">
        <v>4</v>
      </c>
      <c r="B16" s="297" t="s">
        <v>137</v>
      </c>
      <c r="D16" s="92">
        <f>D14+D15</f>
        <v>171434.22333333336</v>
      </c>
      <c r="E16" s="92">
        <f>E14+E15</f>
        <v>94268.43</v>
      </c>
    </row>
    <row r="17" spans="1:6" x14ac:dyDescent="0.25">
      <c r="A17" s="26"/>
      <c r="D17" s="92"/>
      <c r="E17" s="92"/>
    </row>
    <row r="18" spans="1:6" x14ac:dyDescent="0.25">
      <c r="A18" s="26">
        <v>5</v>
      </c>
      <c r="B18" s="297" t="s">
        <v>147</v>
      </c>
      <c r="D18" s="92">
        <f>D16-D11</f>
        <v>30295.333333333343</v>
      </c>
      <c r="E18" s="92">
        <f>E16-E11</f>
        <v>47999.999999999993</v>
      </c>
    </row>
    <row r="19" spans="1:6" x14ac:dyDescent="0.25">
      <c r="A19" s="26"/>
    </row>
    <row r="20" spans="1:6" x14ac:dyDescent="0.25">
      <c r="A20" s="26">
        <v>6</v>
      </c>
      <c r="B20" s="297" t="s">
        <v>154</v>
      </c>
      <c r="C20" s="29"/>
    </row>
    <row r="21" spans="1:6" x14ac:dyDescent="0.25">
      <c r="A21" s="26"/>
      <c r="B21" s="297" t="s">
        <v>158</v>
      </c>
      <c r="D21" s="42">
        <f>Factors!D70</f>
        <v>0.1075</v>
      </c>
      <c r="E21" s="42">
        <f>Factors!D66</f>
        <v>0.11849999999999999</v>
      </c>
    </row>
    <row r="22" spans="1:6" x14ac:dyDescent="0.25">
      <c r="A22" s="26"/>
    </row>
    <row r="23" spans="1:6" ht="13" thickBot="1" x14ac:dyDescent="0.3">
      <c r="A23" s="26">
        <v>7</v>
      </c>
      <c r="B23" s="297" t="s">
        <v>42</v>
      </c>
      <c r="D23" s="115">
        <f>ROUND(D18*D21,0)</f>
        <v>3257</v>
      </c>
      <c r="E23" s="115">
        <f>ROUND(E18*E21,0)</f>
        <v>5688</v>
      </c>
    </row>
    <row r="24" spans="1:6" ht="13" thickTop="1" x14ac:dyDescent="0.25">
      <c r="A24" s="26"/>
    </row>
    <row r="27" spans="1:6" x14ac:dyDescent="0.25">
      <c r="B27" s="96" t="s">
        <v>208</v>
      </c>
      <c r="C27" s="124" t="s">
        <v>319</v>
      </c>
      <c r="D27" s="97"/>
      <c r="E27" s="97"/>
      <c r="F27" s="98"/>
    </row>
    <row r="28" spans="1:6" x14ac:dyDescent="0.25">
      <c r="B28" s="125"/>
      <c r="C28" s="299"/>
      <c r="D28" s="299"/>
      <c r="E28" s="299"/>
      <c r="F28" s="301"/>
    </row>
    <row r="29" spans="1:6" hidden="1" x14ac:dyDescent="0.25">
      <c r="B29" s="125" t="s">
        <v>70</v>
      </c>
      <c r="C29" s="99">
        <v>69749</v>
      </c>
      <c r="D29" s="99"/>
      <c r="E29" s="299"/>
      <c r="F29" s="301"/>
    </row>
    <row r="30" spans="1:6" hidden="1" x14ac:dyDescent="0.25">
      <c r="B30" s="125" t="s">
        <v>51</v>
      </c>
      <c r="C30" s="99">
        <v>116943</v>
      </c>
      <c r="D30" s="99"/>
      <c r="E30" s="299"/>
      <c r="F30" s="301"/>
    </row>
    <row r="31" spans="1:6" hidden="1" x14ac:dyDescent="0.25">
      <c r="B31" s="125" t="s">
        <v>52</v>
      </c>
      <c r="C31" s="99">
        <v>-121850</v>
      </c>
      <c r="D31" s="99"/>
      <c r="E31" s="299"/>
      <c r="F31" s="301"/>
    </row>
    <row r="32" spans="1:6" hidden="1" x14ac:dyDescent="0.25">
      <c r="B32" s="126" t="s">
        <v>301</v>
      </c>
      <c r="C32" s="99">
        <v>130385</v>
      </c>
      <c r="D32" s="99"/>
      <c r="E32" s="299"/>
      <c r="F32" s="301"/>
    </row>
    <row r="33" spans="2:6" hidden="1" x14ac:dyDescent="0.25">
      <c r="B33" s="126" t="s">
        <v>320</v>
      </c>
      <c r="C33" s="99">
        <v>-15883</v>
      </c>
      <c r="D33" s="99"/>
      <c r="E33" s="299"/>
      <c r="F33" s="301"/>
    </row>
    <row r="34" spans="2:6" hidden="1" x14ac:dyDescent="0.25">
      <c r="B34" s="126" t="s">
        <v>328</v>
      </c>
      <c r="C34" s="99">
        <f>2710011-2650000</f>
        <v>60011</v>
      </c>
      <c r="D34" s="99"/>
      <c r="E34" s="299"/>
      <c r="F34" s="301"/>
    </row>
    <row r="35" spans="2:6" hidden="1" x14ac:dyDescent="0.25">
      <c r="B35" s="127" t="s">
        <v>338</v>
      </c>
      <c r="C35" s="99">
        <v>268</v>
      </c>
      <c r="D35" s="99"/>
      <c r="E35" s="299"/>
      <c r="F35" s="301"/>
    </row>
    <row r="36" spans="2:6" hidden="1" x14ac:dyDescent="0.25">
      <c r="B36" s="127" t="s">
        <v>345</v>
      </c>
      <c r="C36" s="99">
        <v>131943</v>
      </c>
      <c r="D36" s="99"/>
      <c r="E36" s="299"/>
      <c r="F36" s="301"/>
    </row>
    <row r="37" spans="2:6" hidden="1" x14ac:dyDescent="0.25">
      <c r="B37" s="127" t="s">
        <v>364</v>
      </c>
      <c r="C37" s="99">
        <v>187244</v>
      </c>
      <c r="D37" s="99"/>
      <c r="E37" s="299"/>
      <c r="F37" s="301"/>
    </row>
    <row r="38" spans="2:6" hidden="1" x14ac:dyDescent="0.25">
      <c r="B38" s="127" t="s">
        <v>365</v>
      </c>
      <c r="C38" s="99">
        <v>-32788</v>
      </c>
      <c r="D38" s="99"/>
      <c r="E38" s="299"/>
      <c r="F38" s="301"/>
    </row>
    <row r="39" spans="2:6" hidden="1" x14ac:dyDescent="0.25">
      <c r="B39" s="127" t="s">
        <v>388</v>
      </c>
      <c r="C39" s="99">
        <v>336864</v>
      </c>
      <c r="D39" s="99"/>
      <c r="E39" s="299"/>
      <c r="F39" s="301"/>
    </row>
    <row r="40" spans="2:6" hidden="1" x14ac:dyDescent="0.25">
      <c r="B40" s="127" t="s">
        <v>426</v>
      </c>
      <c r="C40" s="99">
        <v>456</v>
      </c>
      <c r="D40" s="99"/>
      <c r="E40" s="299"/>
      <c r="F40" s="301"/>
    </row>
    <row r="41" spans="2:6" hidden="1" x14ac:dyDescent="0.25">
      <c r="B41" s="127" t="s">
        <v>440</v>
      </c>
      <c r="C41" s="99">
        <v>365000.3999999981</v>
      </c>
      <c r="D41" s="99"/>
      <c r="E41" s="299"/>
      <c r="F41" s="301"/>
    </row>
    <row r="42" spans="2:6" hidden="1" x14ac:dyDescent="0.25">
      <c r="B42" s="127" t="s">
        <v>458</v>
      </c>
      <c r="C42" s="99">
        <v>143305</v>
      </c>
      <c r="D42" s="99"/>
      <c r="E42" s="299"/>
      <c r="F42" s="301"/>
    </row>
    <row r="43" spans="2:6" hidden="1" x14ac:dyDescent="0.25">
      <c r="B43" s="127" t="s">
        <v>472</v>
      </c>
      <c r="C43" s="99">
        <v>39609</v>
      </c>
      <c r="D43" s="99"/>
      <c r="E43" s="299"/>
      <c r="F43" s="301"/>
    </row>
    <row r="44" spans="2:6" hidden="1" x14ac:dyDescent="0.25">
      <c r="B44" s="127" t="s">
        <v>477</v>
      </c>
      <c r="C44" s="218">
        <v>111832.91999999993</v>
      </c>
      <c r="D44" s="99"/>
      <c r="E44" s="299"/>
      <c r="F44" s="301"/>
    </row>
    <row r="45" spans="2:6" hidden="1" x14ac:dyDescent="0.25">
      <c r="B45" s="127" t="s">
        <v>508</v>
      </c>
      <c r="C45" s="218">
        <v>17428.559999999183</v>
      </c>
      <c r="D45" s="99"/>
      <c r="E45" s="299"/>
      <c r="F45" s="301"/>
    </row>
    <row r="46" spans="2:6" hidden="1" x14ac:dyDescent="0.25">
      <c r="B46" s="302">
        <v>2014</v>
      </c>
      <c r="C46" s="218">
        <v>0</v>
      </c>
      <c r="D46" s="99"/>
      <c r="E46" s="299"/>
      <c r="F46" s="301"/>
    </row>
    <row r="47" spans="2:6" x14ac:dyDescent="0.25">
      <c r="B47" s="302">
        <f>B48-1</f>
        <v>2018</v>
      </c>
      <c r="C47" s="218">
        <v>886</v>
      </c>
      <c r="D47" s="414"/>
      <c r="E47" s="299"/>
      <c r="F47" s="301"/>
    </row>
    <row r="48" spans="2:6" x14ac:dyDescent="0.25">
      <c r="B48" s="302">
        <f>B49-1</f>
        <v>2019</v>
      </c>
      <c r="C48" s="218">
        <v>-55266</v>
      </c>
      <c r="D48" s="414"/>
      <c r="E48" s="299"/>
      <c r="F48" s="301"/>
    </row>
    <row r="49" spans="2:6" x14ac:dyDescent="0.25">
      <c r="B49" s="302">
        <v>2020</v>
      </c>
      <c r="C49" s="218">
        <v>70266</v>
      </c>
      <c r="D49" s="414"/>
      <c r="E49" s="299"/>
      <c r="F49" s="301"/>
    </row>
    <row r="50" spans="2:6" x14ac:dyDescent="0.25">
      <c r="B50" s="125" t="s">
        <v>473</v>
      </c>
      <c r="C50" s="99"/>
      <c r="D50" s="99">
        <f>AVERAGE(C47:C49)</f>
        <v>5295.333333333333</v>
      </c>
      <c r="E50" s="299"/>
      <c r="F50" s="301"/>
    </row>
    <row r="51" spans="2:6" x14ac:dyDescent="0.25">
      <c r="B51" s="128"/>
      <c r="C51" s="88"/>
      <c r="D51" s="88"/>
      <c r="E51" s="88"/>
      <c r="F51" s="129"/>
    </row>
  </sheetData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tabColor indexed="42"/>
    <pageSetUpPr fitToPage="1"/>
  </sheetPr>
  <dimension ref="A1:D23"/>
  <sheetViews>
    <sheetView showGridLines="0" zoomScale="80" zoomScaleNormal="80" zoomScaleSheetLayoutView="85" workbookViewId="0">
      <selection activeCell="P26" sqref="P26"/>
    </sheetView>
  </sheetViews>
  <sheetFormatPr defaultColWidth="9.1796875" defaultRowHeight="12.5" x14ac:dyDescent="0.25"/>
  <cols>
    <col min="1" max="1" width="4.7265625" style="24" customWidth="1"/>
    <col min="2" max="2" width="41.7265625" style="24" customWidth="1"/>
    <col min="3" max="3" width="9.1796875" style="30"/>
    <col min="4" max="4" width="13.7265625" style="30" customWidth="1"/>
    <col min="5" max="16384" width="9.1796875" style="30"/>
  </cols>
  <sheetData>
    <row r="1" spans="1:4" x14ac:dyDescent="0.25">
      <c r="A1" s="116" t="str">
        <f>'Page 1'!A1</f>
        <v>NW Natural</v>
      </c>
      <c r="B1" s="116"/>
      <c r="C1" s="300"/>
      <c r="D1" s="69" t="s">
        <v>450</v>
      </c>
    </row>
    <row r="2" spans="1:4" x14ac:dyDescent="0.25">
      <c r="A2" s="116" t="str">
        <f>+'Page 1'!A2</f>
        <v>Washington Annual Commission Basis Report</v>
      </c>
      <c r="B2" s="116"/>
      <c r="C2" s="300"/>
      <c r="D2" s="69"/>
    </row>
    <row r="3" spans="1:4" x14ac:dyDescent="0.25">
      <c r="A3" s="116" t="str">
        <f>+' f Sales &amp; Mktg'!A3</f>
        <v>Twelve Months Ended December 31, 2020</v>
      </c>
      <c r="B3" s="116"/>
      <c r="C3" s="300"/>
    </row>
    <row r="4" spans="1:4" x14ac:dyDescent="0.25">
      <c r="A4" s="116" t="s">
        <v>289</v>
      </c>
      <c r="B4" s="116"/>
      <c r="C4" s="300"/>
    </row>
    <row r="5" spans="1:4" x14ac:dyDescent="0.25">
      <c r="A5" s="116"/>
      <c r="B5" s="116"/>
      <c r="C5" s="300"/>
    </row>
    <row r="6" spans="1:4" x14ac:dyDescent="0.25">
      <c r="A6" s="116"/>
      <c r="B6" s="116"/>
      <c r="C6" s="300"/>
    </row>
    <row r="7" spans="1:4" x14ac:dyDescent="0.25">
      <c r="A7" s="118" t="s">
        <v>17</v>
      </c>
      <c r="B7" s="116"/>
      <c r="C7" s="300"/>
    </row>
    <row r="8" spans="1:4" x14ac:dyDescent="0.25">
      <c r="A8" s="73" t="s">
        <v>46</v>
      </c>
      <c r="D8" s="28" t="s">
        <v>69</v>
      </c>
    </row>
    <row r="9" spans="1:4" x14ac:dyDescent="0.25">
      <c r="A9" s="26">
        <v>1</v>
      </c>
      <c r="B9" s="24" t="s">
        <v>290</v>
      </c>
      <c r="D9" s="76">
        <v>0</v>
      </c>
    </row>
    <row r="10" spans="1:4" x14ac:dyDescent="0.25">
      <c r="A10" s="26"/>
      <c r="D10" s="41"/>
    </row>
    <row r="11" spans="1:4" x14ac:dyDescent="0.25">
      <c r="A11" s="26">
        <v>2</v>
      </c>
      <c r="B11" s="69" t="s">
        <v>318</v>
      </c>
      <c r="D11" s="34">
        <v>0.1075</v>
      </c>
    </row>
    <row r="12" spans="1:4" x14ac:dyDescent="0.25">
      <c r="A12" s="26"/>
    </row>
    <row r="13" spans="1:4" ht="13" thickBot="1" x14ac:dyDescent="0.3">
      <c r="A13" s="26">
        <v>3</v>
      </c>
      <c r="B13" s="24" t="s">
        <v>42</v>
      </c>
      <c r="D13" s="122">
        <v>0</v>
      </c>
    </row>
    <row r="14" spans="1:4" ht="13" thickTop="1" x14ac:dyDescent="0.25">
      <c r="A14" s="26"/>
    </row>
    <row r="15" spans="1:4" x14ac:dyDescent="0.25">
      <c r="A15" s="26"/>
    </row>
    <row r="16" spans="1:4" x14ac:dyDescent="0.25">
      <c r="A16" s="26">
        <v>4</v>
      </c>
      <c r="B16" s="24" t="s">
        <v>291</v>
      </c>
      <c r="D16" s="76">
        <v>0</v>
      </c>
    </row>
    <row r="17" spans="1:4" x14ac:dyDescent="0.25">
      <c r="A17" s="26"/>
      <c r="D17" s="32"/>
    </row>
    <row r="18" spans="1:4" x14ac:dyDescent="0.25">
      <c r="A18" s="26">
        <v>5</v>
      </c>
      <c r="B18" s="69" t="s">
        <v>317</v>
      </c>
      <c r="D18" s="34">
        <v>0.11849999999999999</v>
      </c>
    </row>
    <row r="19" spans="1:4" x14ac:dyDescent="0.25">
      <c r="A19" s="26"/>
    </row>
    <row r="20" spans="1:4" ht="13" thickBot="1" x14ac:dyDescent="0.3">
      <c r="A20" s="26">
        <v>6</v>
      </c>
      <c r="B20" s="24" t="s">
        <v>42</v>
      </c>
      <c r="D20" s="122">
        <v>0</v>
      </c>
    </row>
    <row r="21" spans="1:4" ht="13" thickTop="1" x14ac:dyDescent="0.25"/>
    <row r="23" spans="1:4" x14ac:dyDescent="0.25">
      <c r="A23" s="24" t="s">
        <v>454</v>
      </c>
    </row>
  </sheetData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>
    <tabColor indexed="42"/>
    <pageSetUpPr fitToPage="1"/>
  </sheetPr>
  <dimension ref="A1:J132"/>
  <sheetViews>
    <sheetView showGridLines="0" zoomScaleNormal="100" workbookViewId="0">
      <selection activeCell="M14" sqref="M14"/>
    </sheetView>
  </sheetViews>
  <sheetFormatPr defaultColWidth="9.1796875" defaultRowHeight="12.5" x14ac:dyDescent="0.25"/>
  <cols>
    <col min="1" max="1" width="4.7265625" style="297" customWidth="1"/>
    <col min="2" max="2" width="41.7265625" style="297" customWidth="1"/>
    <col min="3" max="5" width="13.7265625" style="298" customWidth="1"/>
    <col min="6" max="6" width="12.7265625" style="298" customWidth="1"/>
    <col min="7" max="7" width="12.26953125" style="298" customWidth="1"/>
    <col min="8" max="8" width="11.81640625" style="298" customWidth="1"/>
    <col min="9" max="9" width="11.54296875" style="298" customWidth="1"/>
    <col min="10" max="16384" width="9.1796875" style="298"/>
  </cols>
  <sheetData>
    <row r="1" spans="1:7" s="297" customFormat="1" x14ac:dyDescent="0.25">
      <c r="A1" s="393" t="s">
        <v>0</v>
      </c>
      <c r="B1" s="393"/>
      <c r="C1" s="48"/>
      <c r="D1" s="48"/>
      <c r="E1" s="48"/>
      <c r="F1" s="48"/>
      <c r="G1" s="382"/>
    </row>
    <row r="2" spans="1:7" s="297" customFormat="1" x14ac:dyDescent="0.25">
      <c r="A2" s="393" t="s">
        <v>5</v>
      </c>
      <c r="B2" s="393"/>
      <c r="C2" s="48"/>
      <c r="D2" s="48"/>
      <c r="E2" s="48"/>
      <c r="F2" s="48"/>
      <c r="G2" s="62"/>
    </row>
    <row r="3" spans="1:7" s="297" customFormat="1" x14ac:dyDescent="0.25">
      <c r="A3" s="393" t="s">
        <v>559</v>
      </c>
      <c r="B3" s="393"/>
      <c r="C3" s="48"/>
      <c r="D3" s="48"/>
      <c r="E3" s="48"/>
      <c r="F3" s="48"/>
      <c r="G3" s="62"/>
    </row>
    <row r="4" spans="1:7" s="297" customFormat="1" x14ac:dyDescent="0.25">
      <c r="A4" s="393"/>
      <c r="B4" s="393"/>
      <c r="C4" s="49" t="s">
        <v>10</v>
      </c>
      <c r="D4" s="49" t="s">
        <v>11</v>
      </c>
      <c r="E4" s="49" t="s">
        <v>12</v>
      </c>
      <c r="G4" s="62"/>
    </row>
    <row r="5" spans="1:7" x14ac:dyDescent="0.25">
      <c r="A5" s="44" t="s">
        <v>15</v>
      </c>
      <c r="B5" s="44"/>
      <c r="C5" s="59"/>
      <c r="D5" s="59"/>
      <c r="E5" s="59"/>
      <c r="G5" s="62"/>
    </row>
    <row r="6" spans="1:7" x14ac:dyDescent="0.25">
      <c r="A6" s="44"/>
      <c r="B6" s="44"/>
      <c r="C6" s="46"/>
      <c r="D6" s="216"/>
      <c r="E6" s="216"/>
      <c r="G6" s="62"/>
    </row>
    <row r="7" spans="1:7" x14ac:dyDescent="0.25">
      <c r="A7" s="44"/>
      <c r="B7" s="44" t="s">
        <v>49</v>
      </c>
      <c r="C7" s="59"/>
      <c r="D7" s="59"/>
      <c r="E7" s="59"/>
      <c r="F7" s="300"/>
      <c r="G7" s="62"/>
    </row>
    <row r="8" spans="1:7" x14ac:dyDescent="0.25">
      <c r="A8" s="44"/>
      <c r="B8" s="424" t="s">
        <v>556</v>
      </c>
      <c r="C8" s="52">
        <f>D8+E8</f>
        <v>774476</v>
      </c>
      <c r="D8" s="425">
        <v>90323</v>
      </c>
      <c r="E8" s="425">
        <v>684153</v>
      </c>
      <c r="F8" s="300"/>
      <c r="G8" s="62"/>
    </row>
    <row r="9" spans="1:7" x14ac:dyDescent="0.25">
      <c r="A9" s="44"/>
      <c r="B9" s="424" t="s">
        <v>542</v>
      </c>
      <c r="C9" s="426">
        <f>D9+E9</f>
        <v>762884</v>
      </c>
      <c r="D9" s="427">
        <v>87504</v>
      </c>
      <c r="E9" s="427">
        <v>675380</v>
      </c>
      <c r="F9" s="300"/>
      <c r="G9" s="62"/>
    </row>
    <row r="10" spans="1:7" x14ac:dyDescent="0.25">
      <c r="A10" s="44"/>
      <c r="B10" s="44" t="s">
        <v>102</v>
      </c>
      <c r="C10" s="428">
        <f>AVERAGE(C8:C9)</f>
        <v>768680</v>
      </c>
      <c r="D10" s="184">
        <f>AVERAGE(D8:D9)</f>
        <v>88913.5</v>
      </c>
      <c r="E10" s="184">
        <f>AVERAGE(E8:E9)</f>
        <v>679766.5</v>
      </c>
      <c r="F10" s="300"/>
      <c r="G10" s="62"/>
    </row>
    <row r="11" spans="1:7" x14ac:dyDescent="0.25">
      <c r="A11" s="44"/>
      <c r="B11" s="44" t="s">
        <v>105</v>
      </c>
      <c r="C11" s="429"/>
      <c r="D11" s="278">
        <f>ROUND(D10/C10,4)</f>
        <v>0.1157</v>
      </c>
      <c r="E11" s="278">
        <f>1-D11</f>
        <v>0.88429999999999997</v>
      </c>
      <c r="F11" s="300"/>
      <c r="G11" s="62"/>
    </row>
    <row r="12" spans="1:7" x14ac:dyDescent="0.25">
      <c r="A12" s="44"/>
      <c r="B12" s="44"/>
      <c r="C12" s="59"/>
      <c r="D12" s="226"/>
      <c r="E12" s="226"/>
      <c r="F12" s="300"/>
      <c r="G12" s="62"/>
    </row>
    <row r="13" spans="1:7" x14ac:dyDescent="0.25">
      <c r="A13" s="44"/>
      <c r="B13" s="50" t="s">
        <v>116</v>
      </c>
      <c r="C13" s="59"/>
      <c r="D13" s="226"/>
      <c r="E13" s="226"/>
      <c r="F13" s="300"/>
      <c r="G13" s="62"/>
    </row>
    <row r="14" spans="1:7" x14ac:dyDescent="0.25">
      <c r="A14" s="44"/>
      <c r="B14" s="180" t="str">
        <f>B$8</f>
        <v>December 2020</v>
      </c>
      <c r="C14" s="52">
        <f>D14+E14</f>
        <v>702721</v>
      </c>
      <c r="D14" s="425">
        <v>81029</v>
      </c>
      <c r="E14" s="425">
        <v>621692</v>
      </c>
      <c r="F14" s="300"/>
      <c r="G14" s="62"/>
    </row>
    <row r="15" spans="1:7" x14ac:dyDescent="0.25">
      <c r="A15" s="44"/>
      <c r="B15" s="180" t="str">
        <f>+B9</f>
        <v>December 2019</v>
      </c>
      <c r="C15" s="426">
        <f>D15+E15</f>
        <v>692012</v>
      </c>
      <c r="D15" s="430">
        <v>80116</v>
      </c>
      <c r="E15" s="430">
        <v>611896</v>
      </c>
      <c r="F15" s="300"/>
      <c r="G15" s="62"/>
    </row>
    <row r="16" spans="1:7" x14ac:dyDescent="0.25">
      <c r="A16" s="44"/>
      <c r="B16" s="44" t="s">
        <v>102</v>
      </c>
      <c r="C16" s="428">
        <f>AVERAGE(C14:C15)</f>
        <v>697366.5</v>
      </c>
      <c r="D16" s="431">
        <f>+AVERAGE(D14:D15)</f>
        <v>80572.5</v>
      </c>
      <c r="E16" s="431">
        <f>+AVERAGE(E14:E15)</f>
        <v>616794</v>
      </c>
      <c r="F16" s="300"/>
      <c r="G16" s="62"/>
    </row>
    <row r="17" spans="1:7" x14ac:dyDescent="0.25">
      <c r="A17" s="44"/>
      <c r="B17" s="44" t="s">
        <v>139</v>
      </c>
      <c r="C17" s="52"/>
      <c r="D17" s="278">
        <f>ROUND(D16/C16,4)</f>
        <v>0.11550000000000001</v>
      </c>
      <c r="E17" s="278">
        <f>1-D17</f>
        <v>0.88449999999999995</v>
      </c>
      <c r="F17" s="300"/>
      <c r="G17" s="62"/>
    </row>
    <row r="18" spans="1:7" x14ac:dyDescent="0.25">
      <c r="A18" s="44"/>
      <c r="B18" s="44"/>
      <c r="C18" s="59"/>
      <c r="D18" s="226"/>
      <c r="E18" s="226"/>
      <c r="F18" s="300"/>
      <c r="G18" s="62"/>
    </row>
    <row r="19" spans="1:7" x14ac:dyDescent="0.25">
      <c r="A19" s="44"/>
      <c r="B19" s="50" t="s">
        <v>149</v>
      </c>
      <c r="C19" s="59"/>
      <c r="D19" s="226"/>
      <c r="E19" s="226"/>
      <c r="F19" s="300"/>
      <c r="G19" s="62"/>
    </row>
    <row r="20" spans="1:7" x14ac:dyDescent="0.25">
      <c r="A20" s="44"/>
      <c r="B20" s="180" t="str">
        <f>B$8</f>
        <v>December 2020</v>
      </c>
      <c r="C20" s="52">
        <f>D20+E20</f>
        <v>68812</v>
      </c>
      <c r="D20" s="425">
        <v>7266</v>
      </c>
      <c r="E20" s="425">
        <v>61546</v>
      </c>
      <c r="F20" s="300"/>
      <c r="G20" s="62"/>
    </row>
    <row r="21" spans="1:7" x14ac:dyDescent="0.25">
      <c r="A21" s="44"/>
      <c r="B21" s="180" t="str">
        <f>+B9</f>
        <v>December 2019</v>
      </c>
      <c r="C21" s="426">
        <f>D21+E21</f>
        <v>69858</v>
      </c>
      <c r="D21" s="430">
        <v>7308</v>
      </c>
      <c r="E21" s="430">
        <v>62550</v>
      </c>
      <c r="F21" s="300"/>
      <c r="G21" s="62"/>
    </row>
    <row r="22" spans="1:7" x14ac:dyDescent="0.25">
      <c r="A22" s="44"/>
      <c r="B22" s="44" t="s">
        <v>102</v>
      </c>
      <c r="C22" s="428">
        <f>AVERAGE(C20:C21)</f>
        <v>69335</v>
      </c>
      <c r="D22" s="431">
        <f>+AVERAGE(D20:D21)</f>
        <v>7287</v>
      </c>
      <c r="E22" s="431">
        <f>+AVERAGE(E20:E21)</f>
        <v>62048</v>
      </c>
      <c r="F22" s="300"/>
      <c r="G22" s="62"/>
    </row>
    <row r="23" spans="1:7" x14ac:dyDescent="0.25">
      <c r="A23" s="44"/>
      <c r="B23" s="44" t="s">
        <v>139</v>
      </c>
      <c r="C23" s="59"/>
      <c r="D23" s="278">
        <f>ROUND(D22/C22,4)</f>
        <v>0.1051</v>
      </c>
      <c r="E23" s="278">
        <f>1-D23</f>
        <v>0.89490000000000003</v>
      </c>
      <c r="F23" s="300"/>
      <c r="G23" s="62"/>
    </row>
    <row r="24" spans="1:7" x14ac:dyDescent="0.25">
      <c r="A24" s="44"/>
      <c r="B24" s="44"/>
      <c r="C24" s="59"/>
      <c r="D24" s="226"/>
      <c r="E24" s="226"/>
      <c r="F24" s="300"/>
      <c r="G24" s="62"/>
    </row>
    <row r="25" spans="1:7" x14ac:dyDescent="0.25">
      <c r="A25" s="44"/>
      <c r="B25" s="44" t="s">
        <v>166</v>
      </c>
      <c r="C25" s="59"/>
      <c r="D25" s="226"/>
      <c r="E25" s="226"/>
      <c r="F25" s="300"/>
      <c r="G25" s="62"/>
    </row>
    <row r="26" spans="1:7" x14ac:dyDescent="0.25">
      <c r="A26" s="44"/>
      <c r="B26" s="180" t="str">
        <f>B$8</f>
        <v>December 2020</v>
      </c>
      <c r="C26" s="52">
        <f>D26+E26</f>
        <v>989</v>
      </c>
      <c r="D26" s="184">
        <v>74</v>
      </c>
      <c r="E26" s="184">
        <v>915</v>
      </c>
      <c r="F26" s="300"/>
      <c r="G26" s="62"/>
    </row>
    <row r="27" spans="1:7" x14ac:dyDescent="0.25">
      <c r="A27" s="44"/>
      <c r="B27" s="180" t="str">
        <f>+B21</f>
        <v>December 2019</v>
      </c>
      <c r="C27" s="426">
        <f>D27+E27</f>
        <v>1014</v>
      </c>
      <c r="D27" s="427">
        <v>80</v>
      </c>
      <c r="E27" s="427">
        <v>934</v>
      </c>
      <c r="F27" s="300"/>
      <c r="G27" s="62"/>
    </row>
    <row r="28" spans="1:7" x14ac:dyDescent="0.25">
      <c r="A28" s="44"/>
      <c r="B28" s="44" t="s">
        <v>102</v>
      </c>
      <c r="C28" s="428">
        <f>D28+E28</f>
        <v>1001.5</v>
      </c>
      <c r="D28" s="431">
        <f>+AVERAGE(D26:D27)</f>
        <v>77</v>
      </c>
      <c r="E28" s="431">
        <f>+AVERAGE(E26:E27)</f>
        <v>924.5</v>
      </c>
      <c r="F28" s="300"/>
      <c r="G28" s="62"/>
    </row>
    <row r="29" spans="1:7" x14ac:dyDescent="0.25">
      <c r="A29" s="50"/>
      <c r="B29" s="44" t="s">
        <v>139</v>
      </c>
      <c r="C29" s="52"/>
      <c r="D29" s="278">
        <f>ROUND(D28/C28,4)</f>
        <v>7.6899999999999996E-2</v>
      </c>
      <c r="E29" s="278">
        <f>1-D29</f>
        <v>0.92310000000000003</v>
      </c>
      <c r="F29" s="300"/>
      <c r="G29" s="63"/>
    </row>
    <row r="30" spans="1:7" x14ac:dyDescent="0.25">
      <c r="A30" s="50"/>
      <c r="B30" s="44"/>
      <c r="C30" s="52"/>
      <c r="D30" s="432"/>
      <c r="E30" s="432"/>
      <c r="F30" s="300"/>
      <c r="G30" s="63"/>
    </row>
    <row r="31" spans="1:7" x14ac:dyDescent="0.25">
      <c r="A31" s="44"/>
      <c r="B31" s="50" t="s">
        <v>181</v>
      </c>
      <c r="C31" s="46"/>
      <c r="D31" s="216"/>
      <c r="E31" s="216"/>
      <c r="F31" s="300"/>
      <c r="G31" s="62"/>
    </row>
    <row r="32" spans="1:7" x14ac:dyDescent="0.25">
      <c r="A32" s="44"/>
      <c r="B32" s="180" t="str">
        <f>B$8</f>
        <v>December 2020</v>
      </c>
      <c r="C32" s="52">
        <f>D32+E32</f>
        <v>8604</v>
      </c>
      <c r="D32" s="425">
        <v>2174</v>
      </c>
      <c r="E32" s="433">
        <v>6430</v>
      </c>
      <c r="F32" s="300"/>
      <c r="G32" s="62"/>
    </row>
    <row r="33" spans="1:7" x14ac:dyDescent="0.25">
      <c r="A33" s="44"/>
      <c r="B33" s="180" t="str">
        <f>+B27</f>
        <v>December 2019</v>
      </c>
      <c r="C33" s="426">
        <f>D33+E33</f>
        <v>8460</v>
      </c>
      <c r="D33" s="430">
        <v>2133</v>
      </c>
      <c r="E33" s="430">
        <v>6327</v>
      </c>
      <c r="F33" s="300"/>
      <c r="G33" s="62"/>
    </row>
    <row r="34" spans="1:7" x14ac:dyDescent="0.25">
      <c r="A34" s="44"/>
      <c r="B34" s="44" t="s">
        <v>102</v>
      </c>
      <c r="C34" s="428">
        <f>D34+E34</f>
        <v>8532</v>
      </c>
      <c r="D34" s="431">
        <f>+AVERAGE(D32:D33)</f>
        <v>2153.5</v>
      </c>
      <c r="E34" s="431">
        <f>+AVERAGE(E32:E33)</f>
        <v>6378.5</v>
      </c>
      <c r="F34" s="300"/>
      <c r="G34" s="62"/>
    </row>
    <row r="35" spans="1:7" x14ac:dyDescent="0.25">
      <c r="A35" s="50"/>
      <c r="B35" s="44" t="s">
        <v>139</v>
      </c>
      <c r="C35" s="52"/>
      <c r="D35" s="278">
        <f>ROUND(D34/C34,4)</f>
        <v>0.25240000000000001</v>
      </c>
      <c r="E35" s="278">
        <f>1-D35</f>
        <v>0.74760000000000004</v>
      </c>
      <c r="F35" s="300"/>
      <c r="G35" s="63"/>
    </row>
    <row r="36" spans="1:7" x14ac:dyDescent="0.25">
      <c r="A36" s="50"/>
      <c r="B36" s="44"/>
      <c r="C36" s="52"/>
      <c r="D36" s="184"/>
      <c r="E36" s="184"/>
      <c r="F36" s="300"/>
      <c r="G36" s="63"/>
    </row>
    <row r="37" spans="1:7" x14ac:dyDescent="0.25">
      <c r="A37" s="44"/>
      <c r="B37" s="50" t="s">
        <v>193</v>
      </c>
      <c r="C37" s="46"/>
      <c r="D37" s="216"/>
      <c r="E37" s="216"/>
      <c r="F37" s="300"/>
      <c r="G37" s="62"/>
    </row>
    <row r="38" spans="1:7" x14ac:dyDescent="0.25">
      <c r="A38" s="44"/>
      <c r="B38" s="180" t="str">
        <f>B$8</f>
        <v>December 2020</v>
      </c>
      <c r="C38" s="52">
        <f>D38+E38</f>
        <v>550730</v>
      </c>
      <c r="D38" s="425">
        <v>88149</v>
      </c>
      <c r="E38" s="433">
        <v>462581</v>
      </c>
      <c r="F38" s="300"/>
      <c r="G38" s="62"/>
    </row>
    <row r="39" spans="1:7" x14ac:dyDescent="0.25">
      <c r="A39" s="44"/>
      <c r="B39" s="180" t="str">
        <f>+B33</f>
        <v>December 2019</v>
      </c>
      <c r="C39" s="426">
        <f>D39+E39</f>
        <v>542524</v>
      </c>
      <c r="D39" s="430">
        <v>85371</v>
      </c>
      <c r="E39" s="430">
        <v>457153</v>
      </c>
      <c r="F39" s="300"/>
      <c r="G39" s="62"/>
    </row>
    <row r="40" spans="1:7" x14ac:dyDescent="0.25">
      <c r="A40" s="44"/>
      <c r="B40" s="44" t="s">
        <v>102</v>
      </c>
      <c r="C40" s="428">
        <f>D40+E40</f>
        <v>546627</v>
      </c>
      <c r="D40" s="431">
        <f>+AVERAGE(D38:D39)</f>
        <v>86760</v>
      </c>
      <c r="E40" s="431">
        <f>+AVERAGE(E38:E39)</f>
        <v>459867</v>
      </c>
      <c r="F40" s="300"/>
      <c r="G40" s="62"/>
    </row>
    <row r="41" spans="1:7" x14ac:dyDescent="0.25">
      <c r="A41" s="50"/>
      <c r="B41" s="44" t="s">
        <v>139</v>
      </c>
      <c r="C41" s="52"/>
      <c r="D41" s="278">
        <f>ROUND(D40/C40,4)</f>
        <v>0.15870000000000001</v>
      </c>
      <c r="E41" s="278">
        <f>1-D41</f>
        <v>0.84129999999999994</v>
      </c>
      <c r="F41" s="300"/>
      <c r="G41" s="63"/>
    </row>
    <row r="42" spans="1:7" x14ac:dyDescent="0.25">
      <c r="A42" s="50"/>
      <c r="B42" s="44"/>
      <c r="C42" s="52"/>
      <c r="D42" s="226"/>
      <c r="E42" s="226"/>
      <c r="G42" s="63"/>
    </row>
    <row r="43" spans="1:7" x14ac:dyDescent="0.25">
      <c r="A43" s="44"/>
      <c r="B43" s="50" t="s">
        <v>207</v>
      </c>
      <c r="C43" s="46"/>
      <c r="D43" s="300"/>
      <c r="E43" s="300"/>
      <c r="G43" s="62"/>
    </row>
    <row r="44" spans="1:7" x14ac:dyDescent="0.25">
      <c r="A44" s="44"/>
      <c r="B44" s="180" t="str">
        <f>B$8</f>
        <v>December 2020</v>
      </c>
      <c r="C44" s="52">
        <f>D44+E44</f>
        <v>44797</v>
      </c>
      <c r="D44" s="425">
        <v>7052</v>
      </c>
      <c r="E44" s="433">
        <v>37745</v>
      </c>
      <c r="G44" s="62"/>
    </row>
    <row r="45" spans="1:7" x14ac:dyDescent="0.25">
      <c r="A45" s="44"/>
      <c r="B45" s="180" t="str">
        <f>+B39</f>
        <v>December 2019</v>
      </c>
      <c r="C45" s="426">
        <f>D45+E45</f>
        <v>45728</v>
      </c>
      <c r="D45" s="430">
        <v>7088</v>
      </c>
      <c r="E45" s="430">
        <v>38640</v>
      </c>
      <c r="G45" s="62"/>
    </row>
    <row r="46" spans="1:7" x14ac:dyDescent="0.25">
      <c r="A46" s="44"/>
      <c r="B46" s="44" t="s">
        <v>102</v>
      </c>
      <c r="C46" s="428">
        <f>D46+E46</f>
        <v>45262.5</v>
      </c>
      <c r="D46" s="431">
        <f>+AVERAGE(D44:D45)</f>
        <v>7070</v>
      </c>
      <c r="E46" s="431">
        <f>+AVERAGE(E44:E45)</f>
        <v>38192.5</v>
      </c>
      <c r="G46" s="62"/>
    </row>
    <row r="47" spans="1:7" x14ac:dyDescent="0.25">
      <c r="A47" s="44"/>
      <c r="B47" s="44" t="s">
        <v>139</v>
      </c>
      <c r="C47" s="46"/>
      <c r="D47" s="278">
        <f>ROUND(D46/C46,4)</f>
        <v>0.15620000000000001</v>
      </c>
      <c r="E47" s="278">
        <f>1-D47</f>
        <v>0.84379999999999999</v>
      </c>
      <c r="G47" s="62"/>
    </row>
    <row r="48" spans="1:7" x14ac:dyDescent="0.25">
      <c r="A48" s="44"/>
      <c r="B48" s="44"/>
      <c r="C48" s="46"/>
      <c r="D48" s="226"/>
      <c r="E48" s="216"/>
      <c r="G48" s="62"/>
    </row>
    <row r="49" spans="1:10" x14ac:dyDescent="0.25">
      <c r="A49" s="44"/>
      <c r="B49" s="44"/>
      <c r="C49" s="46"/>
      <c r="D49" s="226"/>
      <c r="E49" s="216"/>
      <c r="G49" s="62"/>
    </row>
    <row r="50" spans="1:10" x14ac:dyDescent="0.25">
      <c r="A50" s="434" t="s">
        <v>557</v>
      </c>
      <c r="B50" s="44"/>
      <c r="C50" s="429"/>
      <c r="D50" s="59"/>
      <c r="E50" s="59"/>
      <c r="G50" s="64"/>
    </row>
    <row r="51" spans="1:10" x14ac:dyDescent="0.25">
      <c r="A51" s="44"/>
      <c r="B51" s="44"/>
      <c r="C51" s="59"/>
      <c r="D51" s="59"/>
      <c r="E51" s="59"/>
      <c r="G51" s="62"/>
    </row>
    <row r="52" spans="1:10" x14ac:dyDescent="0.25">
      <c r="A52" s="44"/>
      <c r="B52" s="44" t="s">
        <v>533</v>
      </c>
      <c r="C52" s="52">
        <f>D52+E52</f>
        <v>713160152</v>
      </c>
      <c r="D52" s="425">
        <v>77633739</v>
      </c>
      <c r="E52" s="425">
        <v>635526413</v>
      </c>
      <c r="G52" s="52"/>
      <c r="H52" s="52"/>
      <c r="I52" s="52"/>
      <c r="J52" s="428"/>
    </row>
    <row r="53" spans="1:10" x14ac:dyDescent="0.25">
      <c r="A53" s="44"/>
      <c r="B53" s="44" t="s">
        <v>139</v>
      </c>
      <c r="C53" s="59"/>
      <c r="D53" s="278">
        <f>ROUND(D52/C52,4)</f>
        <v>0.1089</v>
      </c>
      <c r="E53" s="278">
        <f>1-D53</f>
        <v>0.8911</v>
      </c>
      <c r="G53" s="59"/>
      <c r="H53" s="133"/>
      <c r="I53" s="133"/>
      <c r="J53" s="130"/>
    </row>
    <row r="54" spans="1:10" x14ac:dyDescent="0.25">
      <c r="A54" s="44"/>
      <c r="B54" s="44"/>
      <c r="C54" s="59"/>
      <c r="D54" s="59"/>
      <c r="E54" s="59"/>
      <c r="G54" s="59"/>
      <c r="H54" s="435"/>
      <c r="I54" s="429"/>
      <c r="J54" s="59"/>
    </row>
    <row r="55" spans="1:10" x14ac:dyDescent="0.25">
      <c r="A55" s="44"/>
      <c r="B55" s="44" t="s">
        <v>233</v>
      </c>
      <c r="C55" s="52">
        <f>D55+E55</f>
        <v>762017556</v>
      </c>
      <c r="D55" s="425">
        <v>78832056</v>
      </c>
      <c r="E55" s="425">
        <v>683185500</v>
      </c>
      <c r="G55" s="52"/>
      <c r="H55" s="52"/>
      <c r="I55" s="52"/>
      <c r="J55" s="436"/>
    </row>
    <row r="56" spans="1:10" x14ac:dyDescent="0.25">
      <c r="A56" s="44"/>
      <c r="B56" s="44" t="s">
        <v>139</v>
      </c>
      <c r="C56" s="46"/>
      <c r="D56" s="278">
        <f>ROUND(D55/C55,4)</f>
        <v>0.10349999999999999</v>
      </c>
      <c r="E56" s="278">
        <f>1-D56</f>
        <v>0.89649999999999996</v>
      </c>
      <c r="G56" s="46"/>
      <c r="H56" s="133"/>
      <c r="I56" s="133"/>
      <c r="J56" s="130"/>
    </row>
    <row r="57" spans="1:10" x14ac:dyDescent="0.25">
      <c r="A57" s="44"/>
      <c r="B57" s="44"/>
      <c r="C57" s="437"/>
      <c r="D57" s="216"/>
      <c r="E57" s="216"/>
      <c r="G57" s="438"/>
      <c r="I57" s="46"/>
      <c r="J57" s="439"/>
    </row>
    <row r="58" spans="1:10" x14ac:dyDescent="0.25">
      <c r="A58" s="44"/>
      <c r="B58" s="44" t="s">
        <v>236</v>
      </c>
      <c r="C58" s="52">
        <f>D58+E58</f>
        <v>1142896790</v>
      </c>
      <c r="D58" s="425">
        <v>98086987.938600838</v>
      </c>
      <c r="E58" s="425">
        <v>1044809802.0613991</v>
      </c>
      <c r="G58" s="52"/>
      <c r="H58" s="52"/>
      <c r="I58" s="52"/>
      <c r="J58" s="428"/>
    </row>
    <row r="59" spans="1:10" x14ac:dyDescent="0.25">
      <c r="A59" s="44"/>
      <c r="B59" s="44" t="s">
        <v>139</v>
      </c>
      <c r="C59" s="46"/>
      <c r="D59" s="278">
        <f>ROUND(D58/C58,4)</f>
        <v>8.5800000000000001E-2</v>
      </c>
      <c r="E59" s="278">
        <f>1-D59</f>
        <v>0.91420000000000001</v>
      </c>
      <c r="G59" s="46"/>
      <c r="H59" s="133"/>
      <c r="I59" s="133"/>
      <c r="J59" s="130"/>
    </row>
    <row r="60" spans="1:10" x14ac:dyDescent="0.25">
      <c r="A60" s="44"/>
      <c r="B60" s="44"/>
      <c r="C60" s="59"/>
      <c r="D60" s="59"/>
      <c r="E60" s="59"/>
      <c r="G60" s="62"/>
    </row>
    <row r="61" spans="1:10" hidden="1" x14ac:dyDescent="0.25">
      <c r="A61" s="44"/>
      <c r="B61" s="44"/>
      <c r="C61" s="59"/>
      <c r="D61" s="59"/>
      <c r="E61" s="59"/>
      <c r="G61" s="62"/>
    </row>
    <row r="62" spans="1:10" hidden="1" x14ac:dyDescent="0.25">
      <c r="A62" s="44"/>
      <c r="B62" s="44"/>
      <c r="C62" s="59"/>
      <c r="D62" s="59"/>
      <c r="E62" s="59"/>
      <c r="G62" s="62"/>
    </row>
    <row r="63" spans="1:10" x14ac:dyDescent="0.25">
      <c r="A63" s="44"/>
      <c r="B63" s="44"/>
      <c r="C63" s="59"/>
      <c r="D63" s="59"/>
      <c r="E63" s="59"/>
      <c r="G63" s="62"/>
    </row>
    <row r="64" spans="1:10" x14ac:dyDescent="0.25">
      <c r="A64" s="44"/>
      <c r="B64" s="44"/>
      <c r="C64" s="59"/>
      <c r="D64" s="59"/>
      <c r="E64" s="59"/>
      <c r="G64" s="62"/>
    </row>
    <row r="65" spans="1:7" x14ac:dyDescent="0.25">
      <c r="A65" s="44" t="s">
        <v>238</v>
      </c>
      <c r="B65" s="44"/>
      <c r="C65" s="59"/>
      <c r="D65" s="59"/>
      <c r="E65" s="59"/>
      <c r="G65" s="62"/>
    </row>
    <row r="66" spans="1:7" x14ac:dyDescent="0.25">
      <c r="A66" s="44"/>
      <c r="B66" s="44" t="s">
        <v>239</v>
      </c>
      <c r="C66" s="59"/>
      <c r="D66" s="440">
        <f>D97</f>
        <v>0.11849999999999999</v>
      </c>
      <c r="E66" s="278">
        <f>1-D66</f>
        <v>0.88149999999999995</v>
      </c>
      <c r="G66" s="62"/>
    </row>
    <row r="67" spans="1:7" x14ac:dyDescent="0.25">
      <c r="A67" s="44"/>
      <c r="B67" s="44" t="s">
        <v>241</v>
      </c>
      <c r="C67" s="59"/>
      <c r="D67" s="440">
        <v>8.8325531427718929E-2</v>
      </c>
      <c r="E67" s="278">
        <f>1-D67</f>
        <v>0.91167446857228107</v>
      </c>
      <c r="G67" s="62"/>
    </row>
    <row r="68" spans="1:7" x14ac:dyDescent="0.25">
      <c r="A68" s="44"/>
      <c r="B68" s="44" t="s">
        <v>243</v>
      </c>
      <c r="C68" s="31"/>
      <c r="D68" s="441">
        <f>D11</f>
        <v>0.1157</v>
      </c>
      <c r="E68" s="442">
        <f>1-D68</f>
        <v>0.88429999999999997</v>
      </c>
      <c r="G68" s="62"/>
    </row>
    <row r="69" spans="1:7" x14ac:dyDescent="0.25">
      <c r="A69" s="44"/>
      <c r="B69" s="44"/>
      <c r="C69" s="59"/>
      <c r="D69" s="440"/>
      <c r="E69" s="59"/>
      <c r="G69" s="62"/>
    </row>
    <row r="70" spans="1:7" x14ac:dyDescent="0.25">
      <c r="A70" s="44"/>
      <c r="B70" s="44" t="s">
        <v>245</v>
      </c>
      <c r="C70" s="59"/>
      <c r="D70" s="440">
        <f>ROUND(AVERAGE(D66:D68),4)</f>
        <v>0.1075</v>
      </c>
      <c r="E70" s="440">
        <f>ROUND(AVERAGE(E66:E68),4)</f>
        <v>0.89249999999999996</v>
      </c>
      <c r="G70" s="62"/>
    </row>
    <row r="71" spans="1:7" x14ac:dyDescent="0.25">
      <c r="A71" s="44"/>
      <c r="B71" s="44"/>
      <c r="C71" s="59"/>
      <c r="D71" s="59"/>
      <c r="E71" s="59"/>
      <c r="G71" s="62"/>
    </row>
    <row r="72" spans="1:7" x14ac:dyDescent="0.25">
      <c r="A72" s="44"/>
      <c r="B72" s="44"/>
      <c r="C72" s="59"/>
      <c r="D72" s="59"/>
      <c r="E72" s="46"/>
      <c r="F72" s="59"/>
      <c r="G72" s="62"/>
    </row>
    <row r="73" spans="1:7" x14ac:dyDescent="0.25">
      <c r="A73" s="51" t="s">
        <v>248</v>
      </c>
      <c r="B73" s="51"/>
      <c r="C73" s="52"/>
      <c r="D73" s="52"/>
      <c r="E73" s="52"/>
      <c r="F73" s="52"/>
      <c r="G73" s="65"/>
    </row>
    <row r="74" spans="1:7" x14ac:dyDescent="0.25">
      <c r="A74" s="51"/>
      <c r="B74" s="51"/>
      <c r="C74" s="52"/>
      <c r="D74" s="52"/>
      <c r="E74" s="52"/>
      <c r="F74" s="52"/>
      <c r="G74" s="65"/>
    </row>
    <row r="75" spans="1:7" x14ac:dyDescent="0.25">
      <c r="A75" s="54" t="s">
        <v>558</v>
      </c>
      <c r="B75" s="51"/>
      <c r="C75" s="53" t="s">
        <v>10</v>
      </c>
      <c r="D75" s="53" t="s">
        <v>11</v>
      </c>
      <c r="E75" s="53" t="s">
        <v>12</v>
      </c>
      <c r="G75" s="67"/>
    </row>
    <row r="76" spans="1:7" x14ac:dyDescent="0.25">
      <c r="A76" s="44"/>
      <c r="B76" s="51"/>
      <c r="C76" s="52"/>
      <c r="D76" s="52"/>
      <c r="E76" s="52"/>
      <c r="G76" s="62"/>
    </row>
    <row r="77" spans="1:7" x14ac:dyDescent="0.25">
      <c r="A77" s="44"/>
      <c r="B77" s="51" t="s">
        <v>251</v>
      </c>
      <c r="C77" s="52">
        <f>D77+E77</f>
        <v>84795.27</v>
      </c>
      <c r="D77" s="443">
        <v>447</v>
      </c>
      <c r="E77" s="443">
        <v>84348.27</v>
      </c>
      <c r="F77" s="137"/>
      <c r="G77" s="62"/>
    </row>
    <row r="78" spans="1:7" x14ac:dyDescent="0.25">
      <c r="A78" s="44"/>
      <c r="B78" s="51" t="s">
        <v>253</v>
      </c>
      <c r="C78" s="52">
        <f>D78+E78</f>
        <v>675198</v>
      </c>
      <c r="D78" s="425">
        <v>0</v>
      </c>
      <c r="E78" s="425">
        <v>675198</v>
      </c>
      <c r="F78" s="137"/>
      <c r="G78" s="62"/>
    </row>
    <row r="79" spans="1:7" x14ac:dyDescent="0.25">
      <c r="A79" s="44"/>
      <c r="B79" s="51" t="s">
        <v>255</v>
      </c>
      <c r="C79" s="52">
        <f>D79+E79</f>
        <v>201360155.72999984</v>
      </c>
      <c r="D79" s="425">
        <v>1115634.2599999998</v>
      </c>
      <c r="E79" s="425">
        <v>200244521.46999985</v>
      </c>
      <c r="F79" s="137"/>
      <c r="G79" s="62"/>
    </row>
    <row r="80" spans="1:7" x14ac:dyDescent="0.25">
      <c r="A80" s="44"/>
      <c r="B80" s="51" t="s">
        <v>256</v>
      </c>
      <c r="C80" s="52">
        <f>D80+E80</f>
        <v>2496966221.9099998</v>
      </c>
      <c r="D80" s="425">
        <v>316704624.39999998</v>
      </c>
      <c r="E80" s="425">
        <v>2180261597.5099998</v>
      </c>
      <c r="F80" s="137"/>
      <c r="G80" s="62"/>
    </row>
    <row r="81" spans="1:7" x14ac:dyDescent="0.25">
      <c r="A81" s="51"/>
      <c r="B81" s="51"/>
      <c r="C81" s="52"/>
      <c r="D81" s="52"/>
      <c r="E81" s="52"/>
      <c r="F81" s="66"/>
      <c r="G81" s="65"/>
    </row>
    <row r="82" spans="1:7" x14ac:dyDescent="0.25">
      <c r="A82" s="54" t="s">
        <v>543</v>
      </c>
      <c r="B82" s="51"/>
      <c r="C82" s="53" t="s">
        <v>10</v>
      </c>
      <c r="D82" s="53" t="s">
        <v>11</v>
      </c>
      <c r="E82" s="53" t="s">
        <v>12</v>
      </c>
      <c r="F82" s="47"/>
      <c r="G82" s="67"/>
    </row>
    <row r="83" spans="1:7" x14ac:dyDescent="0.25">
      <c r="A83" s="54"/>
      <c r="B83" s="51"/>
      <c r="C83" s="52"/>
      <c r="D83" s="52"/>
      <c r="E83" s="52"/>
      <c r="F83" s="299"/>
      <c r="G83" s="62"/>
    </row>
    <row r="84" spans="1:7" x14ac:dyDescent="0.25">
      <c r="A84" s="44"/>
      <c r="B84" s="51" t="s">
        <v>260</v>
      </c>
      <c r="C84" s="52">
        <f>D84+E84</f>
        <v>84795.27</v>
      </c>
      <c r="D84" s="443">
        <v>447</v>
      </c>
      <c r="E84" s="443">
        <v>84348.27</v>
      </c>
      <c r="F84" s="299"/>
      <c r="G84" s="62"/>
    </row>
    <row r="85" spans="1:7" x14ac:dyDescent="0.25">
      <c r="A85" s="44"/>
      <c r="B85" s="51" t="s">
        <v>253</v>
      </c>
      <c r="C85" s="52">
        <f>D85+E85</f>
        <v>675198</v>
      </c>
      <c r="D85" s="425">
        <v>0</v>
      </c>
      <c r="E85" s="425">
        <v>675198</v>
      </c>
      <c r="F85" s="299"/>
      <c r="G85" s="62"/>
    </row>
    <row r="86" spans="1:7" x14ac:dyDescent="0.25">
      <c r="A86" s="44"/>
      <c r="B86" s="51" t="s">
        <v>255</v>
      </c>
      <c r="C86" s="52">
        <f>D86+E86</f>
        <v>192013583.39999992</v>
      </c>
      <c r="D86" s="425">
        <v>1115001.07</v>
      </c>
      <c r="E86" s="425">
        <v>190898582.32999992</v>
      </c>
      <c r="F86" s="299"/>
      <c r="G86" s="62"/>
    </row>
    <row r="87" spans="1:7" x14ac:dyDescent="0.25">
      <c r="A87" s="44"/>
      <c r="B87" s="51" t="s">
        <v>256</v>
      </c>
      <c r="C87" s="52">
        <f>D87+E87</f>
        <v>2373283799.6799998</v>
      </c>
      <c r="D87" s="425">
        <v>305117836.14000005</v>
      </c>
      <c r="E87" s="425">
        <v>2068165963.5399997</v>
      </c>
      <c r="F87" s="299"/>
      <c r="G87" s="62"/>
    </row>
    <row r="88" spans="1:7" x14ac:dyDescent="0.25">
      <c r="A88" s="51"/>
      <c r="B88" s="51"/>
      <c r="C88" s="52"/>
      <c r="D88" s="52"/>
      <c r="E88" s="52"/>
      <c r="F88" s="299"/>
      <c r="G88" s="65"/>
    </row>
    <row r="89" spans="1:7" x14ac:dyDescent="0.25">
      <c r="A89" s="54" t="s">
        <v>53</v>
      </c>
      <c r="B89" s="51"/>
      <c r="C89" s="53" t="s">
        <v>10</v>
      </c>
      <c r="D89" s="53" t="s">
        <v>11</v>
      </c>
      <c r="E89" s="53" t="s">
        <v>12</v>
      </c>
      <c r="G89" s="67"/>
    </row>
    <row r="90" spans="1:7" x14ac:dyDescent="0.25">
      <c r="A90" s="44"/>
      <c r="B90" s="51"/>
      <c r="C90" s="52"/>
      <c r="D90" s="52"/>
      <c r="E90" s="52"/>
      <c r="G90" s="62"/>
    </row>
    <row r="91" spans="1:7" x14ac:dyDescent="0.25">
      <c r="A91" s="44"/>
      <c r="B91" s="51" t="s">
        <v>251</v>
      </c>
      <c r="C91" s="52">
        <f>+E91+D91</f>
        <v>84795.27</v>
      </c>
      <c r="D91" s="52">
        <f t="shared" ref="D91:E94" si="0">(+D84+D77)/2</f>
        <v>447</v>
      </c>
      <c r="E91" s="52">
        <f t="shared" si="0"/>
        <v>84348.27</v>
      </c>
      <c r="G91" s="62"/>
    </row>
    <row r="92" spans="1:7" x14ac:dyDescent="0.25">
      <c r="A92" s="44"/>
      <c r="B92" s="51" t="s">
        <v>253</v>
      </c>
      <c r="C92" s="52">
        <f>+E92+D92</f>
        <v>675198</v>
      </c>
      <c r="D92" s="52">
        <f t="shared" si="0"/>
        <v>0</v>
      </c>
      <c r="E92" s="52">
        <f t="shared" si="0"/>
        <v>675198</v>
      </c>
      <c r="G92" s="62"/>
    </row>
    <row r="93" spans="1:7" x14ac:dyDescent="0.25">
      <c r="A93" s="44"/>
      <c r="B93" s="51" t="s">
        <v>255</v>
      </c>
      <c r="C93" s="52">
        <f>+E93+D93</f>
        <v>196686869.56499988</v>
      </c>
      <c r="D93" s="52">
        <f t="shared" si="0"/>
        <v>1115317.665</v>
      </c>
      <c r="E93" s="52">
        <f t="shared" si="0"/>
        <v>195571551.89999989</v>
      </c>
      <c r="G93" s="62"/>
    </row>
    <row r="94" spans="1:7" x14ac:dyDescent="0.25">
      <c r="A94" s="44"/>
      <c r="B94" s="51" t="s">
        <v>256</v>
      </c>
      <c r="C94" s="52">
        <f>+E94+D94</f>
        <v>2435125010.7949996</v>
      </c>
      <c r="D94" s="52">
        <f t="shared" si="0"/>
        <v>310911230.26999998</v>
      </c>
      <c r="E94" s="52">
        <f t="shared" si="0"/>
        <v>2124213780.5249996</v>
      </c>
      <c r="G94" s="62"/>
    </row>
    <row r="95" spans="1:7" x14ac:dyDescent="0.25">
      <c r="A95" s="51"/>
      <c r="B95" s="51"/>
      <c r="C95" s="52"/>
      <c r="D95" s="52"/>
      <c r="E95" s="52"/>
      <c r="G95" s="65"/>
    </row>
    <row r="96" spans="1:7" x14ac:dyDescent="0.25">
      <c r="A96" s="51" t="s">
        <v>239</v>
      </c>
      <c r="B96" s="51"/>
      <c r="C96" s="52">
        <f>SUM(C91:C95)</f>
        <v>2632571873.6299996</v>
      </c>
      <c r="D96" s="52">
        <f>SUM(D91:D95)</f>
        <v>312026994.935</v>
      </c>
      <c r="E96" s="52">
        <f>SUM(E91:E95)</f>
        <v>2320544878.6949997</v>
      </c>
      <c r="G96" s="65"/>
    </row>
    <row r="97" spans="1:8" x14ac:dyDescent="0.25">
      <c r="A97" s="44"/>
      <c r="B97" s="44" t="s">
        <v>139</v>
      </c>
      <c r="C97" s="52"/>
      <c r="D97" s="133">
        <f>ROUND(D96/C96,4)</f>
        <v>0.11849999999999999</v>
      </c>
      <c r="E97" s="133">
        <f>1-D97</f>
        <v>0.88149999999999995</v>
      </c>
      <c r="G97" s="62"/>
    </row>
    <row r="98" spans="1:8" x14ac:dyDescent="0.25">
      <c r="A98" s="44"/>
      <c r="B98" s="44"/>
      <c r="C98" s="52"/>
      <c r="D98" s="133"/>
      <c r="E98" s="133"/>
      <c r="G98" s="62"/>
    </row>
    <row r="99" spans="1:8" x14ac:dyDescent="0.25">
      <c r="A99" s="44"/>
      <c r="B99" s="44"/>
      <c r="C99" s="52"/>
      <c r="D99" s="133"/>
      <c r="E99" s="133"/>
      <c r="G99" s="62"/>
    </row>
    <row r="100" spans="1:8" x14ac:dyDescent="0.25">
      <c r="A100" s="44"/>
      <c r="B100" s="44"/>
      <c r="C100" s="52"/>
      <c r="D100" s="133"/>
      <c r="E100" s="133"/>
      <c r="G100" s="62"/>
    </row>
    <row r="101" spans="1:8" x14ac:dyDescent="0.25">
      <c r="A101" s="44"/>
      <c r="B101" s="44"/>
      <c r="C101" s="52"/>
      <c r="D101" s="133"/>
      <c r="E101" s="133"/>
      <c r="G101" s="62"/>
    </row>
    <row r="102" spans="1:8" x14ac:dyDescent="0.25">
      <c r="A102" s="44"/>
      <c r="B102" s="51"/>
      <c r="C102" s="52"/>
      <c r="D102" s="52"/>
      <c r="E102" s="52"/>
      <c r="G102" s="62"/>
    </row>
    <row r="103" spans="1:8" x14ac:dyDescent="0.25">
      <c r="A103" s="55" t="s">
        <v>336</v>
      </c>
      <c r="B103" s="56"/>
      <c r="C103" s="49" t="s">
        <v>11</v>
      </c>
      <c r="D103" s="68" t="s">
        <v>12</v>
      </c>
      <c r="E103" s="57"/>
      <c r="G103" s="64"/>
    </row>
    <row r="104" spans="1:8" x14ac:dyDescent="0.25">
      <c r="A104" s="58"/>
      <c r="B104" s="48"/>
      <c r="C104" s="444"/>
      <c r="D104" s="59"/>
      <c r="E104" s="59"/>
      <c r="G104" s="45"/>
    </row>
    <row r="105" spans="1:8" x14ac:dyDescent="0.25">
      <c r="A105" s="58"/>
      <c r="B105" s="50" t="s">
        <v>72</v>
      </c>
      <c r="C105" s="220">
        <f>ROUND(D11,4)</f>
        <v>0.1157</v>
      </c>
      <c r="D105" s="445">
        <f t="shared" ref="D105:D115" si="1">1-C105</f>
        <v>0.88429999999999997</v>
      </c>
      <c r="E105" s="446"/>
      <c r="F105" s="447"/>
      <c r="G105" s="447"/>
      <c r="H105" s="558"/>
    </row>
    <row r="106" spans="1:8" x14ac:dyDescent="0.25">
      <c r="A106" s="58"/>
      <c r="B106" s="50" t="s">
        <v>367</v>
      </c>
      <c r="C106" s="220">
        <f>ROUND(D17,4)</f>
        <v>0.11550000000000001</v>
      </c>
      <c r="D106" s="445">
        <f t="shared" si="1"/>
        <v>0.88449999999999995</v>
      </c>
      <c r="E106" s="446"/>
      <c r="F106" s="447"/>
      <c r="G106" s="447"/>
      <c r="H106" s="558"/>
    </row>
    <row r="107" spans="1:8" x14ac:dyDescent="0.25">
      <c r="A107" s="58"/>
      <c r="B107" s="50" t="s">
        <v>368</v>
      </c>
      <c r="C107" s="220">
        <f>ROUND(D23,4)</f>
        <v>0.1051</v>
      </c>
      <c r="D107" s="445">
        <f t="shared" si="1"/>
        <v>0.89490000000000003</v>
      </c>
      <c r="E107" s="446"/>
      <c r="F107" s="447"/>
      <c r="G107" s="447"/>
      <c r="H107" s="558"/>
    </row>
    <row r="108" spans="1:8" x14ac:dyDescent="0.25">
      <c r="A108" s="58"/>
      <c r="B108" s="50" t="s">
        <v>369</v>
      </c>
      <c r="C108" s="220">
        <f>ROUND(D29,4)</f>
        <v>7.6899999999999996E-2</v>
      </c>
      <c r="D108" s="445">
        <f t="shared" si="1"/>
        <v>0.92310000000000003</v>
      </c>
      <c r="E108" s="446"/>
      <c r="F108" s="447"/>
      <c r="G108" s="447"/>
      <c r="H108" s="558"/>
    </row>
    <row r="109" spans="1:8" x14ac:dyDescent="0.25">
      <c r="A109" s="58"/>
      <c r="B109" s="50" t="s">
        <v>271</v>
      </c>
      <c r="C109" s="220">
        <f>ROUND(D35,4)</f>
        <v>0.25240000000000001</v>
      </c>
      <c r="D109" s="445">
        <f t="shared" si="1"/>
        <v>0.74760000000000004</v>
      </c>
      <c r="E109" s="446"/>
      <c r="F109" s="447"/>
      <c r="G109" s="447"/>
      <c r="H109" s="558"/>
    </row>
    <row r="110" spans="1:8" x14ac:dyDescent="0.25">
      <c r="A110" s="58"/>
      <c r="B110" s="50" t="s">
        <v>136</v>
      </c>
      <c r="C110" s="220">
        <f>ROUND(D70,4)</f>
        <v>0.1075</v>
      </c>
      <c r="D110" s="445">
        <f t="shared" si="1"/>
        <v>0.89249999999999996</v>
      </c>
      <c r="E110" s="446"/>
      <c r="F110" s="447"/>
      <c r="G110" s="447"/>
      <c r="H110" s="558"/>
    </row>
    <row r="111" spans="1:8" x14ac:dyDescent="0.25">
      <c r="A111" s="58"/>
      <c r="B111" s="50" t="s">
        <v>534</v>
      </c>
      <c r="C111" s="220">
        <f>ROUND(D53,4)</f>
        <v>0.1089</v>
      </c>
      <c r="D111" s="445">
        <f t="shared" si="1"/>
        <v>0.8911</v>
      </c>
      <c r="E111" s="446"/>
      <c r="F111" s="447"/>
      <c r="G111" s="447"/>
      <c r="H111" s="558"/>
    </row>
    <row r="112" spans="1:8" x14ac:dyDescent="0.25">
      <c r="A112" s="58"/>
      <c r="B112" s="50" t="s">
        <v>272</v>
      </c>
      <c r="C112" s="220">
        <f>ROUND(D56,4)</f>
        <v>0.10349999999999999</v>
      </c>
      <c r="D112" s="445">
        <f t="shared" si="1"/>
        <v>0.89649999999999996</v>
      </c>
      <c r="E112" s="446"/>
      <c r="F112" s="447"/>
      <c r="G112" s="447"/>
      <c r="H112" s="558"/>
    </row>
    <row r="113" spans="1:8" x14ac:dyDescent="0.25">
      <c r="A113" s="58"/>
      <c r="B113" s="50" t="s">
        <v>273</v>
      </c>
      <c r="C113" s="220">
        <f>ROUND(D59,4)</f>
        <v>8.5800000000000001E-2</v>
      </c>
      <c r="D113" s="445">
        <f t="shared" si="1"/>
        <v>0.91420000000000001</v>
      </c>
      <c r="E113" s="446"/>
      <c r="F113" s="447"/>
      <c r="G113" s="447"/>
      <c r="H113" s="558"/>
    </row>
    <row r="114" spans="1:8" x14ac:dyDescent="0.25">
      <c r="A114" s="58"/>
      <c r="B114" s="50" t="s">
        <v>274</v>
      </c>
      <c r="C114" s="220">
        <f>1-D114</f>
        <v>9.4600000000000017E-2</v>
      </c>
      <c r="D114" s="445">
        <f>ROUND((+D112+D113)/2,4)</f>
        <v>0.90539999999999998</v>
      </c>
      <c r="E114" s="446"/>
      <c r="F114" s="447"/>
      <c r="G114" s="447"/>
      <c r="H114" s="558"/>
    </row>
    <row r="115" spans="1:8" x14ac:dyDescent="0.25">
      <c r="A115" s="58"/>
      <c r="B115" s="50" t="s">
        <v>370</v>
      </c>
      <c r="C115" s="220">
        <f>D41</f>
        <v>0.15870000000000001</v>
      </c>
      <c r="D115" s="445">
        <f t="shared" si="1"/>
        <v>0.84129999999999994</v>
      </c>
      <c r="E115" s="446"/>
      <c r="F115" s="447"/>
      <c r="G115" s="447"/>
      <c r="H115" s="558"/>
    </row>
    <row r="116" spans="1:8" x14ac:dyDescent="0.25">
      <c r="A116" s="58"/>
      <c r="B116" s="50" t="s">
        <v>371</v>
      </c>
      <c r="C116" s="220">
        <f>ROUND(C115*0.8,4)</f>
        <v>0.127</v>
      </c>
      <c r="D116" s="445">
        <f>ROUND(0.2+D115*0.8,4)</f>
        <v>0.873</v>
      </c>
      <c r="E116" s="446"/>
      <c r="F116" s="447"/>
      <c r="G116" s="447"/>
      <c r="H116" s="558"/>
    </row>
    <row r="117" spans="1:8" x14ac:dyDescent="0.25">
      <c r="A117" s="58"/>
      <c r="B117" s="50" t="s">
        <v>372</v>
      </c>
      <c r="C117" s="220">
        <f>D47</f>
        <v>0.15620000000000001</v>
      </c>
      <c r="D117" s="445">
        <f>1-C117</f>
        <v>0.84379999999999999</v>
      </c>
      <c r="E117" s="446"/>
      <c r="F117" s="447"/>
      <c r="G117" s="447"/>
      <c r="H117" s="558"/>
    </row>
    <row r="118" spans="1:8" x14ac:dyDescent="0.25">
      <c r="A118" s="58"/>
      <c r="B118" s="50" t="s">
        <v>36</v>
      </c>
      <c r="C118" s="448">
        <v>9.9817000000000045E-2</v>
      </c>
      <c r="D118" s="445">
        <f t="shared" ref="D118:D131" si="2">1-C118</f>
        <v>0.90018299999999996</v>
      </c>
      <c r="E118" s="446"/>
      <c r="F118" s="447"/>
      <c r="G118" s="447"/>
      <c r="H118" s="558"/>
    </row>
    <row r="119" spans="1:8" x14ac:dyDescent="0.25">
      <c r="A119" s="58"/>
      <c r="B119" s="50" t="s">
        <v>373</v>
      </c>
      <c r="C119" s="448">
        <v>0.11277400000000004</v>
      </c>
      <c r="D119" s="445">
        <f t="shared" si="2"/>
        <v>0.88722599999999996</v>
      </c>
      <c r="E119" s="446"/>
      <c r="F119" s="447"/>
      <c r="G119" s="447"/>
      <c r="H119" s="558"/>
    </row>
    <row r="120" spans="1:8" x14ac:dyDescent="0.25">
      <c r="A120" s="58"/>
      <c r="B120" s="44" t="s">
        <v>201</v>
      </c>
      <c r="C120" s="448">
        <v>0.10481600000000002</v>
      </c>
      <c r="D120" s="445">
        <f t="shared" si="2"/>
        <v>0.89518399999999998</v>
      </c>
      <c r="E120" s="446"/>
      <c r="F120" s="447"/>
      <c r="G120" s="447"/>
      <c r="H120" s="558"/>
    </row>
    <row r="121" spans="1:8" x14ac:dyDescent="0.25">
      <c r="A121" s="58"/>
      <c r="B121" s="48" t="s">
        <v>276</v>
      </c>
      <c r="C121" s="220">
        <v>0.30000000000000004</v>
      </c>
      <c r="D121" s="445">
        <f t="shared" si="2"/>
        <v>0.7</v>
      </c>
      <c r="E121" s="446"/>
      <c r="F121" s="447"/>
      <c r="G121" s="447"/>
      <c r="H121" s="558"/>
    </row>
    <row r="122" spans="1:8" x14ac:dyDescent="0.25">
      <c r="A122" s="58"/>
      <c r="B122" s="48" t="s">
        <v>278</v>
      </c>
      <c r="C122" s="220">
        <v>0.1428571428571429</v>
      </c>
      <c r="D122" s="445">
        <f t="shared" si="2"/>
        <v>0.8571428571428571</v>
      </c>
      <c r="E122" s="446"/>
      <c r="F122" s="447"/>
      <c r="G122" s="447"/>
      <c r="H122" s="558"/>
    </row>
    <row r="123" spans="1:8" x14ac:dyDescent="0.25">
      <c r="A123" s="58"/>
      <c r="B123" s="50" t="s">
        <v>279</v>
      </c>
      <c r="C123" s="220">
        <v>1</v>
      </c>
      <c r="D123" s="445">
        <f t="shared" si="2"/>
        <v>0</v>
      </c>
      <c r="E123" s="446"/>
      <c r="F123" s="447"/>
      <c r="G123" s="447"/>
      <c r="H123" s="558"/>
    </row>
    <row r="124" spans="1:8" x14ac:dyDescent="0.25">
      <c r="A124" s="58"/>
      <c r="B124" s="50" t="s">
        <v>280</v>
      </c>
      <c r="C124" s="220">
        <v>0</v>
      </c>
      <c r="D124" s="445">
        <f t="shared" si="2"/>
        <v>1</v>
      </c>
      <c r="E124" s="446"/>
      <c r="F124" s="447"/>
      <c r="G124" s="447"/>
      <c r="H124" s="558"/>
    </row>
    <row r="125" spans="1:8" x14ac:dyDescent="0.25">
      <c r="A125" s="58"/>
      <c r="B125" s="48" t="s">
        <v>281</v>
      </c>
      <c r="C125" s="445">
        <f>D97</f>
        <v>0.11849999999999999</v>
      </c>
      <c r="D125" s="445">
        <f t="shared" si="2"/>
        <v>0.88149999999999995</v>
      </c>
      <c r="E125" s="446"/>
      <c r="F125" s="447"/>
      <c r="G125" s="447"/>
      <c r="H125" s="558"/>
    </row>
    <row r="126" spans="1:8" x14ac:dyDescent="0.25">
      <c r="A126" s="58"/>
      <c r="B126" s="48" t="s">
        <v>255</v>
      </c>
      <c r="C126" s="445">
        <v>1.2272154210270392E-2</v>
      </c>
      <c r="D126" s="445">
        <f t="shared" si="2"/>
        <v>0.98772784578972961</v>
      </c>
      <c r="E126" s="446"/>
      <c r="F126" s="447"/>
      <c r="G126" s="447"/>
      <c r="H126" s="558"/>
    </row>
    <row r="127" spans="1:8" x14ac:dyDescent="0.25">
      <c r="A127" s="60"/>
      <c r="B127" s="61" t="s">
        <v>282</v>
      </c>
      <c r="C127" s="120">
        <f>ROUND(1-'Other Rev, Dep &amp; Other Tax'!B32,4)</f>
        <v>0.11559999999999999</v>
      </c>
      <c r="D127" s="445">
        <f t="shared" si="2"/>
        <v>0.88439999999999996</v>
      </c>
      <c r="E127" s="446"/>
      <c r="F127" s="447"/>
      <c r="G127" s="447"/>
      <c r="H127" s="558"/>
    </row>
    <row r="128" spans="1:8" x14ac:dyDescent="0.25">
      <c r="A128" s="60"/>
      <c r="B128" s="61" t="s">
        <v>250</v>
      </c>
      <c r="C128" s="220">
        <f>ROUND('Rate Base'!E145,4)</f>
        <v>0.1318</v>
      </c>
      <c r="D128" s="445">
        <f t="shared" si="2"/>
        <v>0.86819999999999997</v>
      </c>
      <c r="E128" s="446"/>
      <c r="F128" s="447"/>
      <c r="G128" s="447"/>
      <c r="H128" s="558"/>
    </row>
    <row r="129" spans="2:8" x14ac:dyDescent="0.25">
      <c r="B129" s="297" t="s">
        <v>256</v>
      </c>
      <c r="C129" s="220">
        <v>0.12780000000000002</v>
      </c>
      <c r="D129" s="445">
        <f t="shared" si="2"/>
        <v>0.87219999999999998</v>
      </c>
      <c r="F129" s="447"/>
      <c r="G129" s="447"/>
      <c r="H129" s="558"/>
    </row>
    <row r="130" spans="2:8" x14ac:dyDescent="0.25">
      <c r="B130" s="297" t="s">
        <v>565</v>
      </c>
      <c r="C130" s="220">
        <v>6.7307692307692291E-2</v>
      </c>
      <c r="D130" s="445">
        <f t="shared" si="2"/>
        <v>0.93269230769230771</v>
      </c>
      <c r="F130" s="447"/>
      <c r="G130" s="447"/>
      <c r="H130" s="558"/>
    </row>
    <row r="131" spans="2:8" x14ac:dyDescent="0.25">
      <c r="B131" s="297" t="s">
        <v>566</v>
      </c>
      <c r="C131" s="220">
        <v>3.3200000000000007E-2</v>
      </c>
      <c r="D131" s="445">
        <f t="shared" si="2"/>
        <v>0.96679999999999999</v>
      </c>
      <c r="F131" s="447"/>
      <c r="G131" s="447"/>
      <c r="H131" s="558"/>
    </row>
    <row r="132" spans="2:8" x14ac:dyDescent="0.25">
      <c r="F132" s="447"/>
      <c r="G132" s="62"/>
    </row>
  </sheetData>
  <phoneticPr fontId="0" type="noConversion"/>
  <printOptions horizontalCentered="1"/>
  <pageMargins left="0.75" right="0.75" top="1" bottom="1" header="0.5" footer="0.5"/>
  <pageSetup fitToHeight="0" orientation="portrait" r:id="rId1"/>
  <headerFooter alignWithMargins="0"/>
  <rowBreaks count="2" manualBreakCount="2">
    <brk id="49" max="16383" man="1"/>
    <brk id="9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  <pageSetUpPr fitToPage="1"/>
  </sheetPr>
  <dimension ref="A1:H53"/>
  <sheetViews>
    <sheetView workbookViewId="0">
      <pane xSplit="2" ySplit="7" topLeftCell="C17" activePane="bottomRight" state="frozen"/>
      <selection pane="topRight"/>
      <selection pane="bottomLeft"/>
      <selection pane="bottomRight"/>
    </sheetView>
  </sheetViews>
  <sheetFormatPr defaultColWidth="8.81640625" defaultRowHeight="12.5" x14ac:dyDescent="0.25"/>
  <cols>
    <col min="1" max="1" width="5.7265625" style="30" customWidth="1"/>
    <col min="2" max="2" width="18.7265625" style="30" customWidth="1"/>
    <col min="3" max="4" width="16.7265625" style="30" customWidth="1"/>
    <col min="5" max="5" width="16.7265625" style="41" customWidth="1"/>
    <col min="6" max="6" width="14.7265625" style="41" customWidth="1"/>
    <col min="7" max="7" width="3.7265625" style="41" customWidth="1"/>
    <col min="8" max="10" width="16.7265625" style="30" customWidth="1"/>
    <col min="11" max="14" width="20.7265625" style="30" customWidth="1"/>
    <col min="15" max="27" width="13.7265625" style="30" customWidth="1"/>
    <col min="28" max="16384" width="8.81640625" style="30"/>
  </cols>
  <sheetData>
    <row r="1" spans="1:5" x14ac:dyDescent="0.25">
      <c r="A1" s="24" t="str">
        <f>+'Page 1'!A1</f>
        <v>NW Natural</v>
      </c>
    </row>
    <row r="2" spans="1:5" x14ac:dyDescent="0.25">
      <c r="A2" s="24" t="str">
        <f>+'Page 1'!A2</f>
        <v>Washington Annual Commission Basis Report</v>
      </c>
    </row>
    <row r="3" spans="1:5" x14ac:dyDescent="0.25">
      <c r="A3" s="24" t="str">
        <f>+'Page 1'!A3</f>
        <v>Twelve Months Ended December 31, 2020</v>
      </c>
    </row>
    <row r="4" spans="1:5" x14ac:dyDescent="0.25">
      <c r="A4" s="24"/>
    </row>
    <row r="5" spans="1:5" x14ac:dyDescent="0.25">
      <c r="A5" s="24"/>
    </row>
    <row r="6" spans="1:5" x14ac:dyDescent="0.25">
      <c r="A6" s="24" t="s">
        <v>469</v>
      </c>
    </row>
    <row r="7" spans="1:5" ht="13" thickBot="1" x14ac:dyDescent="0.3"/>
    <row r="8" spans="1:5" ht="13" thickBot="1" x14ac:dyDescent="0.3">
      <c r="A8" s="204">
        <v>1</v>
      </c>
      <c r="B8" s="201" t="s">
        <v>470</v>
      </c>
      <c r="C8" s="202"/>
      <c r="D8" s="202"/>
      <c r="E8" s="203"/>
    </row>
    <row r="9" spans="1:5" x14ac:dyDescent="0.25">
      <c r="A9" s="204">
        <f>+A8+1</f>
        <v>2</v>
      </c>
    </row>
    <row r="10" spans="1:5" x14ac:dyDescent="0.25">
      <c r="A10" s="204">
        <f t="shared" ref="A10:A53" si="0">+A9+1</f>
        <v>3</v>
      </c>
      <c r="B10" s="24" t="s">
        <v>459</v>
      </c>
      <c r="C10" s="24"/>
      <c r="D10" s="24"/>
      <c r="E10" s="92">
        <f>+'Page 1'!C13</f>
        <v>72734866.19855766</v>
      </c>
    </row>
    <row r="11" spans="1:5" x14ac:dyDescent="0.25">
      <c r="A11" s="204">
        <f t="shared" si="0"/>
        <v>4</v>
      </c>
      <c r="E11" s="92"/>
    </row>
    <row r="12" spans="1:5" x14ac:dyDescent="0.25">
      <c r="A12" s="204">
        <f t="shared" si="0"/>
        <v>5</v>
      </c>
      <c r="B12" s="30" t="s">
        <v>471</v>
      </c>
      <c r="E12" s="92">
        <f>+SUM('Page 1'!C16:C18)</f>
        <v>43703835.113878168</v>
      </c>
    </row>
    <row r="13" spans="1:5" x14ac:dyDescent="0.25">
      <c r="A13" s="204">
        <f t="shared" si="0"/>
        <v>6</v>
      </c>
      <c r="B13" s="30" t="s">
        <v>461</v>
      </c>
      <c r="E13" s="93">
        <f>+SUM('Page 1'!C21:C24)</f>
        <v>18011545.45013085</v>
      </c>
    </row>
    <row r="14" spans="1:5" x14ac:dyDescent="0.25">
      <c r="A14" s="204">
        <f t="shared" si="0"/>
        <v>7</v>
      </c>
      <c r="B14" s="30" t="s">
        <v>169</v>
      </c>
      <c r="E14" s="92"/>
    </row>
    <row r="15" spans="1:5" x14ac:dyDescent="0.25">
      <c r="A15" s="204">
        <f t="shared" si="0"/>
        <v>8</v>
      </c>
      <c r="B15" s="24" t="s">
        <v>462</v>
      </c>
      <c r="C15" s="24"/>
      <c r="D15" s="24"/>
      <c r="E15" s="95">
        <f>+E10-SUM(E12:E13)</f>
        <v>11019485.634548642</v>
      </c>
    </row>
    <row r="16" spans="1:5" x14ac:dyDescent="0.25">
      <c r="A16" s="204">
        <f t="shared" si="0"/>
        <v>9</v>
      </c>
      <c r="E16" s="92"/>
    </row>
    <row r="17" spans="1:8" x14ac:dyDescent="0.25">
      <c r="A17" s="204">
        <f t="shared" si="0"/>
        <v>10</v>
      </c>
      <c r="B17" s="131" t="s">
        <v>463</v>
      </c>
      <c r="C17" s="131"/>
      <c r="D17" s="131"/>
      <c r="E17" s="92"/>
    </row>
    <row r="18" spans="1:8" x14ac:dyDescent="0.25">
      <c r="A18" s="204">
        <f t="shared" si="0"/>
        <v>11</v>
      </c>
      <c r="B18" s="30" t="s">
        <v>464</v>
      </c>
      <c r="E18" s="99">
        <f>INDEX(Adjustments!$D$33:$K$33,'Executive Summary'!G18)</f>
        <v>993196.03408857551</v>
      </c>
      <c r="G18" s="204">
        <v>1</v>
      </c>
    </row>
    <row r="19" spans="1:8" x14ac:dyDescent="0.25">
      <c r="A19" s="204">
        <f t="shared" si="0"/>
        <v>12</v>
      </c>
      <c r="B19" s="30" t="s">
        <v>452</v>
      </c>
      <c r="E19" s="99">
        <f>INDEX(Adjustments!$D$33:$K$33,'Executive Summary'!G19)</f>
        <v>-50007.811013108629</v>
      </c>
      <c r="G19" s="204">
        <f t="shared" ref="G19:G24" si="1">+G18+1</f>
        <v>2</v>
      </c>
    </row>
    <row r="20" spans="1:8" x14ac:dyDescent="0.25">
      <c r="A20" s="204">
        <f t="shared" si="0"/>
        <v>13</v>
      </c>
      <c r="B20" s="30" t="s">
        <v>7</v>
      </c>
      <c r="E20" s="99">
        <f>INDEX(Adjustments!$D$33:$K$33,'Executive Summary'!G20)</f>
        <v>-69926.271637713464</v>
      </c>
      <c r="G20" s="204">
        <f t="shared" si="1"/>
        <v>3</v>
      </c>
    </row>
    <row r="21" spans="1:8" x14ac:dyDescent="0.25">
      <c r="A21" s="204">
        <f t="shared" si="0"/>
        <v>14</v>
      </c>
      <c r="B21" s="30" t="s">
        <v>465</v>
      </c>
      <c r="E21" s="99">
        <f>INDEX(Adjustments!$D$33:$K$33,'Executive Summary'!G21)</f>
        <v>13502.923512000038</v>
      </c>
      <c r="G21" s="204">
        <f t="shared" si="1"/>
        <v>4</v>
      </c>
    </row>
    <row r="22" spans="1:8" x14ac:dyDescent="0.25">
      <c r="A22" s="204">
        <f t="shared" si="0"/>
        <v>15</v>
      </c>
      <c r="B22" s="30" t="s">
        <v>419</v>
      </c>
      <c r="E22" s="99">
        <f>INDEX(Adjustments!$D$33:$K$33,'Executive Summary'!G22)</f>
        <v>0</v>
      </c>
      <c r="G22" s="204">
        <f t="shared" si="1"/>
        <v>5</v>
      </c>
    </row>
    <row r="23" spans="1:8" x14ac:dyDescent="0.25">
      <c r="A23" s="204">
        <f t="shared" si="0"/>
        <v>16</v>
      </c>
      <c r="B23" s="30" t="s">
        <v>467</v>
      </c>
      <c r="E23" s="99">
        <f>INDEX(Adjustments!$D$33:$K$33,'Executive Summary'!G23)</f>
        <v>389675</v>
      </c>
      <c r="G23" s="204">
        <f t="shared" si="1"/>
        <v>6</v>
      </c>
    </row>
    <row r="24" spans="1:8" x14ac:dyDescent="0.25">
      <c r="A24" s="204">
        <f t="shared" si="0"/>
        <v>17</v>
      </c>
      <c r="B24" s="30" t="s">
        <v>420</v>
      </c>
      <c r="E24" s="93">
        <f>INDEX(Adjustments!$D$33:$K$33,'Executive Summary'!G24)</f>
        <v>-2545</v>
      </c>
      <c r="G24" s="204">
        <f t="shared" si="1"/>
        <v>7</v>
      </c>
    </row>
    <row r="25" spans="1:8" x14ac:dyDescent="0.25">
      <c r="A25" s="204">
        <f t="shared" si="0"/>
        <v>18</v>
      </c>
      <c r="E25" s="92"/>
    </row>
    <row r="26" spans="1:8" x14ac:dyDescent="0.25">
      <c r="A26" s="204">
        <f t="shared" si="0"/>
        <v>19</v>
      </c>
      <c r="E26" s="92"/>
    </row>
    <row r="27" spans="1:8" ht="13" thickBot="1" x14ac:dyDescent="0.3">
      <c r="A27" s="204">
        <f t="shared" si="0"/>
        <v>20</v>
      </c>
      <c r="B27" s="24" t="s">
        <v>466</v>
      </c>
      <c r="C27" s="24"/>
      <c r="D27" s="24"/>
      <c r="E27" s="205">
        <f>SUM(E15:E24)</f>
        <v>12293380.509498397</v>
      </c>
      <c r="H27" s="41">
        <f>+Adjustments!M33</f>
        <v>12293380.509498402</v>
      </c>
    </row>
    <row r="28" spans="1:8" ht="13" thickTop="1" x14ac:dyDescent="0.25">
      <c r="A28" s="204">
        <f t="shared" si="0"/>
        <v>21</v>
      </c>
      <c r="E28" s="92"/>
    </row>
    <row r="29" spans="1:8" x14ac:dyDescent="0.25">
      <c r="A29" s="204">
        <f t="shared" si="0"/>
        <v>22</v>
      </c>
      <c r="B29" s="30" t="s">
        <v>250</v>
      </c>
      <c r="E29" s="92">
        <f>+'Page 1'!C41</f>
        <v>201863886.6437462</v>
      </c>
    </row>
    <row r="30" spans="1:8" x14ac:dyDescent="0.25">
      <c r="A30" s="204">
        <f t="shared" si="0"/>
        <v>23</v>
      </c>
      <c r="B30" s="30" t="s">
        <v>419</v>
      </c>
      <c r="E30" s="93">
        <f>+'Page 1'!D41</f>
        <v>50194.055937257719</v>
      </c>
    </row>
    <row r="31" spans="1:8" x14ac:dyDescent="0.25">
      <c r="A31" s="204">
        <f t="shared" si="0"/>
        <v>24</v>
      </c>
      <c r="E31" s="92"/>
    </row>
    <row r="32" spans="1:8" ht="13" thickBot="1" x14ac:dyDescent="0.3">
      <c r="A32" s="204">
        <f t="shared" si="0"/>
        <v>25</v>
      </c>
      <c r="B32" s="24" t="s">
        <v>468</v>
      </c>
      <c r="C32" s="24"/>
      <c r="D32" s="24"/>
      <c r="E32" s="205">
        <f>+E29+E30</f>
        <v>201914080.69968346</v>
      </c>
    </row>
    <row r="33" spans="1:7" ht="13" thickTop="1" x14ac:dyDescent="0.25">
      <c r="A33" s="204">
        <f t="shared" si="0"/>
        <v>26</v>
      </c>
    </row>
    <row r="34" spans="1:7" ht="13" thickBot="1" x14ac:dyDescent="0.3">
      <c r="A34" s="204">
        <f t="shared" si="0"/>
        <v>27</v>
      </c>
      <c r="B34" s="24" t="s">
        <v>397</v>
      </c>
      <c r="C34" s="24"/>
      <c r="D34" s="24"/>
      <c r="E34" s="186">
        <f>ROUND(+E27/E32,4)</f>
        <v>6.0900000000000003E-2</v>
      </c>
    </row>
    <row r="35" spans="1:7" ht="13" thickTop="1" x14ac:dyDescent="0.25">
      <c r="A35" s="204">
        <f t="shared" si="0"/>
        <v>28</v>
      </c>
      <c r="B35" s="24" t="s">
        <v>169</v>
      </c>
      <c r="C35" s="24"/>
      <c r="D35" s="24"/>
      <c r="E35" s="25"/>
    </row>
    <row r="36" spans="1:7" ht="13" thickBot="1" x14ac:dyDescent="0.3">
      <c r="A36" s="204">
        <f t="shared" si="0"/>
        <v>29</v>
      </c>
      <c r="B36" s="24" t="s">
        <v>398</v>
      </c>
      <c r="C36" s="24"/>
      <c r="D36" s="24"/>
      <c r="E36" s="186">
        <f>ROUND(((+E34-'Cost of Cap'!$E$12-'Cost of Cap'!$E$13-'Cost of Cap'!$E$14)/'Cost of Cap'!$C$15),4)</f>
        <v>8.1199999999999994E-2</v>
      </c>
    </row>
    <row r="37" spans="1:7" ht="13" thickTop="1" x14ac:dyDescent="0.25">
      <c r="A37" s="204">
        <f t="shared" si="0"/>
        <v>30</v>
      </c>
    </row>
    <row r="38" spans="1:7" x14ac:dyDescent="0.25">
      <c r="A38" s="204">
        <f t="shared" si="0"/>
        <v>31</v>
      </c>
    </row>
    <row r="39" spans="1:7" x14ac:dyDescent="0.25">
      <c r="A39" s="204">
        <f t="shared" si="0"/>
        <v>32</v>
      </c>
      <c r="B39" s="191"/>
      <c r="C39" s="97"/>
      <c r="D39" s="97"/>
      <c r="E39" s="192"/>
    </row>
    <row r="40" spans="1:7" x14ac:dyDescent="0.25">
      <c r="A40" s="204">
        <f t="shared" si="0"/>
        <v>33</v>
      </c>
      <c r="B40" s="125" t="s">
        <v>88</v>
      </c>
      <c r="C40" s="38"/>
      <c r="D40" s="38"/>
      <c r="E40" s="193"/>
    </row>
    <row r="41" spans="1:7" x14ac:dyDescent="0.25">
      <c r="A41" s="204">
        <f t="shared" si="0"/>
        <v>34</v>
      </c>
      <c r="B41" s="125"/>
      <c r="C41" s="38"/>
      <c r="D41" s="76"/>
      <c r="E41" s="193"/>
      <c r="F41" s="30"/>
      <c r="G41" s="30"/>
    </row>
    <row r="42" spans="1:7" x14ac:dyDescent="0.25">
      <c r="A42" s="204">
        <f t="shared" si="0"/>
        <v>35</v>
      </c>
      <c r="B42" s="132"/>
      <c r="C42" s="189" t="s">
        <v>428</v>
      </c>
      <c r="D42" s="190"/>
      <c r="E42" s="194"/>
      <c r="F42" s="30"/>
      <c r="G42" s="30"/>
    </row>
    <row r="43" spans="1:7" x14ac:dyDescent="0.25">
      <c r="A43" s="204">
        <f t="shared" si="0"/>
        <v>36</v>
      </c>
      <c r="B43" s="132"/>
      <c r="C43" s="187" t="s">
        <v>33</v>
      </c>
      <c r="D43" s="187"/>
      <c r="E43" s="195" t="s">
        <v>34</v>
      </c>
      <c r="F43" s="30"/>
      <c r="G43" s="30"/>
    </row>
    <row r="44" spans="1:7" x14ac:dyDescent="0.25">
      <c r="A44" s="204">
        <f t="shared" si="0"/>
        <v>37</v>
      </c>
      <c r="B44" s="132"/>
      <c r="C44" s="188" t="s">
        <v>55</v>
      </c>
      <c r="D44" s="188" t="s">
        <v>56</v>
      </c>
      <c r="E44" s="196" t="s">
        <v>57</v>
      </c>
      <c r="F44" s="30"/>
      <c r="G44" s="30"/>
    </row>
    <row r="45" spans="1:7" x14ac:dyDescent="0.25">
      <c r="A45" s="204">
        <f t="shared" si="0"/>
        <v>38</v>
      </c>
      <c r="B45" s="132"/>
      <c r="C45" s="38"/>
      <c r="D45" s="38"/>
      <c r="E45" s="193"/>
    </row>
    <row r="46" spans="1:7" x14ac:dyDescent="0.25">
      <c r="A46" s="204">
        <f t="shared" si="0"/>
        <v>39</v>
      </c>
      <c r="B46" s="132" t="s">
        <v>107</v>
      </c>
      <c r="C46" s="35">
        <f>+'Cost of Cap'!C12</f>
        <v>0.49717293252961547</v>
      </c>
      <c r="D46" s="35">
        <f>+'Cost of Cap'!D12</f>
        <v>4.6623259896920649E-2</v>
      </c>
      <c r="E46" s="197">
        <f>+'Cost of Cap'!E12</f>
        <v>2.3199999999999998E-2</v>
      </c>
      <c r="F46" s="30"/>
      <c r="G46" s="30"/>
    </row>
    <row r="47" spans="1:7" x14ac:dyDescent="0.25">
      <c r="A47" s="204">
        <f t="shared" si="0"/>
        <v>40</v>
      </c>
      <c r="B47" s="132" t="s">
        <v>112</v>
      </c>
      <c r="C47" s="35">
        <f>+'Cost of Cap'!C13</f>
        <v>4.4438625425151181E-2</v>
      </c>
      <c r="D47" s="35">
        <f>+'Cost of Cap'!D13</f>
        <v>1.2E-2</v>
      </c>
      <c r="E47" s="197">
        <f>+'Cost of Cap'!E13</f>
        <v>5.0000000000000001E-4</v>
      </c>
      <c r="F47" s="30"/>
      <c r="G47" s="30"/>
    </row>
    <row r="48" spans="1:7" x14ac:dyDescent="0.25">
      <c r="A48" s="204">
        <f t="shared" si="0"/>
        <v>41</v>
      </c>
      <c r="B48" s="132" t="s">
        <v>118</v>
      </c>
      <c r="C48" s="35">
        <f>+'Cost of Cap'!C14</f>
        <v>0</v>
      </c>
      <c r="D48" s="35">
        <f>+'Cost of Cap'!D14</f>
        <v>0</v>
      </c>
      <c r="E48" s="197">
        <f>+'Cost of Cap'!E14</f>
        <v>0</v>
      </c>
      <c r="F48" s="30"/>
      <c r="G48" s="30"/>
    </row>
    <row r="49" spans="1:7" x14ac:dyDescent="0.25">
      <c r="A49" s="204">
        <f t="shared" si="0"/>
        <v>42</v>
      </c>
      <c r="B49" s="132" t="s">
        <v>124</v>
      </c>
      <c r="C49" s="34">
        <f>+'Cost of Cap'!C15</f>
        <v>0.45838844204523344</v>
      </c>
      <c r="D49" s="35"/>
      <c r="E49" s="198"/>
      <c r="F49" s="30"/>
      <c r="G49" s="30"/>
    </row>
    <row r="50" spans="1:7" x14ac:dyDescent="0.25">
      <c r="A50" s="204">
        <f t="shared" si="0"/>
        <v>43</v>
      </c>
      <c r="B50" s="132"/>
      <c r="C50" s="35"/>
      <c r="D50" s="35"/>
      <c r="E50" s="197"/>
      <c r="F50" s="30"/>
      <c r="G50" s="30"/>
    </row>
    <row r="51" spans="1:7" x14ac:dyDescent="0.25">
      <c r="A51" s="204">
        <f t="shared" si="0"/>
        <v>44</v>
      </c>
      <c r="B51" s="132" t="s">
        <v>134</v>
      </c>
      <c r="C51" s="35">
        <f>SUM(C46:C50)</f>
        <v>1</v>
      </c>
      <c r="D51" s="35"/>
      <c r="E51" s="197">
        <f>SUM(E46:E50)</f>
        <v>2.3699999999999999E-2</v>
      </c>
      <c r="F51" s="30"/>
      <c r="G51" s="30"/>
    </row>
    <row r="52" spans="1:7" x14ac:dyDescent="0.25">
      <c r="A52" s="204">
        <f t="shared" si="0"/>
        <v>45</v>
      </c>
      <c r="B52" s="199"/>
      <c r="C52" s="88"/>
      <c r="D52" s="88"/>
      <c r="E52" s="200"/>
    </row>
    <row r="53" spans="1:7" x14ac:dyDescent="0.25">
      <c r="A53" s="204">
        <f t="shared" si="0"/>
        <v>46</v>
      </c>
    </row>
  </sheetData>
  <printOptions horizontalCentered="1"/>
  <pageMargins left="0.5" right="0.5" top="0.5" bottom="0.5" header="0.25" footer="0.25"/>
  <pageSetup scale="7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A1:P58"/>
  <sheetViews>
    <sheetView showGridLines="0" zoomScaleNormal="100" zoomScaleSheetLayoutView="85" workbookViewId="0">
      <selection activeCell="D8" sqref="D8"/>
    </sheetView>
  </sheetViews>
  <sheetFormatPr defaultColWidth="16" defaultRowHeight="12.5" x14ac:dyDescent="0.25"/>
  <cols>
    <col min="1" max="1" width="33.54296875" style="297" customWidth="1"/>
    <col min="2" max="2" width="16.7265625" style="298" customWidth="1"/>
    <col min="3" max="3" width="15.7265625" style="298" customWidth="1"/>
    <col min="4" max="4" width="14.7265625" style="298" customWidth="1"/>
    <col min="5" max="5" width="20.7265625" style="298" customWidth="1"/>
    <col min="6" max="8" width="13.7265625" style="298" customWidth="1"/>
    <col min="9" max="9" width="15.7265625" style="298" customWidth="1"/>
    <col min="10" max="10" width="14.1796875" style="298" customWidth="1"/>
    <col min="11" max="11" width="50.1796875" style="298" customWidth="1"/>
    <col min="12" max="13" width="15.7265625" style="298" customWidth="1"/>
    <col min="14" max="14" width="7.7265625" style="298" customWidth="1"/>
    <col min="15" max="15" width="48.453125" style="298" customWidth="1"/>
    <col min="16" max="234" width="15.7265625" style="298" customWidth="1"/>
    <col min="235" max="16384" width="16" style="298"/>
  </cols>
  <sheetData>
    <row r="1" spans="1:16" x14ac:dyDescent="0.25">
      <c r="A1" s="116" t="str">
        <f>+'Page 1'!A1</f>
        <v>NW Natural</v>
      </c>
      <c r="B1" s="300"/>
      <c r="E1" s="300"/>
      <c r="F1" s="116"/>
      <c r="G1" s="300"/>
      <c r="H1" s="300"/>
    </row>
    <row r="2" spans="1:16" x14ac:dyDescent="0.25">
      <c r="A2" s="116" t="str">
        <f>+'Page 1'!A2</f>
        <v>Washington Annual Commission Basis Report</v>
      </c>
      <c r="B2" s="300"/>
    </row>
    <row r="3" spans="1:16" x14ac:dyDescent="0.25">
      <c r="A3" s="116" t="str">
        <f>+'Page 1'!A3</f>
        <v>Twelve Months Ended December 31, 2020</v>
      </c>
      <c r="B3" s="300"/>
    </row>
    <row r="4" spans="1:16" x14ac:dyDescent="0.25">
      <c r="A4" s="116" t="s">
        <v>344</v>
      </c>
      <c r="B4" s="300"/>
    </row>
    <row r="6" spans="1:16" x14ac:dyDescent="0.25">
      <c r="F6" s="545"/>
    </row>
    <row r="7" spans="1:16" s="297" customFormat="1" x14ac:dyDescent="0.25">
      <c r="B7" s="104" t="s">
        <v>12</v>
      </c>
      <c r="C7" s="104" t="s">
        <v>11</v>
      </c>
      <c r="D7" s="104" t="s">
        <v>10</v>
      </c>
      <c r="E7" s="105"/>
      <c r="J7" s="46"/>
      <c r="K7" s="46"/>
      <c r="L7" s="106"/>
      <c r="N7" s="46"/>
      <c r="O7" s="46"/>
      <c r="P7" s="46"/>
    </row>
    <row r="8" spans="1:16" s="297" customFormat="1" x14ac:dyDescent="0.25">
      <c r="A8" s="105"/>
      <c r="B8" s="105"/>
      <c r="C8" s="105"/>
      <c r="D8" s="105"/>
      <c r="E8" s="105"/>
      <c r="J8" s="46"/>
      <c r="K8" s="46"/>
      <c r="L8" s="106"/>
      <c r="N8" s="46"/>
      <c r="O8" s="46"/>
      <c r="P8" s="46"/>
    </row>
    <row r="9" spans="1:16" s="297" customFormat="1" x14ac:dyDescent="0.25">
      <c r="A9" s="70" t="s">
        <v>321</v>
      </c>
      <c r="B9" s="105"/>
      <c r="C9" s="105"/>
      <c r="D9" s="105"/>
      <c r="E9" s="105"/>
      <c r="G9" s="70"/>
      <c r="J9" s="46"/>
      <c r="K9" s="46"/>
      <c r="L9" s="106"/>
    </row>
    <row r="10" spans="1:16" s="297" customFormat="1" x14ac:dyDescent="0.25">
      <c r="A10" s="107" t="s">
        <v>346</v>
      </c>
      <c r="B10" s="546">
        <v>179708</v>
      </c>
      <c r="C10" s="546">
        <v>18830</v>
      </c>
      <c r="D10" s="77">
        <f>+B10+C10</f>
        <v>198538</v>
      </c>
      <c r="E10" s="217" t="s">
        <v>145</v>
      </c>
      <c r="F10" s="408"/>
      <c r="G10" s="419"/>
      <c r="H10" s="419"/>
      <c r="I10" s="419"/>
      <c r="J10" s="46"/>
      <c r="K10" s="46"/>
      <c r="L10" s="106"/>
    </row>
    <row r="11" spans="1:16" s="297" customFormat="1" x14ac:dyDescent="0.25">
      <c r="A11" s="107" t="s">
        <v>347</v>
      </c>
      <c r="B11" s="546">
        <v>2015428.6833333331</v>
      </c>
      <c r="C11" s="546">
        <v>91185.250000000015</v>
      </c>
      <c r="D11" s="77">
        <f t="shared" ref="D11:D19" si="0">+B11+C11</f>
        <v>2106613.9333333331</v>
      </c>
      <c r="E11" s="217" t="s">
        <v>145</v>
      </c>
      <c r="F11" s="408"/>
      <c r="G11" s="419"/>
      <c r="H11" s="419"/>
      <c r="I11" s="419"/>
      <c r="J11" s="46"/>
      <c r="K11" s="46"/>
      <c r="L11" s="106"/>
    </row>
    <row r="12" spans="1:16" s="297" customFormat="1" x14ac:dyDescent="0.25">
      <c r="A12" s="107" t="s">
        <v>348</v>
      </c>
      <c r="B12" s="546">
        <v>16775</v>
      </c>
      <c r="C12" s="546">
        <v>2905</v>
      </c>
      <c r="D12" s="77">
        <f t="shared" si="0"/>
        <v>19680</v>
      </c>
      <c r="E12" s="217" t="s">
        <v>145</v>
      </c>
      <c r="F12" s="408"/>
      <c r="G12" s="419"/>
      <c r="H12" s="419"/>
      <c r="I12" s="419"/>
      <c r="J12" s="46"/>
      <c r="K12" s="46"/>
      <c r="L12" s="106"/>
    </row>
    <row r="13" spans="1:16" s="297" customFormat="1" x14ac:dyDescent="0.25">
      <c r="A13" s="107" t="s">
        <v>349</v>
      </c>
      <c r="B13" s="546">
        <v>142047.5</v>
      </c>
      <c r="C13" s="546">
        <v>17323.080000000002</v>
      </c>
      <c r="D13" s="77">
        <f t="shared" si="0"/>
        <v>159370.58000000002</v>
      </c>
      <c r="E13" s="217" t="s">
        <v>145</v>
      </c>
      <c r="F13" s="408"/>
      <c r="G13" s="419"/>
      <c r="H13" s="419"/>
      <c r="I13" s="419"/>
      <c r="J13" s="46"/>
      <c r="K13" s="46"/>
      <c r="L13" s="106"/>
    </row>
    <row r="14" spans="1:16" x14ac:dyDescent="0.25">
      <c r="A14" s="107" t="s">
        <v>350</v>
      </c>
      <c r="B14" s="546">
        <v>94835</v>
      </c>
      <c r="C14" s="546">
        <v>9750</v>
      </c>
      <c r="D14" s="77">
        <f t="shared" si="0"/>
        <v>104585</v>
      </c>
      <c r="E14" s="217" t="s">
        <v>145</v>
      </c>
      <c r="F14" s="408"/>
      <c r="G14" s="419"/>
      <c r="H14" s="419"/>
      <c r="I14" s="419"/>
      <c r="J14" s="46"/>
      <c r="K14" s="46"/>
      <c r="L14" s="106"/>
    </row>
    <row r="15" spans="1:16" x14ac:dyDescent="0.25">
      <c r="A15" s="107" t="s">
        <v>351</v>
      </c>
      <c r="B15" s="546">
        <v>169844.07</v>
      </c>
      <c r="C15" s="546">
        <v>17979.999999999996</v>
      </c>
      <c r="D15" s="77">
        <f t="shared" si="0"/>
        <v>187824.07</v>
      </c>
      <c r="E15" s="217" t="s">
        <v>145</v>
      </c>
      <c r="F15" s="408"/>
      <c r="G15" s="419"/>
      <c r="H15" s="419"/>
      <c r="I15" s="419"/>
      <c r="J15" s="46"/>
      <c r="K15" s="46"/>
      <c r="L15" s="106"/>
    </row>
    <row r="16" spans="1:16" x14ac:dyDescent="0.25">
      <c r="A16" s="107" t="s">
        <v>352</v>
      </c>
      <c r="B16" s="546">
        <v>88455.55</v>
      </c>
      <c r="C16" s="546">
        <v>0</v>
      </c>
      <c r="D16" s="77">
        <f t="shared" si="0"/>
        <v>88455.55</v>
      </c>
      <c r="E16" s="217" t="s">
        <v>322</v>
      </c>
      <c r="F16" s="408"/>
      <c r="G16" s="419"/>
      <c r="H16" s="419"/>
      <c r="I16" s="419"/>
      <c r="J16" s="46"/>
      <c r="K16" s="46"/>
      <c r="L16" s="106"/>
    </row>
    <row r="17" spans="1:12" x14ac:dyDescent="0.25">
      <c r="A17" s="394" t="s">
        <v>481</v>
      </c>
      <c r="B17" s="546">
        <v>0</v>
      </c>
      <c r="C17" s="546">
        <v>0</v>
      </c>
      <c r="D17" s="77">
        <f t="shared" si="0"/>
        <v>0</v>
      </c>
      <c r="E17" s="217" t="s">
        <v>145</v>
      </c>
      <c r="F17" s="408"/>
      <c r="G17" s="419"/>
      <c r="H17" s="419"/>
      <c r="I17" s="419"/>
      <c r="J17" s="46"/>
      <c r="K17" s="46"/>
      <c r="L17" s="106"/>
    </row>
    <row r="18" spans="1:12" x14ac:dyDescent="0.25">
      <c r="A18" s="394" t="s">
        <v>482</v>
      </c>
      <c r="B18" s="547">
        <v>14517491.659999998</v>
      </c>
      <c r="C18" s="547">
        <v>-2675622.7200000002</v>
      </c>
      <c r="D18" s="77">
        <f t="shared" si="0"/>
        <v>11841868.939999998</v>
      </c>
      <c r="E18" s="217" t="s">
        <v>145</v>
      </c>
      <c r="F18" s="408"/>
      <c r="G18" s="419"/>
      <c r="H18" s="419"/>
      <c r="I18" s="419"/>
      <c r="J18" s="46"/>
      <c r="K18" s="46"/>
      <c r="L18" s="106"/>
    </row>
    <row r="19" spans="1:12" x14ac:dyDescent="0.25">
      <c r="A19" s="107" t="s">
        <v>353</v>
      </c>
      <c r="B19" s="548">
        <v>110876.94</v>
      </c>
      <c r="C19" s="548">
        <v>21470.839999999997</v>
      </c>
      <c r="D19" s="549">
        <f t="shared" si="0"/>
        <v>132347.78</v>
      </c>
      <c r="E19" s="217" t="s">
        <v>145</v>
      </c>
      <c r="F19" s="408"/>
      <c r="G19" s="419"/>
      <c r="H19" s="419"/>
      <c r="I19" s="419"/>
      <c r="J19" s="46"/>
      <c r="K19" s="46"/>
      <c r="L19" s="106"/>
    </row>
    <row r="20" spans="1:12" x14ac:dyDescent="0.25">
      <c r="A20" s="108" t="s">
        <v>354</v>
      </c>
      <c r="B20" s="77">
        <f>SUM(B10:B19)</f>
        <v>17335462.403333332</v>
      </c>
      <c r="C20" s="77">
        <f>SUM(C10:C19)</f>
        <v>-2496178.5500000003</v>
      </c>
      <c r="D20" s="77">
        <f>SUM(D10:D19)</f>
        <v>14839283.85333333</v>
      </c>
      <c r="E20" s="217"/>
      <c r="F20" s="299"/>
      <c r="G20" s="545"/>
      <c r="H20" s="299"/>
      <c r="I20" s="299"/>
      <c r="J20" s="46"/>
      <c r="K20" s="46"/>
      <c r="L20" s="106"/>
    </row>
    <row r="21" spans="1:12" x14ac:dyDescent="0.25">
      <c r="A21" s="70"/>
      <c r="B21" s="92"/>
      <c r="C21" s="92"/>
      <c r="D21" s="92"/>
      <c r="G21" s="108"/>
      <c r="J21" s="46"/>
      <c r="K21" s="46"/>
      <c r="L21" s="106"/>
    </row>
    <row r="22" spans="1:12" x14ac:dyDescent="0.25">
      <c r="C22" s="550"/>
      <c r="E22" s="217"/>
      <c r="G22" s="70"/>
    </row>
    <row r="23" spans="1:12" x14ac:dyDescent="0.25">
      <c r="A23" s="415" t="s">
        <v>337</v>
      </c>
      <c r="D23" s="217"/>
      <c r="G23" s="297"/>
      <c r="J23" s="46"/>
      <c r="K23" s="46"/>
      <c r="L23" s="106"/>
    </row>
    <row r="24" spans="1:12" x14ac:dyDescent="0.25">
      <c r="A24" s="107" t="s">
        <v>260</v>
      </c>
      <c r="B24" s="546">
        <v>6655404</v>
      </c>
      <c r="C24" s="546">
        <v>871631</v>
      </c>
      <c r="D24" s="298">
        <f>+B24+C24</f>
        <v>7527035</v>
      </c>
      <c r="E24" s="217" t="s">
        <v>15</v>
      </c>
      <c r="F24" s="408"/>
      <c r="G24" s="551"/>
      <c r="H24" s="551"/>
      <c r="J24" s="46"/>
      <c r="K24" s="46"/>
      <c r="L24" s="106"/>
    </row>
    <row r="25" spans="1:12" x14ac:dyDescent="0.25">
      <c r="A25" s="107" t="s">
        <v>255</v>
      </c>
      <c r="B25" s="546">
        <v>3509337.1300000004</v>
      </c>
      <c r="C25" s="546">
        <v>20970.39</v>
      </c>
      <c r="D25" s="298">
        <f t="shared" ref="D25:D30" si="1">+B25+C25</f>
        <v>3530307.5200000005</v>
      </c>
      <c r="E25" s="217" t="s">
        <v>145</v>
      </c>
      <c r="F25" s="408"/>
      <c r="I25" s="551"/>
      <c r="J25" s="46"/>
      <c r="K25" s="46"/>
      <c r="L25" s="106"/>
    </row>
    <row r="26" spans="1:12" x14ac:dyDescent="0.25">
      <c r="A26" s="107" t="s">
        <v>256</v>
      </c>
      <c r="B26" s="546">
        <f>57388599.1-1720</f>
        <v>57386879.100000001</v>
      </c>
      <c r="C26" s="546">
        <v>8311366.0999999996</v>
      </c>
      <c r="D26" s="298">
        <f t="shared" si="1"/>
        <v>65698245.200000003</v>
      </c>
      <c r="E26" s="217" t="s">
        <v>145</v>
      </c>
      <c r="F26" s="408"/>
      <c r="G26" s="299"/>
      <c r="H26" s="299"/>
      <c r="I26" s="420"/>
      <c r="J26" s="46"/>
      <c r="K26" s="46"/>
      <c r="L26" s="106"/>
    </row>
    <row r="27" spans="1:12" x14ac:dyDescent="0.25">
      <c r="A27" s="107" t="s">
        <v>275</v>
      </c>
      <c r="B27" s="546">
        <v>11556491</v>
      </c>
      <c r="C27" s="546">
        <v>1391957.7700000033</v>
      </c>
      <c r="D27" s="298">
        <f t="shared" si="1"/>
        <v>12948448.770000003</v>
      </c>
      <c r="E27" s="217" t="s">
        <v>136</v>
      </c>
      <c r="F27" s="408"/>
      <c r="G27" s="420"/>
      <c r="H27" s="420"/>
      <c r="I27" s="299"/>
      <c r="J27" s="46"/>
      <c r="K27" s="46"/>
      <c r="L27" s="106"/>
    </row>
    <row r="28" spans="1:12" x14ac:dyDescent="0.25">
      <c r="A28" s="107" t="s">
        <v>298</v>
      </c>
      <c r="B28" s="546">
        <v>6436735.9634312205</v>
      </c>
      <c r="C28" s="546">
        <v>581718.9665687792</v>
      </c>
      <c r="D28" s="298">
        <f t="shared" si="1"/>
        <v>7018454.9299999997</v>
      </c>
      <c r="E28" s="217" t="s">
        <v>133</v>
      </c>
      <c r="F28" s="408"/>
      <c r="G28" s="90"/>
      <c r="H28" s="420"/>
      <c r="I28" s="299"/>
      <c r="J28" s="46"/>
      <c r="K28" s="46"/>
      <c r="L28" s="106"/>
    </row>
    <row r="29" spans="1:12" x14ac:dyDescent="0.25">
      <c r="A29" s="107" t="s">
        <v>355</v>
      </c>
      <c r="B29" s="546">
        <v>0</v>
      </c>
      <c r="C29" s="546">
        <v>0</v>
      </c>
      <c r="D29" s="298">
        <f t="shared" si="1"/>
        <v>0</v>
      </c>
      <c r="E29" s="217" t="s">
        <v>145</v>
      </c>
      <c r="F29" s="408"/>
      <c r="G29" s="420"/>
      <c r="H29" s="420"/>
      <c r="I29" s="420"/>
      <c r="J29" s="46"/>
      <c r="K29" s="46"/>
      <c r="L29" s="106"/>
    </row>
    <row r="30" spans="1:12" x14ac:dyDescent="0.25">
      <c r="A30" s="107" t="s">
        <v>277</v>
      </c>
      <c r="B30" s="548">
        <v>0</v>
      </c>
      <c r="C30" s="548">
        <v>0</v>
      </c>
      <c r="D30" s="88">
        <f t="shared" si="1"/>
        <v>0</v>
      </c>
      <c r="E30" s="217" t="s">
        <v>136</v>
      </c>
      <c r="F30" s="408"/>
      <c r="G30" s="420"/>
      <c r="H30" s="420"/>
      <c r="I30" s="420"/>
      <c r="J30" s="46"/>
      <c r="K30" s="46"/>
      <c r="L30" s="106"/>
    </row>
    <row r="31" spans="1:12" x14ac:dyDescent="0.25">
      <c r="A31" s="297" t="s">
        <v>356</v>
      </c>
      <c r="B31" s="552">
        <f>SUM(B24:B30)</f>
        <v>85544847.193431228</v>
      </c>
      <c r="C31" s="552">
        <f>SUM(C24:C30)</f>
        <v>11177644.226568783</v>
      </c>
      <c r="D31" s="552">
        <f>SUM(D24:D30)</f>
        <v>96722491.420000017</v>
      </c>
      <c r="E31" s="217"/>
      <c r="F31" s="299"/>
      <c r="G31" s="109"/>
      <c r="H31" s="109"/>
      <c r="I31" s="109"/>
      <c r="J31" s="46"/>
      <c r="K31" s="46"/>
      <c r="L31" s="106"/>
    </row>
    <row r="32" spans="1:12" x14ac:dyDescent="0.25">
      <c r="A32" s="297" t="s">
        <v>169</v>
      </c>
      <c r="B32" s="550">
        <f>+B31/D31</f>
        <v>0.88443593560848344</v>
      </c>
      <c r="C32" s="550"/>
      <c r="E32" s="217"/>
      <c r="G32" s="71"/>
      <c r="H32" s="299"/>
      <c r="I32" s="299"/>
      <c r="J32" s="46"/>
      <c r="K32" s="46"/>
      <c r="L32" s="106"/>
    </row>
    <row r="33" spans="1:15" x14ac:dyDescent="0.25">
      <c r="A33" s="297" t="s">
        <v>169</v>
      </c>
      <c r="G33" s="71"/>
      <c r="H33" s="299"/>
      <c r="I33" s="299"/>
      <c r="J33" s="46"/>
      <c r="K33" s="46"/>
      <c r="L33" s="106"/>
    </row>
    <row r="34" spans="1:15" x14ac:dyDescent="0.25">
      <c r="A34" s="297" t="s">
        <v>169</v>
      </c>
      <c r="G34" s="71"/>
      <c r="H34" s="299"/>
      <c r="I34" s="299"/>
      <c r="J34" s="46"/>
      <c r="K34" s="46"/>
      <c r="L34" s="106"/>
    </row>
    <row r="35" spans="1:15" x14ac:dyDescent="0.25">
      <c r="A35" s="116" t="s">
        <v>237</v>
      </c>
      <c r="D35" s="217"/>
      <c r="F35" s="553"/>
      <c r="G35" s="71"/>
      <c r="H35" s="299"/>
      <c r="I35" s="299"/>
    </row>
    <row r="36" spans="1:15" x14ac:dyDescent="0.25">
      <c r="A36" s="107" t="s">
        <v>357</v>
      </c>
      <c r="B36" s="554">
        <v>21284714.709999997</v>
      </c>
      <c r="C36" s="554">
        <v>1628078.4</v>
      </c>
      <c r="D36" s="555">
        <f t="shared" ref="D36:D41" si="2">SUM(B36:C36)</f>
        <v>22912793.109999996</v>
      </c>
      <c r="E36" s="217" t="s">
        <v>145</v>
      </c>
      <c r="F36" s="408"/>
      <c r="G36" s="297"/>
      <c r="L36" s="106"/>
    </row>
    <row r="37" spans="1:15" x14ac:dyDescent="0.25">
      <c r="A37" s="107" t="s">
        <v>358</v>
      </c>
      <c r="B37" s="554">
        <v>14811340.889999999</v>
      </c>
      <c r="C37" s="554">
        <v>2986473.2800000031</v>
      </c>
      <c r="D37" s="555">
        <f t="shared" si="2"/>
        <v>17797814.170000002</v>
      </c>
      <c r="E37" s="217" t="s">
        <v>145</v>
      </c>
      <c r="F37" s="408"/>
      <c r="G37" s="107"/>
      <c r="N37" s="46"/>
      <c r="O37" s="46"/>
    </row>
    <row r="38" spans="1:15" x14ac:dyDescent="0.25">
      <c r="A38" s="107" t="s">
        <v>36</v>
      </c>
      <c r="B38" s="554">
        <v>5629691.8973420998</v>
      </c>
      <c r="C38" s="554">
        <v>624062.11265789997</v>
      </c>
      <c r="D38" s="555">
        <f t="shared" si="2"/>
        <v>6253754.0099999998</v>
      </c>
      <c r="E38" s="217" t="s">
        <v>36</v>
      </c>
      <c r="F38" s="408"/>
      <c r="G38" s="107"/>
    </row>
    <row r="39" spans="1:15" x14ac:dyDescent="0.25">
      <c r="A39" s="107" t="s">
        <v>359</v>
      </c>
      <c r="B39" s="554">
        <v>1920622.62</v>
      </c>
      <c r="C39" s="554">
        <v>135480.5</v>
      </c>
      <c r="D39" s="555">
        <f t="shared" si="2"/>
        <v>2056103.12</v>
      </c>
      <c r="E39" s="217" t="s">
        <v>145</v>
      </c>
      <c r="F39" s="408"/>
      <c r="G39" s="107"/>
    </row>
    <row r="40" spans="1:15" x14ac:dyDescent="0.25">
      <c r="A40" s="107" t="s">
        <v>360</v>
      </c>
      <c r="B40" s="554">
        <v>729964</v>
      </c>
      <c r="C40" s="554">
        <v>0</v>
      </c>
      <c r="D40" s="555">
        <f t="shared" si="2"/>
        <v>729964</v>
      </c>
      <c r="E40" s="217" t="s">
        <v>145</v>
      </c>
      <c r="F40" s="408"/>
      <c r="G40" s="107"/>
    </row>
    <row r="41" spans="1:15" x14ac:dyDescent="0.25">
      <c r="A41" s="107" t="s">
        <v>297</v>
      </c>
      <c r="B41" s="556">
        <v>-115735.39649999999</v>
      </c>
      <c r="C41" s="556">
        <v>91774.776499999993</v>
      </c>
      <c r="D41" s="557">
        <f t="shared" si="2"/>
        <v>-23960.619999999995</v>
      </c>
      <c r="E41" s="217" t="s">
        <v>323</v>
      </c>
      <c r="F41" s="408"/>
      <c r="G41" s="107"/>
    </row>
    <row r="42" spans="1:15" x14ac:dyDescent="0.25">
      <c r="A42" s="108" t="s">
        <v>237</v>
      </c>
      <c r="B42" s="552">
        <f>SUM(B36:B41)</f>
        <v>44260598.720842093</v>
      </c>
      <c r="C42" s="552">
        <f>SUM(C36:C41)</f>
        <v>5465869.0691579031</v>
      </c>
      <c r="D42" s="552">
        <f>SUM(D36:D41)</f>
        <v>49726467.789999999</v>
      </c>
      <c r="E42" s="217"/>
      <c r="F42" s="299"/>
      <c r="G42" s="107"/>
    </row>
    <row r="43" spans="1:15" x14ac:dyDescent="0.25">
      <c r="A43" s="108"/>
      <c r="B43" s="217"/>
      <c r="C43" s="217"/>
      <c r="D43" s="217"/>
      <c r="F43" s="553"/>
      <c r="G43" s="108"/>
    </row>
    <row r="44" spans="1:15" x14ac:dyDescent="0.25">
      <c r="B44" s="550"/>
      <c r="C44" s="550"/>
      <c r="G44" s="297"/>
    </row>
    <row r="45" spans="1:15" x14ac:dyDescent="0.25">
      <c r="A45" s="105" t="s">
        <v>324</v>
      </c>
      <c r="B45" s="92">
        <f>B10+B14</f>
        <v>274543</v>
      </c>
      <c r="C45" s="92">
        <f>C10+C14</f>
        <v>28580</v>
      </c>
      <c r="D45" s="92">
        <f>D10+D14</f>
        <v>303123</v>
      </c>
      <c r="G45" s="70"/>
    </row>
    <row r="46" spans="1:15" x14ac:dyDescent="0.25">
      <c r="A46" s="297" t="s">
        <v>353</v>
      </c>
      <c r="B46" s="92">
        <f>B19</f>
        <v>110876.94</v>
      </c>
      <c r="C46" s="92">
        <f>C19</f>
        <v>21470.839999999997</v>
      </c>
      <c r="D46" s="92">
        <f>D19</f>
        <v>132347.78</v>
      </c>
      <c r="G46" s="297"/>
    </row>
    <row r="47" spans="1:15" x14ac:dyDescent="0.25">
      <c r="G47" s="297"/>
    </row>
    <row r="49" spans="1:4" x14ac:dyDescent="0.25">
      <c r="A49" s="71"/>
      <c r="B49" s="99"/>
      <c r="C49" s="99"/>
      <c r="D49" s="419"/>
    </row>
    <row r="50" spans="1:4" x14ac:dyDescent="0.25">
      <c r="A50" s="109"/>
      <c r="B50" s="420"/>
      <c r="C50" s="420"/>
      <c r="D50" s="420"/>
    </row>
    <row r="51" spans="1:4" x14ac:dyDescent="0.25">
      <c r="A51" s="109"/>
      <c r="B51" s="420"/>
      <c r="C51" s="420"/>
      <c r="D51" s="420"/>
    </row>
    <row r="52" spans="1:4" x14ac:dyDescent="0.25">
      <c r="A52" s="109"/>
      <c r="B52" s="420"/>
      <c r="C52" s="420"/>
      <c r="D52" s="420"/>
    </row>
    <row r="53" spans="1:4" x14ac:dyDescent="0.25">
      <c r="A53" s="109"/>
      <c r="B53" s="420"/>
      <c r="C53" s="420"/>
      <c r="D53" s="420"/>
    </row>
    <row r="54" spans="1:4" x14ac:dyDescent="0.25">
      <c r="A54" s="109"/>
      <c r="B54" s="420"/>
      <c r="C54" s="420"/>
      <c r="D54" s="420"/>
    </row>
    <row r="55" spans="1:4" x14ac:dyDescent="0.25">
      <c r="A55" s="109"/>
      <c r="B55" s="420"/>
      <c r="C55" s="420"/>
      <c r="D55" s="420"/>
    </row>
    <row r="56" spans="1:4" x14ac:dyDescent="0.25">
      <c r="A56" s="109"/>
      <c r="B56" s="420"/>
      <c r="C56" s="420"/>
      <c r="D56" s="420"/>
    </row>
    <row r="57" spans="1:4" x14ac:dyDescent="0.25">
      <c r="A57" s="138"/>
      <c r="B57" s="420"/>
      <c r="C57" s="420"/>
      <c r="D57" s="420"/>
    </row>
    <row r="58" spans="1:4" x14ac:dyDescent="0.25">
      <c r="A58" s="71"/>
      <c r="B58" s="299"/>
      <c r="C58" s="299"/>
      <c r="D58" s="299"/>
    </row>
  </sheetData>
  <phoneticPr fontId="0" type="noConversion"/>
  <printOptions horizontalCentered="1"/>
  <pageMargins left="0.75" right="0.75" top="1" bottom="1" header="0.5" footer="0.5"/>
  <pageSetup scale="78" orientation="landscape" r:id="rId1"/>
  <headerFooter alignWithMargins="0">
    <oddFooter>&amp;C&amp;"Times New Roman,Regular"&amp;8&amp;F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1:J77"/>
  <sheetViews>
    <sheetView workbookViewId="0">
      <pane xSplit="2" ySplit="9" topLeftCell="C22" activePane="bottomRight" state="frozen"/>
      <selection pane="topRight"/>
      <selection pane="bottomLeft"/>
      <selection pane="bottomRight"/>
    </sheetView>
  </sheetViews>
  <sheetFormatPr defaultColWidth="8.81640625" defaultRowHeight="12.5" x14ac:dyDescent="0.25"/>
  <cols>
    <col min="1" max="1" width="13.7265625" style="30" customWidth="1"/>
    <col min="2" max="2" width="31" style="30" bestFit="1" customWidth="1"/>
    <col min="3" max="4" width="14.7265625" style="41" customWidth="1"/>
    <col min="5" max="5" width="3.7265625" style="41" customWidth="1"/>
    <col min="6" max="8" width="16.7265625" style="30" customWidth="1"/>
    <col min="9" max="12" width="20.7265625" style="30" customWidth="1"/>
    <col min="13" max="25" width="13.7265625" style="30" customWidth="1"/>
    <col min="26" max="16384" width="8.81640625" style="30"/>
  </cols>
  <sheetData>
    <row r="1" spans="1:10" x14ac:dyDescent="0.25">
      <c r="A1" s="24" t="str">
        <f>+'Page 1'!A1</f>
        <v>NW Natural</v>
      </c>
    </row>
    <row r="2" spans="1:10" x14ac:dyDescent="0.25">
      <c r="A2" s="24" t="str">
        <f>+'Page 1'!A2</f>
        <v>Washington Annual Commission Basis Report</v>
      </c>
    </row>
    <row r="3" spans="1:10" x14ac:dyDescent="0.25">
      <c r="A3" s="24" t="str">
        <f>+'Page 1'!A3</f>
        <v>Twelve Months Ended December 31, 2020</v>
      </c>
    </row>
    <row r="4" spans="1:10" x14ac:dyDescent="0.25">
      <c r="A4" s="24"/>
    </row>
    <row r="5" spans="1:10" x14ac:dyDescent="0.25">
      <c r="A5" s="24"/>
    </row>
    <row r="6" spans="1:10" x14ac:dyDescent="0.25">
      <c r="A6" s="24" t="s">
        <v>399</v>
      </c>
    </row>
    <row r="7" spans="1:10" ht="13" thickBot="1" x14ac:dyDescent="0.3"/>
    <row r="8" spans="1:10" x14ac:dyDescent="0.25">
      <c r="A8" s="145"/>
      <c r="B8" s="146"/>
      <c r="C8" s="147" t="s">
        <v>400</v>
      </c>
      <c r="D8" s="147" t="s">
        <v>401</v>
      </c>
      <c r="E8" s="147"/>
      <c r="F8" s="146"/>
      <c r="G8" s="146"/>
      <c r="H8" s="146"/>
      <c r="I8" s="146"/>
      <c r="J8" s="148"/>
    </row>
    <row r="9" spans="1:10" ht="13" thickBot="1" x14ac:dyDescent="0.3">
      <c r="A9" s="149" t="s">
        <v>402</v>
      </c>
      <c r="B9" s="150" t="s">
        <v>42</v>
      </c>
      <c r="C9" s="151" t="s">
        <v>403</v>
      </c>
      <c r="D9" s="151" t="s">
        <v>403</v>
      </c>
      <c r="E9" s="151"/>
      <c r="F9" s="150" t="s">
        <v>404</v>
      </c>
      <c r="G9" s="152"/>
      <c r="H9" s="152"/>
      <c r="I9" s="152"/>
      <c r="J9" s="153"/>
    </row>
    <row r="10" spans="1:10" x14ac:dyDescent="0.25">
      <c r="A10" s="154"/>
      <c r="B10" s="38"/>
      <c r="C10" s="76"/>
      <c r="D10" s="76"/>
      <c r="E10" s="76"/>
      <c r="F10" s="38"/>
      <c r="G10" s="38"/>
      <c r="H10" s="38"/>
      <c r="I10" s="38"/>
      <c r="J10" s="155"/>
    </row>
    <row r="11" spans="1:10" x14ac:dyDescent="0.25">
      <c r="A11" s="156" t="s">
        <v>405</v>
      </c>
      <c r="B11" s="38" t="s">
        <v>406</v>
      </c>
      <c r="C11" s="76">
        <f>+Adjustments!D33</f>
        <v>993196.03408857551</v>
      </c>
      <c r="D11" s="157">
        <v>0</v>
      </c>
      <c r="E11" s="157"/>
      <c r="F11" s="38" t="s">
        <v>407</v>
      </c>
      <c r="G11" s="38"/>
      <c r="H11" s="38"/>
      <c r="I11" s="38"/>
      <c r="J11" s="155"/>
    </row>
    <row r="12" spans="1:10" x14ac:dyDescent="0.25">
      <c r="A12" s="154"/>
      <c r="B12" s="38"/>
      <c r="C12" s="76"/>
      <c r="D12" s="76"/>
      <c r="E12" s="76"/>
      <c r="F12" s="38" t="s">
        <v>408</v>
      </c>
      <c r="G12" s="38"/>
      <c r="H12" s="38"/>
      <c r="I12" s="38"/>
      <c r="J12" s="155"/>
    </row>
    <row r="13" spans="1:10" ht="13" thickBot="1" x14ac:dyDescent="0.3">
      <c r="A13" s="154"/>
      <c r="B13" s="38"/>
      <c r="C13" s="76"/>
      <c r="D13" s="76"/>
      <c r="E13" s="76"/>
      <c r="F13" s="38"/>
      <c r="G13" s="38"/>
      <c r="H13" s="38"/>
      <c r="I13" s="38"/>
      <c r="J13" s="155"/>
    </row>
    <row r="14" spans="1:10" x14ac:dyDescent="0.25">
      <c r="A14" s="145"/>
      <c r="B14" s="146"/>
      <c r="C14" s="160"/>
      <c r="D14" s="160"/>
      <c r="E14" s="160"/>
      <c r="F14" s="146"/>
      <c r="G14" s="146"/>
      <c r="H14" s="146"/>
      <c r="I14" s="146"/>
      <c r="J14" s="148"/>
    </row>
    <row r="15" spans="1:10" x14ac:dyDescent="0.25">
      <c r="A15" s="156" t="s">
        <v>409</v>
      </c>
      <c r="B15" s="38" t="s">
        <v>452</v>
      </c>
      <c r="C15" s="76">
        <f>+Adjustments!E33</f>
        <v>-50007.811013108629</v>
      </c>
      <c r="D15" s="157">
        <v>0</v>
      </c>
      <c r="E15" s="157"/>
      <c r="F15" s="38" t="s">
        <v>456</v>
      </c>
      <c r="G15" s="38"/>
      <c r="H15" s="38"/>
      <c r="I15" s="38"/>
      <c r="J15" s="155"/>
    </row>
    <row r="16" spans="1:10" x14ac:dyDescent="0.25">
      <c r="A16" s="154"/>
      <c r="B16" s="38"/>
      <c r="C16" s="76"/>
      <c r="D16" s="76"/>
      <c r="E16" s="76"/>
      <c r="F16" s="163"/>
      <c r="G16" s="66"/>
      <c r="H16" s="66"/>
      <c r="I16" s="66"/>
      <c r="J16" s="164"/>
    </row>
    <row r="17" spans="1:10" ht="13" thickBot="1" x14ac:dyDescent="0.3">
      <c r="A17" s="158"/>
      <c r="B17" s="152"/>
      <c r="C17" s="159"/>
      <c r="D17" s="159"/>
      <c r="E17" s="159"/>
      <c r="F17" s="152"/>
      <c r="G17" s="152"/>
      <c r="H17" s="152"/>
      <c r="I17" s="152"/>
      <c r="J17" s="153"/>
    </row>
    <row r="18" spans="1:10" x14ac:dyDescent="0.25">
      <c r="A18" s="145"/>
      <c r="B18" s="146"/>
      <c r="C18" s="160"/>
      <c r="D18" s="160"/>
      <c r="E18" s="160"/>
      <c r="F18" s="146"/>
      <c r="G18" s="146"/>
      <c r="H18" s="146"/>
      <c r="I18" s="146"/>
      <c r="J18" s="148"/>
    </row>
    <row r="19" spans="1:10" x14ac:dyDescent="0.25">
      <c r="A19" s="156" t="s">
        <v>410</v>
      </c>
      <c r="B19" s="38" t="s">
        <v>417</v>
      </c>
      <c r="C19" s="76">
        <f>+Adjustments!F33</f>
        <v>-69926.271637713464</v>
      </c>
      <c r="D19" s="76">
        <f>+Adjustments!F47</f>
        <v>44506.055937257719</v>
      </c>
      <c r="E19" s="76"/>
      <c r="F19" s="38" t="s">
        <v>421</v>
      </c>
      <c r="G19" s="38"/>
      <c r="H19" s="38"/>
      <c r="I19" s="38"/>
      <c r="J19" s="155"/>
    </row>
    <row r="20" spans="1:10" s="38" customFormat="1" x14ac:dyDescent="0.25">
      <c r="A20" s="154"/>
      <c r="C20" s="76"/>
      <c r="D20" s="76"/>
      <c r="E20" s="76"/>
      <c r="F20" s="163"/>
      <c r="G20" s="66"/>
      <c r="H20" s="66"/>
      <c r="I20" s="66"/>
      <c r="J20" s="164"/>
    </row>
    <row r="21" spans="1:10" ht="13" thickBot="1" x14ac:dyDescent="0.3">
      <c r="A21" s="158"/>
      <c r="B21" s="152"/>
      <c r="C21" s="159"/>
      <c r="D21" s="159"/>
      <c r="E21" s="159"/>
      <c r="F21" s="152"/>
      <c r="G21" s="152"/>
      <c r="H21" s="152"/>
      <c r="I21" s="152"/>
      <c r="J21" s="153"/>
    </row>
    <row r="22" spans="1:10" x14ac:dyDescent="0.25">
      <c r="A22" s="154"/>
      <c r="B22" s="38"/>
      <c r="C22" s="76"/>
      <c r="D22" s="76"/>
      <c r="E22" s="76"/>
      <c r="F22" s="38"/>
      <c r="G22" s="38"/>
      <c r="H22" s="38"/>
      <c r="I22" s="38"/>
      <c r="J22" s="155"/>
    </row>
    <row r="23" spans="1:10" x14ac:dyDescent="0.25">
      <c r="A23" s="156" t="s">
        <v>412</v>
      </c>
      <c r="B23" s="38" t="s">
        <v>415</v>
      </c>
      <c r="C23" s="76">
        <f>+Adjustments!G33</f>
        <v>13502.923512000038</v>
      </c>
      <c r="D23" s="157">
        <v>0</v>
      </c>
      <c r="E23" s="157"/>
      <c r="F23" s="38" t="s">
        <v>416</v>
      </c>
      <c r="G23" s="38"/>
      <c r="H23" s="38"/>
      <c r="I23" s="38"/>
      <c r="J23" s="155"/>
    </row>
    <row r="24" spans="1:10" ht="13" thickBot="1" x14ac:dyDescent="0.3">
      <c r="A24" s="158"/>
      <c r="B24" s="152"/>
      <c r="C24" s="159"/>
      <c r="D24" s="159"/>
      <c r="E24" s="159"/>
      <c r="F24" s="152"/>
      <c r="G24" s="152"/>
      <c r="H24" s="152"/>
      <c r="I24" s="152"/>
      <c r="J24" s="153"/>
    </row>
    <row r="25" spans="1:10" x14ac:dyDescent="0.25">
      <c r="A25" s="154"/>
      <c r="B25" s="38"/>
      <c r="C25" s="76"/>
      <c r="D25" s="76"/>
      <c r="E25" s="76"/>
      <c r="F25" s="38"/>
      <c r="G25" s="38"/>
      <c r="H25" s="38"/>
      <c r="I25" s="38"/>
      <c r="J25" s="155"/>
    </row>
    <row r="26" spans="1:10" x14ac:dyDescent="0.25">
      <c r="A26" s="156" t="s">
        <v>413</v>
      </c>
      <c r="B26" s="38" t="s">
        <v>419</v>
      </c>
      <c r="C26" s="76">
        <f>+Adjustments!H33</f>
        <v>0</v>
      </c>
      <c r="D26" s="157">
        <f>+Adjustments!H47</f>
        <v>0</v>
      </c>
      <c r="E26" s="157"/>
      <c r="F26" s="38" t="s">
        <v>423</v>
      </c>
      <c r="G26" s="38"/>
      <c r="H26" s="38"/>
      <c r="I26" s="38"/>
      <c r="J26" s="155"/>
    </row>
    <row r="27" spans="1:10" ht="13" thickBot="1" x14ac:dyDescent="0.3">
      <c r="A27" s="158"/>
      <c r="B27" s="152"/>
      <c r="C27" s="159"/>
      <c r="D27" s="159"/>
      <c r="E27" s="159"/>
      <c r="F27" s="152"/>
      <c r="G27" s="152"/>
      <c r="H27" s="152"/>
      <c r="I27" s="152"/>
      <c r="J27" s="153"/>
    </row>
    <row r="28" spans="1:10" x14ac:dyDescent="0.25">
      <c r="A28" s="154"/>
      <c r="B28" s="38"/>
      <c r="C28" s="76"/>
      <c r="D28" s="76"/>
      <c r="E28" s="76"/>
      <c r="F28" s="38"/>
      <c r="G28" s="38"/>
      <c r="H28" s="38"/>
      <c r="I28" s="38"/>
      <c r="J28" s="155"/>
    </row>
    <row r="29" spans="1:10" x14ac:dyDescent="0.25">
      <c r="A29" s="156" t="s">
        <v>414</v>
      </c>
      <c r="B29" s="38" t="s">
        <v>411</v>
      </c>
      <c r="C29" s="76">
        <f>+Adjustments!I33</f>
        <v>389675</v>
      </c>
      <c r="D29" s="157">
        <v>0</v>
      </c>
      <c r="E29" s="157"/>
      <c r="F29" s="38" t="s">
        <v>442</v>
      </c>
      <c r="G29" s="38"/>
      <c r="H29" s="38"/>
      <c r="I29" s="38"/>
      <c r="J29" s="155"/>
    </row>
    <row r="30" spans="1:10" x14ac:dyDescent="0.25">
      <c r="A30" s="154"/>
      <c r="B30" s="38"/>
      <c r="C30" s="76"/>
      <c r="D30" s="76"/>
      <c r="E30" s="76"/>
      <c r="F30" s="38"/>
      <c r="G30" s="38"/>
      <c r="H30" s="38"/>
      <c r="I30" s="38"/>
      <c r="J30" s="155"/>
    </row>
    <row r="31" spans="1:10" x14ac:dyDescent="0.25">
      <c r="A31" s="154"/>
      <c r="B31" s="38"/>
      <c r="C31" s="76"/>
      <c r="D31" s="76"/>
      <c r="E31" s="76"/>
      <c r="F31" s="38" t="s">
        <v>455</v>
      </c>
      <c r="G31" s="38"/>
      <c r="H31" s="38"/>
      <c r="I31" s="38"/>
      <c r="J31" s="155"/>
    </row>
    <row r="32" spans="1:10" ht="13" thickBot="1" x14ac:dyDescent="0.3">
      <c r="A32" s="158"/>
      <c r="B32" s="152"/>
      <c r="C32" s="159"/>
      <c r="D32" s="159"/>
      <c r="E32" s="159"/>
      <c r="F32" s="152"/>
      <c r="G32" s="152"/>
      <c r="H32" s="152"/>
      <c r="I32" s="152"/>
      <c r="J32" s="153"/>
    </row>
    <row r="33" spans="1:10" x14ac:dyDescent="0.25">
      <c r="A33" s="154"/>
      <c r="B33" s="38"/>
      <c r="C33" s="76"/>
      <c r="D33" s="76"/>
      <c r="E33" s="76"/>
      <c r="F33" s="38"/>
      <c r="G33" s="38"/>
      <c r="H33" s="38"/>
      <c r="I33" s="38"/>
      <c r="J33" s="155"/>
    </row>
    <row r="34" spans="1:10" x14ac:dyDescent="0.25">
      <c r="A34" s="156" t="s">
        <v>451</v>
      </c>
      <c r="B34" s="38" t="s">
        <v>420</v>
      </c>
      <c r="C34" s="76">
        <f>+Adjustments!J33</f>
        <v>-2545</v>
      </c>
      <c r="D34" s="157">
        <f>+Adjustments!J47</f>
        <v>5688</v>
      </c>
      <c r="E34" s="157"/>
      <c r="F34" s="38" t="s">
        <v>422</v>
      </c>
      <c r="G34" s="38"/>
      <c r="H34" s="38"/>
      <c r="I34" s="38"/>
      <c r="J34" s="155"/>
    </row>
    <row r="35" spans="1:10" x14ac:dyDescent="0.25">
      <c r="A35" s="154"/>
      <c r="B35" s="38"/>
      <c r="C35" s="76"/>
      <c r="D35" s="76"/>
      <c r="E35" s="76"/>
      <c r="F35" s="38" t="s">
        <v>457</v>
      </c>
      <c r="G35" s="38"/>
      <c r="H35" s="38"/>
      <c r="I35" s="38"/>
      <c r="J35" s="155"/>
    </row>
    <row r="36" spans="1:10" x14ac:dyDescent="0.25">
      <c r="A36" s="154"/>
      <c r="B36" s="38"/>
      <c r="C36" s="76"/>
      <c r="D36" s="76"/>
      <c r="E36" s="76"/>
      <c r="F36" s="38"/>
      <c r="G36" s="38"/>
      <c r="H36" s="38"/>
      <c r="I36" s="38"/>
      <c r="J36" s="155"/>
    </row>
    <row r="37" spans="1:10" ht="13" thickBot="1" x14ac:dyDescent="0.3">
      <c r="A37" s="158"/>
      <c r="B37" s="152"/>
      <c r="C37" s="159"/>
      <c r="D37" s="159"/>
      <c r="E37" s="159"/>
      <c r="F37" s="152"/>
      <c r="G37" s="152"/>
      <c r="H37" s="152"/>
      <c r="I37" s="152"/>
      <c r="J37" s="153"/>
    </row>
    <row r="38" spans="1:10" x14ac:dyDescent="0.25">
      <c r="A38" s="154"/>
      <c r="B38" s="38"/>
      <c r="C38" s="76"/>
      <c r="D38" s="76"/>
      <c r="E38" s="76"/>
      <c r="F38" s="38"/>
      <c r="G38" s="38"/>
      <c r="H38" s="38"/>
      <c r="I38" s="38"/>
      <c r="J38" s="155"/>
    </row>
    <row r="39" spans="1:10" x14ac:dyDescent="0.25">
      <c r="A39" s="154"/>
      <c r="B39" s="38"/>
      <c r="C39" s="76"/>
      <c r="D39" s="76"/>
      <c r="E39" s="76"/>
      <c r="F39" s="38"/>
      <c r="G39" s="38"/>
      <c r="H39" s="38"/>
      <c r="I39" s="38"/>
      <c r="J39" s="155"/>
    </row>
    <row r="40" spans="1:10" x14ac:dyDescent="0.25">
      <c r="A40" s="161" t="s">
        <v>418</v>
      </c>
      <c r="B40" s="38"/>
      <c r="C40" s="162">
        <f>SUM(C11:C37)</f>
        <v>1273894.8749497535</v>
      </c>
      <c r="D40" s="162">
        <f>SUM(D11:D37)</f>
        <v>50194.055937257719</v>
      </c>
      <c r="E40" s="162"/>
      <c r="F40" s="38"/>
      <c r="G40" s="38"/>
      <c r="H40" s="38"/>
      <c r="I40" s="38"/>
      <c r="J40" s="155"/>
    </row>
    <row r="41" spans="1:10" x14ac:dyDescent="0.25">
      <c r="A41" s="154"/>
      <c r="B41" s="38"/>
      <c r="C41" s="76"/>
      <c r="D41" s="76"/>
      <c r="E41" s="76"/>
      <c r="F41" s="38"/>
      <c r="G41" s="38"/>
      <c r="H41" s="38"/>
      <c r="I41" s="38"/>
      <c r="J41" s="155"/>
    </row>
    <row r="42" spans="1:10" ht="13" thickBot="1" x14ac:dyDescent="0.3">
      <c r="A42" s="158"/>
      <c r="B42" s="152"/>
      <c r="C42" s="159"/>
      <c r="D42" s="159"/>
      <c r="E42" s="159"/>
      <c r="F42" s="152"/>
      <c r="G42" s="152"/>
      <c r="H42" s="152"/>
      <c r="I42" s="152"/>
      <c r="J42" s="153"/>
    </row>
    <row r="44" spans="1:10" x14ac:dyDescent="0.25">
      <c r="C44" s="41">
        <f>+C40-Adjustments!L33</f>
        <v>0</v>
      </c>
      <c r="D44" s="41">
        <f>+D40-Adjustments!L47</f>
        <v>0</v>
      </c>
    </row>
    <row r="47" spans="1:10" hidden="1" x14ac:dyDescent="0.25">
      <c r="B47" s="24" t="s">
        <v>459</v>
      </c>
      <c r="C47" s="41">
        <f>+'Page 1'!C13</f>
        <v>72734866.19855766</v>
      </c>
    </row>
    <row r="48" spans="1:10" hidden="1" x14ac:dyDescent="0.25"/>
    <row r="49" spans="2:3" hidden="1" x14ac:dyDescent="0.25">
      <c r="B49" s="30" t="s">
        <v>460</v>
      </c>
      <c r="C49" s="41">
        <f>+SUM('Page 1'!C16:C18)</f>
        <v>43703835.113878168</v>
      </c>
    </row>
    <row r="50" spans="2:3" hidden="1" x14ac:dyDescent="0.25">
      <c r="B50" s="30" t="s">
        <v>461</v>
      </c>
      <c r="C50" s="41">
        <f>+SUM('Page 1'!C21:C24)</f>
        <v>18011545.45013085</v>
      </c>
    </row>
    <row r="51" spans="2:3" hidden="1" x14ac:dyDescent="0.25">
      <c r="B51" s="30" t="s">
        <v>169</v>
      </c>
    </row>
    <row r="52" spans="2:3" hidden="1" x14ac:dyDescent="0.25">
      <c r="B52" s="24" t="s">
        <v>462</v>
      </c>
      <c r="C52" s="41">
        <f>+C47-SUM(C49:C50)</f>
        <v>11019485.634548642</v>
      </c>
    </row>
    <row r="53" spans="2:3" hidden="1" x14ac:dyDescent="0.25"/>
    <row r="54" spans="2:3" hidden="1" x14ac:dyDescent="0.25">
      <c r="B54" s="131" t="s">
        <v>463</v>
      </c>
    </row>
    <row r="55" spans="2:3" hidden="1" x14ac:dyDescent="0.25">
      <c r="B55" s="30" t="s">
        <v>464</v>
      </c>
      <c r="C55" s="41">
        <v>242007.9799655024</v>
      </c>
    </row>
    <row r="56" spans="2:3" hidden="1" x14ac:dyDescent="0.25">
      <c r="B56" s="30" t="s">
        <v>452</v>
      </c>
      <c r="C56" s="41">
        <v>4492.154062005653</v>
      </c>
    </row>
    <row r="57" spans="2:3" hidden="1" x14ac:dyDescent="0.25">
      <c r="B57" s="30" t="s">
        <v>7</v>
      </c>
      <c r="C57" s="30">
        <v>95763.881166666746</v>
      </c>
    </row>
    <row r="58" spans="2:3" hidden="1" x14ac:dyDescent="0.25">
      <c r="B58" s="30" t="s">
        <v>465</v>
      </c>
      <c r="C58" s="41">
        <v>-62251</v>
      </c>
    </row>
    <row r="59" spans="2:3" hidden="1" x14ac:dyDescent="0.25">
      <c r="B59" s="30" t="s">
        <v>419</v>
      </c>
      <c r="C59" s="41">
        <v>42023</v>
      </c>
    </row>
    <row r="60" spans="2:3" hidden="1" x14ac:dyDescent="0.25">
      <c r="B60" s="30" t="s">
        <v>467</v>
      </c>
      <c r="C60" s="41">
        <v>239632</v>
      </c>
    </row>
    <row r="61" spans="2:3" hidden="1" x14ac:dyDescent="0.25">
      <c r="B61" s="30" t="s">
        <v>420</v>
      </c>
      <c r="C61" s="41">
        <v>-12805</v>
      </c>
    </row>
    <row r="62" spans="2:3" hidden="1" x14ac:dyDescent="0.25"/>
    <row r="63" spans="2:3" hidden="1" x14ac:dyDescent="0.25"/>
    <row r="64" spans="2:3" hidden="1" x14ac:dyDescent="0.25">
      <c r="B64" s="24" t="s">
        <v>466</v>
      </c>
      <c r="C64" s="41">
        <f>SUM(C52:C61)</f>
        <v>11568348.649742816</v>
      </c>
    </row>
    <row r="65" spans="2:3" hidden="1" x14ac:dyDescent="0.25"/>
    <row r="66" spans="2:3" hidden="1" x14ac:dyDescent="0.25">
      <c r="B66" s="30" t="s">
        <v>250</v>
      </c>
      <c r="C66" s="41">
        <f>+'Page 1'!C41</f>
        <v>201863886.6437462</v>
      </c>
    </row>
    <row r="67" spans="2:3" hidden="1" x14ac:dyDescent="0.25">
      <c r="B67" s="30" t="s">
        <v>419</v>
      </c>
      <c r="C67" s="41">
        <f>+'Page 1'!D41</f>
        <v>50194.055937257719</v>
      </c>
    </row>
    <row r="68" spans="2:3" hidden="1" x14ac:dyDescent="0.25"/>
    <row r="69" spans="2:3" hidden="1" x14ac:dyDescent="0.25">
      <c r="B69" s="24" t="s">
        <v>468</v>
      </c>
      <c r="C69" s="41">
        <f>+C66+C67</f>
        <v>201914080.69968346</v>
      </c>
    </row>
    <row r="70" spans="2:3" hidden="1" x14ac:dyDescent="0.25"/>
    <row r="71" spans="2:3" hidden="1" x14ac:dyDescent="0.25"/>
    <row r="72" spans="2:3" hidden="1" x14ac:dyDescent="0.25"/>
    <row r="73" spans="2:3" hidden="1" x14ac:dyDescent="0.25"/>
    <row r="74" spans="2:3" hidden="1" x14ac:dyDescent="0.25"/>
    <row r="75" spans="2:3" hidden="1" x14ac:dyDescent="0.25">
      <c r="B75" s="30" t="s">
        <v>397</v>
      </c>
    </row>
    <row r="76" spans="2:3" hidden="1" x14ac:dyDescent="0.25">
      <c r="B76" s="30" t="s">
        <v>169</v>
      </c>
    </row>
    <row r="77" spans="2:3" hidden="1" x14ac:dyDescent="0.25">
      <c r="B77" s="30" t="s">
        <v>398</v>
      </c>
    </row>
  </sheetData>
  <phoneticPr fontId="19" type="noConversion"/>
  <printOptions horizontalCentered="1"/>
  <pageMargins left="0.5" right="0.5" top="0.5" bottom="0.5" header="0.25" footer="0.25"/>
  <pageSetup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V42"/>
  <sheetViews>
    <sheetView showGridLines="0" workbookViewId="0">
      <selection activeCell="J16" sqref="J16:J17"/>
    </sheetView>
  </sheetViews>
  <sheetFormatPr defaultRowHeight="12.5" x14ac:dyDescent="0.25"/>
  <cols>
    <col min="1" max="1" width="4.7265625" style="210" customWidth="1"/>
    <col min="2" max="2" width="16.54296875" style="210" customWidth="1"/>
    <col min="3" max="4" width="14.7265625" style="210" customWidth="1"/>
    <col min="5" max="5" width="12.7265625" style="210" customWidth="1"/>
    <col min="6" max="6" width="2.7265625" style="210" customWidth="1"/>
    <col min="7" max="10" width="12.7265625" style="210" customWidth="1"/>
    <col min="11" max="11" width="29.26953125" style="210" bestFit="1" customWidth="1"/>
    <col min="12" max="22" width="12.7265625" style="210" customWidth="1"/>
  </cols>
  <sheetData>
    <row r="2" spans="2:13" x14ac:dyDescent="0.25">
      <c r="B2" s="95" t="s">
        <v>0</v>
      </c>
    </row>
    <row r="3" spans="2:13" x14ac:dyDescent="0.25">
      <c r="B3" s="230" t="str">
        <f>+'Not filed'!$A$2</f>
        <v>Washington Annual Commission Basis Report</v>
      </c>
    </row>
    <row r="4" spans="2:13" x14ac:dyDescent="0.25">
      <c r="B4" s="231" t="s">
        <v>476</v>
      </c>
    </row>
    <row r="5" spans="2:13" x14ac:dyDescent="0.25">
      <c r="B5" s="210" t="s">
        <v>491</v>
      </c>
    </row>
    <row r="6" spans="2:13" x14ac:dyDescent="0.25">
      <c r="C6" s="253" t="s">
        <v>488</v>
      </c>
      <c r="D6" s="253" t="s">
        <v>489</v>
      </c>
      <c r="E6" s="239" t="s">
        <v>493</v>
      </c>
      <c r="F6" s="239" t="s">
        <v>498</v>
      </c>
    </row>
    <row r="8" spans="2:13" x14ac:dyDescent="0.25">
      <c r="B8" s="91" t="s">
        <v>462</v>
      </c>
      <c r="C8" s="236">
        <f>+'Page 1'!E28/1000000</f>
        <v>12.293380509498402</v>
      </c>
      <c r="D8" s="236" t="e">
        <f>+'Page 1'!#REF!/1000000</f>
        <v>#REF!</v>
      </c>
      <c r="E8" s="236" t="e">
        <f>+C8-D8</f>
        <v>#REF!</v>
      </c>
      <c r="F8" s="236">
        <v>9</v>
      </c>
    </row>
    <row r="9" spans="2:13" ht="13" thickBot="1" x14ac:dyDescent="0.3">
      <c r="B9" s="91" t="s">
        <v>172</v>
      </c>
      <c r="C9" s="236">
        <f>+'Page 1'!E41/1000000</f>
        <v>201.91408069968344</v>
      </c>
      <c r="D9" s="236" t="e">
        <f>+'Page 1'!#REF!/1000000</f>
        <v>#REF!</v>
      </c>
      <c r="E9" s="236" t="e">
        <f>+C9-D9</f>
        <v>#REF!</v>
      </c>
      <c r="F9" s="236">
        <v>124</v>
      </c>
    </row>
    <row r="10" spans="2:13" x14ac:dyDescent="0.25">
      <c r="B10" s="91" t="s">
        <v>397</v>
      </c>
      <c r="C10" s="232">
        <f>+'Page 1'!E43</f>
        <v>6.0900000000000003E-2</v>
      </c>
      <c r="D10" s="232" t="e">
        <f>+'Page 1'!#REF!</f>
        <v>#REF!</v>
      </c>
      <c r="E10" s="232" t="e">
        <f>+C10-D10</f>
        <v>#REF!</v>
      </c>
      <c r="F10" s="232">
        <f>+F8/F9</f>
        <v>7.2580645161290328E-2</v>
      </c>
      <c r="G10" s="232"/>
      <c r="K10" s="248" t="s">
        <v>502</v>
      </c>
      <c r="L10" s="249">
        <v>2012</v>
      </c>
      <c r="M10" s="250">
        <v>2011</v>
      </c>
    </row>
    <row r="11" spans="2:13" x14ac:dyDescent="0.25">
      <c r="B11" s="91" t="s">
        <v>398</v>
      </c>
      <c r="C11" s="254">
        <f>+'Page 1'!E45</f>
        <v>8.1199999999999994E-2</v>
      </c>
      <c r="D11" s="254" t="e">
        <f>+'Page 1'!#REF!</f>
        <v>#REF!</v>
      </c>
      <c r="E11" s="232" t="e">
        <f>+C11-D11</f>
        <v>#REF!</v>
      </c>
      <c r="F11" s="232">
        <v>0.1032</v>
      </c>
      <c r="K11" s="241" t="s">
        <v>500</v>
      </c>
      <c r="L11" s="224">
        <f>+C11</f>
        <v>8.1199999999999994E-2</v>
      </c>
      <c r="M11" s="242">
        <f>+F11</f>
        <v>0.1032</v>
      </c>
    </row>
    <row r="12" spans="2:13" x14ac:dyDescent="0.25">
      <c r="B12" s="24"/>
      <c r="G12" s="210">
        <f>+C8</f>
        <v>12.293380509498402</v>
      </c>
      <c r="H12" s="210">
        <f>+G12</f>
        <v>12.293380509498402</v>
      </c>
      <c r="I12" s="210" t="e">
        <f>+D8</f>
        <v>#REF!</v>
      </c>
      <c r="K12" s="154"/>
      <c r="L12" s="38"/>
      <c r="M12" s="155"/>
    </row>
    <row r="13" spans="2:13" x14ac:dyDescent="0.25">
      <c r="B13" s="24" t="s">
        <v>490</v>
      </c>
      <c r="C13" s="236">
        <f>+'Page 1'!E48/1000000</f>
        <v>0</v>
      </c>
      <c r="D13" s="236"/>
      <c r="F13" s="252"/>
      <c r="G13" s="210">
        <f>+C9</f>
        <v>201.91408069968344</v>
      </c>
      <c r="H13" s="210" t="e">
        <f>+D9</f>
        <v>#REF!</v>
      </c>
      <c r="I13" s="210" t="e">
        <f>+H13</f>
        <v>#REF!</v>
      </c>
      <c r="K13" s="241" t="s">
        <v>501</v>
      </c>
      <c r="L13" s="243">
        <f>+C13</f>
        <v>0</v>
      </c>
      <c r="M13" s="244">
        <v>0.2</v>
      </c>
    </row>
    <row r="14" spans="2:13" ht="13" thickBot="1" x14ac:dyDescent="0.3">
      <c r="C14" s="236"/>
      <c r="D14" s="236"/>
      <c r="G14" s="232">
        <f>+G12/G13</f>
        <v>6.0884216033367876E-2</v>
      </c>
      <c r="H14" s="232" t="e">
        <f>+H12/H13</f>
        <v>#REF!</v>
      </c>
      <c r="I14" s="232" t="e">
        <f>+I12/I13</f>
        <v>#REF!</v>
      </c>
      <c r="K14" s="245" t="s">
        <v>491</v>
      </c>
      <c r="L14" s="246"/>
      <c r="M14" s="247"/>
    </row>
    <row r="15" spans="2:13" x14ac:dyDescent="0.25">
      <c r="B15" s="237" t="s">
        <v>492</v>
      </c>
      <c r="C15" s="236"/>
      <c r="D15" s="236"/>
      <c r="G15" s="232" t="e">
        <f>+G14-H14</f>
        <v>#REF!</v>
      </c>
      <c r="I15" s="232" t="e">
        <f>+H14-I14</f>
        <v>#REF!</v>
      </c>
    </row>
    <row r="16" spans="2:13" x14ac:dyDescent="0.25">
      <c r="B16" s="210" t="s">
        <v>495</v>
      </c>
      <c r="C16" s="236" t="e">
        <f>-'Page 1'!#REF!/1000000</f>
        <v>#REF!</v>
      </c>
      <c r="D16" s="236"/>
      <c r="G16" s="211" t="s">
        <v>250</v>
      </c>
      <c r="H16" s="232" t="e">
        <f>+G15+I15</f>
        <v>#REF!</v>
      </c>
      <c r="I16" s="211" t="s">
        <v>494</v>
      </c>
    </row>
    <row r="17" spans="2:9" x14ac:dyDescent="0.25">
      <c r="B17" s="210" t="s">
        <v>496</v>
      </c>
      <c r="C17" s="236" t="e">
        <f>-'Page 1'!#REF!/1000000</f>
        <v>#REF!</v>
      </c>
    </row>
    <row r="18" spans="2:9" x14ac:dyDescent="0.25">
      <c r="B18" s="210" t="s">
        <v>497</v>
      </c>
      <c r="C18" s="238" t="e">
        <f>-'Page 1'!#REF!/1000000</f>
        <v>#REF!</v>
      </c>
    </row>
    <row r="19" spans="2:9" x14ac:dyDescent="0.25">
      <c r="C19" s="236" t="e">
        <f>SUM(C16:C18)</f>
        <v>#REF!</v>
      </c>
    </row>
    <row r="21" spans="2:9" ht="13" thickBot="1" x14ac:dyDescent="0.3"/>
    <row r="22" spans="2:9" x14ac:dyDescent="0.25">
      <c r="B22" s="255"/>
      <c r="C22" s="256" t="str">
        <f>+C6</f>
        <v>2012 CBR</v>
      </c>
      <c r="D22" s="256"/>
      <c r="E22" s="257"/>
      <c r="G22" s="268" t="str">
        <f>+D6</f>
        <v>UG-080546</v>
      </c>
      <c r="H22" s="256"/>
      <c r="I22" s="257"/>
    </row>
    <row r="23" spans="2:9" x14ac:dyDescent="0.25">
      <c r="B23" s="258"/>
      <c r="C23" s="190" t="s">
        <v>428</v>
      </c>
      <c r="D23" s="190"/>
      <c r="E23" s="259"/>
      <c r="G23" s="269" t="s">
        <v>428</v>
      </c>
      <c r="H23" s="190"/>
      <c r="I23" s="259"/>
    </row>
    <row r="24" spans="2:9" x14ac:dyDescent="0.25">
      <c r="B24" s="258"/>
      <c r="C24" s="66" t="s">
        <v>33</v>
      </c>
      <c r="D24" s="66"/>
      <c r="E24" s="164" t="s">
        <v>34</v>
      </c>
      <c r="G24" s="156" t="s">
        <v>33</v>
      </c>
      <c r="H24" s="66"/>
      <c r="I24" s="164" t="s">
        <v>34</v>
      </c>
    </row>
    <row r="25" spans="2:9" x14ac:dyDescent="0.25">
      <c r="B25" s="260" t="s">
        <v>88</v>
      </c>
      <c r="C25" s="233" t="s">
        <v>55</v>
      </c>
      <c r="D25" s="233" t="s">
        <v>56</v>
      </c>
      <c r="E25" s="261" t="s">
        <v>57</v>
      </c>
      <c r="G25" s="270" t="s">
        <v>55</v>
      </c>
      <c r="H25" s="233" t="s">
        <v>56</v>
      </c>
      <c r="I25" s="261" t="s">
        <v>57</v>
      </c>
    </row>
    <row r="26" spans="2:9" x14ac:dyDescent="0.25">
      <c r="B26" s="258" t="str">
        <f>+'Cost of Cap'!B12</f>
        <v xml:space="preserve">   Long Term Debt</v>
      </c>
      <c r="C26" s="262">
        <f>+'Cost of Cap'!C12</f>
        <v>0.49717293252961547</v>
      </c>
      <c r="D26" s="262">
        <f>+'Cost of Cap'!D12</f>
        <v>4.6623259896920649E-2</v>
      </c>
      <c r="E26" s="263">
        <f>+'Cost of Cap'!E12</f>
        <v>2.3199999999999998E-2</v>
      </c>
      <c r="G26" s="271" t="e">
        <f>+'Cost of Cap'!#REF!</f>
        <v>#REF!</v>
      </c>
      <c r="H26" s="262" t="e">
        <f>+'Cost of Cap'!#REF!</f>
        <v>#REF!</v>
      </c>
      <c r="I26" s="263" t="e">
        <f>+'Cost of Cap'!#REF!</f>
        <v>#REF!</v>
      </c>
    </row>
    <row r="27" spans="2:9" x14ac:dyDescent="0.25">
      <c r="B27" s="258" t="str">
        <f>+'Cost of Cap'!B13</f>
        <v xml:space="preserve">   Short Term Debt [1]</v>
      </c>
      <c r="C27" s="262">
        <f>+'Cost of Cap'!C13</f>
        <v>4.4438625425151181E-2</v>
      </c>
      <c r="D27" s="262">
        <f>+'Cost of Cap'!D13</f>
        <v>1.2E-2</v>
      </c>
      <c r="E27" s="263">
        <f>+'Cost of Cap'!E13</f>
        <v>5.0000000000000001E-4</v>
      </c>
      <c r="G27" s="271" t="e">
        <f>+'Cost of Cap'!#REF!</f>
        <v>#REF!</v>
      </c>
      <c r="H27" s="262" t="e">
        <f>+'Cost of Cap'!#REF!</f>
        <v>#REF!</v>
      </c>
      <c r="I27" s="263" t="e">
        <f>+'Cost of Cap'!#REF!</f>
        <v>#REF!</v>
      </c>
    </row>
    <row r="28" spans="2:9" x14ac:dyDescent="0.25">
      <c r="B28" s="258" t="str">
        <f>+'Cost of Cap'!B15</f>
        <v xml:space="preserve">   Common Stock</v>
      </c>
      <c r="C28" s="235">
        <f>+'Cost of Cap'!C15</f>
        <v>0.45838844204523344</v>
      </c>
      <c r="D28" s="262">
        <v>0.10100000000000001</v>
      </c>
      <c r="E28" s="264">
        <f>+C28*D28</f>
        <v>4.6297232646568577E-2</v>
      </c>
      <c r="G28" s="272" t="e">
        <f>+'Cost of Cap'!#REF!</f>
        <v>#REF!</v>
      </c>
      <c r="H28" s="262" t="e">
        <f>+'Cost of Cap'!#REF!</f>
        <v>#REF!</v>
      </c>
      <c r="I28" s="264" t="e">
        <f>+'Cost of Cap'!#REF!</f>
        <v>#REF!</v>
      </c>
    </row>
    <row r="29" spans="2:9" ht="13" thickBot="1" x14ac:dyDescent="0.3">
      <c r="B29" s="265"/>
      <c r="C29" s="266">
        <f>SUM(C26:C28)</f>
        <v>1</v>
      </c>
      <c r="D29" s="266"/>
      <c r="E29" s="267">
        <f>SUM(E26:E28)</f>
        <v>6.9997232646568569E-2</v>
      </c>
      <c r="G29" s="273" t="e">
        <f>SUM(G26:G28)</f>
        <v>#REF!</v>
      </c>
      <c r="H29" s="266"/>
      <c r="I29" s="267" t="e">
        <f>SUM(I26:I28)</f>
        <v>#REF!</v>
      </c>
    </row>
    <row r="30" spans="2:9" x14ac:dyDescent="0.25">
      <c r="G30" s="234"/>
      <c r="H30" s="234"/>
    </row>
    <row r="31" spans="2:9" x14ac:dyDescent="0.25">
      <c r="C31" s="240" t="s">
        <v>498</v>
      </c>
      <c r="D31" s="240"/>
      <c r="E31" s="240"/>
    </row>
    <row r="32" spans="2:9" x14ac:dyDescent="0.25">
      <c r="C32" s="166" t="s">
        <v>428</v>
      </c>
      <c r="D32" s="166"/>
      <c r="E32" s="166"/>
    </row>
    <row r="33" spans="2:5" x14ac:dyDescent="0.25">
      <c r="C33" s="26" t="s">
        <v>33</v>
      </c>
      <c r="D33" s="26"/>
      <c r="E33" s="26" t="s">
        <v>34</v>
      </c>
    </row>
    <row r="34" spans="2:5" x14ac:dyDescent="0.25">
      <c r="C34" s="28" t="s">
        <v>55</v>
      </c>
      <c r="D34" s="28" t="s">
        <v>56</v>
      </c>
      <c r="E34" s="28" t="s">
        <v>57</v>
      </c>
    </row>
    <row r="35" spans="2:5" x14ac:dyDescent="0.25">
      <c r="C35" s="26" t="s">
        <v>76</v>
      </c>
      <c r="D35" s="26" t="s">
        <v>77</v>
      </c>
      <c r="E35" s="26" t="s">
        <v>78</v>
      </c>
    </row>
    <row r="36" spans="2:5" x14ac:dyDescent="0.25">
      <c r="C36" s="29"/>
      <c r="D36" s="29"/>
      <c r="E36" s="29"/>
    </row>
    <row r="37" spans="2:5" x14ac:dyDescent="0.25">
      <c r="B37" s="88" t="s">
        <v>88</v>
      </c>
      <c r="C37" s="31"/>
      <c r="D37" s="117"/>
      <c r="E37" s="117"/>
    </row>
    <row r="38" spans="2:5" x14ac:dyDescent="0.25">
      <c r="B38" s="210" t="s">
        <v>107</v>
      </c>
      <c r="C38" s="32">
        <v>0.46189999999999998</v>
      </c>
      <c r="D38" s="221">
        <v>6.5549999999999997E-2</v>
      </c>
      <c r="E38" s="120">
        <f>ROUND((+C38*D38),5)</f>
        <v>3.0280000000000001E-2</v>
      </c>
    </row>
    <row r="39" spans="2:5" x14ac:dyDescent="0.25">
      <c r="B39" s="210" t="s">
        <v>112</v>
      </c>
      <c r="C39" s="32">
        <v>0.13389999999999999</v>
      </c>
      <c r="D39" s="221">
        <v>3.6299999999999999E-2</v>
      </c>
      <c r="E39" s="120">
        <f>ROUND((+C39*D39),5)</f>
        <v>4.8599999999999997E-3</v>
      </c>
    </row>
    <row r="40" spans="2:5" x14ac:dyDescent="0.25">
      <c r="B40" s="210" t="s">
        <v>124</v>
      </c>
      <c r="C40" s="34">
        <v>0.4042</v>
      </c>
      <c r="D40" s="222">
        <v>0.10100000000000001</v>
      </c>
      <c r="E40" s="251">
        <f>ROUND((+C40*D40),5)</f>
        <v>4.0820000000000002E-2</v>
      </c>
    </row>
    <row r="41" spans="2:5" ht="13" thickBot="1" x14ac:dyDescent="0.3">
      <c r="C41" s="36">
        <f>SUM(C38:C40)</f>
        <v>1</v>
      </c>
      <c r="D41" s="223"/>
      <c r="E41" s="36">
        <f>SUM(E38:E40)</f>
        <v>7.596E-2</v>
      </c>
    </row>
    <row r="42" spans="2:5" ht="13" thickTop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indexed="42"/>
    <pageSetUpPr fitToPage="1"/>
  </sheetPr>
  <dimension ref="A1:W99"/>
  <sheetViews>
    <sheetView showGridLines="0" topLeftCell="A3" zoomScale="80" zoomScaleNormal="80" zoomScaleSheetLayoutView="85" workbookViewId="0">
      <selection activeCell="F73" sqref="F73"/>
    </sheetView>
  </sheetViews>
  <sheetFormatPr defaultColWidth="9.1796875" defaultRowHeight="12.5" outlineLevelRow="1" x14ac:dyDescent="0.25"/>
  <cols>
    <col min="1" max="1" width="4.7265625" style="297" customWidth="1"/>
    <col min="2" max="2" width="46.26953125" style="297" customWidth="1"/>
    <col min="3" max="3" width="18.26953125" style="298" bestFit="1" customWidth="1"/>
    <col min="4" max="5" width="15.7265625" style="298" customWidth="1"/>
    <col min="6" max="6" width="13.453125" style="298" bestFit="1" customWidth="1"/>
    <col min="7" max="7" width="12.7265625" style="299" customWidth="1"/>
    <col min="8" max="8" width="21.453125" style="66" customWidth="1"/>
    <col min="9" max="11" width="11.7265625" style="299" customWidth="1"/>
    <col min="12" max="23" width="9.1796875" style="299"/>
    <col min="24" max="16384" width="9.1796875" style="298"/>
  </cols>
  <sheetData>
    <row r="1" spans="1:23" s="297" customFormat="1" x14ac:dyDescent="0.25">
      <c r="A1" s="297" t="s">
        <v>0</v>
      </c>
      <c r="E1" s="297" t="s">
        <v>1</v>
      </c>
      <c r="G1" s="167"/>
      <c r="H1" s="167"/>
      <c r="I1" s="71"/>
      <c r="J1" s="71"/>
      <c r="K1" s="299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3" s="297" customFormat="1" x14ac:dyDescent="0.25">
      <c r="A2" s="69" t="str">
        <f>+'Not filed'!$A$2</f>
        <v>Washington Annual Commission Basis Report</v>
      </c>
      <c r="G2" s="168"/>
      <c r="H2" s="167"/>
      <c r="I2" s="71"/>
      <c r="J2" s="71"/>
      <c r="K2" s="299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</row>
    <row r="3" spans="1:23" s="297" customFormat="1" x14ac:dyDescent="0.25">
      <c r="A3" s="316" t="s">
        <v>548</v>
      </c>
      <c r="B3" s="116"/>
      <c r="G3" s="168"/>
      <c r="H3" s="167"/>
      <c r="I3" s="71"/>
      <c r="J3" s="71"/>
      <c r="K3" s="299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 s="297" customFormat="1" x14ac:dyDescent="0.25">
      <c r="G4" s="281"/>
      <c r="H4" s="417"/>
      <c r="I4" s="71"/>
      <c r="J4" s="71"/>
      <c r="K4" s="299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</row>
    <row r="5" spans="1:23" s="297" customFormat="1" x14ac:dyDescent="0.25">
      <c r="D5" s="26"/>
      <c r="E5" s="26"/>
      <c r="F5" s="26"/>
      <c r="G5" s="281"/>
      <c r="H5" s="417"/>
      <c r="I5" s="71"/>
      <c r="J5" s="71"/>
      <c r="K5" s="299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</row>
    <row r="6" spans="1:23" s="297" customFormat="1" ht="12.75" customHeight="1" x14ac:dyDescent="0.25">
      <c r="A6" s="26" t="s">
        <v>17</v>
      </c>
      <c r="C6" s="26" t="s">
        <v>14</v>
      </c>
      <c r="D6" s="26"/>
      <c r="E6" s="26" t="s">
        <v>14</v>
      </c>
      <c r="F6" s="26"/>
      <c r="G6" s="281"/>
      <c r="H6" s="417"/>
      <c r="I6" s="71"/>
      <c r="J6" s="71"/>
      <c r="K6" s="299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</row>
    <row r="7" spans="1:23" s="297" customFormat="1" x14ac:dyDescent="0.25">
      <c r="A7" s="28" t="s">
        <v>46</v>
      </c>
      <c r="C7" s="28" t="s">
        <v>18</v>
      </c>
      <c r="D7" s="28" t="s">
        <v>47</v>
      </c>
      <c r="E7" s="28" t="s">
        <v>48</v>
      </c>
      <c r="F7" s="72"/>
      <c r="G7" s="281"/>
      <c r="H7" s="417"/>
      <c r="I7" s="71"/>
      <c r="J7" s="71"/>
      <c r="K7" s="299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</row>
    <row r="8" spans="1:23" s="297" customFormat="1" x14ac:dyDescent="0.25">
      <c r="A8" s="26"/>
      <c r="C8" s="26" t="s">
        <v>76</v>
      </c>
      <c r="D8" s="26" t="s">
        <v>77</v>
      </c>
      <c r="E8" s="26" t="s">
        <v>78</v>
      </c>
      <c r="F8" s="72"/>
      <c r="G8" s="281"/>
      <c r="H8" s="417"/>
      <c r="I8" s="71"/>
      <c r="J8" s="71"/>
      <c r="K8" s="299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</row>
    <row r="9" spans="1:23" x14ac:dyDescent="0.25">
      <c r="A9" s="219"/>
      <c r="B9" s="131" t="s">
        <v>101</v>
      </c>
      <c r="C9" s="74"/>
      <c r="D9" s="399"/>
      <c r="E9" s="74"/>
      <c r="F9" s="72"/>
      <c r="G9" s="281"/>
      <c r="H9" s="417"/>
    </row>
    <row r="10" spans="1:23" x14ac:dyDescent="0.25">
      <c r="A10" s="219">
        <v>1</v>
      </c>
      <c r="B10" s="297" t="s">
        <v>104</v>
      </c>
      <c r="C10" s="282">
        <f>+'a Rev &amp; Cost'!D26</f>
        <v>72959972.44855766</v>
      </c>
      <c r="D10" s="282">
        <f>Adjustments!L12</f>
        <v>2405648.8070246275</v>
      </c>
      <c r="E10" s="283">
        <f>C10+D10</f>
        <v>75365621.255582288</v>
      </c>
      <c r="F10" s="284"/>
      <c r="G10" s="418"/>
      <c r="H10" s="417"/>
    </row>
    <row r="11" spans="1:23" x14ac:dyDescent="0.25">
      <c r="A11" s="219">
        <f>+A10+1</f>
        <v>2</v>
      </c>
      <c r="B11" s="297" t="s">
        <v>111</v>
      </c>
      <c r="C11" s="277">
        <f>+'a Rev &amp; Cost'!D34</f>
        <v>2271072.2999999998</v>
      </c>
      <c r="D11" s="277">
        <f>Adjustments!L13</f>
        <v>0</v>
      </c>
      <c r="E11" s="217">
        <f>C11+D11</f>
        <v>2271072.2999999998</v>
      </c>
      <c r="F11" s="72"/>
      <c r="G11" s="419"/>
      <c r="H11" s="417"/>
    </row>
    <row r="12" spans="1:23" x14ac:dyDescent="0.25">
      <c r="A12" s="219">
        <f>+A11+1</f>
        <v>3</v>
      </c>
      <c r="B12" s="297" t="s">
        <v>115</v>
      </c>
      <c r="C12" s="291">
        <f>+'Other Rev, Dep &amp; Other Tax'!C20</f>
        <v>-2496178.5500000003</v>
      </c>
      <c r="D12" s="291">
        <f>Adjustments!L14</f>
        <v>-65974.08076573626</v>
      </c>
      <c r="E12" s="292">
        <f>D12+C12</f>
        <v>-2562152.6307657366</v>
      </c>
      <c r="F12" s="72"/>
      <c r="G12" s="419"/>
      <c r="H12" s="417"/>
    </row>
    <row r="13" spans="1:23" x14ac:dyDescent="0.25">
      <c r="A13" s="219">
        <f>+A12+1</f>
        <v>4</v>
      </c>
      <c r="B13" s="297" t="s">
        <v>129</v>
      </c>
      <c r="C13" s="277">
        <f>SUM(C10:C12)</f>
        <v>72734866.19855766</v>
      </c>
      <c r="D13" s="277">
        <f>SUM(D10:D12)</f>
        <v>2339674.7262588912</v>
      </c>
      <c r="E13" s="217">
        <f>SUM(E10:E12)</f>
        <v>75074540.924816549</v>
      </c>
      <c r="F13" s="281"/>
      <c r="G13" s="99"/>
    </row>
    <row r="14" spans="1:23" x14ac:dyDescent="0.25">
      <c r="A14" s="219"/>
      <c r="B14" s="80" t="s">
        <v>517</v>
      </c>
      <c r="C14" s="277"/>
      <c r="D14" s="277"/>
      <c r="E14" s="217">
        <f>+E13-E16</f>
        <v>49142022.118395165</v>
      </c>
      <c r="F14" s="281"/>
      <c r="G14" s="99"/>
      <c r="H14" s="417"/>
    </row>
    <row r="15" spans="1:23" x14ac:dyDescent="0.25">
      <c r="A15" s="219"/>
      <c r="B15" s="297" t="s">
        <v>138</v>
      </c>
      <c r="C15" s="285"/>
      <c r="D15" s="285"/>
      <c r="E15" s="286"/>
      <c r="F15" s="284"/>
      <c r="G15" s="419"/>
    </row>
    <row r="16" spans="1:23" x14ac:dyDescent="0.25">
      <c r="A16" s="219">
        <f>+A13+1</f>
        <v>5</v>
      </c>
      <c r="B16" s="297" t="s">
        <v>143</v>
      </c>
      <c r="C16" s="285">
        <f>+'a Rev &amp; Cost'!D51</f>
        <v>24883746.063560367</v>
      </c>
      <c r="D16" s="285">
        <f>Adjustments!L19</f>
        <v>1048772.7428610218</v>
      </c>
      <c r="E16" s="286">
        <f>C16+D16</f>
        <v>25932518.806421388</v>
      </c>
      <c r="F16" s="284"/>
      <c r="G16" s="420"/>
      <c r="H16" s="417"/>
    </row>
    <row r="17" spans="1:8" x14ac:dyDescent="0.25">
      <c r="A17" s="219">
        <f>+A16+1</f>
        <v>6</v>
      </c>
      <c r="B17" s="297" t="s">
        <v>148</v>
      </c>
      <c r="C17" s="421">
        <v>89636.923512000038</v>
      </c>
      <c r="D17" s="277">
        <f>Adjustments!L20</f>
        <v>-14903.783097607626</v>
      </c>
      <c r="E17" s="217">
        <f>C17+D17</f>
        <v>74733.140414392416</v>
      </c>
      <c r="F17" s="72"/>
      <c r="G17" s="419"/>
      <c r="H17" s="417"/>
    </row>
    <row r="18" spans="1:8" x14ac:dyDescent="0.25">
      <c r="A18" s="219">
        <f>+A17+1</f>
        <v>7</v>
      </c>
      <c r="B18" s="297" t="s">
        <v>151</v>
      </c>
      <c r="C18" s="291">
        <f>18820089.0503178-C17</f>
        <v>18730452.126805801</v>
      </c>
      <c r="D18" s="291">
        <f>Adjustments!L21</f>
        <v>-401206.72836228652</v>
      </c>
      <c r="E18" s="292">
        <f>C18+D18</f>
        <v>18329245.398443513</v>
      </c>
      <c r="F18" s="72"/>
      <c r="G18" s="419"/>
      <c r="H18" s="417"/>
    </row>
    <row r="19" spans="1:8" x14ac:dyDescent="0.25">
      <c r="A19" s="219">
        <f>+A18+1</f>
        <v>8</v>
      </c>
      <c r="B19" s="297" t="s">
        <v>159</v>
      </c>
      <c r="C19" s="277">
        <f>SUM(C16:C18)</f>
        <v>43703835.113878168</v>
      </c>
      <c r="D19" s="217">
        <f>SUM(D15:D18)</f>
        <v>632662.23140112753</v>
      </c>
      <c r="E19" s="217">
        <f>SUM(E15:E18)</f>
        <v>44336497.345279291</v>
      </c>
      <c r="F19" s="281"/>
      <c r="G19" s="420"/>
      <c r="H19" s="417"/>
    </row>
    <row r="20" spans="1:8" x14ac:dyDescent="0.25">
      <c r="A20" s="219"/>
      <c r="B20" s="61"/>
      <c r="C20" s="286"/>
      <c r="D20" s="286"/>
      <c r="E20" s="286"/>
      <c r="F20" s="284"/>
      <c r="G20" s="420"/>
      <c r="H20" s="417"/>
    </row>
    <row r="21" spans="1:8" x14ac:dyDescent="0.25">
      <c r="A21" s="219">
        <f>+A19+1</f>
        <v>9</v>
      </c>
      <c r="B21" s="297" t="s">
        <v>165</v>
      </c>
      <c r="C21" s="277">
        <f>Taxes!C27</f>
        <v>1368032.1544041645</v>
      </c>
      <c r="D21" s="217">
        <f>Adjustments!L26</f>
        <v>338314</v>
      </c>
      <c r="E21" s="217">
        <f>C21+D21</f>
        <v>1706346.1544041645</v>
      </c>
      <c r="F21" s="72"/>
      <c r="G21" s="99"/>
      <c r="H21" s="417"/>
    </row>
    <row r="22" spans="1:8" x14ac:dyDescent="0.25">
      <c r="A22" s="219">
        <f>+A21+1</f>
        <v>10</v>
      </c>
      <c r="B22" s="297" t="s">
        <v>167</v>
      </c>
      <c r="C22" s="277">
        <f>+'Other Rev, Dep &amp; Other Tax'!C36</f>
        <v>1628078.4</v>
      </c>
      <c r="D22" s="217">
        <f>Adjustments!L27</f>
        <v>0</v>
      </c>
      <c r="E22" s="217">
        <f>C22+D22</f>
        <v>1628078.4</v>
      </c>
      <c r="F22" s="72"/>
      <c r="G22" s="99"/>
    </row>
    <row r="23" spans="1:8" x14ac:dyDescent="0.25">
      <c r="A23" s="219">
        <f>+A22+1</f>
        <v>11</v>
      </c>
      <c r="B23" s="297" t="s">
        <v>171</v>
      </c>
      <c r="C23" s="217">
        <f>+'Other Rev, Dep &amp; Other Tax'!C42-'Page 1'!C22</f>
        <v>3837790.6691579032</v>
      </c>
      <c r="D23" s="217">
        <f>Adjustments!L28</f>
        <v>94803.619908010267</v>
      </c>
      <c r="E23" s="217">
        <f>C23+D23</f>
        <v>3932594.2890659133</v>
      </c>
      <c r="F23" s="72"/>
      <c r="G23" s="419"/>
    </row>
    <row r="24" spans="1:8" x14ac:dyDescent="0.25">
      <c r="A24" s="219">
        <f>+A23+1</f>
        <v>12</v>
      </c>
      <c r="B24" s="297" t="s">
        <v>174</v>
      </c>
      <c r="C24" s="291">
        <f>+'Other Rev, Dep &amp; Other Tax'!C31</f>
        <v>11177644.226568783</v>
      </c>
      <c r="D24" s="292">
        <f>Adjustments!L29</f>
        <v>0</v>
      </c>
      <c r="E24" s="292">
        <f>C24+D24</f>
        <v>11177644.226568783</v>
      </c>
      <c r="F24" s="72"/>
      <c r="G24" s="420"/>
      <c r="H24" s="417"/>
    </row>
    <row r="25" spans="1:8" x14ac:dyDescent="0.25">
      <c r="A25" s="219"/>
      <c r="C25" s="286"/>
      <c r="D25" s="286"/>
      <c r="E25" s="286"/>
      <c r="F25" s="284"/>
      <c r="G25" s="420"/>
      <c r="H25" s="417"/>
    </row>
    <row r="26" spans="1:8" x14ac:dyDescent="0.25">
      <c r="A26" s="219">
        <f>+A24+1</f>
        <v>13</v>
      </c>
      <c r="B26" s="297" t="s">
        <v>178</v>
      </c>
      <c r="C26" s="287">
        <f>SUM(C19:C25)</f>
        <v>61715380.564009011</v>
      </c>
      <c r="D26" s="287">
        <f>SUM(D19:D25)</f>
        <v>1065779.8513091379</v>
      </c>
      <c r="E26" s="287">
        <f>SUM(E19:E25)</f>
        <v>62781160.415318146</v>
      </c>
      <c r="F26" s="294"/>
      <c r="G26" s="420"/>
      <c r="H26" s="417"/>
    </row>
    <row r="27" spans="1:8" x14ac:dyDescent="0.25">
      <c r="A27" s="219"/>
      <c r="C27" s="283"/>
      <c r="D27" s="283"/>
      <c r="E27" s="283"/>
      <c r="F27" s="284"/>
      <c r="G27" s="422"/>
      <c r="H27" s="417"/>
    </row>
    <row r="28" spans="1:8" ht="13" thickBot="1" x14ac:dyDescent="0.3">
      <c r="A28" s="219">
        <f>+A26+1</f>
        <v>14</v>
      </c>
      <c r="B28" s="297" t="s">
        <v>184</v>
      </c>
      <c r="C28" s="288">
        <f>C13-C26</f>
        <v>11019485.634548649</v>
      </c>
      <c r="D28" s="288">
        <f>D13-D26</f>
        <v>1273894.8749497533</v>
      </c>
      <c r="E28" s="288">
        <f>E13-E26</f>
        <v>12293380.509498402</v>
      </c>
      <c r="F28" s="290"/>
      <c r="G28" s="423"/>
      <c r="H28" s="417"/>
    </row>
    <row r="29" spans="1:8" ht="13" thickTop="1" x14ac:dyDescent="0.25">
      <c r="A29" s="219"/>
      <c r="C29" s="289"/>
      <c r="D29" s="289"/>
      <c r="E29" s="289"/>
      <c r="F29" s="284"/>
      <c r="G29" s="423"/>
      <c r="H29" s="417"/>
    </row>
    <row r="30" spans="1:8" x14ac:dyDescent="0.25">
      <c r="A30" s="219"/>
      <c r="B30" s="131" t="s">
        <v>179</v>
      </c>
      <c r="C30" s="289"/>
      <c r="D30" s="289"/>
      <c r="E30" s="289"/>
      <c r="F30" s="284"/>
      <c r="G30" s="423"/>
      <c r="H30" s="417"/>
    </row>
    <row r="31" spans="1:8" x14ac:dyDescent="0.25">
      <c r="A31" s="219">
        <f>+A28+1</f>
        <v>15</v>
      </c>
      <c r="B31" s="297" t="s">
        <v>474</v>
      </c>
      <c r="C31" s="286">
        <f>+'Rate Base'!Q103</f>
        <v>390157104.42000002</v>
      </c>
      <c r="D31" s="286">
        <f>Adjustments!L36</f>
        <v>50194.055937257719</v>
      </c>
      <c r="E31" s="286">
        <f>C31+D31</f>
        <v>390207298.47593725</v>
      </c>
      <c r="F31" s="284"/>
      <c r="G31" s="423"/>
      <c r="H31" s="417"/>
    </row>
    <row r="32" spans="1:8" x14ac:dyDescent="0.25">
      <c r="A32" s="219">
        <f>+A31+1</f>
        <v>16</v>
      </c>
      <c r="B32" s="297" t="s">
        <v>123</v>
      </c>
      <c r="C32" s="291">
        <f>+'Rate Base'!Q116</f>
        <v>-155701952.67000002</v>
      </c>
      <c r="D32" s="292">
        <f>Adjustments!L37</f>
        <v>0</v>
      </c>
      <c r="E32" s="292">
        <f>C32+D32</f>
        <v>-155701952.67000002</v>
      </c>
      <c r="F32" s="72"/>
      <c r="G32" s="423"/>
      <c r="H32" s="417"/>
    </row>
    <row r="33" spans="1:8" x14ac:dyDescent="0.25">
      <c r="A33" s="219">
        <f>+A32+1</f>
        <v>17</v>
      </c>
      <c r="B33" s="297" t="s">
        <v>499</v>
      </c>
      <c r="C33" s="217">
        <f>+C31+C32</f>
        <v>234455151.75</v>
      </c>
      <c r="D33" s="217">
        <f>+D31+D32</f>
        <v>50194.055937257719</v>
      </c>
      <c r="E33" s="217">
        <f>+E31+E32</f>
        <v>234505345.80593723</v>
      </c>
      <c r="F33" s="217"/>
      <c r="G33" s="423"/>
      <c r="H33" s="417"/>
    </row>
    <row r="34" spans="1:8" x14ac:dyDescent="0.25">
      <c r="A34" s="219"/>
      <c r="B34" s="131"/>
      <c r="C34" s="293"/>
      <c r="D34" s="293"/>
      <c r="E34" s="293"/>
      <c r="F34" s="72"/>
      <c r="G34" s="423"/>
      <c r="H34" s="417"/>
    </row>
    <row r="35" spans="1:8" x14ac:dyDescent="0.25">
      <c r="A35" s="219">
        <f>+A33+1</f>
        <v>18</v>
      </c>
      <c r="B35" s="297" t="s">
        <v>478</v>
      </c>
      <c r="C35" s="398">
        <f>'e Working Cap'!D16</f>
        <v>3543665.409031197</v>
      </c>
      <c r="D35" s="217">
        <f>Adjustments!L41</f>
        <v>0</v>
      </c>
      <c r="E35" s="217">
        <f>C35+D35</f>
        <v>3543665.409031197</v>
      </c>
      <c r="F35" s="72"/>
      <c r="G35" s="423"/>
      <c r="H35" s="417"/>
    </row>
    <row r="36" spans="1:8" x14ac:dyDescent="0.25">
      <c r="A36" s="219">
        <f>+A35+1</f>
        <v>19</v>
      </c>
      <c r="B36" s="91" t="s">
        <v>283</v>
      </c>
      <c r="C36" s="300">
        <f>+'Rate Base'!Q118</f>
        <v>2472931.66</v>
      </c>
      <c r="D36" s="217">
        <f>Adjustments!L42</f>
        <v>0</v>
      </c>
      <c r="E36" s="217">
        <f>C36+D36</f>
        <v>2472931.66</v>
      </c>
      <c r="F36" s="72"/>
      <c r="G36" s="423"/>
      <c r="H36" s="417"/>
    </row>
    <row r="37" spans="1:8" x14ac:dyDescent="0.25">
      <c r="A37" s="219">
        <f>+A36+1</f>
        <v>20</v>
      </c>
      <c r="B37" s="69" t="s">
        <v>144</v>
      </c>
      <c r="C37" s="298">
        <f>+'Rate Base'!Q119</f>
        <v>-1082301.6599999999</v>
      </c>
      <c r="D37" s="217">
        <f>Adjustments!L43</f>
        <v>0</v>
      </c>
      <c r="E37" s="217">
        <f>C37+D37</f>
        <v>-1082301.6599999999</v>
      </c>
      <c r="F37" s="72"/>
      <c r="G37" s="423"/>
      <c r="H37" s="417"/>
    </row>
    <row r="38" spans="1:8" x14ac:dyDescent="0.25">
      <c r="A38" s="219">
        <f>+A37+1</f>
        <v>21</v>
      </c>
      <c r="B38" s="91" t="s">
        <v>160</v>
      </c>
      <c r="C38" s="298">
        <f>+'Rate Base'!Q120</f>
        <v>3166377.56</v>
      </c>
      <c r="D38" s="217">
        <f>Adjustments!L44</f>
        <v>0</v>
      </c>
      <c r="E38" s="217">
        <f>C38+D38</f>
        <v>3166377.56</v>
      </c>
      <c r="F38" s="72"/>
      <c r="G38" s="423"/>
      <c r="H38" s="417"/>
    </row>
    <row r="39" spans="1:8" x14ac:dyDescent="0.25">
      <c r="A39" s="219">
        <f>+A38+1</f>
        <v>22</v>
      </c>
      <c r="B39" s="91" t="s">
        <v>475</v>
      </c>
      <c r="C39" s="397">
        <f>+'DIT Rate Base'!I42</f>
        <v>-40691938.075284988</v>
      </c>
      <c r="D39" s="292">
        <f>Adjustments!L45</f>
        <v>0</v>
      </c>
      <c r="E39" s="292">
        <f>C39+D39</f>
        <v>-40691938.075284988</v>
      </c>
      <c r="F39" s="72"/>
      <c r="G39" s="423"/>
      <c r="H39" s="417"/>
    </row>
    <row r="40" spans="1:8" x14ac:dyDescent="0.25">
      <c r="A40" s="219"/>
      <c r="C40" s="290"/>
      <c r="D40" s="290"/>
      <c r="E40" s="290"/>
      <c r="F40" s="284"/>
      <c r="G40" s="423"/>
      <c r="H40" s="417"/>
    </row>
    <row r="41" spans="1:8" ht="13" thickBot="1" x14ac:dyDescent="0.3">
      <c r="A41" s="219">
        <f>+A39+1</f>
        <v>23</v>
      </c>
      <c r="B41" s="297" t="s">
        <v>187</v>
      </c>
      <c r="C41" s="288">
        <f>SUM(C33:C40)</f>
        <v>201863886.6437462</v>
      </c>
      <c r="D41" s="288">
        <f>SUM(D33:D39)</f>
        <v>50194.055937257719</v>
      </c>
      <c r="E41" s="288">
        <f>SUM(E33:E39)</f>
        <v>201914080.69968343</v>
      </c>
      <c r="F41" s="288"/>
      <c r="G41" s="423"/>
      <c r="H41" s="417"/>
    </row>
    <row r="42" spans="1:8" ht="13" thickTop="1" x14ac:dyDescent="0.25">
      <c r="A42" s="219"/>
      <c r="C42" s="41"/>
      <c r="D42" s="41"/>
      <c r="E42" s="41"/>
      <c r="F42" s="72"/>
      <c r="G42" s="418"/>
      <c r="H42" s="417"/>
    </row>
    <row r="43" spans="1:8" ht="13" thickBot="1" x14ac:dyDescent="0.3">
      <c r="A43" s="219">
        <f>+A41+1</f>
        <v>24</v>
      </c>
      <c r="B43" s="297" t="s">
        <v>192</v>
      </c>
      <c r="C43" s="43">
        <f>ROUND(+C28/C41,4)</f>
        <v>5.4600000000000003E-2</v>
      </c>
      <c r="D43" s="299"/>
      <c r="E43" s="43">
        <f>ROUND(+E28/E41,4)</f>
        <v>6.0900000000000003E-2</v>
      </c>
      <c r="F43" s="72"/>
      <c r="G43" s="37"/>
    </row>
    <row r="44" spans="1:8" ht="13" thickTop="1" x14ac:dyDescent="0.25">
      <c r="A44" s="219"/>
      <c r="C44" s="31"/>
      <c r="D44" s="299"/>
      <c r="E44" s="31"/>
      <c r="F44" s="31"/>
      <c r="G44" s="37"/>
    </row>
    <row r="45" spans="1:8" ht="13" thickBot="1" x14ac:dyDescent="0.3">
      <c r="A45" s="219">
        <f>+A43+1</f>
        <v>25</v>
      </c>
      <c r="B45" s="297" t="s">
        <v>198</v>
      </c>
      <c r="C45" s="43">
        <f>ROUND(((+C43-'Cost of Cap'!$E$12-'Cost of Cap'!$E$13-'Cost of Cap'!$E$14)/'Cost of Cap'!$C$15),4)</f>
        <v>6.7400000000000002E-2</v>
      </c>
      <c r="D45" s="299"/>
      <c r="E45" s="43">
        <f>ROUND(((+E43-'Cost of Cap'!$E$12-'Cost of Cap'!$E$13-'Cost of Cap'!$E$14)/'Cost of Cap'!$C$15),4)</f>
        <v>8.1199999999999994E-2</v>
      </c>
      <c r="F45" s="37"/>
      <c r="G45" s="37"/>
    </row>
    <row r="46" spans="1:8" ht="13" thickTop="1" x14ac:dyDescent="0.25">
      <c r="A46" s="219"/>
      <c r="C46" s="37"/>
      <c r="D46" s="299"/>
      <c r="E46" s="37"/>
      <c r="F46" s="37"/>
    </row>
    <row r="47" spans="1:8" x14ac:dyDescent="0.25">
      <c r="A47" s="219"/>
      <c r="C47" s="37"/>
      <c r="D47" s="229"/>
      <c r="E47" s="229"/>
      <c r="F47" s="229"/>
    </row>
    <row r="48" spans="1:8" x14ac:dyDescent="0.25">
      <c r="A48" s="219"/>
    </row>
    <row r="49" spans="1:6" hidden="1" outlineLevel="1" x14ac:dyDescent="0.25">
      <c r="A49" s="219"/>
    </row>
    <row r="50" spans="1:6" hidden="1" outlineLevel="1" x14ac:dyDescent="0.25">
      <c r="A50" s="219"/>
      <c r="E50" s="227"/>
      <c r="F50" s="227"/>
    </row>
    <row r="51" spans="1:6" hidden="1" outlineLevel="1" x14ac:dyDescent="0.25">
      <c r="A51" s="219"/>
      <c r="B51" s="131" t="s">
        <v>206</v>
      </c>
      <c r="E51" s="228"/>
      <c r="F51" s="228"/>
    </row>
    <row r="52" spans="1:6" hidden="1" outlineLevel="1" x14ac:dyDescent="0.25">
      <c r="A52" s="219"/>
      <c r="E52" s="298" t="s">
        <v>483</v>
      </c>
    </row>
    <row r="53" spans="1:6" hidden="1" outlineLevel="1" x14ac:dyDescent="0.25">
      <c r="A53" s="219">
        <v>1</v>
      </c>
      <c r="B53" s="297" t="s">
        <v>213</v>
      </c>
      <c r="C53" s="299"/>
      <c r="D53" s="85" t="e">
        <f>#REF!+#REF!</f>
        <v>#REF!</v>
      </c>
    </row>
    <row r="54" spans="1:6" hidden="1" outlineLevel="1" x14ac:dyDescent="0.25">
      <c r="A54" s="219">
        <f t="shared" ref="A54:A59" si="0">+A53+1</f>
        <v>2</v>
      </c>
      <c r="B54" s="297" t="s">
        <v>215</v>
      </c>
      <c r="C54" s="299"/>
      <c r="D54" s="85" t="e">
        <f>#REF!*'Cost of Cap'!C47</f>
        <v>#REF!</v>
      </c>
    </row>
    <row r="55" spans="1:6" hidden="1" outlineLevel="1" x14ac:dyDescent="0.25">
      <c r="A55" s="219">
        <f t="shared" si="0"/>
        <v>3</v>
      </c>
      <c r="B55" s="297" t="s">
        <v>218</v>
      </c>
      <c r="C55" s="299"/>
      <c r="D55" s="86">
        <f>Taxes!C17</f>
        <v>815904.79999999993</v>
      </c>
      <c r="E55" s="298" t="s">
        <v>484</v>
      </c>
    </row>
    <row r="56" spans="1:6" hidden="1" outlineLevel="1" x14ac:dyDescent="0.25">
      <c r="A56" s="219">
        <f t="shared" si="0"/>
        <v>4</v>
      </c>
      <c r="B56" s="297" t="s">
        <v>219</v>
      </c>
      <c r="C56" s="299"/>
      <c r="D56" s="85" t="e">
        <f>D53-D54+D55</f>
        <v>#REF!</v>
      </c>
    </row>
    <row r="57" spans="1:6" hidden="1" outlineLevel="1" x14ac:dyDescent="0.25">
      <c r="A57" s="219">
        <f t="shared" si="0"/>
        <v>5</v>
      </c>
      <c r="B57" s="69" t="s">
        <v>335</v>
      </c>
      <c r="C57" s="299"/>
      <c r="D57" s="85" t="e">
        <f>D56*0.35</f>
        <v>#REF!</v>
      </c>
    </row>
    <row r="58" spans="1:6" hidden="1" outlineLevel="1" x14ac:dyDescent="0.25">
      <c r="A58" s="219">
        <f t="shared" si="0"/>
        <v>6</v>
      </c>
      <c r="B58" s="297" t="s">
        <v>224</v>
      </c>
      <c r="C58" s="299"/>
      <c r="D58" s="86" t="e">
        <f>#REF!</f>
        <v>#REF!</v>
      </c>
      <c r="E58" s="298" t="s">
        <v>485</v>
      </c>
    </row>
    <row r="59" spans="1:6" hidden="1" outlineLevel="1" x14ac:dyDescent="0.25">
      <c r="A59" s="219">
        <f t="shared" si="0"/>
        <v>7</v>
      </c>
      <c r="B59" s="297" t="s">
        <v>227</v>
      </c>
      <c r="C59" s="299"/>
      <c r="D59" s="85" t="e">
        <f>D57-D58</f>
        <v>#REF!</v>
      </c>
    </row>
    <row r="60" spans="1:6" hidden="1" outlineLevel="1" x14ac:dyDescent="0.25">
      <c r="A60" s="219"/>
      <c r="D60" s="85"/>
    </row>
    <row r="61" spans="1:6" hidden="1" outlineLevel="1" x14ac:dyDescent="0.25">
      <c r="A61" s="219"/>
      <c r="B61" s="297" t="s">
        <v>230</v>
      </c>
      <c r="D61" s="85"/>
      <c r="E61" s="298" t="s">
        <v>486</v>
      </c>
    </row>
    <row r="62" spans="1:6" hidden="1" outlineLevel="1" x14ac:dyDescent="0.25">
      <c r="A62" s="219">
        <v>1</v>
      </c>
      <c r="B62" s="297" t="s">
        <v>231</v>
      </c>
      <c r="D62" s="85" t="e">
        <f>#REF!*#REF!</f>
        <v>#REF!</v>
      </c>
    </row>
    <row r="63" spans="1:6" hidden="1" outlineLevel="1" x14ac:dyDescent="0.25">
      <c r="A63" s="219">
        <f>+A62+1</f>
        <v>2</v>
      </c>
      <c r="B63" s="297" t="s">
        <v>232</v>
      </c>
      <c r="D63" s="85" t="e">
        <f>D62-E28</f>
        <v>#REF!</v>
      </c>
    </row>
    <row r="64" spans="1:6" hidden="1" outlineLevel="1" x14ac:dyDescent="0.25">
      <c r="A64" s="219">
        <f>+A63+1</f>
        <v>3</v>
      </c>
      <c r="B64" s="297" t="s">
        <v>234</v>
      </c>
      <c r="D64" s="85" t="e">
        <f>D63*'Cost of Cap'!C45</f>
        <v>#REF!</v>
      </c>
      <c r="E64" s="298" t="s">
        <v>487</v>
      </c>
    </row>
    <row r="65" spans="1:4" hidden="1" outlineLevel="1" x14ac:dyDescent="0.25">
      <c r="A65" s="219"/>
    </row>
    <row r="66" spans="1:4" hidden="1" outlineLevel="1" x14ac:dyDescent="0.25">
      <c r="A66" s="219">
        <f>+A64+1</f>
        <v>4</v>
      </c>
      <c r="B66" s="297" t="s">
        <v>235</v>
      </c>
      <c r="D66" s="32" t="e">
        <f>#REF!/#REF!</f>
        <v>#REF!</v>
      </c>
    </row>
    <row r="67" spans="1:4" collapsed="1" x14ac:dyDescent="0.25">
      <c r="A67" s="219"/>
    </row>
    <row r="68" spans="1:4" x14ac:dyDescent="0.25">
      <c r="A68" s="219"/>
    </row>
    <row r="69" spans="1:4" x14ac:dyDescent="0.25">
      <c r="A69" s="219"/>
    </row>
    <row r="70" spans="1:4" x14ac:dyDescent="0.25">
      <c r="A70" s="219"/>
    </row>
    <row r="71" spans="1:4" x14ac:dyDescent="0.25">
      <c r="A71" s="219"/>
    </row>
    <row r="72" spans="1:4" x14ac:dyDescent="0.25">
      <c r="A72" s="219"/>
    </row>
    <row r="73" spans="1:4" x14ac:dyDescent="0.25">
      <c r="A73" s="219"/>
    </row>
    <row r="74" spans="1:4" x14ac:dyDescent="0.25">
      <c r="A74" s="219"/>
    </row>
    <row r="75" spans="1:4" x14ac:dyDescent="0.25">
      <c r="A75" s="219"/>
    </row>
    <row r="76" spans="1:4" x14ac:dyDescent="0.25">
      <c r="A76" s="219"/>
    </row>
    <row r="77" spans="1:4" x14ac:dyDescent="0.25">
      <c r="A77" s="219"/>
    </row>
    <row r="78" spans="1:4" x14ac:dyDescent="0.25">
      <c r="A78" s="219"/>
    </row>
    <row r="79" spans="1:4" x14ac:dyDescent="0.25">
      <c r="A79" s="219"/>
    </row>
    <row r="80" spans="1:4" x14ac:dyDescent="0.25">
      <c r="A80" s="219"/>
    </row>
    <row r="81" spans="1:1" x14ac:dyDescent="0.25">
      <c r="A81" s="219"/>
    </row>
    <row r="82" spans="1:1" x14ac:dyDescent="0.25">
      <c r="A82" s="219"/>
    </row>
    <row r="83" spans="1:1" x14ac:dyDescent="0.25">
      <c r="A83" s="219"/>
    </row>
    <row r="84" spans="1:1" x14ac:dyDescent="0.25">
      <c r="A84" s="219"/>
    </row>
    <row r="85" spans="1:1" x14ac:dyDescent="0.25">
      <c r="A85" s="219"/>
    </row>
    <row r="86" spans="1:1" x14ac:dyDescent="0.25">
      <c r="A86" s="219"/>
    </row>
    <row r="87" spans="1:1" x14ac:dyDescent="0.25">
      <c r="A87" s="219"/>
    </row>
    <row r="88" spans="1:1" x14ac:dyDescent="0.25">
      <c r="A88" s="219"/>
    </row>
    <row r="89" spans="1:1" x14ac:dyDescent="0.25">
      <c r="A89" s="219"/>
    </row>
    <row r="90" spans="1:1" x14ac:dyDescent="0.25">
      <c r="A90" s="219"/>
    </row>
    <row r="91" spans="1:1" x14ac:dyDescent="0.25">
      <c r="A91" s="219"/>
    </row>
    <row r="92" spans="1:1" x14ac:dyDescent="0.25">
      <c r="A92" s="219"/>
    </row>
    <row r="93" spans="1:1" x14ac:dyDescent="0.25">
      <c r="A93" s="219"/>
    </row>
    <row r="94" spans="1:1" x14ac:dyDescent="0.25">
      <c r="A94" s="219"/>
    </row>
    <row r="95" spans="1:1" x14ac:dyDescent="0.25">
      <c r="A95" s="219"/>
    </row>
    <row r="96" spans="1:1" x14ac:dyDescent="0.25">
      <c r="A96" s="219"/>
    </row>
    <row r="97" spans="1:1" x14ac:dyDescent="0.25">
      <c r="A97" s="219"/>
    </row>
    <row r="98" spans="1:1" x14ac:dyDescent="0.25">
      <c r="A98" s="219"/>
    </row>
    <row r="99" spans="1:1" x14ac:dyDescent="0.25">
      <c r="A99" s="219"/>
    </row>
  </sheetData>
  <phoneticPr fontId="0" type="noConversion"/>
  <printOptions horizontalCentered="1"/>
  <pageMargins left="0.5" right="0.5" top="0.5" bottom="0.5" header="0.25" footer="0.25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indexed="42"/>
    <pageSetUpPr fitToPage="1"/>
  </sheetPr>
  <dimension ref="A1:L28"/>
  <sheetViews>
    <sheetView showGridLines="0" zoomScaleNormal="100" zoomScaleSheetLayoutView="100" workbookViewId="0">
      <selection sqref="A1:E27"/>
    </sheetView>
  </sheetViews>
  <sheetFormatPr defaultColWidth="9.1796875" defaultRowHeight="12.5" x14ac:dyDescent="0.25"/>
  <cols>
    <col min="1" max="1" width="4.7265625" style="297" customWidth="1"/>
    <col min="2" max="2" width="41.7265625" style="297" customWidth="1"/>
    <col min="3" max="3" width="12.7265625" style="298" customWidth="1"/>
    <col min="4" max="4" width="9.1796875" style="298"/>
    <col min="5" max="5" width="17" style="298" bestFit="1" customWidth="1"/>
    <col min="6" max="11" width="9.1796875" style="298"/>
    <col min="12" max="12" width="16" style="298" bestFit="1" customWidth="1"/>
    <col min="13" max="16384" width="9.1796875" style="298"/>
  </cols>
  <sheetData>
    <row r="1" spans="1:12" s="297" customFormat="1" x14ac:dyDescent="0.25">
      <c r="A1" s="297" t="s">
        <v>0</v>
      </c>
    </row>
    <row r="2" spans="1:12" s="297" customFormat="1" x14ac:dyDescent="0.25">
      <c r="A2" s="297" t="str">
        <f>+'Page 1'!A2</f>
        <v>Washington Annual Commission Basis Report</v>
      </c>
    </row>
    <row r="3" spans="1:12" s="297" customFormat="1" x14ac:dyDescent="0.25">
      <c r="A3" s="297" t="str">
        <f>+'Page 1'!A3</f>
        <v>Twelve Months Ended December 31, 2020</v>
      </c>
    </row>
    <row r="4" spans="1:12" s="297" customFormat="1" x14ac:dyDescent="0.25">
      <c r="A4" s="297" t="s">
        <v>340</v>
      </c>
    </row>
    <row r="5" spans="1:12" s="297" customFormat="1" x14ac:dyDescent="0.25"/>
    <row r="6" spans="1:12" s="297" customFormat="1" x14ac:dyDescent="0.25"/>
    <row r="7" spans="1:12" s="297" customFormat="1" x14ac:dyDescent="0.25">
      <c r="A7" s="26" t="s">
        <v>17</v>
      </c>
    </row>
    <row r="8" spans="1:12" s="297" customFormat="1" x14ac:dyDescent="0.25">
      <c r="A8" s="73" t="s">
        <v>46</v>
      </c>
      <c r="C8" s="73" t="s">
        <v>69</v>
      </c>
      <c r="G8" s="304" t="s">
        <v>519</v>
      </c>
      <c r="H8" s="305"/>
      <c r="I8" s="305"/>
      <c r="J8" s="305"/>
      <c r="K8" s="305"/>
      <c r="L8" s="307"/>
    </row>
    <row r="9" spans="1:12" s="297" customFormat="1" x14ac:dyDescent="0.25">
      <c r="A9" s="26"/>
      <c r="C9" s="87" t="s">
        <v>76</v>
      </c>
      <c r="G9" s="132" t="s">
        <v>520</v>
      </c>
      <c r="H9" s="71"/>
      <c r="I9" s="71"/>
      <c r="J9" s="71"/>
      <c r="K9" s="71"/>
      <c r="L9" s="449">
        <v>-339000</v>
      </c>
    </row>
    <row r="10" spans="1:12" x14ac:dyDescent="0.25">
      <c r="A10" s="26"/>
      <c r="G10" s="132" t="s">
        <v>521</v>
      </c>
      <c r="H10" s="299"/>
      <c r="I10" s="299"/>
      <c r="J10" s="299"/>
      <c r="K10" s="299"/>
      <c r="L10" s="449">
        <v>-7350000</v>
      </c>
    </row>
    <row r="11" spans="1:12" x14ac:dyDescent="0.25">
      <c r="A11" s="26">
        <v>1</v>
      </c>
      <c r="B11" s="297" t="s">
        <v>106</v>
      </c>
      <c r="C11" s="41">
        <f>'Page 1'!C13-'Page 1'!C19-'Page 1'!C22-'Page 1'!C23-'Page 1'!C24</f>
        <v>12387517.788952807</v>
      </c>
      <c r="G11" s="132" t="s">
        <v>522</v>
      </c>
      <c r="H11" s="299"/>
      <c r="I11" s="299"/>
      <c r="J11" s="299"/>
      <c r="K11" s="299"/>
      <c r="L11" s="449">
        <v>1175000</v>
      </c>
    </row>
    <row r="12" spans="1:12" x14ac:dyDescent="0.25">
      <c r="A12" s="26"/>
      <c r="G12" s="132" t="s">
        <v>523</v>
      </c>
      <c r="H12" s="299"/>
      <c r="I12" s="299"/>
      <c r="J12" s="299"/>
      <c r="K12" s="299"/>
      <c r="L12" s="449">
        <v>-38000</v>
      </c>
    </row>
    <row r="13" spans="1:12" x14ac:dyDescent="0.25">
      <c r="A13" s="26">
        <v>2</v>
      </c>
      <c r="B13" s="297" t="s">
        <v>117</v>
      </c>
      <c r="C13" s="88">
        <f>'Page 1'!C41*'Cost of Cap'!C47</f>
        <v>4784174.1134567847</v>
      </c>
      <c r="G13" s="132" t="s">
        <v>527</v>
      </c>
      <c r="H13" s="299"/>
      <c r="I13" s="299"/>
      <c r="J13" s="299"/>
      <c r="K13" s="299"/>
      <c r="L13" s="449">
        <v>-506000</v>
      </c>
    </row>
    <row r="14" spans="1:12" x14ac:dyDescent="0.25">
      <c r="A14" s="26"/>
      <c r="G14" s="304" t="s">
        <v>524</v>
      </c>
      <c r="H14" s="305"/>
      <c r="I14" s="305"/>
      <c r="J14" s="305"/>
      <c r="K14" s="305"/>
      <c r="L14" s="306">
        <f>SUM(L9:L13)</f>
        <v>-7058000</v>
      </c>
    </row>
    <row r="15" spans="1:12" x14ac:dyDescent="0.25">
      <c r="A15" s="26">
        <v>3</v>
      </c>
      <c r="B15" s="297" t="s">
        <v>130</v>
      </c>
      <c r="C15" s="298">
        <f>C11-C13</f>
        <v>7603343.6754960222</v>
      </c>
    </row>
    <row r="16" spans="1:12" ht="13" thickBot="1" x14ac:dyDescent="0.3">
      <c r="A16" s="26"/>
      <c r="C16" s="300"/>
      <c r="D16" s="33"/>
    </row>
    <row r="17" spans="1:12" ht="13" thickBot="1" x14ac:dyDescent="0.3">
      <c r="A17" s="26">
        <v>4</v>
      </c>
      <c r="B17" s="297" t="s">
        <v>140</v>
      </c>
      <c r="C17" s="303">
        <f>-L14*D17</f>
        <v>815904.79999999993</v>
      </c>
      <c r="D17" s="31">
        <f>+Factors!C127</f>
        <v>0.11559999999999999</v>
      </c>
      <c r="E17" s="89" t="s">
        <v>292</v>
      </c>
      <c r="G17" s="395" t="s">
        <v>547</v>
      </c>
      <c r="H17" s="396"/>
      <c r="I17" s="396"/>
      <c r="J17" s="396"/>
      <c r="K17" s="396"/>
      <c r="L17" s="450">
        <v>400000</v>
      </c>
    </row>
    <row r="18" spans="1:12" x14ac:dyDescent="0.25">
      <c r="A18" s="26"/>
      <c r="C18" s="225"/>
    </row>
    <row r="19" spans="1:12" x14ac:dyDescent="0.25">
      <c r="A19" s="26">
        <v>5</v>
      </c>
      <c r="B19" s="297" t="s">
        <v>150</v>
      </c>
      <c r="C19" s="300">
        <f>C15+C17</f>
        <v>8419248.475496022</v>
      </c>
    </row>
    <row r="20" spans="1:12" x14ac:dyDescent="0.25">
      <c r="A20" s="26"/>
      <c r="C20" s="300"/>
    </row>
    <row r="21" spans="1:12" x14ac:dyDescent="0.25">
      <c r="A21" s="26">
        <v>6</v>
      </c>
      <c r="B21" s="297" t="s">
        <v>155</v>
      </c>
      <c r="C21" s="121">
        <f>'Cost of Cap'!C50</f>
        <v>0.21</v>
      </c>
    </row>
    <row r="22" spans="1:12" x14ac:dyDescent="0.25">
      <c r="A22" s="26"/>
      <c r="C22" s="226"/>
    </row>
    <row r="23" spans="1:12" x14ac:dyDescent="0.25">
      <c r="A23" s="26">
        <v>7</v>
      </c>
      <c r="B23" s="297" t="s">
        <v>162</v>
      </c>
      <c r="C23" s="300">
        <f>C19*C21</f>
        <v>1768042.1798541646</v>
      </c>
    </row>
    <row r="24" spans="1:12" x14ac:dyDescent="0.25">
      <c r="C24" s="300"/>
      <c r="G24" s="32"/>
      <c r="H24" s="300"/>
      <c r="I24" s="300"/>
      <c r="J24" s="300"/>
      <c r="K24" s="300"/>
      <c r="L24" s="300"/>
    </row>
    <row r="25" spans="1:12" s="300" customFormat="1" x14ac:dyDescent="0.25">
      <c r="A25" s="118">
        <f>+A23+1</f>
        <v>8</v>
      </c>
      <c r="B25" s="116" t="s">
        <v>546</v>
      </c>
      <c r="C25" s="182">
        <f>-93.26*Factors!C110-L17</f>
        <v>-400010.02545000002</v>
      </c>
      <c r="D25" s="116"/>
    </row>
    <row r="26" spans="1:12" s="300" customFormat="1" x14ac:dyDescent="0.25">
      <c r="A26" s="116"/>
      <c r="B26" s="116"/>
    </row>
    <row r="27" spans="1:12" s="300" customFormat="1" ht="13" thickBot="1" x14ac:dyDescent="0.3">
      <c r="A27" s="118">
        <f>+A25+1</f>
        <v>9</v>
      </c>
      <c r="B27" s="116" t="s">
        <v>366</v>
      </c>
      <c r="C27" s="134">
        <f>+C23+C25</f>
        <v>1368032.1544041645</v>
      </c>
      <c r="G27" s="298"/>
      <c r="H27" s="298"/>
      <c r="I27" s="298"/>
      <c r="J27" s="298"/>
      <c r="K27" s="298"/>
      <c r="L27" s="298"/>
    </row>
    <row r="28" spans="1:12" ht="13" thickTop="1" x14ac:dyDescent="0.25"/>
  </sheetData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1F0A6"/>
    <pageSetUpPr fitToPage="1"/>
  </sheetPr>
  <dimension ref="A1:W48"/>
  <sheetViews>
    <sheetView showGridLines="0" zoomScale="90" zoomScaleNormal="90" zoomScaleSheetLayoutView="85" workbookViewId="0"/>
  </sheetViews>
  <sheetFormatPr defaultColWidth="9.1796875" defaultRowHeight="12.5" x14ac:dyDescent="0.25"/>
  <cols>
    <col min="1" max="1" width="5.7265625" style="300" customWidth="1"/>
    <col min="2" max="7" width="14.7265625" style="102" customWidth="1"/>
    <col min="8" max="8" width="8.1796875" style="102" bestFit="1" customWidth="1"/>
    <col min="9" max="9" width="16.7265625" style="102" customWidth="1"/>
    <col min="10" max="10" width="18.54296875" style="102" customWidth="1"/>
    <col min="11" max="11" width="5.7265625" style="102" customWidth="1"/>
    <col min="12" max="17" width="14.7265625" style="102" customWidth="1"/>
    <col min="18" max="16384" width="9.1796875" style="300"/>
  </cols>
  <sheetData>
    <row r="1" spans="1:23" x14ac:dyDescent="0.25">
      <c r="A1" s="116" t="s">
        <v>0</v>
      </c>
    </row>
    <row r="2" spans="1:23" x14ac:dyDescent="0.25">
      <c r="A2" s="116" t="str">
        <f>+'Page 1'!A2</f>
        <v>Washington Annual Commission Basis Report</v>
      </c>
    </row>
    <row r="3" spans="1:23" x14ac:dyDescent="0.25">
      <c r="A3" s="116" t="str">
        <f>+'Page 1'!A3</f>
        <v>Twelve Months Ended December 31, 2020</v>
      </c>
    </row>
    <row r="4" spans="1:23" x14ac:dyDescent="0.25">
      <c r="A4" s="116"/>
    </row>
    <row r="5" spans="1:23" x14ac:dyDescent="0.25">
      <c r="A5" s="116"/>
    </row>
    <row r="6" spans="1:23" x14ac:dyDescent="0.25">
      <c r="A6" s="116" t="s">
        <v>310</v>
      </c>
    </row>
    <row r="7" spans="1:23" ht="13" thickBot="1" x14ac:dyDescent="0.3">
      <c r="A7" s="116"/>
    </row>
    <row r="8" spans="1:23" ht="13" thickBot="1" x14ac:dyDescent="0.25">
      <c r="A8" s="452">
        <v>1</v>
      </c>
      <c r="B8" s="453" t="s">
        <v>509</v>
      </c>
      <c r="C8" s="454"/>
      <c r="D8" s="454"/>
      <c r="E8" s="454"/>
      <c r="F8" s="454"/>
      <c r="G8" s="455">
        <f>+'Rate Base'!E133</f>
        <v>0.1072</v>
      </c>
    </row>
    <row r="9" spans="1:23" x14ac:dyDescent="0.2">
      <c r="A9" s="452">
        <f>+A8+1</f>
        <v>2</v>
      </c>
      <c r="B9" s="218"/>
      <c r="C9" s="218"/>
      <c r="D9" s="218"/>
      <c r="E9" s="218"/>
      <c r="F9" s="218"/>
      <c r="G9" s="456"/>
    </row>
    <row r="10" spans="1:23" x14ac:dyDescent="0.2">
      <c r="A10" s="452">
        <f t="shared" ref="A10:A44" si="0">+A9+1</f>
        <v>3</v>
      </c>
      <c r="B10" s="457" t="s">
        <v>540</v>
      </c>
      <c r="C10" s="103"/>
      <c r="D10" s="103"/>
      <c r="E10" s="103"/>
      <c r="F10" s="103"/>
      <c r="G10" s="103"/>
      <c r="H10" s="103"/>
      <c r="I10" s="103"/>
      <c r="J10" s="103"/>
    </row>
    <row r="11" spans="1:23" x14ac:dyDescent="0.2">
      <c r="A11" s="452">
        <f t="shared" si="0"/>
        <v>4</v>
      </c>
      <c r="I11" s="458"/>
      <c r="J11" s="458"/>
      <c r="K11" s="458"/>
    </row>
    <row r="12" spans="1:23" x14ac:dyDescent="0.2">
      <c r="A12" s="452">
        <f t="shared" si="0"/>
        <v>5</v>
      </c>
      <c r="B12" s="459"/>
      <c r="G12" s="460" t="s">
        <v>510</v>
      </c>
      <c r="H12" s="460"/>
      <c r="I12" s="458" t="s">
        <v>11</v>
      </c>
      <c r="J12" s="458" t="s">
        <v>12</v>
      </c>
      <c r="K12" s="460"/>
    </row>
    <row r="13" spans="1:23" x14ac:dyDescent="0.2">
      <c r="A13" s="452">
        <f t="shared" si="0"/>
        <v>6</v>
      </c>
      <c r="E13" s="461" t="s">
        <v>511</v>
      </c>
      <c r="F13" s="461" t="s">
        <v>512</v>
      </c>
      <c r="G13" s="462" t="s">
        <v>86</v>
      </c>
      <c r="H13" s="460"/>
      <c r="I13" s="462" t="s">
        <v>67</v>
      </c>
      <c r="J13" s="462" t="s">
        <v>67</v>
      </c>
      <c r="K13" s="460"/>
    </row>
    <row r="14" spans="1:23" x14ac:dyDescent="0.2">
      <c r="A14" s="452">
        <f t="shared" si="0"/>
        <v>7</v>
      </c>
      <c r="G14" s="460"/>
      <c r="H14" s="460"/>
      <c r="J14" s="460"/>
      <c r="K14" s="460"/>
    </row>
    <row r="15" spans="1:23" x14ac:dyDescent="0.2">
      <c r="A15" s="452">
        <f t="shared" si="0"/>
        <v>8</v>
      </c>
      <c r="B15" s="102" t="s">
        <v>513</v>
      </c>
      <c r="E15" s="102">
        <v>-376337799.48070621</v>
      </c>
      <c r="F15" s="102">
        <v>-63451939.091875143</v>
      </c>
      <c r="G15" s="102">
        <f>+SUM(E15:F15)</f>
        <v>-439789738.57258135</v>
      </c>
      <c r="I15" s="102">
        <v>-40707256.121499993</v>
      </c>
      <c r="J15" s="102">
        <f>+G15-I15</f>
        <v>-399082482.45108134</v>
      </c>
    </row>
    <row r="16" spans="1:23" s="102" customFormat="1" x14ac:dyDescent="0.2">
      <c r="A16" s="452">
        <f t="shared" si="0"/>
        <v>9</v>
      </c>
      <c r="R16" s="300"/>
      <c r="S16" s="300"/>
      <c r="T16" s="300"/>
      <c r="U16" s="300"/>
      <c r="V16" s="300"/>
      <c r="W16" s="300"/>
    </row>
    <row r="17" spans="1:23" s="102" customFormat="1" x14ac:dyDescent="0.2">
      <c r="A17" s="452">
        <f t="shared" si="0"/>
        <v>10</v>
      </c>
      <c r="B17" s="102" t="s">
        <v>514</v>
      </c>
      <c r="E17" s="102">
        <v>-21704608.696152877</v>
      </c>
      <c r="F17" s="102">
        <v>-3178010.0183196273</v>
      </c>
      <c r="G17" s="102">
        <f>+SUM(E17:F17)</f>
        <v>-24882618.714472502</v>
      </c>
      <c r="I17" s="102">
        <v>0</v>
      </c>
      <c r="J17" s="102">
        <f>+G17-I17</f>
        <v>-24882618.714472502</v>
      </c>
      <c r="R17" s="300"/>
      <c r="S17" s="300"/>
      <c r="T17" s="300"/>
      <c r="U17" s="300"/>
      <c r="V17" s="300"/>
      <c r="W17" s="300"/>
    </row>
    <row r="18" spans="1:23" s="102" customFormat="1" x14ac:dyDescent="0.2">
      <c r="A18" s="452">
        <f t="shared" si="0"/>
        <v>11</v>
      </c>
      <c r="R18" s="300"/>
      <c r="S18" s="300"/>
      <c r="T18" s="300"/>
      <c r="U18" s="300"/>
      <c r="V18" s="300"/>
      <c r="W18" s="300"/>
    </row>
    <row r="19" spans="1:23" s="102" customFormat="1" x14ac:dyDescent="0.2">
      <c r="A19" s="452">
        <f t="shared" si="0"/>
        <v>12</v>
      </c>
      <c r="B19" s="102" t="s">
        <v>515</v>
      </c>
      <c r="E19" s="103">
        <v>-7639737.583099179</v>
      </c>
      <c r="F19" s="103">
        <v>-1435443.4138134336</v>
      </c>
      <c r="G19" s="103">
        <f>+SUM(E19:F19)</f>
        <v>-9075180.9969126135</v>
      </c>
      <c r="I19" s="103">
        <v>-869814.85250000004</v>
      </c>
      <c r="J19" s="103">
        <f>+G19-I19</f>
        <v>-8205366.1444126135</v>
      </c>
      <c r="R19" s="300"/>
      <c r="S19" s="300"/>
      <c r="T19" s="300"/>
      <c r="U19" s="300"/>
      <c r="V19" s="300"/>
      <c r="W19" s="300"/>
    </row>
    <row r="20" spans="1:23" s="102" customFormat="1" x14ac:dyDescent="0.2">
      <c r="A20" s="452">
        <f t="shared" si="0"/>
        <v>13</v>
      </c>
      <c r="E20" s="218"/>
      <c r="F20" s="218"/>
      <c r="G20" s="218"/>
      <c r="I20" s="218"/>
      <c r="J20" s="218"/>
      <c r="R20" s="300"/>
      <c r="S20" s="300"/>
      <c r="T20" s="300"/>
      <c r="U20" s="300"/>
      <c r="V20" s="300"/>
      <c r="W20" s="300"/>
    </row>
    <row r="21" spans="1:23" s="102" customFormat="1" x14ac:dyDescent="0.2">
      <c r="A21" s="452">
        <f t="shared" si="0"/>
        <v>14</v>
      </c>
      <c r="B21" s="451" t="s">
        <v>541</v>
      </c>
      <c r="E21" s="103">
        <f>+SUM(E15:E19)</f>
        <v>-405682145.75995827</v>
      </c>
      <c r="F21" s="103">
        <f>+SUM(F15:F19)</f>
        <v>-68065392.5240082</v>
      </c>
      <c r="G21" s="103">
        <f>SUM(G15:G19)</f>
        <v>-473747538.28396642</v>
      </c>
      <c r="I21" s="103">
        <f>SUM(I15:I19)</f>
        <v>-41577070.973999992</v>
      </c>
      <c r="J21" s="103">
        <f>SUM(J15:J19)</f>
        <v>-432170467.30996644</v>
      </c>
      <c r="R21" s="300"/>
      <c r="S21" s="300"/>
      <c r="T21" s="300"/>
      <c r="U21" s="300"/>
      <c r="V21" s="300"/>
      <c r="W21" s="300"/>
    </row>
    <row r="22" spans="1:23" s="102" customFormat="1" x14ac:dyDescent="0.2">
      <c r="A22" s="452">
        <f t="shared" si="0"/>
        <v>15</v>
      </c>
      <c r="R22" s="300"/>
      <c r="S22" s="300"/>
      <c r="T22" s="300"/>
      <c r="U22" s="300"/>
      <c r="V22" s="300"/>
      <c r="W22" s="300"/>
    </row>
    <row r="23" spans="1:23" s="102" customFormat="1" x14ac:dyDescent="0.2">
      <c r="A23" s="452">
        <f t="shared" si="0"/>
        <v>16</v>
      </c>
      <c r="R23" s="300"/>
      <c r="S23" s="300"/>
      <c r="T23" s="300"/>
      <c r="U23" s="300"/>
      <c r="V23" s="300"/>
      <c r="W23" s="300"/>
    </row>
    <row r="24" spans="1:23" s="102" customFormat="1" x14ac:dyDescent="0.2">
      <c r="A24" s="452">
        <f t="shared" si="0"/>
        <v>17</v>
      </c>
      <c r="B24" s="457" t="s">
        <v>549</v>
      </c>
      <c r="C24" s="103"/>
      <c r="D24" s="103"/>
      <c r="E24" s="103"/>
      <c r="F24" s="103"/>
      <c r="G24" s="103"/>
      <c r="H24" s="103"/>
      <c r="I24" s="103"/>
      <c r="J24" s="103"/>
      <c r="R24" s="300"/>
      <c r="S24" s="300"/>
      <c r="T24" s="300"/>
      <c r="U24" s="300"/>
      <c r="V24" s="300"/>
      <c r="W24" s="300"/>
    </row>
    <row r="25" spans="1:23" s="102" customFormat="1" x14ac:dyDescent="0.2">
      <c r="A25" s="452">
        <f t="shared" si="0"/>
        <v>18</v>
      </c>
      <c r="I25" s="458"/>
      <c r="J25" s="458"/>
      <c r="R25" s="300"/>
      <c r="S25" s="300"/>
      <c r="T25" s="300"/>
      <c r="U25" s="300"/>
      <c r="V25" s="300"/>
      <c r="W25" s="300"/>
    </row>
    <row r="26" spans="1:23" s="102" customFormat="1" x14ac:dyDescent="0.2">
      <c r="A26" s="452">
        <f t="shared" si="0"/>
        <v>19</v>
      </c>
      <c r="G26" s="460" t="s">
        <v>510</v>
      </c>
      <c r="H26" s="460"/>
      <c r="I26" s="458" t="s">
        <v>11</v>
      </c>
      <c r="J26" s="458" t="s">
        <v>12</v>
      </c>
      <c r="R26" s="300"/>
      <c r="S26" s="300"/>
      <c r="T26" s="300"/>
      <c r="U26" s="300"/>
      <c r="V26" s="300"/>
      <c r="W26" s="300"/>
    </row>
    <row r="27" spans="1:23" s="102" customFormat="1" x14ac:dyDescent="0.2">
      <c r="A27" s="452">
        <f t="shared" si="0"/>
        <v>20</v>
      </c>
      <c r="E27" s="461" t="s">
        <v>511</v>
      </c>
      <c r="F27" s="461" t="s">
        <v>512</v>
      </c>
      <c r="G27" s="462" t="s">
        <v>86</v>
      </c>
      <c r="H27" s="460"/>
      <c r="I27" s="462" t="s">
        <v>67</v>
      </c>
      <c r="J27" s="462" t="s">
        <v>67</v>
      </c>
      <c r="R27" s="300"/>
      <c r="S27" s="300"/>
      <c r="T27" s="300"/>
      <c r="U27" s="300"/>
      <c r="V27" s="300"/>
      <c r="W27" s="300"/>
    </row>
    <row r="28" spans="1:23" s="102" customFormat="1" x14ac:dyDescent="0.2">
      <c r="A28" s="452">
        <f t="shared" si="0"/>
        <v>21</v>
      </c>
      <c r="G28" s="460"/>
      <c r="H28" s="460"/>
      <c r="J28" s="460"/>
      <c r="R28" s="300"/>
      <c r="S28" s="300"/>
      <c r="T28" s="300"/>
      <c r="U28" s="300"/>
      <c r="V28" s="300"/>
      <c r="W28" s="300"/>
    </row>
    <row r="29" spans="1:23" s="102" customFormat="1" x14ac:dyDescent="0.2">
      <c r="A29" s="452">
        <f t="shared" si="0"/>
        <v>22</v>
      </c>
      <c r="B29" s="102" t="s">
        <v>513</v>
      </c>
      <c r="E29" s="102">
        <v>-368857959.59964198</v>
      </c>
      <c r="F29" s="102">
        <v>-78976848</v>
      </c>
      <c r="G29" s="102">
        <f>+SUM(E29:F29)</f>
        <v>-447834807.59964198</v>
      </c>
      <c r="I29" s="102">
        <v>-40169106.276617989</v>
      </c>
      <c r="J29" s="102">
        <f>G29-I29</f>
        <v>-407665701.32302397</v>
      </c>
      <c r="R29" s="300"/>
      <c r="S29" s="300"/>
      <c r="T29" s="300"/>
      <c r="U29" s="300"/>
      <c r="V29" s="300"/>
      <c r="W29" s="300"/>
    </row>
    <row r="30" spans="1:23" s="102" customFormat="1" x14ac:dyDescent="0.2">
      <c r="A30" s="452">
        <f t="shared" si="0"/>
        <v>23</v>
      </c>
      <c r="R30" s="300"/>
      <c r="S30" s="300"/>
      <c r="T30" s="300"/>
      <c r="U30" s="300"/>
      <c r="V30" s="300"/>
      <c r="W30" s="300"/>
    </row>
    <row r="31" spans="1:23" s="102" customFormat="1" x14ac:dyDescent="0.2">
      <c r="A31" s="452">
        <f t="shared" si="0"/>
        <v>24</v>
      </c>
      <c r="B31" s="102" t="s">
        <v>514</v>
      </c>
      <c r="E31" s="102">
        <v>-18571714</v>
      </c>
      <c r="F31" s="102">
        <v>-2766868</v>
      </c>
      <c r="G31" s="102">
        <f>+SUM(E31:F31)</f>
        <v>-21338582</v>
      </c>
      <c r="I31" s="102">
        <v>0</v>
      </c>
      <c r="J31" s="102">
        <f>+G31-I31</f>
        <v>-21338582</v>
      </c>
      <c r="R31" s="300"/>
      <c r="S31" s="300"/>
      <c r="T31" s="300"/>
      <c r="U31" s="300"/>
      <c r="V31" s="300"/>
      <c r="W31" s="300"/>
    </row>
    <row r="32" spans="1:23" s="102" customFormat="1" x14ac:dyDescent="0.2">
      <c r="A32" s="452">
        <f t="shared" si="0"/>
        <v>25</v>
      </c>
      <c r="R32" s="300"/>
      <c r="S32" s="300"/>
      <c r="T32" s="300"/>
      <c r="U32" s="300"/>
      <c r="V32" s="300"/>
      <c r="W32" s="300"/>
    </row>
    <row r="33" spans="1:23" s="102" customFormat="1" x14ac:dyDescent="0.2">
      <c r="A33" s="452">
        <f>+A30+1</f>
        <v>24</v>
      </c>
      <c r="B33" s="102" t="s">
        <v>515</v>
      </c>
      <c r="E33" s="103">
        <v>-11482095</v>
      </c>
      <c r="F33" s="103">
        <v>-1573121</v>
      </c>
      <c r="G33" s="103">
        <f>+SUM(E33:F33)</f>
        <v>-13055216</v>
      </c>
      <c r="I33" s="103">
        <v>-837698.89995199977</v>
      </c>
      <c r="J33" s="103">
        <f>G33-I33</f>
        <v>-12217517.100048</v>
      </c>
      <c r="R33" s="300"/>
      <c r="S33" s="300"/>
      <c r="T33" s="300"/>
      <c r="U33" s="300"/>
      <c r="V33" s="300"/>
      <c r="W33" s="300"/>
    </row>
    <row r="34" spans="1:23" s="102" customFormat="1" x14ac:dyDescent="0.2">
      <c r="A34" s="452">
        <f t="shared" si="0"/>
        <v>25</v>
      </c>
      <c r="E34" s="218"/>
      <c r="F34" s="218"/>
      <c r="G34" s="218"/>
      <c r="I34" s="218"/>
      <c r="J34" s="218"/>
      <c r="R34" s="300"/>
      <c r="S34" s="300"/>
      <c r="T34" s="300"/>
      <c r="U34" s="300"/>
      <c r="V34" s="300"/>
      <c r="W34" s="300"/>
    </row>
    <row r="35" spans="1:23" s="102" customFormat="1" x14ac:dyDescent="0.2">
      <c r="A35" s="452">
        <f t="shared" si="0"/>
        <v>26</v>
      </c>
      <c r="B35" s="451" t="s">
        <v>550</v>
      </c>
      <c r="E35" s="103">
        <f>+SUM(E29:E33)</f>
        <v>-398911768.59964198</v>
      </c>
      <c r="F35" s="103">
        <f>+SUM(F29:F33)</f>
        <v>-83316837</v>
      </c>
      <c r="G35" s="103">
        <f>SUM(G29:G33)</f>
        <v>-482228605.59964198</v>
      </c>
      <c r="I35" s="103">
        <f>SUM(I29:I33)</f>
        <v>-41006805.176569991</v>
      </c>
      <c r="J35" s="103">
        <f>SUM(J29:J33)</f>
        <v>-441221800.42307198</v>
      </c>
      <c r="R35" s="300"/>
      <c r="S35" s="300"/>
      <c r="T35" s="300"/>
      <c r="U35" s="300"/>
      <c r="V35" s="300"/>
      <c r="W35" s="300"/>
    </row>
    <row r="36" spans="1:23" s="102" customFormat="1" x14ac:dyDescent="0.2">
      <c r="A36" s="452">
        <f t="shared" si="0"/>
        <v>27</v>
      </c>
      <c r="R36" s="300"/>
      <c r="S36" s="300"/>
      <c r="T36" s="300"/>
      <c r="U36" s="300"/>
      <c r="V36" s="300"/>
      <c r="W36" s="300"/>
    </row>
    <row r="37" spans="1:23" s="102" customFormat="1" ht="13" thickBot="1" x14ac:dyDescent="0.25">
      <c r="A37" s="452">
        <f t="shared" si="0"/>
        <v>28</v>
      </c>
      <c r="R37" s="300"/>
      <c r="S37" s="300"/>
      <c r="T37" s="300"/>
      <c r="U37" s="300"/>
      <c r="V37" s="300"/>
      <c r="W37" s="300"/>
    </row>
    <row r="38" spans="1:23" s="102" customFormat="1" x14ac:dyDescent="0.2">
      <c r="A38" s="452">
        <f t="shared" si="0"/>
        <v>29</v>
      </c>
      <c r="B38" s="463"/>
      <c r="C38" s="464"/>
      <c r="D38" s="464"/>
      <c r="E38" s="464"/>
      <c r="F38" s="464"/>
      <c r="G38" s="464"/>
      <c r="H38" s="464"/>
      <c r="I38" s="464"/>
      <c r="J38" s="465"/>
      <c r="R38" s="300"/>
      <c r="S38" s="300"/>
      <c r="T38" s="300"/>
      <c r="U38" s="300"/>
      <c r="V38" s="300"/>
      <c r="W38" s="300"/>
    </row>
    <row r="39" spans="1:23" s="102" customFormat="1" ht="13" thickBot="1" x14ac:dyDescent="0.25">
      <c r="A39" s="452">
        <f t="shared" si="0"/>
        <v>30</v>
      </c>
      <c r="B39" s="466" t="s">
        <v>567</v>
      </c>
      <c r="C39" s="218"/>
      <c r="D39" s="218"/>
      <c r="E39" s="218"/>
      <c r="F39" s="218"/>
      <c r="G39" s="218"/>
      <c r="H39" s="218"/>
      <c r="I39" s="467">
        <f>AVERAGE(I21,I35)</f>
        <v>-41291938.075284988</v>
      </c>
      <c r="J39" s="468">
        <f>AVERAGE(J21,J35)</f>
        <v>-436696133.86651921</v>
      </c>
      <c r="R39" s="300"/>
      <c r="S39" s="300"/>
      <c r="T39" s="300"/>
      <c r="U39" s="300"/>
      <c r="V39" s="300"/>
      <c r="W39" s="300"/>
    </row>
    <row r="40" spans="1:23" s="102" customFormat="1" ht="13" thickTop="1" x14ac:dyDescent="0.2">
      <c r="A40" s="452">
        <f t="shared" si="0"/>
        <v>31</v>
      </c>
      <c r="B40" s="466"/>
      <c r="C40" s="218"/>
      <c r="D40" s="218"/>
      <c r="E40" s="218"/>
      <c r="F40" s="218"/>
      <c r="G40" s="218"/>
      <c r="H40" s="218"/>
      <c r="I40" s="469"/>
      <c r="J40" s="470"/>
      <c r="R40" s="300"/>
      <c r="S40" s="300"/>
      <c r="T40" s="300"/>
      <c r="U40" s="300"/>
      <c r="V40" s="300"/>
      <c r="W40" s="300"/>
    </row>
    <row r="41" spans="1:23" s="102" customFormat="1" x14ac:dyDescent="0.2">
      <c r="A41" s="452">
        <f t="shared" si="0"/>
        <v>32</v>
      </c>
      <c r="B41" s="466"/>
      <c r="C41" s="218"/>
      <c r="D41" s="218"/>
      <c r="E41" s="218"/>
      <c r="F41" s="218"/>
      <c r="G41" s="471" t="s">
        <v>560</v>
      </c>
      <c r="H41" s="218"/>
      <c r="I41" s="469">
        <f>(400000*3)/2</f>
        <v>600000</v>
      </c>
      <c r="J41" s="470"/>
      <c r="R41" s="300"/>
      <c r="S41" s="300"/>
      <c r="T41" s="300"/>
      <c r="U41" s="300"/>
      <c r="V41" s="300"/>
      <c r="W41" s="300"/>
    </row>
    <row r="42" spans="1:23" s="102" customFormat="1" ht="13" thickBot="1" x14ac:dyDescent="0.25">
      <c r="A42" s="452">
        <f t="shared" si="0"/>
        <v>33</v>
      </c>
      <c r="B42" s="472"/>
      <c r="C42" s="473"/>
      <c r="D42" s="473"/>
      <c r="E42" s="473"/>
      <c r="F42" s="473"/>
      <c r="G42" s="474" t="s">
        <v>561</v>
      </c>
      <c r="H42" s="473"/>
      <c r="I42" s="473">
        <f>I39+I41</f>
        <v>-40691938.075284988</v>
      </c>
      <c r="J42" s="475"/>
      <c r="R42" s="300"/>
      <c r="S42" s="300"/>
      <c r="T42" s="300"/>
      <c r="U42" s="300"/>
      <c r="V42" s="300"/>
      <c r="W42" s="300"/>
    </row>
    <row r="43" spans="1:23" s="102" customFormat="1" x14ac:dyDescent="0.2">
      <c r="A43" s="452">
        <f t="shared" si="0"/>
        <v>34</v>
      </c>
      <c r="B43" s="218"/>
      <c r="C43" s="218"/>
      <c r="D43" s="218"/>
      <c r="E43" s="218"/>
      <c r="F43" s="218"/>
      <c r="G43" s="218"/>
      <c r="H43" s="218"/>
      <c r="I43" s="218"/>
      <c r="J43" s="218"/>
      <c r="R43" s="300"/>
      <c r="S43" s="300"/>
      <c r="T43" s="300"/>
      <c r="U43" s="300"/>
      <c r="V43" s="300"/>
      <c r="W43" s="300"/>
    </row>
    <row r="44" spans="1:23" s="102" customFormat="1" x14ac:dyDescent="0.2">
      <c r="A44" s="452">
        <f t="shared" si="0"/>
        <v>35</v>
      </c>
      <c r="B44" s="469"/>
      <c r="C44" s="218"/>
      <c r="D44" s="218"/>
      <c r="E44" s="218"/>
      <c r="F44" s="218"/>
      <c r="G44" s="476"/>
      <c r="H44" s="476"/>
      <c r="I44" s="477"/>
      <c r="J44" s="218"/>
      <c r="R44" s="300"/>
      <c r="S44" s="300"/>
      <c r="T44" s="300"/>
      <c r="U44" s="300"/>
      <c r="V44" s="300"/>
      <c r="W44" s="300"/>
    </row>
    <row r="45" spans="1:23" s="102" customFormat="1" x14ac:dyDescent="0.2">
      <c r="A45" s="452"/>
      <c r="R45" s="300"/>
      <c r="S45" s="300"/>
      <c r="T45" s="300"/>
      <c r="U45" s="300"/>
      <c r="V45" s="300"/>
      <c r="W45" s="300"/>
    </row>
    <row r="48" spans="1:23" x14ac:dyDescent="0.25">
      <c r="J48" s="226"/>
    </row>
  </sheetData>
  <pageMargins left="0.7" right="0.7" top="0.75" bottom="0.75" header="0.3" footer="0.3"/>
  <pageSetup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2"/>
  </sheetPr>
  <dimension ref="A1:R190"/>
  <sheetViews>
    <sheetView showGridLines="0" zoomScale="85" zoomScaleNormal="85" zoomScaleSheetLayoutView="85" workbookViewId="0"/>
  </sheetViews>
  <sheetFormatPr defaultColWidth="9.1796875" defaultRowHeight="12.5" x14ac:dyDescent="0.25"/>
  <cols>
    <col min="1" max="1" width="8.7265625" style="295" customWidth="1"/>
    <col min="2" max="2" width="26.26953125" style="295" customWidth="1"/>
    <col min="3" max="3" width="18" style="295" customWidth="1"/>
    <col min="4" max="17" width="16.7265625" style="295" customWidth="1"/>
    <col min="18" max="18" width="17.26953125" style="295" customWidth="1"/>
    <col min="19" max="31" width="14.7265625" style="295" customWidth="1"/>
    <col min="32" max="16384" width="9.1796875" style="295"/>
  </cols>
  <sheetData>
    <row r="1" spans="1:18" x14ac:dyDescent="0.25">
      <c r="A1" s="478" t="s">
        <v>0</v>
      </c>
    </row>
    <row r="2" spans="1:18" x14ac:dyDescent="0.25">
      <c r="A2" s="478" t="s">
        <v>341</v>
      </c>
    </row>
    <row r="3" spans="1:18" x14ac:dyDescent="0.25">
      <c r="A3" s="478" t="s">
        <v>551</v>
      </c>
    </row>
    <row r="4" spans="1:18" x14ac:dyDescent="0.25">
      <c r="A4" s="478" t="s">
        <v>250</v>
      </c>
    </row>
    <row r="5" spans="1:18" x14ac:dyDescent="0.25">
      <c r="A5" s="483"/>
      <c r="B5" s="483"/>
      <c r="C5" s="483"/>
      <c r="D5" s="479">
        <v>2019</v>
      </c>
      <c r="E5" s="479">
        <f>D5+1</f>
        <v>2020</v>
      </c>
      <c r="F5" s="479">
        <f>$E$5</f>
        <v>2020</v>
      </c>
      <c r="G5" s="479">
        <f t="shared" ref="G5:P5" si="0">$E$5</f>
        <v>2020</v>
      </c>
      <c r="H5" s="479">
        <f t="shared" si="0"/>
        <v>2020</v>
      </c>
      <c r="I5" s="479">
        <f t="shared" si="0"/>
        <v>2020</v>
      </c>
      <c r="J5" s="479">
        <f t="shared" si="0"/>
        <v>2020</v>
      </c>
      <c r="K5" s="479">
        <f t="shared" si="0"/>
        <v>2020</v>
      </c>
      <c r="L5" s="479">
        <f t="shared" si="0"/>
        <v>2020</v>
      </c>
      <c r="M5" s="479">
        <f t="shared" si="0"/>
        <v>2020</v>
      </c>
      <c r="N5" s="479">
        <f t="shared" si="0"/>
        <v>2020</v>
      </c>
      <c r="O5" s="479">
        <f t="shared" si="0"/>
        <v>2020</v>
      </c>
      <c r="P5" s="479">
        <f t="shared" si="0"/>
        <v>2020</v>
      </c>
      <c r="Q5" s="479" t="s">
        <v>552</v>
      </c>
      <c r="R5" s="479"/>
    </row>
    <row r="6" spans="1:18" s="136" customFormat="1" x14ac:dyDescent="0.25">
      <c r="A6" s="480"/>
      <c r="B6" s="135"/>
      <c r="C6" s="135"/>
      <c r="D6" s="413" t="s">
        <v>377</v>
      </c>
      <c r="E6" s="413" t="s">
        <v>378</v>
      </c>
      <c r="F6" s="413" t="s">
        <v>379</v>
      </c>
      <c r="G6" s="413" t="s">
        <v>380</v>
      </c>
      <c r="H6" s="413" t="s">
        <v>381</v>
      </c>
      <c r="I6" s="413" t="s">
        <v>25</v>
      </c>
      <c r="J6" s="413" t="s">
        <v>26</v>
      </c>
      <c r="K6" s="413" t="s">
        <v>27</v>
      </c>
      <c r="L6" s="413" t="s">
        <v>28</v>
      </c>
      <c r="M6" s="413" t="s">
        <v>29</v>
      </c>
      <c r="N6" s="413" t="s">
        <v>30</v>
      </c>
      <c r="O6" s="413" t="s">
        <v>31</v>
      </c>
      <c r="P6" s="413" t="s">
        <v>20</v>
      </c>
      <c r="Q6" s="413" t="s">
        <v>428</v>
      </c>
      <c r="R6" s="413"/>
    </row>
    <row r="7" spans="1:18" x14ac:dyDescent="0.25">
      <c r="A7" s="484" t="s">
        <v>374</v>
      </c>
      <c r="B7" s="484"/>
      <c r="C7" s="484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481"/>
    </row>
    <row r="8" spans="1:18" x14ac:dyDescent="0.25">
      <c r="A8" s="185"/>
      <c r="B8" s="185"/>
      <c r="C8" s="185"/>
      <c r="D8" s="412" t="s">
        <v>10</v>
      </c>
      <c r="E8" s="412" t="s">
        <v>10</v>
      </c>
      <c r="F8" s="412" t="s">
        <v>10</v>
      </c>
      <c r="G8" s="412" t="s">
        <v>10</v>
      </c>
      <c r="H8" s="412" t="s">
        <v>10</v>
      </c>
      <c r="I8" s="412" t="s">
        <v>10</v>
      </c>
      <c r="J8" s="412" t="s">
        <v>10</v>
      </c>
      <c r="K8" s="412" t="s">
        <v>10</v>
      </c>
      <c r="L8" s="412" t="s">
        <v>10</v>
      </c>
      <c r="M8" s="412" t="s">
        <v>10</v>
      </c>
      <c r="N8" s="412" t="s">
        <v>10</v>
      </c>
      <c r="O8" s="412" t="s">
        <v>10</v>
      </c>
      <c r="P8" s="412" t="s">
        <v>10</v>
      </c>
      <c r="Q8" s="412" t="s">
        <v>10</v>
      </c>
      <c r="R8" s="485" t="s">
        <v>295</v>
      </c>
    </row>
    <row r="9" spans="1:18" x14ac:dyDescent="0.25">
      <c r="A9" s="486" t="s">
        <v>50</v>
      </c>
      <c r="B9" s="185"/>
      <c r="C9" s="185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</row>
    <row r="10" spans="1:18" x14ac:dyDescent="0.25">
      <c r="A10" s="185"/>
      <c r="B10" s="185"/>
      <c r="C10" s="185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</row>
    <row r="11" spans="1:18" x14ac:dyDescent="0.25">
      <c r="A11" s="185" t="s">
        <v>260</v>
      </c>
      <c r="B11" s="185"/>
      <c r="C11" s="185" t="s">
        <v>296</v>
      </c>
      <c r="D11" s="405">
        <v>126083550.66999999</v>
      </c>
      <c r="E11" s="405">
        <v>126361928.32999998</v>
      </c>
      <c r="F11" s="405">
        <v>126902292.18999998</v>
      </c>
      <c r="G11" s="405">
        <v>127269224.40999998</v>
      </c>
      <c r="H11" s="405">
        <v>128070083.59999998</v>
      </c>
      <c r="I11" s="405">
        <v>142483946.00999999</v>
      </c>
      <c r="J11" s="405">
        <v>142561912.15999997</v>
      </c>
      <c r="K11" s="405">
        <v>142850694.39000002</v>
      </c>
      <c r="L11" s="405">
        <v>143502503.77000001</v>
      </c>
      <c r="M11" s="405">
        <v>148078451.06999999</v>
      </c>
      <c r="N11" s="405">
        <v>168854487.53</v>
      </c>
      <c r="O11" s="405">
        <v>169803961.16999999</v>
      </c>
      <c r="P11" s="405">
        <v>171374549.13</v>
      </c>
      <c r="Q11" s="102">
        <f>ROUND(((D11/2)+SUM(E11:O11)+(P11/2))/12,2)</f>
        <v>142955711.21000001</v>
      </c>
      <c r="R11" s="184" t="s">
        <v>49</v>
      </c>
    </row>
    <row r="12" spans="1:18" x14ac:dyDescent="0.25">
      <c r="A12" s="185"/>
      <c r="B12" s="185"/>
      <c r="C12" s="185" t="s">
        <v>297</v>
      </c>
      <c r="D12" s="405">
        <v>84795.27</v>
      </c>
      <c r="E12" s="405">
        <v>84795.27</v>
      </c>
      <c r="F12" s="405">
        <v>84795.27</v>
      </c>
      <c r="G12" s="405">
        <v>84795.27</v>
      </c>
      <c r="H12" s="405">
        <v>84795.27</v>
      </c>
      <c r="I12" s="405">
        <v>84795.27</v>
      </c>
      <c r="J12" s="405">
        <v>84795.27</v>
      </c>
      <c r="K12" s="405">
        <v>84795.27</v>
      </c>
      <c r="L12" s="405">
        <v>84795.27</v>
      </c>
      <c r="M12" s="405">
        <v>84795.27</v>
      </c>
      <c r="N12" s="405">
        <v>84795.27</v>
      </c>
      <c r="O12" s="405">
        <v>84795.27</v>
      </c>
      <c r="P12" s="405">
        <v>84795.27</v>
      </c>
      <c r="Q12" s="102">
        <f t="shared" ref="Q12:Q16" si="1">ROUND(((D12/2)+SUM(E12:O12)+(P12/2))/12,2)</f>
        <v>84795.27</v>
      </c>
      <c r="R12" s="184" t="s">
        <v>145</v>
      </c>
    </row>
    <row r="13" spans="1:18" x14ac:dyDescent="0.25">
      <c r="A13" s="185" t="s">
        <v>253</v>
      </c>
      <c r="B13" s="185"/>
      <c r="C13" s="185"/>
      <c r="D13" s="405">
        <v>675198</v>
      </c>
      <c r="E13" s="405">
        <v>675198</v>
      </c>
      <c r="F13" s="405">
        <v>675198</v>
      </c>
      <c r="G13" s="405">
        <v>675198</v>
      </c>
      <c r="H13" s="405">
        <v>675198</v>
      </c>
      <c r="I13" s="405">
        <v>675198</v>
      </c>
      <c r="J13" s="405">
        <v>675198</v>
      </c>
      <c r="K13" s="405">
        <v>675198</v>
      </c>
      <c r="L13" s="405">
        <v>675198</v>
      </c>
      <c r="M13" s="405">
        <v>675198</v>
      </c>
      <c r="N13" s="405">
        <v>675198</v>
      </c>
      <c r="O13" s="405">
        <v>675198</v>
      </c>
      <c r="P13" s="405">
        <v>675198</v>
      </c>
      <c r="Q13" s="102">
        <f t="shared" si="1"/>
        <v>675198</v>
      </c>
      <c r="R13" s="184" t="s">
        <v>145</v>
      </c>
    </row>
    <row r="14" spans="1:18" x14ac:dyDescent="0.25">
      <c r="A14" s="185" t="s">
        <v>255</v>
      </c>
      <c r="B14" s="185"/>
      <c r="C14" s="185"/>
      <c r="D14" s="405">
        <v>192013583.40000004</v>
      </c>
      <c r="E14" s="405">
        <v>192106203.5</v>
      </c>
      <c r="F14" s="405">
        <v>192161416.25</v>
      </c>
      <c r="G14" s="405">
        <v>192375286.74000001</v>
      </c>
      <c r="H14" s="405">
        <v>192371065.69</v>
      </c>
      <c r="I14" s="405">
        <v>192536004.02000004</v>
      </c>
      <c r="J14" s="405">
        <v>192560956.15000004</v>
      </c>
      <c r="K14" s="405">
        <v>192784607.15000004</v>
      </c>
      <c r="L14" s="405">
        <v>192809906.42000002</v>
      </c>
      <c r="M14" s="405">
        <v>194512128.99000001</v>
      </c>
      <c r="N14" s="405">
        <v>198721713.21999991</v>
      </c>
      <c r="O14" s="405">
        <v>199541884.75999999</v>
      </c>
      <c r="P14" s="405">
        <v>201262954.49000001</v>
      </c>
      <c r="Q14" s="102">
        <f t="shared" si="1"/>
        <v>194093286.81999999</v>
      </c>
      <c r="R14" s="184" t="s">
        <v>145</v>
      </c>
    </row>
    <row r="15" spans="1:18" x14ac:dyDescent="0.25">
      <c r="A15" s="185" t="s">
        <v>256</v>
      </c>
      <c r="B15" s="185"/>
      <c r="C15" s="185"/>
      <c r="D15" s="405">
        <v>2373283799.6799998</v>
      </c>
      <c r="E15" s="405">
        <v>2382356018.940001</v>
      </c>
      <c r="F15" s="405">
        <v>2388897735.7600002</v>
      </c>
      <c r="G15" s="405">
        <v>2401160966.6500006</v>
      </c>
      <c r="H15" s="405">
        <v>2406620571.0899997</v>
      </c>
      <c r="I15" s="405">
        <v>2417848886.4400005</v>
      </c>
      <c r="J15" s="405">
        <v>2427637708.9800005</v>
      </c>
      <c r="K15" s="405">
        <v>2433654068.1799998</v>
      </c>
      <c r="L15" s="405">
        <v>2444067223.0299993</v>
      </c>
      <c r="M15" s="405">
        <v>2453023843.7699995</v>
      </c>
      <c r="N15" s="405">
        <v>2481652594.6299996</v>
      </c>
      <c r="O15" s="405">
        <v>2488310117.6400003</v>
      </c>
      <c r="P15" s="405">
        <v>2493115390.8100004</v>
      </c>
      <c r="Q15" s="102">
        <f t="shared" si="1"/>
        <v>2429869110.8600001</v>
      </c>
      <c r="R15" s="184" t="s">
        <v>145</v>
      </c>
    </row>
    <row r="16" spans="1:18" x14ac:dyDescent="0.25">
      <c r="A16" s="185" t="s">
        <v>275</v>
      </c>
      <c r="B16" s="185"/>
      <c r="C16" s="185"/>
      <c r="D16" s="405">
        <v>243869681.75000003</v>
      </c>
      <c r="E16" s="405">
        <v>246500038.22000003</v>
      </c>
      <c r="F16" s="405">
        <v>248093183.93000004</v>
      </c>
      <c r="G16" s="405">
        <v>257398923.91000003</v>
      </c>
      <c r="H16" s="405">
        <v>262077420.11000007</v>
      </c>
      <c r="I16" s="405">
        <v>267904800.68000004</v>
      </c>
      <c r="J16" s="405">
        <v>272958976.64000005</v>
      </c>
      <c r="K16" s="405">
        <v>273448943.52999991</v>
      </c>
      <c r="L16" s="405">
        <v>274138719.38</v>
      </c>
      <c r="M16" s="405">
        <v>277671859.10999995</v>
      </c>
      <c r="N16" s="405">
        <v>281900634.61999995</v>
      </c>
      <c r="O16" s="405">
        <v>279229252.27999991</v>
      </c>
      <c r="P16" s="405">
        <v>284215594.87999994</v>
      </c>
      <c r="Q16" s="102">
        <f t="shared" si="1"/>
        <v>267113782.56</v>
      </c>
      <c r="R16" s="184" t="s">
        <v>339</v>
      </c>
    </row>
    <row r="17" spans="1:18" x14ac:dyDescent="0.25">
      <c r="A17" s="185"/>
      <c r="B17" s="185"/>
      <c r="C17" s="18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296"/>
      <c r="R17" s="184"/>
    </row>
    <row r="18" spans="1:18" x14ac:dyDescent="0.25">
      <c r="A18" s="185" t="s">
        <v>298</v>
      </c>
      <c r="B18" s="185"/>
      <c r="C18" s="185"/>
      <c r="D18" s="405">
        <v>338708360.52999997</v>
      </c>
      <c r="E18" s="405">
        <v>338721539.31999999</v>
      </c>
      <c r="F18" s="405">
        <v>338714042.94999999</v>
      </c>
      <c r="G18" s="405">
        <v>339293939.78999996</v>
      </c>
      <c r="H18" s="405">
        <v>339301386.70999998</v>
      </c>
      <c r="I18" s="405">
        <v>341466980.88999999</v>
      </c>
      <c r="J18" s="405">
        <v>341483441.56</v>
      </c>
      <c r="K18" s="405">
        <v>341577204.69</v>
      </c>
      <c r="L18" s="405">
        <v>341578123.69999999</v>
      </c>
      <c r="M18" s="405">
        <v>341578134.99000001</v>
      </c>
      <c r="N18" s="405">
        <v>371967296</v>
      </c>
      <c r="O18" s="405">
        <v>372735136.22000003</v>
      </c>
      <c r="P18" s="405">
        <v>373302403.86000001</v>
      </c>
      <c r="Q18" s="102">
        <f>ROUND(((D18/2)+SUM(E18:O18)+(P18/2))/12,2)</f>
        <v>347035217.42000002</v>
      </c>
      <c r="R18" s="184" t="s">
        <v>299</v>
      </c>
    </row>
    <row r="19" spans="1:18" x14ac:dyDescent="0.25">
      <c r="A19" s="185" t="s">
        <v>277</v>
      </c>
      <c r="B19" s="185"/>
      <c r="C19" s="185"/>
      <c r="D19" s="405">
        <v>3790768.49</v>
      </c>
      <c r="E19" s="405">
        <v>3790768.49</v>
      </c>
      <c r="F19" s="405">
        <v>3790768.49</v>
      </c>
      <c r="G19" s="405">
        <v>3790768.49</v>
      </c>
      <c r="H19" s="405">
        <v>3790768.49</v>
      </c>
      <c r="I19" s="405">
        <v>3790768.49</v>
      </c>
      <c r="J19" s="405">
        <v>3790768.49</v>
      </c>
      <c r="K19" s="405">
        <v>3790768.49</v>
      </c>
      <c r="L19" s="405">
        <v>3790768.49</v>
      </c>
      <c r="M19" s="405">
        <v>3790768.49</v>
      </c>
      <c r="N19" s="405">
        <v>3790768.49</v>
      </c>
      <c r="O19" s="405">
        <v>3790768.49</v>
      </c>
      <c r="P19" s="405">
        <v>3790768.49</v>
      </c>
      <c r="Q19" s="102">
        <f>ROUND(((D19/2)+SUM(E19:O19)+(P19/2))/12,2)</f>
        <v>3790768.49</v>
      </c>
      <c r="R19" s="184" t="s">
        <v>73</v>
      </c>
    </row>
    <row r="20" spans="1:18" x14ac:dyDescent="0.25">
      <c r="A20" s="185"/>
      <c r="B20" s="185"/>
      <c r="C20" s="185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405"/>
      <c r="O20" s="405"/>
      <c r="P20" s="405"/>
      <c r="Q20" s="296"/>
      <c r="R20" s="184"/>
    </row>
    <row r="21" spans="1:18" x14ac:dyDescent="0.25">
      <c r="A21" s="185" t="s">
        <v>528</v>
      </c>
      <c r="B21" s="483"/>
      <c r="C21" s="483"/>
      <c r="D21" s="405">
        <v>187307385.01000002</v>
      </c>
      <c r="E21" s="405">
        <v>187307385.00999999</v>
      </c>
      <c r="F21" s="405">
        <v>187307385.00999999</v>
      </c>
      <c r="G21" s="405">
        <v>187307385.01000002</v>
      </c>
      <c r="H21" s="405">
        <v>187307385.01000002</v>
      </c>
      <c r="I21" s="405">
        <v>187307385.01000002</v>
      </c>
      <c r="J21" s="405">
        <v>187307385.01000002</v>
      </c>
      <c r="K21" s="405">
        <v>187307385.01000002</v>
      </c>
      <c r="L21" s="405">
        <v>187307385.01000002</v>
      </c>
      <c r="M21" s="405">
        <v>187307385.01000002</v>
      </c>
      <c r="N21" s="405">
        <v>187307385.01000002</v>
      </c>
      <c r="O21" s="405">
        <v>187307385.01000002</v>
      </c>
      <c r="P21" s="405">
        <v>187307385.01000002</v>
      </c>
      <c r="Q21" s="102">
        <f>ROUND(((D21/2)+SUM(E21:O21)+(P21/2))/12,2)</f>
        <v>187307385.00999999</v>
      </c>
      <c r="R21" s="276" t="s">
        <v>145</v>
      </c>
    </row>
    <row r="22" spans="1:18" x14ac:dyDescent="0.25">
      <c r="A22" s="185"/>
      <c r="B22" s="185"/>
      <c r="C22" s="185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184"/>
    </row>
    <row r="23" spans="1:18" x14ac:dyDescent="0.25">
      <c r="A23" s="185" t="s">
        <v>529</v>
      </c>
      <c r="B23" s="185"/>
      <c r="C23" s="185"/>
      <c r="D23" s="296">
        <f>SUM(D11:D19)</f>
        <v>3278509737.79</v>
      </c>
      <c r="E23" s="296">
        <f t="shared" ref="E23:P23" si="2">SUM(E11:E19)</f>
        <v>3290596490.0700011</v>
      </c>
      <c r="F23" s="296">
        <f t="shared" si="2"/>
        <v>3299319432.8399997</v>
      </c>
      <c r="G23" s="296">
        <f t="shared" si="2"/>
        <v>3322049103.2600002</v>
      </c>
      <c r="H23" s="296">
        <f t="shared" si="2"/>
        <v>3332991288.9599996</v>
      </c>
      <c r="I23" s="296">
        <f t="shared" si="2"/>
        <v>3366791379.8000002</v>
      </c>
      <c r="J23" s="296">
        <f t="shared" si="2"/>
        <v>3381753757.25</v>
      </c>
      <c r="K23" s="296">
        <f t="shared" si="2"/>
        <v>3388866279.6999993</v>
      </c>
      <c r="L23" s="296">
        <f t="shared" si="2"/>
        <v>3400647238.059999</v>
      </c>
      <c r="M23" s="296">
        <f t="shared" si="2"/>
        <v>3419415179.6899996</v>
      </c>
      <c r="N23" s="296">
        <f t="shared" si="2"/>
        <v>3507647487.7599993</v>
      </c>
      <c r="O23" s="296">
        <f t="shared" si="2"/>
        <v>3514171113.8299999</v>
      </c>
      <c r="P23" s="296">
        <f t="shared" si="2"/>
        <v>3527821654.9300003</v>
      </c>
      <c r="Q23" s="296">
        <f>SUM(Q11:Q19)</f>
        <v>3385617870.6300001</v>
      </c>
      <c r="R23" s="184"/>
    </row>
    <row r="24" spans="1:18" x14ac:dyDescent="0.25">
      <c r="A24" s="185"/>
      <c r="B24" s="185"/>
      <c r="C24" s="185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184"/>
    </row>
    <row r="25" spans="1:18" x14ac:dyDescent="0.25">
      <c r="A25" s="486" t="s">
        <v>123</v>
      </c>
      <c r="B25" s="185"/>
      <c r="C25" s="185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300"/>
    </row>
    <row r="26" spans="1:18" x14ac:dyDescent="0.25">
      <c r="A26" s="185"/>
      <c r="B26" s="185"/>
      <c r="C26" s="185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184"/>
    </row>
    <row r="27" spans="1:18" x14ac:dyDescent="0.25">
      <c r="A27" s="185" t="s">
        <v>260</v>
      </c>
      <c r="B27" s="185"/>
      <c r="C27" s="185"/>
      <c r="D27" s="405">
        <v>-72302109.319999993</v>
      </c>
      <c r="E27" s="405">
        <v>-72842193.75999999</v>
      </c>
      <c r="F27" s="405">
        <v>-73357371.919999987</v>
      </c>
      <c r="G27" s="405">
        <v>-73875107.36999999</v>
      </c>
      <c r="H27" s="405">
        <v>-74396153.549999997</v>
      </c>
      <c r="I27" s="405">
        <v>-74960175.389999986</v>
      </c>
      <c r="J27" s="405">
        <v>-74891940.939999998</v>
      </c>
      <c r="K27" s="405">
        <v>-75513963.730000004</v>
      </c>
      <c r="L27" s="405">
        <v>-76136296.829999998</v>
      </c>
      <c r="M27" s="405">
        <v>-76778332.569999993</v>
      </c>
      <c r="N27" s="405">
        <v>-77631919.530000001</v>
      </c>
      <c r="O27" s="405">
        <v>-78328799.890000001</v>
      </c>
      <c r="P27" s="405">
        <v>-79146251.769999996</v>
      </c>
      <c r="Q27" s="102">
        <f>ROUND(((D27/2)+SUM(E27:O27)+(P27/2))/12,2)</f>
        <v>-75369703</v>
      </c>
      <c r="R27" s="184" t="s">
        <v>49</v>
      </c>
    </row>
    <row r="28" spans="1:18" x14ac:dyDescent="0.25">
      <c r="A28" s="185" t="s">
        <v>253</v>
      </c>
      <c r="B28" s="185"/>
      <c r="C28" s="185"/>
      <c r="D28" s="405">
        <v>-691035.67999999993</v>
      </c>
      <c r="E28" s="405">
        <v>-691035.66999999993</v>
      </c>
      <c r="F28" s="405">
        <v>-691035.67999999993</v>
      </c>
      <c r="G28" s="405">
        <v>-691035.67999999993</v>
      </c>
      <c r="H28" s="405">
        <v>-691035.67999999993</v>
      </c>
      <c r="I28" s="405">
        <v>-691035.69</v>
      </c>
      <c r="J28" s="405">
        <v>-691035.67999999993</v>
      </c>
      <c r="K28" s="405">
        <v>-691035.67999999993</v>
      </c>
      <c r="L28" s="405">
        <v>-691035.66999999993</v>
      </c>
      <c r="M28" s="405">
        <v>-691035.66999999993</v>
      </c>
      <c r="N28" s="405">
        <v>-691035.65999999992</v>
      </c>
      <c r="O28" s="405">
        <v>-691035.66999999993</v>
      </c>
      <c r="P28" s="405">
        <v>-691035.66999999993</v>
      </c>
      <c r="Q28" s="102">
        <f>ROUND(((D28/2)+SUM(E28:O28)+(P28/2))/12,2)</f>
        <v>-691035.68</v>
      </c>
      <c r="R28" s="184" t="s">
        <v>145</v>
      </c>
    </row>
    <row r="29" spans="1:18" x14ac:dyDescent="0.25">
      <c r="A29" s="185" t="s">
        <v>255</v>
      </c>
      <c r="B29" s="185"/>
      <c r="C29" s="185"/>
      <c r="D29" s="405">
        <v>-44166051.469999984</v>
      </c>
      <c r="E29" s="405">
        <v>-44464096.360000007</v>
      </c>
      <c r="F29" s="405">
        <v>-44762261.400000006</v>
      </c>
      <c r="G29" s="405">
        <v>-45060632.950000003</v>
      </c>
      <c r="H29" s="405">
        <v>-45359170.680000007</v>
      </c>
      <c r="I29" s="405">
        <v>-45657832.24999997</v>
      </c>
      <c r="J29" s="405">
        <v>-45956644.830000006</v>
      </c>
      <c r="K29" s="405">
        <v>-46255649.920000002</v>
      </c>
      <c r="L29" s="405">
        <v>-46554849.910000011</v>
      </c>
      <c r="M29" s="405">
        <v>-46855405.370000005</v>
      </c>
      <c r="N29" s="405">
        <v>-47160577.74000001</v>
      </c>
      <c r="O29" s="405">
        <v>-47469715.550000012</v>
      </c>
      <c r="P29" s="405">
        <v>-47780904.930000007</v>
      </c>
      <c r="Q29" s="102">
        <f>ROUND(((D29/2)+SUM(E29:O29)+(P29/2))/12,2)</f>
        <v>-45960859.600000001</v>
      </c>
      <c r="R29" s="184" t="s">
        <v>145</v>
      </c>
    </row>
    <row r="30" spans="1:18" x14ac:dyDescent="0.25">
      <c r="A30" s="185" t="s">
        <v>256</v>
      </c>
      <c r="B30" s="185"/>
      <c r="C30" s="185"/>
      <c r="D30" s="405">
        <v>-1084945810.4425001</v>
      </c>
      <c r="E30" s="405">
        <v>-1089103715.4345</v>
      </c>
      <c r="F30" s="405">
        <v>-1092819125.8754997</v>
      </c>
      <c r="G30" s="405">
        <v>-1096280838.7780001</v>
      </c>
      <c r="H30" s="405">
        <v>-1099277956.9475002</v>
      </c>
      <c r="I30" s="405">
        <v>-1102803754.1919999</v>
      </c>
      <c r="J30" s="405">
        <v>-1105745923.6235003</v>
      </c>
      <c r="K30" s="405">
        <v>-1107580268.4235001</v>
      </c>
      <c r="L30" s="405">
        <v>-1111538084.0990002</v>
      </c>
      <c r="M30" s="405">
        <v>-1114283724.819</v>
      </c>
      <c r="N30" s="405">
        <v>-1117898745.4794998</v>
      </c>
      <c r="O30" s="405">
        <v>-1121520000.3740001</v>
      </c>
      <c r="P30" s="405">
        <v>-1124770402.0519993</v>
      </c>
      <c r="Q30" s="102">
        <f>ROUND(((D30/2)+SUM(E30:O30)+(P30/2))/12,2)</f>
        <v>-1105309187.02</v>
      </c>
      <c r="R30" s="184" t="s">
        <v>145</v>
      </c>
    </row>
    <row r="31" spans="1:18" x14ac:dyDescent="0.25">
      <c r="A31" s="185" t="s">
        <v>275</v>
      </c>
      <c r="B31" s="185"/>
      <c r="C31" s="185"/>
      <c r="D31" s="405">
        <v>-64631568.82</v>
      </c>
      <c r="E31" s="405">
        <v>-65263476.169999994</v>
      </c>
      <c r="F31" s="405">
        <v>-66672449.930000007</v>
      </c>
      <c r="G31" s="405">
        <v>-67851871.429999992</v>
      </c>
      <c r="H31" s="405">
        <v>-69056178.330000013</v>
      </c>
      <c r="I31" s="405">
        <v>-70436191.929999992</v>
      </c>
      <c r="J31" s="405">
        <v>-71725022.24000001</v>
      </c>
      <c r="K31" s="405">
        <v>-73208528.219999984</v>
      </c>
      <c r="L31" s="405">
        <v>-74518351.690000013</v>
      </c>
      <c r="M31" s="405">
        <v>-75829697.250000015</v>
      </c>
      <c r="N31" s="405">
        <v>-77295785.49000001</v>
      </c>
      <c r="O31" s="405">
        <v>-75458956.75999999</v>
      </c>
      <c r="P31" s="405">
        <v>-76865495.210000008</v>
      </c>
      <c r="Q31" s="102">
        <f>ROUND(((D31/2)+SUM(E31:O31)+(P31/2))/12,2)</f>
        <v>-71505420.120000005</v>
      </c>
      <c r="R31" s="184" t="s">
        <v>73</v>
      </c>
    </row>
    <row r="32" spans="1:18" x14ac:dyDescent="0.25">
      <c r="A32" s="185"/>
      <c r="B32" s="185"/>
      <c r="C32" s="185"/>
      <c r="D32" s="405"/>
      <c r="E32" s="405"/>
      <c r="F32" s="405"/>
      <c r="G32" s="405"/>
      <c r="H32" s="405"/>
      <c r="I32" s="405"/>
      <c r="J32" s="405"/>
      <c r="K32" s="405"/>
      <c r="L32" s="405"/>
      <c r="M32" s="405"/>
      <c r="N32" s="405"/>
      <c r="O32" s="405"/>
      <c r="P32" s="405"/>
      <c r="Q32" s="296"/>
      <c r="R32" s="184"/>
    </row>
    <row r="33" spans="1:18" x14ac:dyDescent="0.25">
      <c r="A33" s="185" t="s">
        <v>298</v>
      </c>
      <c r="B33" s="185"/>
      <c r="C33" s="185"/>
      <c r="D33" s="405">
        <v>-149607170.43000004</v>
      </c>
      <c r="E33" s="405">
        <v>-150166871.00999999</v>
      </c>
      <c r="F33" s="405">
        <v>-150726649.71000001</v>
      </c>
      <c r="G33" s="405">
        <v>-151286712.85000002</v>
      </c>
      <c r="H33" s="405">
        <v>-151847180.91999999</v>
      </c>
      <c r="I33" s="405">
        <v>-152409565.13000003</v>
      </c>
      <c r="J33" s="405">
        <v>-152973976.95000002</v>
      </c>
      <c r="K33" s="405">
        <v>-153538671.63999999</v>
      </c>
      <c r="L33" s="405">
        <v>-154102993.48999998</v>
      </c>
      <c r="M33" s="405">
        <v>-154667557.43000001</v>
      </c>
      <c r="N33" s="405">
        <v>-150251211.10000002</v>
      </c>
      <c r="O33" s="405">
        <v>-150855418.17000002</v>
      </c>
      <c r="P33" s="405">
        <v>-151461135.30000001</v>
      </c>
      <c r="Q33" s="102">
        <f>ROUND(((D33/2)+SUM(E33:O33)+(P33/2))/12,2)</f>
        <v>-151946746.77000001</v>
      </c>
      <c r="R33" s="184" t="s">
        <v>299</v>
      </c>
    </row>
    <row r="34" spans="1:18" x14ac:dyDescent="0.25">
      <c r="A34" s="185" t="s">
        <v>277</v>
      </c>
      <c r="B34" s="185"/>
      <c r="C34" s="185"/>
      <c r="D34" s="405">
        <v>-2251449.91</v>
      </c>
      <c r="E34" s="405">
        <v>-2258111.96</v>
      </c>
      <c r="F34" s="405">
        <v>-2264773.91</v>
      </c>
      <c r="G34" s="405">
        <v>-2271436.0099999998</v>
      </c>
      <c r="H34" s="405">
        <v>-2278098.0300000003</v>
      </c>
      <c r="I34" s="405">
        <v>-2284759.98</v>
      </c>
      <c r="J34" s="405">
        <v>-2291421.92</v>
      </c>
      <c r="K34" s="405">
        <v>-2298083.9299999997</v>
      </c>
      <c r="L34" s="405">
        <v>-2304745.83</v>
      </c>
      <c r="M34" s="405">
        <v>-2311407.94</v>
      </c>
      <c r="N34" s="405">
        <v>-2318069.91</v>
      </c>
      <c r="O34" s="405">
        <v>-2324731.8199999998</v>
      </c>
      <c r="P34" s="405">
        <v>-2331394.0299999998</v>
      </c>
      <c r="Q34" s="102">
        <f>ROUND(((D34/2)+SUM(E34:O34)+(P34/2))/12,2)</f>
        <v>-2291421.9300000002</v>
      </c>
      <c r="R34" s="184" t="s">
        <v>73</v>
      </c>
    </row>
    <row r="35" spans="1:18" x14ac:dyDescent="0.25">
      <c r="A35" s="185"/>
      <c r="B35" s="185"/>
      <c r="C35" s="185"/>
      <c r="D35" s="405"/>
      <c r="E35" s="405"/>
      <c r="F35" s="405"/>
      <c r="G35" s="405"/>
      <c r="H35" s="405"/>
      <c r="I35" s="405"/>
      <c r="J35" s="405"/>
      <c r="K35" s="405"/>
      <c r="L35" s="405"/>
      <c r="M35" s="405"/>
      <c r="N35" s="405"/>
      <c r="O35" s="405"/>
      <c r="P35" s="405"/>
      <c r="Q35" s="102"/>
      <c r="R35" s="184"/>
    </row>
    <row r="36" spans="1:18" x14ac:dyDescent="0.25">
      <c r="A36" s="185" t="s">
        <v>528</v>
      </c>
      <c r="B36" s="185"/>
      <c r="C36" s="185"/>
      <c r="D36" s="405">
        <v>-123635771.31305656</v>
      </c>
      <c r="E36" s="405">
        <v>-124976104.58677508</v>
      </c>
      <c r="F36" s="405">
        <v>-126230206.29346822</v>
      </c>
      <c r="G36" s="405">
        <v>-127722619.12726969</v>
      </c>
      <c r="H36" s="405">
        <v>-129149154.4473552</v>
      </c>
      <c r="I36" s="405">
        <v>-130472149.45498519</v>
      </c>
      <c r="J36" s="405">
        <v>-132201893.066925</v>
      </c>
      <c r="K36" s="405">
        <v>-134020172.76932165</v>
      </c>
      <c r="L36" s="405">
        <v>-135780528.49985808</v>
      </c>
      <c r="M36" s="405">
        <v>-137345909.18144658</v>
      </c>
      <c r="N36" s="405">
        <v>-138811366.38933915</v>
      </c>
      <c r="O36" s="405">
        <v>-140092679.2915611</v>
      </c>
      <c r="P36" s="405">
        <v>-141413947.06451762</v>
      </c>
      <c r="Q36" s="102">
        <f>ROUND(((D36/2)+SUM(E36:O36)+(P36/2))/12,2)</f>
        <v>-132443970.19</v>
      </c>
      <c r="R36" s="276" t="s">
        <v>145</v>
      </c>
    </row>
    <row r="37" spans="1:18" x14ac:dyDescent="0.25">
      <c r="A37" s="185"/>
      <c r="B37" s="185"/>
      <c r="C37" s="185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184"/>
    </row>
    <row r="38" spans="1:18" x14ac:dyDescent="0.25">
      <c r="A38" s="185" t="s">
        <v>530</v>
      </c>
      <c r="B38" s="185"/>
      <c r="C38" s="185"/>
      <c r="D38" s="296">
        <f>SUM(D27:D34)</f>
        <v>-1418595196.0725002</v>
      </c>
      <c r="E38" s="296">
        <f t="shared" ref="E38:O38" si="3">SUM(E27:E34)</f>
        <v>-1424789500.3645</v>
      </c>
      <c r="F38" s="296">
        <f t="shared" si="3"/>
        <v>-1431293668.4254999</v>
      </c>
      <c r="G38" s="296">
        <f t="shared" si="3"/>
        <v>-1437317635.0680001</v>
      </c>
      <c r="H38" s="296">
        <f t="shared" si="3"/>
        <v>-1442905774.1375003</v>
      </c>
      <c r="I38" s="296">
        <f t="shared" si="3"/>
        <v>-1449243314.562</v>
      </c>
      <c r="J38" s="296">
        <f t="shared" si="3"/>
        <v>-1454275966.1835005</v>
      </c>
      <c r="K38" s="296">
        <f t="shared" si="3"/>
        <v>-1459086201.5435002</v>
      </c>
      <c r="L38" s="296">
        <f t="shared" si="3"/>
        <v>-1465846357.5190003</v>
      </c>
      <c r="M38" s="296">
        <f t="shared" si="3"/>
        <v>-1471417161.049</v>
      </c>
      <c r="N38" s="296">
        <f t="shared" si="3"/>
        <v>-1473247344.9094999</v>
      </c>
      <c r="O38" s="296">
        <f t="shared" si="3"/>
        <v>-1476648658.2340002</v>
      </c>
      <c r="P38" s="296">
        <f>SUM(P27:P34)</f>
        <v>-1483046618.9619994</v>
      </c>
      <c r="Q38" s="102">
        <f>ROUND(((D38/2)+SUM(E38:O38)+(P38/2))/12,2)</f>
        <v>-1453074374.1300001</v>
      </c>
      <c r="R38" s="184"/>
    </row>
    <row r="39" spans="1:18" x14ac:dyDescent="0.25">
      <c r="A39" s="185"/>
      <c r="B39" s="185"/>
      <c r="C39" s="185"/>
      <c r="R39" s="184"/>
    </row>
    <row r="40" spans="1:18" x14ac:dyDescent="0.25">
      <c r="A40" s="185" t="s">
        <v>283</v>
      </c>
      <c r="B40" s="185"/>
      <c r="C40" s="185"/>
      <c r="D40" s="400">
        <f>+'Rate Base'!D166</f>
        <v>22718207.759999998</v>
      </c>
      <c r="E40" s="400">
        <f>+'Rate Base'!E166</f>
        <v>22716519.969999999</v>
      </c>
      <c r="F40" s="400">
        <f>+'Rate Base'!F166</f>
        <v>22714910.029999997</v>
      </c>
      <c r="G40" s="400">
        <f>+'Rate Base'!G166</f>
        <v>22713526.649999999</v>
      </c>
      <c r="H40" s="400">
        <f>+'Rate Base'!H166</f>
        <v>22711937.299999997</v>
      </c>
      <c r="I40" s="400">
        <f>+'Rate Base'!I166</f>
        <v>22710187.419999998</v>
      </c>
      <c r="J40" s="400">
        <f>+'Rate Base'!J166</f>
        <v>22708215.890000001</v>
      </c>
      <c r="K40" s="400">
        <f>+'Rate Base'!K166</f>
        <v>22706315.18</v>
      </c>
      <c r="L40" s="400">
        <f>+'Rate Base'!L166</f>
        <v>22704389.619999997</v>
      </c>
      <c r="M40" s="400">
        <f>+'Rate Base'!M166</f>
        <v>22702466.919999998</v>
      </c>
      <c r="N40" s="400">
        <f>+'Rate Base'!N166</f>
        <v>22701725.259999998</v>
      </c>
      <c r="O40" s="400">
        <f>+'Rate Base'!O166</f>
        <v>22700650.869999997</v>
      </c>
      <c r="P40" s="400">
        <f>+'Rate Base'!P166</f>
        <v>22698814.59</v>
      </c>
      <c r="Q40" s="102">
        <f>ROUND(((D40/2)+SUM(E40:O40)+(P40/2))/12,2)</f>
        <v>22708279.690000001</v>
      </c>
      <c r="R40" s="184" t="s">
        <v>299</v>
      </c>
    </row>
    <row r="41" spans="1:18" x14ac:dyDescent="0.25">
      <c r="A41" s="185" t="s">
        <v>144</v>
      </c>
      <c r="B41" s="185"/>
      <c r="C41" s="185"/>
      <c r="D41" s="401">
        <f>-'Rate Base'!D161</f>
        <v>-7367883.71</v>
      </c>
      <c r="E41" s="401">
        <f>-'Rate Base'!E161</f>
        <v>-7532633.4800000004</v>
      </c>
      <c r="F41" s="401">
        <f>-'Rate Base'!F161</f>
        <v>-7655812.25</v>
      </c>
      <c r="G41" s="401">
        <f>-'Rate Base'!G161</f>
        <v>-5635850.8300000001</v>
      </c>
      <c r="H41" s="401">
        <f>-'Rate Base'!H161</f>
        <v>-5756413.0300000003</v>
      </c>
      <c r="I41" s="401">
        <f>-'Rate Base'!I161</f>
        <v>-5848988.7000000002</v>
      </c>
      <c r="J41" s="401">
        <f>-'Rate Base'!J161</f>
        <v>-6008002.3700000001</v>
      </c>
      <c r="K41" s="401">
        <f>-'Rate Base'!K161</f>
        <v>-6138374.8700000001</v>
      </c>
      <c r="L41" s="401">
        <f>-'Rate Base'!L161</f>
        <v>-6309949.2000000002</v>
      </c>
      <c r="M41" s="401">
        <f>-'Rate Base'!M161</f>
        <v>-6434528.2000000002</v>
      </c>
      <c r="N41" s="401">
        <f>-'Rate Base'!N161</f>
        <v>-6527187.2000000002</v>
      </c>
      <c r="O41" s="401">
        <f>-'Rate Base'!O161</f>
        <v>-6701706.2000000002</v>
      </c>
      <c r="P41" s="401">
        <f>-'Rate Base'!P161</f>
        <v>-6253436.2000000002</v>
      </c>
      <c r="Q41" s="102">
        <f>ROUND(((D41/2)+SUM(E41:O41)+(P41/2))/12,2)</f>
        <v>-6446675.5199999996</v>
      </c>
      <c r="R41" s="184" t="s">
        <v>145</v>
      </c>
    </row>
    <row r="42" spans="1:18" x14ac:dyDescent="0.25">
      <c r="A42" s="185" t="s">
        <v>160</v>
      </c>
      <c r="B42" s="185"/>
      <c r="C42" s="185"/>
      <c r="D42" s="295">
        <f>+'Rate Base'!D156</f>
        <v>23370721.02</v>
      </c>
      <c r="E42" s="295">
        <f>+'Rate Base'!E156</f>
        <v>27497732.75</v>
      </c>
      <c r="F42" s="295">
        <f>+'Rate Base'!F156</f>
        <v>28885297.140000001</v>
      </c>
      <c r="G42" s="295">
        <f>+'Rate Base'!G156</f>
        <v>29561221.450000003</v>
      </c>
      <c r="H42" s="295">
        <f>+'Rate Base'!H156</f>
        <v>29835734.850000001</v>
      </c>
      <c r="I42" s="295">
        <f>+'Rate Base'!I156</f>
        <v>30062468.379999999</v>
      </c>
      <c r="J42" s="295">
        <f>+'Rate Base'!J156</f>
        <v>30152104.280000001</v>
      </c>
      <c r="K42" s="295">
        <f>+'Rate Base'!K156</f>
        <v>30318544.300000001</v>
      </c>
      <c r="L42" s="295">
        <f>+'Rate Base'!L156</f>
        <v>30253648.660000004</v>
      </c>
      <c r="M42" s="295">
        <f>+'Rate Base'!M156</f>
        <v>30052941.719999999</v>
      </c>
      <c r="N42" s="295">
        <f>+'Rate Base'!N156</f>
        <v>29937923.960000001</v>
      </c>
      <c r="O42" s="295">
        <f>+'Rate Base'!O156</f>
        <v>26383232.819999997</v>
      </c>
      <c r="P42" s="295">
        <f>+'Rate Base'!P156</f>
        <v>26300264.489999998</v>
      </c>
      <c r="Q42" s="102">
        <f>ROUND(((D42/2)+SUM(E42:O42)+(P42/2))/12,2)</f>
        <v>28981361.920000002</v>
      </c>
      <c r="R42" s="184" t="s">
        <v>300</v>
      </c>
    </row>
    <row r="43" spans="1:18" x14ac:dyDescent="0.25">
      <c r="A43" s="185"/>
      <c r="B43" s="185"/>
      <c r="C43" s="185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</row>
    <row r="44" spans="1:18" x14ac:dyDescent="0.25">
      <c r="A44" s="487" t="s">
        <v>507</v>
      </c>
      <c r="B44" s="185"/>
      <c r="C44" s="185"/>
      <c r="D44" s="296">
        <f>+D23+D38+SUM(D40:D42)</f>
        <v>1898635586.7874997</v>
      </c>
      <c r="E44" s="296">
        <f t="shared" ref="E44:Q44" si="4">+E23+E38+SUM(E40:E42)</f>
        <v>1908488608.9455011</v>
      </c>
      <c r="F44" s="296">
        <f t="shared" si="4"/>
        <v>1911970159.3344998</v>
      </c>
      <c r="G44" s="296">
        <f t="shared" si="4"/>
        <v>1931370365.4620001</v>
      </c>
      <c r="H44" s="296">
        <f t="shared" si="4"/>
        <v>1936876773.9424992</v>
      </c>
      <c r="I44" s="296">
        <f t="shared" si="4"/>
        <v>1964471732.3380001</v>
      </c>
      <c r="J44" s="296">
        <f t="shared" si="4"/>
        <v>1974330108.8664994</v>
      </c>
      <c r="K44" s="296">
        <f t="shared" si="4"/>
        <v>1976666562.766499</v>
      </c>
      <c r="L44" s="296">
        <f t="shared" si="4"/>
        <v>1981448969.6209986</v>
      </c>
      <c r="M44" s="296">
        <f t="shared" si="4"/>
        <v>1994318899.0809996</v>
      </c>
      <c r="N44" s="296">
        <f t="shared" si="4"/>
        <v>2080512604.8704994</v>
      </c>
      <c r="O44" s="296">
        <f t="shared" si="4"/>
        <v>2079904633.0859997</v>
      </c>
      <c r="P44" s="296">
        <f t="shared" si="4"/>
        <v>2087520678.848001</v>
      </c>
      <c r="Q44" s="296">
        <f t="shared" si="4"/>
        <v>1977786462.5899999</v>
      </c>
    </row>
    <row r="45" spans="1:18" x14ac:dyDescent="0.25">
      <c r="A45" s="487" t="s">
        <v>531</v>
      </c>
      <c r="B45" s="185"/>
      <c r="C45" s="185"/>
      <c r="D45" s="183">
        <f>'DIT Rate Base'!$I$39+'DIT Rate Base'!$J$39</f>
        <v>-477988071.94180417</v>
      </c>
      <c r="E45" s="183">
        <f>'DIT Rate Base'!$I$39+'DIT Rate Base'!$J$39</f>
        <v>-477988071.94180417</v>
      </c>
      <c r="F45" s="183">
        <f>'DIT Rate Base'!$I$39+'DIT Rate Base'!$J$39</f>
        <v>-477988071.94180417</v>
      </c>
      <c r="G45" s="183">
        <f>'DIT Rate Base'!$I$39+'DIT Rate Base'!$J$39</f>
        <v>-477988071.94180417</v>
      </c>
      <c r="H45" s="183">
        <f>'DIT Rate Base'!$I$39+'DIT Rate Base'!$J$39</f>
        <v>-477988071.94180417</v>
      </c>
      <c r="I45" s="183">
        <f>'DIT Rate Base'!$I$39+'DIT Rate Base'!$J$39</f>
        <v>-477988071.94180417</v>
      </c>
      <c r="J45" s="183">
        <f>'DIT Rate Base'!$I$39+'DIT Rate Base'!$J$39</f>
        <v>-477988071.94180417</v>
      </c>
      <c r="K45" s="183">
        <f>'DIT Rate Base'!$I$39+'DIT Rate Base'!$J$39</f>
        <v>-477988071.94180417</v>
      </c>
      <c r="L45" s="183">
        <f>'DIT Rate Base'!$I$39+'DIT Rate Base'!$J$39</f>
        <v>-477988071.94180417</v>
      </c>
      <c r="M45" s="183">
        <f>'DIT Rate Base'!$I$39+'DIT Rate Base'!$J$39</f>
        <v>-477988071.94180417</v>
      </c>
      <c r="N45" s="183">
        <f>'DIT Rate Base'!$I$39+'DIT Rate Base'!$J$39</f>
        <v>-477988071.94180417</v>
      </c>
      <c r="O45" s="183">
        <f>'DIT Rate Base'!$I$39+'DIT Rate Base'!$J$39</f>
        <v>-477988071.94180417</v>
      </c>
      <c r="P45" s="183">
        <f>'DIT Rate Base'!$I$39+'DIT Rate Base'!$J$39</f>
        <v>-477988071.94180417</v>
      </c>
      <c r="Q45" s="274">
        <f>'DIT Rate Base'!J39+'DIT Rate Base'!I39</f>
        <v>-477988071.94180417</v>
      </c>
      <c r="R45" s="275"/>
    </row>
    <row r="46" spans="1:18" x14ac:dyDescent="0.25">
      <c r="A46" s="487" t="s">
        <v>532</v>
      </c>
      <c r="B46" s="185"/>
      <c r="C46" s="185"/>
      <c r="D46" s="185">
        <f>SUM(D44:D45)</f>
        <v>1420647514.8456955</v>
      </c>
      <c r="E46" s="185">
        <f t="shared" ref="E46:Q46" si="5">SUM(E44:E45)</f>
        <v>1430500537.0036969</v>
      </c>
      <c r="F46" s="185">
        <f t="shared" si="5"/>
        <v>1433982087.3926957</v>
      </c>
      <c r="G46" s="185">
        <f t="shared" si="5"/>
        <v>1453382293.520196</v>
      </c>
      <c r="H46" s="185">
        <f t="shared" si="5"/>
        <v>1458888702.000695</v>
      </c>
      <c r="I46" s="185">
        <f t="shared" si="5"/>
        <v>1486483660.3961959</v>
      </c>
      <c r="J46" s="185">
        <f t="shared" si="5"/>
        <v>1496342036.9246953</v>
      </c>
      <c r="K46" s="185">
        <f t="shared" si="5"/>
        <v>1498678490.8246949</v>
      </c>
      <c r="L46" s="185">
        <f t="shared" si="5"/>
        <v>1503460897.6791945</v>
      </c>
      <c r="M46" s="185">
        <f t="shared" si="5"/>
        <v>1516330827.1391954</v>
      </c>
      <c r="N46" s="185">
        <f t="shared" si="5"/>
        <v>1602524532.9286952</v>
      </c>
      <c r="O46" s="185">
        <f t="shared" si="5"/>
        <v>1601916561.1441956</v>
      </c>
      <c r="P46" s="185">
        <f t="shared" si="5"/>
        <v>1609532606.9061968</v>
      </c>
      <c r="Q46" s="185">
        <f t="shared" si="5"/>
        <v>1499798390.6481957</v>
      </c>
    </row>
    <row r="47" spans="1:18" x14ac:dyDescent="0.25">
      <c r="A47" s="487"/>
      <c r="B47" s="185"/>
      <c r="C47" s="185"/>
      <c r="D47" s="296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</row>
    <row r="48" spans="1:18" x14ac:dyDescent="0.25">
      <c r="A48" s="488" t="s">
        <v>375</v>
      </c>
      <c r="B48" s="488"/>
      <c r="C48" s="488"/>
      <c r="D48" s="402">
        <f t="shared" ref="D48:Q48" si="6">+D5</f>
        <v>2019</v>
      </c>
      <c r="E48" s="402">
        <f t="shared" si="6"/>
        <v>2020</v>
      </c>
      <c r="F48" s="402">
        <f t="shared" si="6"/>
        <v>2020</v>
      </c>
      <c r="G48" s="402">
        <f t="shared" si="6"/>
        <v>2020</v>
      </c>
      <c r="H48" s="402">
        <f t="shared" si="6"/>
        <v>2020</v>
      </c>
      <c r="I48" s="402">
        <f t="shared" si="6"/>
        <v>2020</v>
      </c>
      <c r="J48" s="402">
        <f t="shared" si="6"/>
        <v>2020</v>
      </c>
      <c r="K48" s="402">
        <f t="shared" si="6"/>
        <v>2020</v>
      </c>
      <c r="L48" s="402">
        <f t="shared" si="6"/>
        <v>2020</v>
      </c>
      <c r="M48" s="402">
        <f t="shared" si="6"/>
        <v>2020</v>
      </c>
      <c r="N48" s="402">
        <f t="shared" si="6"/>
        <v>2020</v>
      </c>
      <c r="O48" s="402">
        <f t="shared" si="6"/>
        <v>2020</v>
      </c>
      <c r="P48" s="402">
        <f t="shared" si="6"/>
        <v>2020</v>
      </c>
      <c r="Q48" s="402" t="str">
        <f t="shared" si="6"/>
        <v>Dec 19 - Dec 20</v>
      </c>
      <c r="R48" s="402"/>
    </row>
    <row r="49" spans="1:18" x14ac:dyDescent="0.25">
      <c r="D49" s="403" t="str">
        <f t="shared" ref="D49:Q49" si="7">+D6</f>
        <v>Dec</v>
      </c>
      <c r="E49" s="403" t="str">
        <f t="shared" si="7"/>
        <v>Jan</v>
      </c>
      <c r="F49" s="403" t="str">
        <f t="shared" si="7"/>
        <v>Feb</v>
      </c>
      <c r="G49" s="403" t="str">
        <f t="shared" si="7"/>
        <v>Mar</v>
      </c>
      <c r="H49" s="403" t="str">
        <f t="shared" si="7"/>
        <v>Apr</v>
      </c>
      <c r="I49" s="403" t="str">
        <f t="shared" si="7"/>
        <v>May</v>
      </c>
      <c r="J49" s="403" t="str">
        <f t="shared" si="7"/>
        <v>June</v>
      </c>
      <c r="K49" s="403" t="str">
        <f t="shared" si="7"/>
        <v>July</v>
      </c>
      <c r="L49" s="403" t="str">
        <f t="shared" si="7"/>
        <v>August</v>
      </c>
      <c r="M49" s="403" t="str">
        <f t="shared" si="7"/>
        <v>September</v>
      </c>
      <c r="N49" s="403" t="str">
        <f t="shared" si="7"/>
        <v>October</v>
      </c>
      <c r="O49" s="403" t="str">
        <f t="shared" si="7"/>
        <v>November</v>
      </c>
      <c r="P49" s="403" t="str">
        <f t="shared" si="7"/>
        <v>December</v>
      </c>
      <c r="Q49" s="403" t="str">
        <f t="shared" si="7"/>
        <v>13 month average</v>
      </c>
      <c r="R49" s="402"/>
    </row>
    <row r="50" spans="1:18" x14ac:dyDescent="0.25">
      <c r="A50" s="486" t="s">
        <v>50</v>
      </c>
      <c r="B50" s="185"/>
      <c r="C50" s="185"/>
      <c r="D50" s="404" t="str">
        <f>+A48</f>
        <v>OREGON</v>
      </c>
      <c r="E50" s="404" t="str">
        <f>+D50</f>
        <v>OREGON</v>
      </c>
      <c r="F50" s="404" t="str">
        <f t="shared" ref="F50:P50" si="8">+E50</f>
        <v>OREGON</v>
      </c>
      <c r="G50" s="404" t="str">
        <f t="shared" si="8"/>
        <v>OREGON</v>
      </c>
      <c r="H50" s="404" t="str">
        <f t="shared" si="8"/>
        <v>OREGON</v>
      </c>
      <c r="I50" s="404" t="str">
        <f t="shared" si="8"/>
        <v>OREGON</v>
      </c>
      <c r="J50" s="404" t="str">
        <f t="shared" si="8"/>
        <v>OREGON</v>
      </c>
      <c r="K50" s="404" t="str">
        <f t="shared" si="8"/>
        <v>OREGON</v>
      </c>
      <c r="L50" s="404" t="str">
        <f t="shared" si="8"/>
        <v>OREGON</v>
      </c>
      <c r="M50" s="404" t="str">
        <f t="shared" si="8"/>
        <v>OREGON</v>
      </c>
      <c r="N50" s="404" t="str">
        <f t="shared" si="8"/>
        <v>OREGON</v>
      </c>
      <c r="O50" s="404" t="str">
        <f t="shared" si="8"/>
        <v>OREGON</v>
      </c>
      <c r="P50" s="404" t="str">
        <f t="shared" si="8"/>
        <v>OREGON</v>
      </c>
      <c r="Q50" s="404" t="str">
        <f>+P50</f>
        <v>OREGON</v>
      </c>
      <c r="R50" s="402"/>
    </row>
    <row r="51" spans="1:18" x14ac:dyDescent="0.25">
      <c r="A51" s="185"/>
      <c r="B51" s="185"/>
      <c r="C51" s="185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</row>
    <row r="52" spans="1:18" x14ac:dyDescent="0.25">
      <c r="A52" s="185" t="s">
        <v>260</v>
      </c>
      <c r="B52" s="185"/>
      <c r="C52" s="185" t="s">
        <v>296</v>
      </c>
      <c r="D52" s="405">
        <v>111483075.50241399</v>
      </c>
      <c r="E52" s="405">
        <v>111729217.02938598</v>
      </c>
      <c r="F52" s="405">
        <v>112207006.75439799</v>
      </c>
      <c r="G52" s="405">
        <v>112531448.22332199</v>
      </c>
      <c r="H52" s="405">
        <v>113239567.91911998</v>
      </c>
      <c r="I52" s="405">
        <v>125984305.06204198</v>
      </c>
      <c r="J52" s="405">
        <v>126053242.73187196</v>
      </c>
      <c r="K52" s="405">
        <v>126308583.97963801</v>
      </c>
      <c r="L52" s="405">
        <v>126884913.833434</v>
      </c>
      <c r="M52" s="405">
        <v>130930966.43609399</v>
      </c>
      <c r="N52" s="405">
        <v>149301137.874026</v>
      </c>
      <c r="O52" s="405">
        <v>150140662.46651399</v>
      </c>
      <c r="P52" s="405">
        <v>151529376.34074599</v>
      </c>
      <c r="Q52" s="102">
        <f t="shared" ref="Q52:Q57" si="9">ROUND(((D52/2)+SUM(E52:O52)+(P52/2))/12,2)</f>
        <v>126401439.84999999</v>
      </c>
      <c r="R52" s="184" t="s">
        <v>49</v>
      </c>
    </row>
    <row r="53" spans="1:18" x14ac:dyDescent="0.25">
      <c r="A53" s="185"/>
      <c r="B53" s="185"/>
      <c r="C53" s="185" t="s">
        <v>297</v>
      </c>
      <c r="D53" s="405">
        <v>84348.27</v>
      </c>
      <c r="E53" s="405">
        <v>84348.27</v>
      </c>
      <c r="F53" s="405">
        <v>84348.27</v>
      </c>
      <c r="G53" s="405">
        <v>84348.27</v>
      </c>
      <c r="H53" s="405">
        <v>84348.27</v>
      </c>
      <c r="I53" s="405">
        <v>84348.27</v>
      </c>
      <c r="J53" s="405">
        <v>84348.27</v>
      </c>
      <c r="K53" s="405">
        <v>84348.27</v>
      </c>
      <c r="L53" s="405">
        <v>84348.27</v>
      </c>
      <c r="M53" s="405">
        <v>84348.27</v>
      </c>
      <c r="N53" s="405">
        <v>84348.27</v>
      </c>
      <c r="O53" s="405">
        <v>84348.27</v>
      </c>
      <c r="P53" s="405">
        <v>84348.27</v>
      </c>
      <c r="Q53" s="102">
        <f t="shared" si="9"/>
        <v>84348.27</v>
      </c>
      <c r="R53" s="184" t="s">
        <v>145</v>
      </c>
    </row>
    <row r="54" spans="1:18" x14ac:dyDescent="0.25">
      <c r="A54" s="185" t="s">
        <v>253</v>
      </c>
      <c r="B54" s="185"/>
      <c r="C54" s="185"/>
      <c r="D54" s="405">
        <v>675198</v>
      </c>
      <c r="E54" s="405">
        <v>675198</v>
      </c>
      <c r="F54" s="405">
        <v>675198</v>
      </c>
      <c r="G54" s="405">
        <v>675198</v>
      </c>
      <c r="H54" s="405">
        <v>675198</v>
      </c>
      <c r="I54" s="405">
        <v>675198</v>
      </c>
      <c r="J54" s="405">
        <v>675198</v>
      </c>
      <c r="K54" s="405">
        <v>675198</v>
      </c>
      <c r="L54" s="405">
        <v>675198</v>
      </c>
      <c r="M54" s="405">
        <v>675198</v>
      </c>
      <c r="N54" s="405">
        <v>675198</v>
      </c>
      <c r="O54" s="405">
        <v>675198</v>
      </c>
      <c r="P54" s="405">
        <v>675198</v>
      </c>
      <c r="Q54" s="102">
        <f t="shared" si="9"/>
        <v>675198</v>
      </c>
      <c r="R54" s="184" t="s">
        <v>145</v>
      </c>
    </row>
    <row r="55" spans="1:18" x14ac:dyDescent="0.25">
      <c r="A55" s="185" t="s">
        <v>255</v>
      </c>
      <c r="B55" s="185"/>
      <c r="C55" s="185"/>
      <c r="D55" s="405">
        <v>190898582.32999992</v>
      </c>
      <c r="E55" s="405">
        <v>190991202.42999989</v>
      </c>
      <c r="F55" s="405">
        <v>191046214.0999999</v>
      </c>
      <c r="G55" s="405">
        <v>191260084.58999991</v>
      </c>
      <c r="H55" s="405">
        <v>191255863.5399999</v>
      </c>
      <c r="I55" s="405">
        <v>191420369.75999987</v>
      </c>
      <c r="J55" s="405">
        <v>191445321.88999987</v>
      </c>
      <c r="K55" s="405">
        <v>191668972.88999987</v>
      </c>
      <c r="L55" s="405">
        <v>191694272.15999991</v>
      </c>
      <c r="M55" s="405">
        <v>193396494.7299999</v>
      </c>
      <c r="N55" s="405">
        <v>197606078.95999992</v>
      </c>
      <c r="O55" s="405">
        <v>198426250.49999988</v>
      </c>
      <c r="P55" s="405">
        <v>200147320.22999984</v>
      </c>
      <c r="Q55" s="102">
        <f t="shared" si="9"/>
        <v>192977839.74000001</v>
      </c>
      <c r="R55" s="184" t="s">
        <v>145</v>
      </c>
    </row>
    <row r="56" spans="1:18" x14ac:dyDescent="0.25">
      <c r="A56" s="185" t="s">
        <v>256</v>
      </c>
      <c r="B56" s="185"/>
      <c r="C56" s="185"/>
      <c r="D56" s="405">
        <v>2068165963.5399997</v>
      </c>
      <c r="E56" s="405">
        <v>2076214153.5899999</v>
      </c>
      <c r="F56" s="405">
        <v>2081909957.0999997</v>
      </c>
      <c r="G56" s="405">
        <v>2092881809.3899999</v>
      </c>
      <c r="H56" s="405">
        <v>2097914204.8699994</v>
      </c>
      <c r="I56" s="405">
        <v>2108484481.6599994</v>
      </c>
      <c r="J56" s="405">
        <v>2117254448.7599998</v>
      </c>
      <c r="K56" s="405">
        <v>2122343243.2099996</v>
      </c>
      <c r="L56" s="405">
        <v>2131587708.2599993</v>
      </c>
      <c r="M56" s="405">
        <v>2139814887.9599993</v>
      </c>
      <c r="N56" s="405">
        <v>2167001555.9799995</v>
      </c>
      <c r="O56" s="405">
        <v>2172666762.5</v>
      </c>
      <c r="P56" s="405">
        <v>2176852561.5999994</v>
      </c>
      <c r="Q56" s="102">
        <f t="shared" si="9"/>
        <v>2119215206.3199999</v>
      </c>
      <c r="R56" s="184" t="s">
        <v>145</v>
      </c>
    </row>
    <row r="57" spans="1:18" x14ac:dyDescent="0.25">
      <c r="A57" s="185" t="s">
        <v>275</v>
      </c>
      <c r="B57" s="185"/>
      <c r="C57" s="185"/>
      <c r="D57" s="405">
        <v>219156651.22758812</v>
      </c>
      <c r="E57" s="405">
        <v>221504113.39256367</v>
      </c>
      <c r="F57" s="405">
        <v>222926176.31232896</v>
      </c>
      <c r="G57" s="405">
        <v>231240089.9909687</v>
      </c>
      <c r="H57" s="405">
        <v>235416902.40930855</v>
      </c>
      <c r="I57" s="405">
        <v>240617804.94991246</v>
      </c>
      <c r="J57" s="405">
        <v>245083794.18009114</v>
      </c>
      <c r="K57" s="405">
        <v>245520948.03797168</v>
      </c>
      <c r="L57" s="405">
        <v>246138721.02893877</v>
      </c>
      <c r="M57" s="405">
        <v>249291795.06060916</v>
      </c>
      <c r="N57" s="405">
        <v>253067347.84728977</v>
      </c>
      <c r="O57" s="405">
        <v>250683041.69016376</v>
      </c>
      <c r="P57" s="405">
        <v>255142460.91867995</v>
      </c>
      <c r="Q57" s="102">
        <f t="shared" si="9"/>
        <v>239886690.91</v>
      </c>
      <c r="R57" s="184" t="s">
        <v>339</v>
      </c>
    </row>
    <row r="58" spans="1:18" x14ac:dyDescent="0.25">
      <c r="A58" s="185"/>
      <c r="B58" s="185"/>
      <c r="C58" s="185"/>
      <c r="D58" s="405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5"/>
      <c r="Q58" s="296"/>
      <c r="R58" s="184"/>
    </row>
    <row r="59" spans="1:18" x14ac:dyDescent="0.25">
      <c r="A59" s="185" t="s">
        <v>298</v>
      </c>
      <c r="B59" s="185"/>
      <c r="C59" s="185"/>
      <c r="D59" s="405">
        <v>305416720.06828296</v>
      </c>
      <c r="E59" s="405">
        <v>305428463.688052</v>
      </c>
      <c r="F59" s="405">
        <v>305421783.67274499</v>
      </c>
      <c r="G59" s="405">
        <v>305938529.74686897</v>
      </c>
      <c r="H59" s="405">
        <v>305945165.697281</v>
      </c>
      <c r="I59" s="405">
        <v>307874926.67107898</v>
      </c>
      <c r="J59" s="405">
        <v>307889594.77411598</v>
      </c>
      <c r="K59" s="405">
        <v>307973147.09925902</v>
      </c>
      <c r="L59" s="405">
        <v>307973966.02907002</v>
      </c>
      <c r="M59" s="405">
        <v>307973976.089589</v>
      </c>
      <c r="N59" s="405">
        <v>335053757.46560001</v>
      </c>
      <c r="O59" s="405">
        <v>335737979.88564205</v>
      </c>
      <c r="P59" s="405">
        <v>336243472.07964599</v>
      </c>
      <c r="Q59" s="102">
        <f>ROUND(((D59/2)+SUM(E59:O59)+(P59/2))/12,2)</f>
        <v>312836782.24000001</v>
      </c>
      <c r="R59" s="184" t="s">
        <v>299</v>
      </c>
    </row>
    <row r="60" spans="1:18" x14ac:dyDescent="0.25">
      <c r="A60" s="185" t="s">
        <v>277</v>
      </c>
      <c r="B60" s="185"/>
      <c r="C60" s="185"/>
      <c r="D60" s="405">
        <v>3383260.8773250002</v>
      </c>
      <c r="E60" s="405">
        <v>3383260.8773250002</v>
      </c>
      <c r="F60" s="405">
        <v>3383260.8773250002</v>
      </c>
      <c r="G60" s="405">
        <v>3383260.8773250002</v>
      </c>
      <c r="H60" s="405">
        <v>3383260.8773250002</v>
      </c>
      <c r="I60" s="405">
        <v>3383260.8773250002</v>
      </c>
      <c r="J60" s="405">
        <v>3383260.8773250002</v>
      </c>
      <c r="K60" s="405">
        <v>3383260.8773250002</v>
      </c>
      <c r="L60" s="405">
        <v>3383260.8773250002</v>
      </c>
      <c r="M60" s="405">
        <v>3383260.8773250002</v>
      </c>
      <c r="N60" s="405">
        <v>3383260.8773250002</v>
      </c>
      <c r="O60" s="405">
        <v>3383260.8773250002</v>
      </c>
      <c r="P60" s="405">
        <v>3383260.8773250002</v>
      </c>
      <c r="Q60" s="102">
        <f>ROUND(((D60/2)+SUM(E60:O60)+(P60/2))/12,2)</f>
        <v>3383260.88</v>
      </c>
      <c r="R60" s="184" t="s">
        <v>73</v>
      </c>
    </row>
    <row r="61" spans="1:18" x14ac:dyDescent="0.25">
      <c r="A61" s="185"/>
      <c r="B61" s="185"/>
      <c r="C61" s="185"/>
      <c r="D61" s="405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5"/>
      <c r="Q61" s="296"/>
      <c r="R61" s="184"/>
    </row>
    <row r="62" spans="1:18" x14ac:dyDescent="0.25">
      <c r="A62" s="185" t="s">
        <v>528</v>
      </c>
      <c r="B62" s="185"/>
      <c r="C62" s="185"/>
      <c r="D62" s="405">
        <v>187307385.01000002</v>
      </c>
      <c r="E62" s="405">
        <v>187307385.00999999</v>
      </c>
      <c r="F62" s="405">
        <v>187307385.00999999</v>
      </c>
      <c r="G62" s="405">
        <v>187307385.01000002</v>
      </c>
      <c r="H62" s="405">
        <v>187307385.01000002</v>
      </c>
      <c r="I62" s="405">
        <v>187307385.01000002</v>
      </c>
      <c r="J62" s="405">
        <v>187307385.01000002</v>
      </c>
      <c r="K62" s="405">
        <v>187307385.01000002</v>
      </c>
      <c r="L62" s="405">
        <v>187307385.01000002</v>
      </c>
      <c r="M62" s="405">
        <v>187307385.01000002</v>
      </c>
      <c r="N62" s="405">
        <v>187307385.01000002</v>
      </c>
      <c r="O62" s="405">
        <v>187307385.01000002</v>
      </c>
      <c r="P62" s="405">
        <v>187307385.01000002</v>
      </c>
      <c r="Q62" s="102">
        <f>ROUND(((D62/2)+SUM(E62:O62)+(P62/2))/12,2)</f>
        <v>187307385.00999999</v>
      </c>
      <c r="R62" s="276" t="s">
        <v>145</v>
      </c>
    </row>
    <row r="63" spans="1:18" x14ac:dyDescent="0.25">
      <c r="A63" s="185"/>
      <c r="B63" s="185"/>
      <c r="C63" s="185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184"/>
    </row>
    <row r="64" spans="1:18" x14ac:dyDescent="0.25">
      <c r="A64" s="185" t="s">
        <v>529</v>
      </c>
      <c r="B64" s="185"/>
      <c r="C64" s="185"/>
      <c r="D64" s="296">
        <f>SUM(D52:D60)</f>
        <v>2899263799.8156099</v>
      </c>
      <c r="E64" s="296">
        <f t="shared" ref="E64:P64" si="10">SUM(E52:E60)</f>
        <v>2910009957.2773266</v>
      </c>
      <c r="F64" s="296">
        <f t="shared" si="10"/>
        <v>2917653945.0867968</v>
      </c>
      <c r="G64" s="296">
        <f t="shared" si="10"/>
        <v>2937994769.0884848</v>
      </c>
      <c r="H64" s="296">
        <f t="shared" si="10"/>
        <v>2947914511.5830336</v>
      </c>
      <c r="I64" s="296">
        <f t="shared" si="10"/>
        <v>2978524695.2503581</v>
      </c>
      <c r="J64" s="296">
        <f t="shared" si="10"/>
        <v>2991869209.4834037</v>
      </c>
      <c r="K64" s="296">
        <f t="shared" si="10"/>
        <v>2997957702.364193</v>
      </c>
      <c r="L64" s="296">
        <f t="shared" si="10"/>
        <v>3008422388.4587669</v>
      </c>
      <c r="M64" s="296">
        <f t="shared" si="10"/>
        <v>3025550927.4236169</v>
      </c>
      <c r="N64" s="296">
        <f t="shared" si="10"/>
        <v>3106172685.27424</v>
      </c>
      <c r="O64" s="296">
        <f t="shared" si="10"/>
        <v>3111797504.1896448</v>
      </c>
      <c r="P64" s="296">
        <f t="shared" si="10"/>
        <v>3124057998.3163967</v>
      </c>
      <c r="Q64" s="296">
        <f>SUM(Q52:Q60)</f>
        <v>2995460766.21</v>
      </c>
      <c r="R64" s="184"/>
    </row>
    <row r="65" spans="1:18" x14ac:dyDescent="0.25">
      <c r="A65" s="185"/>
      <c r="B65" s="185"/>
      <c r="C65" s="185"/>
      <c r="D65" s="296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184"/>
    </row>
    <row r="66" spans="1:18" x14ac:dyDescent="0.25">
      <c r="A66" s="486" t="s">
        <v>123</v>
      </c>
      <c r="B66" s="185"/>
      <c r="C66" s="185"/>
      <c r="D66" s="296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300"/>
    </row>
    <row r="67" spans="1:18" x14ac:dyDescent="0.25">
      <c r="A67" s="185"/>
      <c r="B67" s="185"/>
      <c r="C67" s="185"/>
      <c r="D67" s="296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184"/>
    </row>
    <row r="68" spans="1:18" x14ac:dyDescent="0.25">
      <c r="A68" s="185" t="s">
        <v>260</v>
      </c>
      <c r="B68" s="185"/>
      <c r="C68" s="185"/>
      <c r="D68" s="405">
        <v>-63929525.060743995</v>
      </c>
      <c r="E68" s="405">
        <v>-64407067.722591989</v>
      </c>
      <c r="F68" s="405">
        <v>-64862588.25166399</v>
      </c>
      <c r="G68" s="405">
        <v>-65320369.936553992</v>
      </c>
      <c r="H68" s="405">
        <v>-65781078.968909994</v>
      </c>
      <c r="I68" s="405">
        <v>-66279787.079837985</v>
      </c>
      <c r="J68" s="405">
        <v>-66219454.179147996</v>
      </c>
      <c r="K68" s="405">
        <v>-66769446.730066001</v>
      </c>
      <c r="L68" s="405">
        <v>-67319713.657086</v>
      </c>
      <c r="M68" s="405">
        <v>-67887401.658393994</v>
      </c>
      <c r="N68" s="405">
        <v>-68642143.248426005</v>
      </c>
      <c r="O68" s="405">
        <v>-69258324.862737998</v>
      </c>
      <c r="P68" s="405">
        <v>-69981115.815034002</v>
      </c>
      <c r="Q68" s="102">
        <f>ROUND(((D68/2)+SUM(E68:O68)+(P68/2))/12,2)</f>
        <v>-66641891.390000001</v>
      </c>
      <c r="R68" s="184" t="s">
        <v>49</v>
      </c>
    </row>
    <row r="69" spans="1:18" x14ac:dyDescent="0.25">
      <c r="A69" s="185" t="s">
        <v>253</v>
      </c>
      <c r="B69" s="185"/>
      <c r="C69" s="185"/>
      <c r="D69" s="405">
        <v>-691035.67999999993</v>
      </c>
      <c r="E69" s="405">
        <v>-691035.66999999993</v>
      </c>
      <c r="F69" s="405">
        <v>-691035.67999999993</v>
      </c>
      <c r="G69" s="405">
        <v>-691035.67999999993</v>
      </c>
      <c r="H69" s="405">
        <v>-691035.67999999993</v>
      </c>
      <c r="I69" s="405">
        <v>-691035.69</v>
      </c>
      <c r="J69" s="405">
        <v>-691035.67999999993</v>
      </c>
      <c r="K69" s="405">
        <v>-691035.67999999993</v>
      </c>
      <c r="L69" s="405">
        <v>-691035.66999999993</v>
      </c>
      <c r="M69" s="405">
        <v>-691035.66999999993</v>
      </c>
      <c r="N69" s="405">
        <v>-691035.65999999992</v>
      </c>
      <c r="O69" s="405">
        <v>-691035.66999999993</v>
      </c>
      <c r="P69" s="405">
        <v>-691035.66999999993</v>
      </c>
      <c r="Q69" s="102">
        <f>ROUND(((D69/2)+SUM(E69:O69)+(P69/2))/12,2)</f>
        <v>-691035.68</v>
      </c>
      <c r="R69" s="184" t="s">
        <v>145</v>
      </c>
    </row>
    <row r="70" spans="1:18" x14ac:dyDescent="0.25">
      <c r="A70" s="185" t="s">
        <v>255</v>
      </c>
      <c r="B70" s="185"/>
      <c r="C70" s="185"/>
      <c r="D70" s="405">
        <v>-43974492.239999987</v>
      </c>
      <c r="E70" s="405">
        <v>-44270790.289999992</v>
      </c>
      <c r="F70" s="405">
        <v>-44567208.359999999</v>
      </c>
      <c r="G70" s="405">
        <v>-44863832.710000023</v>
      </c>
      <c r="H70" s="405">
        <v>-45160623.340000004</v>
      </c>
      <c r="I70" s="405">
        <v>-45457537.389999986</v>
      </c>
      <c r="J70" s="405">
        <v>-45754602.18</v>
      </c>
      <c r="K70" s="405">
        <v>-46051859.450000003</v>
      </c>
      <c r="L70" s="405">
        <v>-46349311.570000008</v>
      </c>
      <c r="M70" s="405">
        <v>-46648119.189999998</v>
      </c>
      <c r="N70" s="405">
        <v>-46951543.75999999</v>
      </c>
      <c r="O70" s="405">
        <v>-47258933.760000005</v>
      </c>
      <c r="P70" s="405">
        <v>-47568375.309999987</v>
      </c>
      <c r="Q70" s="102">
        <f>ROUND(((D70/2)+SUM(E70:O70)+(P70/2))/12,2)</f>
        <v>-45758816.310000002</v>
      </c>
      <c r="R70" s="184" t="s">
        <v>145</v>
      </c>
    </row>
    <row r="71" spans="1:18" x14ac:dyDescent="0.25">
      <c r="A71" s="185" t="s">
        <v>256</v>
      </c>
      <c r="B71" s="185"/>
      <c r="C71" s="185"/>
      <c r="D71" s="405">
        <v>-964338167.01249981</v>
      </c>
      <c r="E71" s="405">
        <v>-967895077.32450032</v>
      </c>
      <c r="F71" s="405">
        <v>-971054544.95549989</v>
      </c>
      <c r="G71" s="405">
        <v>-974029611.22800016</v>
      </c>
      <c r="H71" s="405">
        <v>-976564750.78750026</v>
      </c>
      <c r="I71" s="405">
        <v>-979605110.52200007</v>
      </c>
      <c r="J71" s="405">
        <v>-982048488.56349993</v>
      </c>
      <c r="K71" s="405">
        <v>-983459483.78350031</v>
      </c>
      <c r="L71" s="405">
        <v>-986842590.05900002</v>
      </c>
      <c r="M71" s="405">
        <v>-989201930.07899988</v>
      </c>
      <c r="N71" s="405">
        <v>-992308253.45950019</v>
      </c>
      <c r="O71" s="405">
        <v>-995430199.97399998</v>
      </c>
      <c r="P71" s="405">
        <v>-998186329.81200004</v>
      </c>
      <c r="Q71" s="102">
        <f>ROUND(((D71/2)+SUM(E71:O71)+(P71/2))/12,2)</f>
        <v>-981641857.42999995</v>
      </c>
      <c r="R71" s="184" t="s">
        <v>145</v>
      </c>
    </row>
    <row r="72" spans="1:18" x14ac:dyDescent="0.25">
      <c r="A72" s="185" t="s">
        <v>275</v>
      </c>
      <c r="B72" s="185"/>
      <c r="C72" s="185"/>
      <c r="D72" s="405">
        <v>-58034431.79419589</v>
      </c>
      <c r="E72" s="405">
        <v>-58602297.211292148</v>
      </c>
      <c r="F72" s="405">
        <v>-59863694.715091817</v>
      </c>
      <c r="G72" s="405">
        <v>-60920225.056266934</v>
      </c>
      <c r="H72" s="405">
        <v>-61998974.649245009</v>
      </c>
      <c r="I72" s="405">
        <v>-63234543.507298484</v>
      </c>
      <c r="J72" s="405">
        <v>-64383927.479778901</v>
      </c>
      <c r="K72" s="405">
        <v>-65711865.884478793</v>
      </c>
      <c r="L72" s="405">
        <v>-66884794.540932707</v>
      </c>
      <c r="M72" s="405">
        <v>-68059083.817241132</v>
      </c>
      <c r="N72" s="405">
        <v>-69371482.57848385</v>
      </c>
      <c r="O72" s="405">
        <v>-67736029.487258717</v>
      </c>
      <c r="P72" s="405">
        <v>-68995289.626105398</v>
      </c>
      <c r="Q72" s="102">
        <f>ROUND(((D72/2)+SUM(E72:O72)+(P72/2))/12,2)</f>
        <v>-64190148.299999997</v>
      </c>
      <c r="R72" s="184" t="s">
        <v>73</v>
      </c>
    </row>
    <row r="73" spans="1:18" x14ac:dyDescent="0.25">
      <c r="A73" s="185"/>
      <c r="B73" s="185"/>
      <c r="C73" s="185"/>
      <c r="D73" s="405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5"/>
      <c r="Q73" s="296"/>
      <c r="R73" s="184"/>
    </row>
    <row r="74" spans="1:18" x14ac:dyDescent="0.25">
      <c r="A74" s="185" t="s">
        <v>298</v>
      </c>
      <c r="B74" s="185"/>
      <c r="C74" s="185"/>
      <c r="D74" s="405">
        <v>-134292345.21090519</v>
      </c>
      <c r="E74" s="405">
        <v>-134795500.49376714</v>
      </c>
      <c r="F74" s="405">
        <v>-135298725.38988143</v>
      </c>
      <c r="G74" s="405">
        <v>-135802203.74995935</v>
      </c>
      <c r="H74" s="405">
        <v>-136306042.9449814</v>
      </c>
      <c r="I74" s="405">
        <v>-136811589.61027622</v>
      </c>
      <c r="J74" s="405">
        <v>-137318943.07962248</v>
      </c>
      <c r="K74" s="405">
        <v>-137826548.6141656</v>
      </c>
      <c r="L74" s="405">
        <v>-138333821.91098469</v>
      </c>
      <c r="M74" s="405">
        <v>-138841310.9336825</v>
      </c>
      <c r="N74" s="405">
        <v>-134910310.81556377</v>
      </c>
      <c r="O74" s="405">
        <v>-135453125.8324452</v>
      </c>
      <c r="P74" s="405">
        <v>-135997286.4632723</v>
      </c>
      <c r="Q74" s="102">
        <f>ROUND(((D74/2)+SUM(E74:O74)+(P74/2))/12,2)</f>
        <v>-136403578.27000001</v>
      </c>
      <c r="R74" s="184" t="s">
        <v>299</v>
      </c>
    </row>
    <row r="75" spans="1:18" x14ac:dyDescent="0.25">
      <c r="A75" s="185" t="s">
        <v>277</v>
      </c>
      <c r="B75" s="185"/>
      <c r="C75" s="185"/>
      <c r="D75" s="405">
        <v>-2009419.044675</v>
      </c>
      <c r="E75" s="405">
        <v>-2015364.9242999998</v>
      </c>
      <c r="F75" s="405">
        <v>-2021310.7146749999</v>
      </c>
      <c r="G75" s="405">
        <v>-2027256.6389249996</v>
      </c>
      <c r="H75" s="405">
        <v>-2033202.4917750002</v>
      </c>
      <c r="I75" s="405">
        <v>-2039148.2821499999</v>
      </c>
      <c r="J75" s="405">
        <v>-2045094.0635999998</v>
      </c>
      <c r="K75" s="405">
        <v>-2051039.9075249997</v>
      </c>
      <c r="L75" s="405">
        <v>-2056985.6532749999</v>
      </c>
      <c r="M75" s="405">
        <v>-2062931.5864499998</v>
      </c>
      <c r="N75" s="405">
        <v>-2068877.3946750001</v>
      </c>
      <c r="O75" s="405">
        <v>-2074823.1493499998</v>
      </c>
      <c r="P75" s="405">
        <v>-2080769.1717749997</v>
      </c>
      <c r="Q75" s="102">
        <f>ROUND(((D75/2)+SUM(E75:O75)+(P75/2))/12,2)</f>
        <v>-2045094.08</v>
      </c>
      <c r="R75" s="184" t="s">
        <v>73</v>
      </c>
    </row>
    <row r="76" spans="1:18" x14ac:dyDescent="0.25">
      <c r="A76" s="185"/>
      <c r="B76" s="185"/>
      <c r="C76" s="185"/>
      <c r="D76" s="405"/>
      <c r="E76" s="405"/>
      <c r="F76" s="405"/>
      <c r="G76" s="405"/>
      <c r="H76" s="405"/>
      <c r="I76" s="405"/>
      <c r="J76" s="405"/>
      <c r="K76" s="405"/>
      <c r="L76" s="405"/>
      <c r="M76" s="405"/>
      <c r="N76" s="405"/>
      <c r="O76" s="405"/>
      <c r="P76" s="405"/>
      <c r="Q76" s="296"/>
      <c r="R76" s="184"/>
    </row>
    <row r="77" spans="1:18" x14ac:dyDescent="0.25">
      <c r="A77" s="185" t="s">
        <v>528</v>
      </c>
      <c r="B77" s="185"/>
      <c r="C77" s="185"/>
      <c r="D77" s="482">
        <v>-123635771.31305656</v>
      </c>
      <c r="E77" s="482">
        <v>-124976104.58677508</v>
      </c>
      <c r="F77" s="482">
        <v>-126230206.29346822</v>
      </c>
      <c r="G77" s="482">
        <v>-127722619.12726969</v>
      </c>
      <c r="H77" s="482">
        <v>-129149154.4473552</v>
      </c>
      <c r="I77" s="482">
        <v>-130472149.45498519</v>
      </c>
      <c r="J77" s="482">
        <v>-132201893.066925</v>
      </c>
      <c r="K77" s="482">
        <v>-134020172.76932165</v>
      </c>
      <c r="L77" s="482">
        <v>-135780528.49985808</v>
      </c>
      <c r="M77" s="482">
        <v>-137345909.18144658</v>
      </c>
      <c r="N77" s="482">
        <v>-138811366.38933915</v>
      </c>
      <c r="O77" s="482">
        <v>-140092679.2915611</v>
      </c>
      <c r="P77" s="482">
        <v>-141413947.06451762</v>
      </c>
      <c r="Q77" s="102">
        <f>ROUND(((D77/2)+SUM(E77:O77)+(P77/2))/12,2)</f>
        <v>-132443970.19</v>
      </c>
      <c r="R77" s="276" t="s">
        <v>145</v>
      </c>
    </row>
    <row r="78" spans="1:18" x14ac:dyDescent="0.25">
      <c r="A78" s="185"/>
      <c r="B78" s="185"/>
      <c r="C78" s="185"/>
      <c r="D78" s="296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184"/>
    </row>
    <row r="79" spans="1:18" x14ac:dyDescent="0.25">
      <c r="A79" s="185" t="s">
        <v>530</v>
      </c>
      <c r="B79" s="185"/>
      <c r="C79" s="185"/>
      <c r="D79" s="296">
        <f>SUM(D68:D75)</f>
        <v>-1267269416.04302</v>
      </c>
      <c r="E79" s="296">
        <f t="shared" ref="E79:P79" si="11">SUM(E68:E75)</f>
        <v>-1272677133.6364515</v>
      </c>
      <c r="F79" s="296">
        <f t="shared" si="11"/>
        <v>-1278359108.0668118</v>
      </c>
      <c r="G79" s="296">
        <f t="shared" si="11"/>
        <v>-1283654534.9997058</v>
      </c>
      <c r="H79" s="296">
        <f t="shared" si="11"/>
        <v>-1288535708.8624117</v>
      </c>
      <c r="I79" s="296">
        <f t="shared" si="11"/>
        <v>-1294118752.0815628</v>
      </c>
      <c r="J79" s="296">
        <f t="shared" si="11"/>
        <v>-1298461545.2256496</v>
      </c>
      <c r="K79" s="296">
        <f t="shared" si="11"/>
        <v>-1302561280.0497358</v>
      </c>
      <c r="L79" s="296">
        <f t="shared" si="11"/>
        <v>-1308478253.0612783</v>
      </c>
      <c r="M79" s="296">
        <f t="shared" si="11"/>
        <v>-1313391812.9347677</v>
      </c>
      <c r="N79" s="296">
        <f t="shared" si="11"/>
        <v>-1314943646.9166486</v>
      </c>
      <c r="O79" s="296">
        <f t="shared" si="11"/>
        <v>-1317902472.7357917</v>
      </c>
      <c r="P79" s="296">
        <f t="shared" si="11"/>
        <v>-1323500201.8681867</v>
      </c>
      <c r="Q79" s="296">
        <f>SUM(Q68:Q75)</f>
        <v>-1297372421.4599998</v>
      </c>
      <c r="R79" s="184"/>
    </row>
    <row r="80" spans="1:18" x14ac:dyDescent="0.25">
      <c r="A80" s="185"/>
      <c r="B80" s="185"/>
      <c r="C80" s="185"/>
      <c r="R80" s="184"/>
    </row>
    <row r="81" spans="1:18" x14ac:dyDescent="0.25">
      <c r="A81" s="185" t="s">
        <v>283</v>
      </c>
      <c r="B81" s="185"/>
      <c r="C81" s="185"/>
      <c r="D81" s="296">
        <f t="shared" ref="D81:P81" si="12">+D40-D118</f>
        <v>20244194.93</v>
      </c>
      <c r="E81" s="296">
        <f t="shared" si="12"/>
        <v>20242690.949999999</v>
      </c>
      <c r="F81" s="296">
        <f t="shared" si="12"/>
        <v>20241256.329999998</v>
      </c>
      <c r="G81" s="296">
        <f t="shared" si="12"/>
        <v>20240023.599999998</v>
      </c>
      <c r="H81" s="296">
        <f t="shared" si="12"/>
        <v>20238607.329999998</v>
      </c>
      <c r="I81" s="296">
        <f t="shared" si="12"/>
        <v>20237048.009999998</v>
      </c>
      <c r="J81" s="296">
        <f t="shared" si="12"/>
        <v>20235291.18</v>
      </c>
      <c r="K81" s="296">
        <f t="shared" si="12"/>
        <v>20233597.460000001</v>
      </c>
      <c r="L81" s="296">
        <f t="shared" si="12"/>
        <v>20231881.589999996</v>
      </c>
      <c r="M81" s="296">
        <f t="shared" si="12"/>
        <v>20230168.27</v>
      </c>
      <c r="N81" s="296">
        <f t="shared" si="12"/>
        <v>20229507.379999999</v>
      </c>
      <c r="O81" s="296">
        <f t="shared" si="12"/>
        <v>20228549.989999998</v>
      </c>
      <c r="P81" s="296">
        <f t="shared" si="12"/>
        <v>20226913.68</v>
      </c>
      <c r="Q81" s="102">
        <f>ROUND(((D81/2)+SUM(E81:O81)+(P81/2))/12,2)</f>
        <v>20235348.030000001</v>
      </c>
      <c r="R81" s="184" t="s">
        <v>299</v>
      </c>
    </row>
    <row r="82" spans="1:18" x14ac:dyDescent="0.25">
      <c r="A82" s="185" t="s">
        <v>144</v>
      </c>
      <c r="B82" s="185"/>
      <c r="C82" s="185"/>
      <c r="D82" s="296">
        <f t="shared" ref="D82:P82" si="13">+D41-D119</f>
        <v>-6385597.4299999997</v>
      </c>
      <c r="E82" s="296">
        <f t="shared" si="13"/>
        <v>-6538018.2000000002</v>
      </c>
      <c r="F82" s="296">
        <f t="shared" si="13"/>
        <v>-6645730.9699999997</v>
      </c>
      <c r="G82" s="296">
        <f t="shared" si="13"/>
        <v>-4613527.55</v>
      </c>
      <c r="H82" s="296">
        <f t="shared" si="13"/>
        <v>-4729877.75</v>
      </c>
      <c r="I82" s="296">
        <f t="shared" si="13"/>
        <v>-4803239.42</v>
      </c>
      <c r="J82" s="296">
        <f t="shared" si="13"/>
        <v>-4920147.09</v>
      </c>
      <c r="K82" s="296">
        <f t="shared" si="13"/>
        <v>-5030003.59</v>
      </c>
      <c r="L82" s="296">
        <f t="shared" si="13"/>
        <v>-5177084.92</v>
      </c>
      <c r="M82" s="296">
        <f t="shared" si="13"/>
        <v>-5277479.92</v>
      </c>
      <c r="N82" s="296">
        <f t="shared" si="13"/>
        <v>-5357677.92</v>
      </c>
      <c r="O82" s="296">
        <f t="shared" si="13"/>
        <v>-5514271.9199999999</v>
      </c>
      <c r="P82" s="296">
        <f t="shared" si="13"/>
        <v>-5145256.92</v>
      </c>
      <c r="Q82" s="102">
        <f>ROUND(((D82/2)+SUM(E82:O82)+(P82/2))/12,2)</f>
        <v>-5364373.87</v>
      </c>
      <c r="R82" s="184" t="s">
        <v>145</v>
      </c>
    </row>
    <row r="83" spans="1:18" x14ac:dyDescent="0.25">
      <c r="A83" s="185" t="s">
        <v>160</v>
      </c>
      <c r="B83" s="185"/>
      <c r="C83" s="185"/>
      <c r="D83" s="296">
        <f t="shared" ref="D83:P83" si="14">+D42-D120</f>
        <v>20727492.472638</v>
      </c>
      <c r="E83" s="296">
        <f t="shared" si="14"/>
        <v>24541726.479375001</v>
      </c>
      <c r="F83" s="296">
        <f t="shared" si="14"/>
        <v>25780127.697450001</v>
      </c>
      <c r="G83" s="296">
        <f t="shared" si="14"/>
        <v>26383390.144125003</v>
      </c>
      <c r="H83" s="296">
        <f t="shared" si="14"/>
        <v>26628393.353625</v>
      </c>
      <c r="I83" s="296">
        <f t="shared" si="14"/>
        <v>26830753.029149998</v>
      </c>
      <c r="J83" s="296">
        <f t="shared" si="14"/>
        <v>26910753.069900002</v>
      </c>
      <c r="K83" s="296">
        <f t="shared" si="14"/>
        <v>27059300.787750002</v>
      </c>
      <c r="L83" s="296">
        <f t="shared" si="14"/>
        <v>27001381.429050002</v>
      </c>
      <c r="M83" s="296">
        <f t="shared" si="14"/>
        <v>26822250.485099997</v>
      </c>
      <c r="N83" s="296">
        <f t="shared" si="14"/>
        <v>26719597.134300001</v>
      </c>
      <c r="O83" s="296">
        <f t="shared" si="14"/>
        <v>23183086.198649995</v>
      </c>
      <c r="P83" s="296">
        <f t="shared" si="14"/>
        <v>23110612.501325</v>
      </c>
      <c r="Q83" s="102">
        <f>ROUND(((D83/2)+SUM(E83:O83)+(P83/2))/12,2)</f>
        <v>25814984.359999999</v>
      </c>
      <c r="R83" s="184" t="s">
        <v>300</v>
      </c>
    </row>
    <row r="84" spans="1:18" x14ac:dyDescent="0.25">
      <c r="A84" s="185"/>
      <c r="B84" s="185"/>
      <c r="C84" s="185"/>
    </row>
    <row r="85" spans="1:18" x14ac:dyDescent="0.25">
      <c r="A85" s="487" t="s">
        <v>507</v>
      </c>
      <c r="B85" s="185"/>
      <c r="C85" s="185"/>
      <c r="D85" s="296">
        <f t="shared" ref="D85:P85" si="15">+D64+D79+SUM(D81:D83)</f>
        <v>1666580473.7452278</v>
      </c>
      <c r="E85" s="296">
        <f t="shared" si="15"/>
        <v>1675579222.8702502</v>
      </c>
      <c r="F85" s="296">
        <f t="shared" si="15"/>
        <v>1678670490.077435</v>
      </c>
      <c r="G85" s="296">
        <f t="shared" si="15"/>
        <v>1696350120.2829039</v>
      </c>
      <c r="H85" s="296">
        <f t="shared" si="15"/>
        <v>1701515925.6542468</v>
      </c>
      <c r="I85" s="296">
        <f t="shared" si="15"/>
        <v>1726670504.7879453</v>
      </c>
      <c r="J85" s="296">
        <f t="shared" si="15"/>
        <v>1735633561.417654</v>
      </c>
      <c r="K85" s="296">
        <f t="shared" si="15"/>
        <v>1737659316.9722071</v>
      </c>
      <c r="L85" s="296">
        <f t="shared" si="15"/>
        <v>1742000313.4965386</v>
      </c>
      <c r="M85" s="296">
        <f t="shared" si="15"/>
        <v>1753934053.3239491</v>
      </c>
      <c r="N85" s="296">
        <f t="shared" si="15"/>
        <v>1832820464.9518914</v>
      </c>
      <c r="O85" s="296">
        <f t="shared" si="15"/>
        <v>1831792395.7225032</v>
      </c>
      <c r="P85" s="296">
        <f t="shared" si="15"/>
        <v>1838750065.7095351</v>
      </c>
      <c r="Q85" s="102">
        <f>ROUND(((D85/2)+SUM(E85:O85)+(P85/2))/12,2)</f>
        <v>1738774303.27</v>
      </c>
    </row>
    <row r="86" spans="1:18" x14ac:dyDescent="0.25">
      <c r="A86" s="487" t="s">
        <v>531</v>
      </c>
      <c r="B86" s="185"/>
      <c r="C86" s="185"/>
      <c r="D86" s="274">
        <f>'DIT Rate Base'!$J$39</f>
        <v>-436696133.86651921</v>
      </c>
      <c r="E86" s="274">
        <f>'DIT Rate Base'!$J$39</f>
        <v>-436696133.86651921</v>
      </c>
      <c r="F86" s="274">
        <f>'DIT Rate Base'!$J$39</f>
        <v>-436696133.86651921</v>
      </c>
      <c r="G86" s="274">
        <f>'DIT Rate Base'!$J$39</f>
        <v>-436696133.86651921</v>
      </c>
      <c r="H86" s="274">
        <f>'DIT Rate Base'!$J$39</f>
        <v>-436696133.86651921</v>
      </c>
      <c r="I86" s="274">
        <f>'DIT Rate Base'!$J$39</f>
        <v>-436696133.86651921</v>
      </c>
      <c r="J86" s="274">
        <f>'DIT Rate Base'!$J$39</f>
        <v>-436696133.86651921</v>
      </c>
      <c r="K86" s="274">
        <f>'DIT Rate Base'!$J$39</f>
        <v>-436696133.86651921</v>
      </c>
      <c r="L86" s="274">
        <f>'DIT Rate Base'!$J$39</f>
        <v>-436696133.86651921</v>
      </c>
      <c r="M86" s="274">
        <f>'DIT Rate Base'!$J$39</f>
        <v>-436696133.86651921</v>
      </c>
      <c r="N86" s="274">
        <f>'DIT Rate Base'!$J$39</f>
        <v>-436696133.86651921</v>
      </c>
      <c r="O86" s="274">
        <f>'DIT Rate Base'!$J$39</f>
        <v>-436696133.86651921</v>
      </c>
      <c r="P86" s="274">
        <f>'DIT Rate Base'!$J$39</f>
        <v>-436696133.86651921</v>
      </c>
      <c r="Q86" s="102">
        <f>ROUND(((D86/2)+SUM(E86:O86)+(P86/2))/12,2)</f>
        <v>-436696133.87</v>
      </c>
      <c r="R86" s="275"/>
    </row>
    <row r="87" spans="1:18" x14ac:dyDescent="0.25">
      <c r="A87" s="487" t="s">
        <v>532</v>
      </c>
      <c r="B87" s="185"/>
      <c r="C87" s="185"/>
      <c r="D87" s="406">
        <f>D85+D86</f>
        <v>1229884339.8787086</v>
      </c>
      <c r="E87" s="406">
        <f>E85+E86</f>
        <v>1238883089.003731</v>
      </c>
      <c r="F87" s="406">
        <f t="shared" ref="F87:P87" si="16">F85+F86</f>
        <v>1241974356.2109158</v>
      </c>
      <c r="G87" s="406">
        <f t="shared" si="16"/>
        <v>1259653986.4163847</v>
      </c>
      <c r="H87" s="406">
        <f t="shared" si="16"/>
        <v>1264819791.7877276</v>
      </c>
      <c r="I87" s="406">
        <f t="shared" si="16"/>
        <v>1289974370.9214261</v>
      </c>
      <c r="J87" s="406">
        <f t="shared" si="16"/>
        <v>1298937427.5511348</v>
      </c>
      <c r="K87" s="406">
        <f t="shared" si="16"/>
        <v>1300963183.1056879</v>
      </c>
      <c r="L87" s="406">
        <f t="shared" si="16"/>
        <v>1305304179.6300194</v>
      </c>
      <c r="M87" s="406">
        <f t="shared" si="16"/>
        <v>1317237919.4574299</v>
      </c>
      <c r="N87" s="406">
        <f t="shared" si="16"/>
        <v>1396124331.0853722</v>
      </c>
      <c r="O87" s="406">
        <f t="shared" si="16"/>
        <v>1395096261.855984</v>
      </c>
      <c r="P87" s="406">
        <f t="shared" si="16"/>
        <v>1402053931.8430159</v>
      </c>
      <c r="Q87" s="102">
        <f>ROUND(((D87/2)+SUM(E87:O87)+(P87/2))/12,2)</f>
        <v>1302078169.4100001</v>
      </c>
    </row>
    <row r="88" spans="1:18" ht="13" thickBot="1" x14ac:dyDescent="0.3">
      <c r="A88" s="407"/>
      <c r="B88" s="407"/>
      <c r="C88" s="407"/>
      <c r="D88" s="407"/>
      <c r="E88" s="407"/>
      <c r="F88" s="407"/>
      <c r="G88" s="407"/>
      <c r="H88" s="407"/>
      <c r="I88" s="407"/>
      <c r="J88" s="407"/>
      <c r="K88" s="407"/>
      <c r="L88" s="407"/>
      <c r="M88" s="407"/>
      <c r="N88" s="407"/>
      <c r="O88" s="407"/>
      <c r="P88" s="407"/>
      <c r="Q88" s="407"/>
    </row>
    <row r="89" spans="1:18" x14ac:dyDescent="0.25">
      <c r="A89" s="488" t="s">
        <v>376</v>
      </c>
      <c r="B89" s="488"/>
      <c r="C89" s="488"/>
      <c r="D89" s="402">
        <f t="shared" ref="D89:Q89" si="17">+D5</f>
        <v>2019</v>
      </c>
      <c r="E89" s="402">
        <f t="shared" si="17"/>
        <v>2020</v>
      </c>
      <c r="F89" s="402">
        <f t="shared" si="17"/>
        <v>2020</v>
      </c>
      <c r="G89" s="402">
        <f t="shared" si="17"/>
        <v>2020</v>
      </c>
      <c r="H89" s="402">
        <f t="shared" si="17"/>
        <v>2020</v>
      </c>
      <c r="I89" s="402">
        <f t="shared" si="17"/>
        <v>2020</v>
      </c>
      <c r="J89" s="402">
        <f t="shared" si="17"/>
        <v>2020</v>
      </c>
      <c r="K89" s="402">
        <f t="shared" si="17"/>
        <v>2020</v>
      </c>
      <c r="L89" s="402">
        <f t="shared" si="17"/>
        <v>2020</v>
      </c>
      <c r="M89" s="402">
        <f t="shared" si="17"/>
        <v>2020</v>
      </c>
      <c r="N89" s="402">
        <f t="shared" si="17"/>
        <v>2020</v>
      </c>
      <c r="O89" s="402">
        <f t="shared" si="17"/>
        <v>2020</v>
      </c>
      <c r="P89" s="402">
        <f t="shared" si="17"/>
        <v>2020</v>
      </c>
      <c r="Q89" s="402" t="str">
        <f t="shared" si="17"/>
        <v>Dec 19 - Dec 20</v>
      </c>
    </row>
    <row r="90" spans="1:18" x14ac:dyDescent="0.25">
      <c r="D90" s="402" t="str">
        <f t="shared" ref="D90:Q90" si="18">+D6</f>
        <v>Dec</v>
      </c>
      <c r="E90" s="402" t="str">
        <f t="shared" si="18"/>
        <v>Jan</v>
      </c>
      <c r="F90" s="402" t="str">
        <f t="shared" si="18"/>
        <v>Feb</v>
      </c>
      <c r="G90" s="402" t="str">
        <f t="shared" si="18"/>
        <v>Mar</v>
      </c>
      <c r="H90" s="402" t="str">
        <f t="shared" si="18"/>
        <v>Apr</v>
      </c>
      <c r="I90" s="402" t="str">
        <f t="shared" si="18"/>
        <v>May</v>
      </c>
      <c r="J90" s="402" t="str">
        <f t="shared" si="18"/>
        <v>June</v>
      </c>
      <c r="K90" s="402" t="str">
        <f t="shared" si="18"/>
        <v>July</v>
      </c>
      <c r="L90" s="402" t="str">
        <f t="shared" si="18"/>
        <v>August</v>
      </c>
      <c r="M90" s="402" t="str">
        <f t="shared" si="18"/>
        <v>September</v>
      </c>
      <c r="N90" s="402" t="str">
        <f t="shared" si="18"/>
        <v>October</v>
      </c>
      <c r="O90" s="402" t="str">
        <f t="shared" si="18"/>
        <v>November</v>
      </c>
      <c r="P90" s="402" t="str">
        <f t="shared" si="18"/>
        <v>December</v>
      </c>
      <c r="Q90" s="402" t="str">
        <f t="shared" si="18"/>
        <v>13 month average</v>
      </c>
    </row>
    <row r="91" spans="1:18" x14ac:dyDescent="0.25">
      <c r="A91" s="486" t="s">
        <v>50</v>
      </c>
      <c r="B91" s="185"/>
      <c r="C91" s="185"/>
      <c r="D91" s="404" t="str">
        <f>+A89</f>
        <v>WASHINGTON</v>
      </c>
      <c r="E91" s="404" t="str">
        <f>+D91</f>
        <v>WASHINGTON</v>
      </c>
      <c r="F91" s="404" t="str">
        <f t="shared" ref="F91:P91" si="19">+E91</f>
        <v>WASHINGTON</v>
      </c>
      <c r="G91" s="404" t="str">
        <f t="shared" si="19"/>
        <v>WASHINGTON</v>
      </c>
      <c r="H91" s="404" t="str">
        <f t="shared" si="19"/>
        <v>WASHINGTON</v>
      </c>
      <c r="I91" s="404" t="str">
        <f t="shared" si="19"/>
        <v>WASHINGTON</v>
      </c>
      <c r="J91" s="404" t="str">
        <f t="shared" si="19"/>
        <v>WASHINGTON</v>
      </c>
      <c r="K91" s="404" t="str">
        <f t="shared" si="19"/>
        <v>WASHINGTON</v>
      </c>
      <c r="L91" s="404" t="str">
        <f t="shared" si="19"/>
        <v>WASHINGTON</v>
      </c>
      <c r="M91" s="404" t="str">
        <f t="shared" si="19"/>
        <v>WASHINGTON</v>
      </c>
      <c r="N91" s="404" t="str">
        <f t="shared" si="19"/>
        <v>WASHINGTON</v>
      </c>
      <c r="O91" s="404" t="str">
        <f t="shared" si="19"/>
        <v>WASHINGTON</v>
      </c>
      <c r="P91" s="404" t="str">
        <f t="shared" si="19"/>
        <v>WASHINGTON</v>
      </c>
      <c r="Q91" s="404" t="str">
        <f>+P91</f>
        <v>WASHINGTON</v>
      </c>
    </row>
    <row r="92" spans="1:18" x14ac:dyDescent="0.25">
      <c r="A92" s="185"/>
      <c r="B92" s="185"/>
      <c r="C92" s="185"/>
    </row>
    <row r="93" spans="1:18" x14ac:dyDescent="0.25">
      <c r="A93" s="185" t="s">
        <v>260</v>
      </c>
      <c r="B93" s="185"/>
      <c r="C93" s="185" t="s">
        <v>296</v>
      </c>
      <c r="D93" s="405">
        <v>14600475.167585999</v>
      </c>
      <c r="E93" s="405">
        <v>14632711.300613999</v>
      </c>
      <c r="F93" s="405">
        <v>14695285.435601994</v>
      </c>
      <c r="G93" s="405">
        <v>14737776.186677992</v>
      </c>
      <c r="H93" s="405">
        <v>14830515.680879995</v>
      </c>
      <c r="I93" s="405">
        <v>16499640.947958007</v>
      </c>
      <c r="J93" s="405">
        <v>16508669.428128004</v>
      </c>
      <c r="K93" s="405">
        <v>16542110.410362005</v>
      </c>
      <c r="L93" s="405">
        <v>16617589.93656601</v>
      </c>
      <c r="M93" s="405">
        <v>17147484.633906007</v>
      </c>
      <c r="N93" s="405">
        <v>19553349.655974001</v>
      </c>
      <c r="O93" s="405">
        <v>19663298.703485996</v>
      </c>
      <c r="P93" s="405">
        <v>19845172.78925401</v>
      </c>
      <c r="Q93" s="102">
        <f t="shared" ref="Q93:Q98" si="20">ROUND(((D93/2)+SUM(E93:O93)+(P93/2))/12,2)</f>
        <v>16554271.359999999</v>
      </c>
      <c r="R93" s="184" t="s">
        <v>49</v>
      </c>
    </row>
    <row r="94" spans="1:18" x14ac:dyDescent="0.25">
      <c r="A94" s="185"/>
      <c r="B94" s="185"/>
      <c r="C94" s="185" t="s">
        <v>297</v>
      </c>
      <c r="D94" s="405">
        <v>447</v>
      </c>
      <c r="E94" s="405">
        <v>447</v>
      </c>
      <c r="F94" s="405">
        <v>447</v>
      </c>
      <c r="G94" s="405">
        <v>447</v>
      </c>
      <c r="H94" s="405">
        <v>447</v>
      </c>
      <c r="I94" s="405">
        <v>447</v>
      </c>
      <c r="J94" s="405">
        <v>447</v>
      </c>
      <c r="K94" s="405">
        <v>447</v>
      </c>
      <c r="L94" s="405">
        <v>447</v>
      </c>
      <c r="M94" s="405">
        <v>447</v>
      </c>
      <c r="N94" s="405">
        <v>447</v>
      </c>
      <c r="O94" s="405">
        <v>447</v>
      </c>
      <c r="P94" s="405">
        <v>447</v>
      </c>
      <c r="Q94" s="102">
        <f t="shared" si="20"/>
        <v>447</v>
      </c>
      <c r="R94" s="184" t="s">
        <v>145</v>
      </c>
    </row>
    <row r="95" spans="1:18" x14ac:dyDescent="0.25">
      <c r="A95" s="185" t="s">
        <v>253</v>
      </c>
      <c r="B95" s="185"/>
      <c r="C95" s="185"/>
      <c r="D95" s="405">
        <v>0</v>
      </c>
      <c r="E95" s="405">
        <v>0</v>
      </c>
      <c r="F95" s="405">
        <v>0</v>
      </c>
      <c r="G95" s="405">
        <v>0</v>
      </c>
      <c r="H95" s="405">
        <v>0</v>
      </c>
      <c r="I95" s="405">
        <v>0</v>
      </c>
      <c r="J95" s="405">
        <v>0</v>
      </c>
      <c r="K95" s="405">
        <v>0</v>
      </c>
      <c r="L95" s="405">
        <v>0</v>
      </c>
      <c r="M95" s="405">
        <v>0</v>
      </c>
      <c r="N95" s="405">
        <v>0</v>
      </c>
      <c r="O95" s="405">
        <v>0</v>
      </c>
      <c r="P95" s="405">
        <v>0</v>
      </c>
      <c r="Q95" s="102">
        <f t="shared" si="20"/>
        <v>0</v>
      </c>
      <c r="R95" s="184" t="s">
        <v>145</v>
      </c>
    </row>
    <row r="96" spans="1:18" x14ac:dyDescent="0.25">
      <c r="A96" s="185" t="s">
        <v>255</v>
      </c>
      <c r="B96" s="185"/>
      <c r="C96" s="185"/>
      <c r="D96" s="405">
        <v>1115001.07</v>
      </c>
      <c r="E96" s="405">
        <v>1115001.0699999996</v>
      </c>
      <c r="F96" s="405">
        <v>1115202.1499999997</v>
      </c>
      <c r="G96" s="405">
        <v>1115202.1499999997</v>
      </c>
      <c r="H96" s="405">
        <v>1115202.1499999997</v>
      </c>
      <c r="I96" s="405">
        <v>1115634.2599999998</v>
      </c>
      <c r="J96" s="405">
        <v>1115634.2599999998</v>
      </c>
      <c r="K96" s="405">
        <v>1115634.2599999998</v>
      </c>
      <c r="L96" s="405">
        <v>1115634.2599999998</v>
      </c>
      <c r="M96" s="405">
        <v>1115634.2599999998</v>
      </c>
      <c r="N96" s="405">
        <v>1115634.2599999998</v>
      </c>
      <c r="O96" s="405">
        <v>1115634.2599999998</v>
      </c>
      <c r="P96" s="405">
        <v>1115634.2599999998</v>
      </c>
      <c r="Q96" s="102">
        <f t="shared" si="20"/>
        <v>1115447.08</v>
      </c>
      <c r="R96" s="184" t="s">
        <v>145</v>
      </c>
    </row>
    <row r="97" spans="1:18" x14ac:dyDescent="0.25">
      <c r="A97" s="185" t="s">
        <v>256</v>
      </c>
      <c r="B97" s="185"/>
      <c r="C97" s="185"/>
      <c r="D97" s="405">
        <v>305117836.14000005</v>
      </c>
      <c r="E97" s="405">
        <v>306141865.35000008</v>
      </c>
      <c r="F97" s="405">
        <v>306987778.66000003</v>
      </c>
      <c r="G97" s="405">
        <v>308279157.26000005</v>
      </c>
      <c r="H97" s="405">
        <v>308706366.22000003</v>
      </c>
      <c r="I97" s="405">
        <v>309364404.78000009</v>
      </c>
      <c r="J97" s="405">
        <v>310383260.22000003</v>
      </c>
      <c r="K97" s="405">
        <v>311310824.96999997</v>
      </c>
      <c r="L97" s="405">
        <v>312479514.77000004</v>
      </c>
      <c r="M97" s="405">
        <v>313208955.81</v>
      </c>
      <c r="N97" s="405">
        <v>314651038.64999992</v>
      </c>
      <c r="O97" s="405">
        <v>315643355.13999999</v>
      </c>
      <c r="P97" s="405">
        <v>316262829.20999992</v>
      </c>
      <c r="Q97" s="102">
        <f t="shared" si="20"/>
        <v>310653904.54000002</v>
      </c>
      <c r="R97" s="184" t="s">
        <v>145</v>
      </c>
    </row>
    <row r="98" spans="1:18" x14ac:dyDescent="0.25">
      <c r="A98" s="185" t="s">
        <v>275</v>
      </c>
      <c r="B98" s="185"/>
      <c r="C98" s="185"/>
      <c r="D98" s="405">
        <v>24713030.522411913</v>
      </c>
      <c r="E98" s="405">
        <v>24995924.827436358</v>
      </c>
      <c r="F98" s="405">
        <v>25167007.617671072</v>
      </c>
      <c r="G98" s="405">
        <v>26158833.919031322</v>
      </c>
      <c r="H98" s="405">
        <v>26660517.700691521</v>
      </c>
      <c r="I98" s="405">
        <v>27286995.730087578</v>
      </c>
      <c r="J98" s="405">
        <v>27875182.459908903</v>
      </c>
      <c r="K98" s="405">
        <v>27927995.492028236</v>
      </c>
      <c r="L98" s="405">
        <v>27999998.351061225</v>
      </c>
      <c r="M98" s="405">
        <v>28380064.049390793</v>
      </c>
      <c r="N98" s="405">
        <v>28833286.772710174</v>
      </c>
      <c r="O98" s="405">
        <v>28546210.58983615</v>
      </c>
      <c r="P98" s="405">
        <v>29073133.961319983</v>
      </c>
      <c r="Q98" s="102">
        <f t="shared" si="20"/>
        <v>27227091.649999999</v>
      </c>
      <c r="R98" s="184" t="s">
        <v>339</v>
      </c>
    </row>
    <row r="99" spans="1:18" x14ac:dyDescent="0.25">
      <c r="A99" s="185"/>
      <c r="B99" s="185"/>
      <c r="C99" s="185"/>
      <c r="D99" s="405"/>
      <c r="E99" s="405"/>
      <c r="F99" s="405"/>
      <c r="G99" s="405"/>
      <c r="H99" s="405"/>
      <c r="I99" s="405"/>
      <c r="J99" s="405"/>
      <c r="K99" s="405"/>
      <c r="L99" s="405"/>
      <c r="M99" s="405"/>
      <c r="N99" s="405"/>
      <c r="O99" s="405"/>
      <c r="P99" s="405"/>
      <c r="Q99" s="296"/>
      <c r="R99" s="184"/>
    </row>
    <row r="100" spans="1:18" x14ac:dyDescent="0.25">
      <c r="A100" s="185" t="s">
        <v>298</v>
      </c>
      <c r="B100" s="185"/>
      <c r="C100" s="185"/>
      <c r="D100" s="405">
        <v>33291640.46171701</v>
      </c>
      <c r="E100" s="405">
        <v>33293075.631947994</v>
      </c>
      <c r="F100" s="405">
        <v>33292259.277254999</v>
      </c>
      <c r="G100" s="405">
        <v>33355410.043130994</v>
      </c>
      <c r="H100" s="405">
        <v>33356221.012718976</v>
      </c>
      <c r="I100" s="405">
        <v>33592054.218921006</v>
      </c>
      <c r="J100" s="405">
        <v>33593846.785884023</v>
      </c>
      <c r="K100" s="405">
        <v>33604057.590740979</v>
      </c>
      <c r="L100" s="405">
        <v>33604157.670929968</v>
      </c>
      <c r="M100" s="405">
        <v>33604158.90041101</v>
      </c>
      <c r="N100" s="405">
        <v>36913538.534399986</v>
      </c>
      <c r="O100" s="405">
        <v>36997156.334357977</v>
      </c>
      <c r="P100" s="405">
        <v>37058931.780354023</v>
      </c>
      <c r="Q100" s="102">
        <f>ROUND(((D100/2)+SUM(E100:O100)+(P100/2))/12,2)</f>
        <v>34198435.18</v>
      </c>
      <c r="R100" s="184" t="s">
        <v>299</v>
      </c>
    </row>
    <row r="101" spans="1:18" x14ac:dyDescent="0.25">
      <c r="A101" s="185" t="s">
        <v>277</v>
      </c>
      <c r="B101" s="185"/>
      <c r="C101" s="185"/>
      <c r="D101" s="405">
        <v>407507.61267499998</v>
      </c>
      <c r="E101" s="405">
        <v>407507.61267499998</v>
      </c>
      <c r="F101" s="405">
        <v>407507.61267499998</v>
      </c>
      <c r="G101" s="405">
        <v>407507.61267499998</v>
      </c>
      <c r="H101" s="405">
        <v>407507.61267499998</v>
      </c>
      <c r="I101" s="405">
        <v>407507.61267499998</v>
      </c>
      <c r="J101" s="405">
        <v>407507.61267499998</v>
      </c>
      <c r="K101" s="405">
        <v>407507.61267499998</v>
      </c>
      <c r="L101" s="405">
        <v>407507.61267499998</v>
      </c>
      <c r="M101" s="405">
        <v>407507.61267499998</v>
      </c>
      <c r="N101" s="405">
        <v>407507.61267499998</v>
      </c>
      <c r="O101" s="405">
        <v>407507.61267499998</v>
      </c>
      <c r="P101" s="405">
        <v>407507.61267499998</v>
      </c>
      <c r="Q101" s="102">
        <f>ROUND(((D101/2)+SUM(E101:O101)+(P101/2))/12,2)</f>
        <v>407507.61</v>
      </c>
      <c r="R101" s="184" t="s">
        <v>73</v>
      </c>
    </row>
    <row r="102" spans="1:18" x14ac:dyDescent="0.25">
      <c r="A102" s="185"/>
      <c r="B102" s="185"/>
      <c r="C102" s="185"/>
      <c r="D102" s="296"/>
      <c r="E102" s="296"/>
      <c r="F102" s="296"/>
      <c r="G102" s="296"/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  <c r="R102" s="184"/>
    </row>
    <row r="103" spans="1:18" x14ac:dyDescent="0.25">
      <c r="A103" s="185" t="s">
        <v>529</v>
      </c>
      <c r="B103" s="185"/>
      <c r="C103" s="185"/>
      <c r="D103" s="296">
        <f>SUM(D93:D101)</f>
        <v>379245937.97438997</v>
      </c>
      <c r="E103" s="296">
        <f t="shared" ref="E103:P103" si="21">SUM(E93:E101)</f>
        <v>380586532.79267341</v>
      </c>
      <c r="F103" s="296">
        <f t="shared" si="21"/>
        <v>381665487.75320309</v>
      </c>
      <c r="G103" s="296">
        <f t="shared" si="21"/>
        <v>384054334.17151535</v>
      </c>
      <c r="H103" s="296">
        <f t="shared" si="21"/>
        <v>385076777.37696552</v>
      </c>
      <c r="I103" s="296">
        <f t="shared" si="21"/>
        <v>388266684.54964167</v>
      </c>
      <c r="J103" s="296">
        <f t="shared" si="21"/>
        <v>389884547.76659596</v>
      </c>
      <c r="K103" s="296">
        <f t="shared" si="21"/>
        <v>390908577.33580619</v>
      </c>
      <c r="L103" s="296">
        <f t="shared" si="21"/>
        <v>392224849.60123223</v>
      </c>
      <c r="M103" s="296">
        <f t="shared" si="21"/>
        <v>393864252.26638281</v>
      </c>
      <c r="N103" s="296">
        <f t="shared" si="21"/>
        <v>401474802.48575908</v>
      </c>
      <c r="O103" s="296">
        <f t="shared" si="21"/>
        <v>402373609.64035517</v>
      </c>
      <c r="P103" s="296">
        <f t="shared" si="21"/>
        <v>403763656.61360294</v>
      </c>
      <c r="Q103" s="296">
        <f>SUM(Q93:Q101)</f>
        <v>390157104.42000002</v>
      </c>
      <c r="R103" s="184"/>
    </row>
    <row r="104" spans="1:18" x14ac:dyDescent="0.25">
      <c r="A104" s="478"/>
      <c r="B104" s="478"/>
      <c r="C104" s="478"/>
      <c r="D104" s="296"/>
      <c r="E104" s="296"/>
      <c r="F104" s="296"/>
      <c r="G104" s="296"/>
      <c r="H104" s="296"/>
      <c r="I104" s="296"/>
      <c r="J104" s="296"/>
      <c r="K104" s="296"/>
      <c r="L104" s="296"/>
      <c r="M104" s="296"/>
      <c r="N104" s="296"/>
      <c r="O104" s="296"/>
      <c r="P104" s="296"/>
      <c r="Q104" s="296"/>
      <c r="R104" s="184"/>
    </row>
    <row r="105" spans="1:18" x14ac:dyDescent="0.25">
      <c r="A105" s="486" t="s">
        <v>123</v>
      </c>
      <c r="B105" s="185"/>
      <c r="C105" s="185"/>
      <c r="D105" s="296"/>
      <c r="E105" s="296"/>
      <c r="F105" s="296"/>
      <c r="G105" s="296"/>
      <c r="H105" s="296"/>
      <c r="I105" s="296"/>
      <c r="J105" s="296"/>
      <c r="K105" s="296"/>
      <c r="L105" s="296"/>
      <c r="M105" s="296"/>
      <c r="N105" s="296"/>
      <c r="O105" s="296"/>
      <c r="P105" s="296"/>
      <c r="Q105" s="296"/>
      <c r="R105" s="300"/>
    </row>
    <row r="106" spans="1:18" x14ac:dyDescent="0.25">
      <c r="A106" s="185"/>
      <c r="B106" s="185"/>
      <c r="C106" s="185"/>
      <c r="D106" s="296"/>
      <c r="E106" s="296"/>
      <c r="F106" s="296"/>
      <c r="G106" s="296"/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  <c r="R106" s="184"/>
    </row>
    <row r="107" spans="1:18" x14ac:dyDescent="0.25">
      <c r="A107" s="185" t="s">
        <v>260</v>
      </c>
      <c r="B107" s="185"/>
      <c r="C107" s="185"/>
      <c r="D107" s="405">
        <v>-8372584.2592559978</v>
      </c>
      <c r="E107" s="405">
        <v>-8435126.0374080017</v>
      </c>
      <c r="F107" s="405">
        <v>-8494783.6683359966</v>
      </c>
      <c r="G107" s="405">
        <v>-8554737.4334459975</v>
      </c>
      <c r="H107" s="405">
        <v>-8615074.5810900033</v>
      </c>
      <c r="I107" s="405">
        <v>-8680388.3101620004</v>
      </c>
      <c r="J107" s="405">
        <v>-8672486.7608520016</v>
      </c>
      <c r="K107" s="405">
        <v>-8744516.9999340028</v>
      </c>
      <c r="L107" s="405">
        <v>-8816583.1729139984</v>
      </c>
      <c r="M107" s="405">
        <v>-8890930.9116059989</v>
      </c>
      <c r="N107" s="405">
        <v>-8989776.2815739959</v>
      </c>
      <c r="O107" s="405">
        <v>-9070475.0272620022</v>
      </c>
      <c r="P107" s="405">
        <v>-9165135.9549659938</v>
      </c>
      <c r="Q107" s="102">
        <f>ROUND(((D107/2)+SUM(E107:O107)+(P107/2))/12,2)</f>
        <v>-8727811.6099999994</v>
      </c>
      <c r="R107" s="184" t="s">
        <v>49</v>
      </c>
    </row>
    <row r="108" spans="1:18" x14ac:dyDescent="0.25">
      <c r="A108" s="185" t="s">
        <v>253</v>
      </c>
      <c r="B108" s="185"/>
      <c r="C108" s="185"/>
      <c r="D108" s="405">
        <v>0</v>
      </c>
      <c r="E108" s="405">
        <v>0</v>
      </c>
      <c r="F108" s="405">
        <v>0</v>
      </c>
      <c r="G108" s="405">
        <v>0</v>
      </c>
      <c r="H108" s="405">
        <v>0</v>
      </c>
      <c r="I108" s="405">
        <v>0</v>
      </c>
      <c r="J108" s="405">
        <v>0</v>
      </c>
      <c r="K108" s="405">
        <v>0</v>
      </c>
      <c r="L108" s="405">
        <v>0</v>
      </c>
      <c r="M108" s="405">
        <v>0</v>
      </c>
      <c r="N108" s="405">
        <v>0</v>
      </c>
      <c r="O108" s="405">
        <v>0</v>
      </c>
      <c r="P108" s="405">
        <v>0</v>
      </c>
      <c r="Q108" s="102"/>
      <c r="R108" s="184" t="s">
        <v>145</v>
      </c>
    </row>
    <row r="109" spans="1:18" x14ac:dyDescent="0.25">
      <c r="A109" s="185" t="s">
        <v>255</v>
      </c>
      <c r="B109" s="185"/>
      <c r="C109" s="185"/>
      <c r="D109" s="405">
        <v>-191559.23</v>
      </c>
      <c r="E109" s="405">
        <v>-193306.07</v>
      </c>
      <c r="F109" s="405">
        <v>-195053.04</v>
      </c>
      <c r="G109" s="405">
        <v>-196800.24000000002</v>
      </c>
      <c r="H109" s="405">
        <v>-198547.34</v>
      </c>
      <c r="I109" s="405">
        <v>-200294.86</v>
      </c>
      <c r="J109" s="405">
        <v>-202042.65</v>
      </c>
      <c r="K109" s="405">
        <v>-203790.47</v>
      </c>
      <c r="L109" s="405">
        <v>-205538.34</v>
      </c>
      <c r="M109" s="405">
        <v>-207286.18</v>
      </c>
      <c r="N109" s="405">
        <v>-209033.97999999998</v>
      </c>
      <c r="O109" s="405">
        <v>-210781.78999999998</v>
      </c>
      <c r="P109" s="405">
        <v>-212529.61999999997</v>
      </c>
      <c r="Q109" s="102">
        <f>ROUND(((D109/2)+SUM(E109:O109)+(P109/2))/12,2)</f>
        <v>-202043.28</v>
      </c>
      <c r="R109" s="184" t="s">
        <v>145</v>
      </c>
    </row>
    <row r="110" spans="1:18" x14ac:dyDescent="0.25">
      <c r="A110" s="185" t="s">
        <v>256</v>
      </c>
      <c r="B110" s="185"/>
      <c r="C110" s="185"/>
      <c r="D110" s="405">
        <v>-120607643.42999999</v>
      </c>
      <c r="E110" s="405">
        <v>-121208638.11</v>
      </c>
      <c r="F110" s="405">
        <v>-121764580.92000002</v>
      </c>
      <c r="G110" s="405">
        <v>-122251227.55</v>
      </c>
      <c r="H110" s="405">
        <v>-122713206.16</v>
      </c>
      <c r="I110" s="405">
        <v>-123198643.67</v>
      </c>
      <c r="J110" s="405">
        <v>-123697435.06</v>
      </c>
      <c r="K110" s="405">
        <v>-124120784.64000002</v>
      </c>
      <c r="L110" s="405">
        <v>-124695494.04000001</v>
      </c>
      <c r="M110" s="405">
        <v>-125081794.73999996</v>
      </c>
      <c r="N110" s="405">
        <v>-125590492.02000001</v>
      </c>
      <c r="O110" s="405">
        <v>-126089800.39999999</v>
      </c>
      <c r="P110" s="405">
        <v>-126584072.23999999</v>
      </c>
      <c r="Q110" s="102">
        <f>ROUND(((D110/2)+SUM(E110:O110)+(P110/2))/12,2)</f>
        <v>-123667329.59999999</v>
      </c>
      <c r="R110" s="184" t="s">
        <v>145</v>
      </c>
    </row>
    <row r="111" spans="1:18" x14ac:dyDescent="0.25">
      <c r="A111" s="185" t="s">
        <v>275</v>
      </c>
      <c r="B111" s="185"/>
      <c r="C111" s="185"/>
      <c r="D111" s="405">
        <v>-6597137.0258041099</v>
      </c>
      <c r="E111" s="405">
        <v>-6661178.9587078467</v>
      </c>
      <c r="F111" s="405">
        <v>-6808755.2149081901</v>
      </c>
      <c r="G111" s="405">
        <v>-6931646.3737330586</v>
      </c>
      <c r="H111" s="405">
        <v>-7057203.6807550043</v>
      </c>
      <c r="I111" s="405">
        <v>-7201648.4227015078</v>
      </c>
      <c r="J111" s="405">
        <v>-7341094.7602211088</v>
      </c>
      <c r="K111" s="405">
        <v>-7496662.3355211914</v>
      </c>
      <c r="L111" s="405">
        <v>-7633557.149067305</v>
      </c>
      <c r="M111" s="405">
        <v>-7770613.4327588826</v>
      </c>
      <c r="N111" s="405">
        <v>-7924302.9115161598</v>
      </c>
      <c r="O111" s="405">
        <v>-7722927.272741273</v>
      </c>
      <c r="P111" s="405">
        <v>-7870205.5838946104</v>
      </c>
      <c r="Q111" s="102">
        <f>ROUND(((D111/2)+SUM(E111:O111)+(P111/2))/12,2)</f>
        <v>-7315271.8200000003</v>
      </c>
      <c r="R111" s="184" t="s">
        <v>73</v>
      </c>
    </row>
    <row r="112" spans="1:18" x14ac:dyDescent="0.25">
      <c r="A112" s="185"/>
      <c r="B112" s="185"/>
      <c r="C112" s="185"/>
      <c r="D112" s="405"/>
      <c r="E112" s="405"/>
      <c r="F112" s="405"/>
      <c r="G112" s="405"/>
      <c r="H112" s="405"/>
      <c r="I112" s="405"/>
      <c r="J112" s="405"/>
      <c r="K112" s="405"/>
      <c r="L112" s="405"/>
      <c r="M112" s="405"/>
      <c r="N112" s="405"/>
      <c r="O112" s="405"/>
      <c r="P112" s="405"/>
      <c r="Q112" s="296"/>
      <c r="R112" s="184"/>
    </row>
    <row r="113" spans="1:18" x14ac:dyDescent="0.25">
      <c r="A113" s="185" t="s">
        <v>298</v>
      </c>
      <c r="B113" s="185"/>
      <c r="C113" s="185"/>
      <c r="D113" s="405">
        <v>-15314825.219094843</v>
      </c>
      <c r="E113" s="405">
        <v>-15371370.516232848</v>
      </c>
      <c r="F113" s="405">
        <v>-15427924.320118576</v>
      </c>
      <c r="G113" s="405">
        <v>-15484509.100040674</v>
      </c>
      <c r="H113" s="405">
        <v>-15541137.975018591</v>
      </c>
      <c r="I113" s="405">
        <v>-15597975.519723803</v>
      </c>
      <c r="J113" s="405">
        <v>-15655033.870377541</v>
      </c>
      <c r="K113" s="405">
        <v>-15712123.025834382</v>
      </c>
      <c r="L113" s="405">
        <v>-15769171.579015285</v>
      </c>
      <c r="M113" s="405">
        <v>-15826246.496317506</v>
      </c>
      <c r="N113" s="405">
        <v>-15340900.284436256</v>
      </c>
      <c r="O113" s="405">
        <v>-15402292.337554812</v>
      </c>
      <c r="P113" s="405">
        <v>-15463848.836727709</v>
      </c>
      <c r="Q113" s="102">
        <f>ROUND(((D113/2)+SUM(E113:O113)+(P113/2))/12,2)</f>
        <v>-15543168.5</v>
      </c>
      <c r="R113" s="184" t="s">
        <v>299</v>
      </c>
    </row>
    <row r="114" spans="1:18" x14ac:dyDescent="0.25">
      <c r="A114" s="185" t="s">
        <v>277</v>
      </c>
      <c r="B114" s="185"/>
      <c r="C114" s="185"/>
      <c r="D114" s="405">
        <v>-242030.86532500014</v>
      </c>
      <c r="E114" s="405">
        <v>-242747.03570000012</v>
      </c>
      <c r="F114" s="405">
        <v>-243463.19532500021</v>
      </c>
      <c r="G114" s="405">
        <v>-244179.37107500015</v>
      </c>
      <c r="H114" s="405">
        <v>-244895.53822500003</v>
      </c>
      <c r="I114" s="405">
        <v>-245611.69785000011</v>
      </c>
      <c r="J114" s="405">
        <v>-246327.85640000016</v>
      </c>
      <c r="K114" s="405">
        <v>-247044.02247500001</v>
      </c>
      <c r="L114" s="405">
        <v>-247760.17672500014</v>
      </c>
      <c r="M114" s="405">
        <v>-248476.35355000012</v>
      </c>
      <c r="N114" s="405">
        <v>-249192.51532500004</v>
      </c>
      <c r="O114" s="405">
        <v>-249908.67064999999</v>
      </c>
      <c r="P114" s="405">
        <v>-250624.85822500009</v>
      </c>
      <c r="Q114" s="102">
        <f>ROUND(((D114/2)+SUM(E114:O114)+(P114/2))/12,2)</f>
        <v>-246327.86</v>
      </c>
      <c r="R114" s="184" t="s">
        <v>73</v>
      </c>
    </row>
    <row r="115" spans="1:18" x14ac:dyDescent="0.25">
      <c r="A115" s="185"/>
      <c r="B115" s="185"/>
      <c r="C115" s="185"/>
      <c r="D115" s="296"/>
      <c r="E115" s="296"/>
      <c r="F115" s="296"/>
      <c r="G115" s="296"/>
      <c r="H115" s="296"/>
      <c r="I115" s="296"/>
      <c r="J115" s="296"/>
      <c r="K115" s="296"/>
      <c r="L115" s="296"/>
      <c r="M115" s="296"/>
      <c r="N115" s="296"/>
      <c r="O115" s="296"/>
      <c r="P115" s="296"/>
      <c r="Q115" s="296"/>
      <c r="R115" s="184"/>
    </row>
    <row r="116" spans="1:18" x14ac:dyDescent="0.25">
      <c r="A116" s="185" t="s">
        <v>530</v>
      </c>
      <c r="B116" s="185"/>
      <c r="C116" s="185"/>
      <c r="D116" s="296">
        <f>SUM(D107:D114)</f>
        <v>-151325780.02947995</v>
      </c>
      <c r="E116" s="296">
        <f t="shared" ref="E116:P116" si="22">SUM(E107:E114)</f>
        <v>-152112366.72804868</v>
      </c>
      <c r="F116" s="296">
        <f t="shared" si="22"/>
        <v>-152934560.35868776</v>
      </c>
      <c r="G116" s="296">
        <f t="shared" si="22"/>
        <v>-153663100.06829473</v>
      </c>
      <c r="H116" s="296">
        <f t="shared" si="22"/>
        <v>-154370065.27508858</v>
      </c>
      <c r="I116" s="296">
        <f t="shared" si="22"/>
        <v>-155124562.48043731</v>
      </c>
      <c r="J116" s="296">
        <f t="shared" si="22"/>
        <v>-155814420.95785066</v>
      </c>
      <c r="K116" s="296">
        <f t="shared" si="22"/>
        <v>-156524921.49376458</v>
      </c>
      <c r="L116" s="296">
        <f t="shared" si="22"/>
        <v>-157368104.45772159</v>
      </c>
      <c r="M116" s="296">
        <f t="shared" si="22"/>
        <v>-158025348.11423233</v>
      </c>
      <c r="N116" s="296">
        <f t="shared" si="22"/>
        <v>-158303697.99285144</v>
      </c>
      <c r="O116" s="296">
        <f t="shared" si="22"/>
        <v>-158746185.49820811</v>
      </c>
      <c r="P116" s="296">
        <f t="shared" si="22"/>
        <v>-159546417.0938133</v>
      </c>
      <c r="Q116" s="296">
        <f>SUM(Q107:Q114)</f>
        <v>-155701952.67000002</v>
      </c>
      <c r="R116" s="184"/>
    </row>
    <row r="117" spans="1:18" x14ac:dyDescent="0.25">
      <c r="A117" s="185"/>
      <c r="B117" s="185"/>
      <c r="C117" s="185"/>
      <c r="R117" s="184"/>
    </row>
    <row r="118" spans="1:18" x14ac:dyDescent="0.25">
      <c r="A118" s="185" t="s">
        <v>283</v>
      </c>
      <c r="B118" s="185"/>
      <c r="C118" s="185"/>
      <c r="D118" s="400">
        <f>ROUND('Rate Base'!D166*Factors!$D$53,2)</f>
        <v>2474012.83</v>
      </c>
      <c r="E118" s="400">
        <f>ROUND('Rate Base'!E166*Factors!$D$53,2)</f>
        <v>2473829.02</v>
      </c>
      <c r="F118" s="400">
        <f>ROUND('Rate Base'!F166*Factors!$D$53,2)</f>
        <v>2473653.7000000002</v>
      </c>
      <c r="G118" s="400">
        <f>ROUND('Rate Base'!G166*Factors!$D$53,2)</f>
        <v>2473503.0499999998</v>
      </c>
      <c r="H118" s="400">
        <f>ROUND('Rate Base'!H166*Factors!$D$53,2)</f>
        <v>2473329.9700000002</v>
      </c>
      <c r="I118" s="400">
        <f>ROUND('Rate Base'!I166*Factors!$D$53,2)</f>
        <v>2473139.41</v>
      </c>
      <c r="J118" s="400">
        <f>ROUND('Rate Base'!J166*Factors!$D$53,2)</f>
        <v>2472924.71</v>
      </c>
      <c r="K118" s="400">
        <f>ROUND('Rate Base'!K166*Factors!$D$53,2)</f>
        <v>2472717.7200000002</v>
      </c>
      <c r="L118" s="400">
        <f>ROUND('Rate Base'!L166*Factors!$D$53,2)</f>
        <v>2472508.0299999998</v>
      </c>
      <c r="M118" s="400">
        <f>ROUND('Rate Base'!M166*Factors!$D$53,2)</f>
        <v>2472298.65</v>
      </c>
      <c r="N118" s="400">
        <f>ROUND('Rate Base'!N166*Factors!$D$53,2)</f>
        <v>2472217.88</v>
      </c>
      <c r="O118" s="400">
        <f>ROUND('Rate Base'!O166*Factors!$D$53,2)</f>
        <v>2472100.88</v>
      </c>
      <c r="P118" s="400">
        <f>ROUND('Rate Base'!P166*Factors!$D$53,2)</f>
        <v>2471900.91</v>
      </c>
      <c r="Q118" s="102">
        <f>ROUND(((D118/2)+SUM(E118:O118)+(P118/2))/12,2)</f>
        <v>2472931.66</v>
      </c>
      <c r="R118" s="184" t="s">
        <v>299</v>
      </c>
    </row>
    <row r="119" spans="1:18" x14ac:dyDescent="0.25">
      <c r="A119" s="185" t="s">
        <v>144</v>
      </c>
      <c r="B119" s="185"/>
      <c r="C119" s="185"/>
      <c r="D119" s="401">
        <f>-'Rate Base'!D162</f>
        <v>-982286.27999999991</v>
      </c>
      <c r="E119" s="401">
        <f>-'Rate Base'!E162</f>
        <v>-994615.27999999991</v>
      </c>
      <c r="F119" s="401">
        <f>-'Rate Base'!F162</f>
        <v>-1010081.2799999999</v>
      </c>
      <c r="G119" s="401">
        <f>-'Rate Base'!G162</f>
        <v>-1022323.2799999999</v>
      </c>
      <c r="H119" s="401">
        <f>-'Rate Base'!H162</f>
        <v>-1026535.2799999999</v>
      </c>
      <c r="I119" s="401">
        <f>-'Rate Base'!I162</f>
        <v>-1045749.2799999999</v>
      </c>
      <c r="J119" s="401">
        <f>-'Rate Base'!J162</f>
        <v>-1087855.2799999998</v>
      </c>
      <c r="K119" s="401">
        <f>-'Rate Base'!K162</f>
        <v>-1108371.2799999998</v>
      </c>
      <c r="L119" s="401">
        <f>-'Rate Base'!L162</f>
        <v>-1132864.2799999998</v>
      </c>
      <c r="M119" s="401">
        <f>-'Rate Base'!M162</f>
        <v>-1157048.2799999998</v>
      </c>
      <c r="N119" s="401">
        <f>-'Rate Base'!N162</f>
        <v>-1169509.2799999998</v>
      </c>
      <c r="O119" s="401">
        <f>-'Rate Base'!O162</f>
        <v>-1187434.28</v>
      </c>
      <c r="P119" s="401">
        <f>-'Rate Base'!P162</f>
        <v>-1108179.2799999998</v>
      </c>
      <c r="Q119" s="102">
        <f>ROUND(((D119/2)+SUM(E119:O119)+(P119/2))/12,2)</f>
        <v>-1082301.6599999999</v>
      </c>
      <c r="R119" s="184" t="s">
        <v>145</v>
      </c>
    </row>
    <row r="120" spans="1:18" x14ac:dyDescent="0.25">
      <c r="A120" s="185" t="s">
        <v>160</v>
      </c>
      <c r="B120" s="185"/>
      <c r="C120" s="185"/>
      <c r="D120" s="401">
        <f>'Rate Base'!D155</f>
        <v>2643228.5473620002</v>
      </c>
      <c r="E120" s="401">
        <f>'Rate Base'!E155</f>
        <v>2956006.2706249999</v>
      </c>
      <c r="F120" s="401">
        <f>'Rate Base'!F155</f>
        <v>3105169.4425499998</v>
      </c>
      <c r="G120" s="401">
        <f>'Rate Base'!G155</f>
        <v>3177831.3058750001</v>
      </c>
      <c r="H120" s="401">
        <f>'Rate Base'!H155</f>
        <v>3207341.4963750001</v>
      </c>
      <c r="I120" s="401">
        <f>'Rate Base'!I155</f>
        <v>3231715.35085</v>
      </c>
      <c r="J120" s="401">
        <f>'Rate Base'!J155</f>
        <v>3241351.2101000003</v>
      </c>
      <c r="K120" s="401">
        <f>'Rate Base'!K155</f>
        <v>3259243.5122500001</v>
      </c>
      <c r="L120" s="401">
        <f>'Rate Base'!L155</f>
        <v>3252267.2309500002</v>
      </c>
      <c r="M120" s="401">
        <f>'Rate Base'!M155</f>
        <v>3230691.2349</v>
      </c>
      <c r="N120" s="401">
        <f>'Rate Base'!N155</f>
        <v>3218326.8256999999</v>
      </c>
      <c r="O120" s="401">
        <f>'Rate Base'!O155</f>
        <v>3200146.6213499997</v>
      </c>
      <c r="P120" s="401">
        <f>'Rate Base'!P155</f>
        <v>3189651.9886749997</v>
      </c>
      <c r="Q120" s="102">
        <f>ROUND(((D120/2)+SUM(E120:O120)+(P120/2))/12,2)</f>
        <v>3166377.56</v>
      </c>
      <c r="R120" s="184" t="s">
        <v>300</v>
      </c>
    </row>
    <row r="121" spans="1:18" x14ac:dyDescent="0.25">
      <c r="A121" s="185"/>
      <c r="B121" s="185"/>
      <c r="C121" s="185"/>
    </row>
    <row r="122" spans="1:18" x14ac:dyDescent="0.25">
      <c r="A122" s="487" t="s">
        <v>507</v>
      </c>
      <c r="B122" s="185"/>
      <c r="C122" s="185"/>
      <c r="D122" s="296">
        <f>+D103+D116+SUM(D118:D120)</f>
        <v>232055113.04227203</v>
      </c>
      <c r="E122" s="296">
        <f t="shared" ref="E122:Q122" si="23">+E103+E116+SUM(E118:E120)</f>
        <v>232909386.07524973</v>
      </c>
      <c r="F122" s="296">
        <f t="shared" si="23"/>
        <v>233299669.25706533</v>
      </c>
      <c r="G122" s="296">
        <f t="shared" si="23"/>
        <v>235020245.17909563</v>
      </c>
      <c r="H122" s="296">
        <f t="shared" si="23"/>
        <v>235360848.28825194</v>
      </c>
      <c r="I122" s="296">
        <f t="shared" si="23"/>
        <v>237801227.55005437</v>
      </c>
      <c r="J122" s="296">
        <f t="shared" si="23"/>
        <v>238696547.4488453</v>
      </c>
      <c r="K122" s="296">
        <f t="shared" si="23"/>
        <v>239007245.79429162</v>
      </c>
      <c r="L122" s="296">
        <f t="shared" si="23"/>
        <v>239448656.12446064</v>
      </c>
      <c r="M122" s="296">
        <f t="shared" si="23"/>
        <v>240384845.75705048</v>
      </c>
      <c r="N122" s="296">
        <f t="shared" si="23"/>
        <v>247692139.91860765</v>
      </c>
      <c r="O122" s="296">
        <f t="shared" si="23"/>
        <v>248112237.36349708</v>
      </c>
      <c r="P122" s="296">
        <f t="shared" si="23"/>
        <v>248770613.13846463</v>
      </c>
      <c r="Q122" s="296">
        <f t="shared" si="23"/>
        <v>239012159.31</v>
      </c>
    </row>
    <row r="123" spans="1:18" x14ac:dyDescent="0.25">
      <c r="A123" s="487" t="s">
        <v>531</v>
      </c>
      <c r="B123" s="185"/>
      <c r="C123" s="185"/>
      <c r="D123" s="274">
        <f>'DIT Rate Base'!$I$39</f>
        <v>-41291938.075284988</v>
      </c>
      <c r="E123" s="274">
        <f>'DIT Rate Base'!$I$39</f>
        <v>-41291938.075284988</v>
      </c>
      <c r="F123" s="274">
        <f>'DIT Rate Base'!$I$39</f>
        <v>-41291938.075284988</v>
      </c>
      <c r="G123" s="274">
        <f>'DIT Rate Base'!$I$39</f>
        <v>-41291938.075284988</v>
      </c>
      <c r="H123" s="274">
        <f>'DIT Rate Base'!$I$39</f>
        <v>-41291938.075284988</v>
      </c>
      <c r="I123" s="274">
        <f>'DIT Rate Base'!$I$39</f>
        <v>-41291938.075284988</v>
      </c>
      <c r="J123" s="274">
        <f>'DIT Rate Base'!$I$39</f>
        <v>-41291938.075284988</v>
      </c>
      <c r="K123" s="274">
        <f>'DIT Rate Base'!$I$39</f>
        <v>-41291938.075284988</v>
      </c>
      <c r="L123" s="274">
        <f>'DIT Rate Base'!$I$39</f>
        <v>-41291938.075284988</v>
      </c>
      <c r="M123" s="274">
        <f>'DIT Rate Base'!$I$39</f>
        <v>-41291938.075284988</v>
      </c>
      <c r="N123" s="274">
        <f>'DIT Rate Base'!$I$39</f>
        <v>-41291938.075284988</v>
      </c>
      <c r="O123" s="274">
        <f>'DIT Rate Base'!$I$39</f>
        <v>-41291938.075284988</v>
      </c>
      <c r="P123" s="274">
        <f>'DIT Rate Base'!$I$39</f>
        <v>-41291938.075284988</v>
      </c>
      <c r="Q123" s="274">
        <f>'DIT Rate Base'!$I$39</f>
        <v>-41291938.075284988</v>
      </c>
      <c r="R123" s="275"/>
    </row>
    <row r="124" spans="1:18" x14ac:dyDescent="0.25">
      <c r="A124" s="487" t="s">
        <v>532</v>
      </c>
      <c r="B124" s="185"/>
      <c r="C124" s="185"/>
      <c r="D124" s="185">
        <f>D122+D123</f>
        <v>190763174.96698704</v>
      </c>
      <c r="E124" s="185">
        <f>E122+E123</f>
        <v>191617447.99996474</v>
      </c>
      <c r="F124" s="185">
        <f t="shared" ref="F124:P124" si="24">F122+F123</f>
        <v>192007731.18178034</v>
      </c>
      <c r="G124" s="185">
        <f t="shared" si="24"/>
        <v>193728307.10381064</v>
      </c>
      <c r="H124" s="185">
        <f t="shared" si="24"/>
        <v>194068910.21296695</v>
      </c>
      <c r="I124" s="185">
        <f t="shared" si="24"/>
        <v>196509289.47476938</v>
      </c>
      <c r="J124" s="185">
        <f t="shared" si="24"/>
        <v>197404609.37356031</v>
      </c>
      <c r="K124" s="185">
        <f t="shared" si="24"/>
        <v>197715307.71900663</v>
      </c>
      <c r="L124" s="185">
        <f t="shared" si="24"/>
        <v>198156718.04917565</v>
      </c>
      <c r="M124" s="185">
        <f t="shared" si="24"/>
        <v>199092907.6817655</v>
      </c>
      <c r="N124" s="185">
        <f t="shared" si="24"/>
        <v>206400201.84332266</v>
      </c>
      <c r="O124" s="185">
        <f t="shared" si="24"/>
        <v>206820299.28821209</v>
      </c>
      <c r="P124" s="185">
        <f t="shared" si="24"/>
        <v>207478675.06317964</v>
      </c>
      <c r="Q124" s="185">
        <f>Q122+Q123</f>
        <v>197720221.23471501</v>
      </c>
    </row>
    <row r="126" spans="1:18" x14ac:dyDescent="0.25">
      <c r="A126" s="489" t="s">
        <v>384</v>
      </c>
      <c r="B126" s="490"/>
      <c r="C126" s="490"/>
      <c r="D126" s="490"/>
      <c r="E126" s="490"/>
      <c r="F126" s="490"/>
    </row>
    <row r="127" spans="1:18" x14ac:dyDescent="0.25">
      <c r="A127" s="300"/>
      <c r="B127" s="300"/>
      <c r="C127" s="300"/>
      <c r="D127" s="206" t="s">
        <v>385</v>
      </c>
      <c r="E127" s="206" t="s">
        <v>386</v>
      </c>
      <c r="F127" s="206" t="s">
        <v>374</v>
      </c>
    </row>
    <row r="128" spans="1:18" x14ac:dyDescent="0.25">
      <c r="A128" s="300"/>
      <c r="B128" s="300"/>
      <c r="C128" s="300"/>
      <c r="D128" s="300"/>
      <c r="E128" s="300"/>
      <c r="F128" s="300"/>
    </row>
    <row r="129" spans="1:7" x14ac:dyDescent="0.25">
      <c r="A129" s="316" t="s">
        <v>313</v>
      </c>
      <c r="B129" s="300"/>
      <c r="C129" s="300"/>
      <c r="D129" s="300">
        <f>+Q64</f>
        <v>2995460766.21</v>
      </c>
      <c r="E129" s="300">
        <f>+Q103</f>
        <v>390157104.42000002</v>
      </c>
      <c r="F129" s="300">
        <f>+D129+E129</f>
        <v>3385617870.6300001</v>
      </c>
    </row>
    <row r="130" spans="1:7" x14ac:dyDescent="0.25">
      <c r="A130" s="116"/>
      <c r="B130" s="300"/>
      <c r="C130" s="300"/>
      <c r="D130" s="278">
        <f>1-E130</f>
        <v>0.88480000000000003</v>
      </c>
      <c r="E130" s="278">
        <f>ROUND(+E129/F129,4)</f>
        <v>0.1152</v>
      </c>
      <c r="F130" s="300"/>
    </row>
    <row r="131" spans="1:7" x14ac:dyDescent="0.25">
      <c r="A131" s="116"/>
      <c r="B131" s="300"/>
      <c r="C131" s="300"/>
      <c r="D131" s="300"/>
      <c r="E131" s="300"/>
      <c r="F131" s="300"/>
    </row>
    <row r="132" spans="1:7" x14ac:dyDescent="0.25">
      <c r="A132" s="116" t="s">
        <v>314</v>
      </c>
      <c r="B132" s="300"/>
      <c r="C132" s="300"/>
      <c r="D132" s="102">
        <f>+Q79</f>
        <v>-1297372421.4599998</v>
      </c>
      <c r="E132" s="102">
        <f>+Q116</f>
        <v>-155701952.67000002</v>
      </c>
      <c r="F132" s="102">
        <f>+D132+E132</f>
        <v>-1453074374.1299999</v>
      </c>
    </row>
    <row r="133" spans="1:7" x14ac:dyDescent="0.25">
      <c r="A133" s="116"/>
      <c r="B133" s="300"/>
      <c r="C133" s="300"/>
      <c r="D133" s="278">
        <f>1-E133</f>
        <v>0.89280000000000004</v>
      </c>
      <c r="E133" s="278">
        <f>ROUND(+E132/F132,4)</f>
        <v>0.1072</v>
      </c>
      <c r="F133" s="300"/>
    </row>
    <row r="134" spans="1:7" x14ac:dyDescent="0.25">
      <c r="A134" s="116"/>
      <c r="B134" s="300"/>
      <c r="C134" s="300"/>
      <c r="D134" s="300"/>
      <c r="E134" s="300"/>
      <c r="F134" s="300"/>
    </row>
    <row r="135" spans="1:7" x14ac:dyDescent="0.25">
      <c r="A135" s="116" t="s">
        <v>315</v>
      </c>
      <c r="B135" s="300"/>
      <c r="C135" s="300"/>
      <c r="D135" s="300">
        <f>+Q83</f>
        <v>25814984.359999999</v>
      </c>
      <c r="E135" s="300">
        <f>+Q120</f>
        <v>3166377.56</v>
      </c>
      <c r="F135" s="300">
        <f>+D135+E135</f>
        <v>28981361.919999998</v>
      </c>
    </row>
    <row r="136" spans="1:7" x14ac:dyDescent="0.25">
      <c r="A136" s="116"/>
      <c r="B136" s="300"/>
      <c r="C136" s="300"/>
      <c r="D136" s="278">
        <f>1-E136</f>
        <v>0.89073999999999998</v>
      </c>
      <c r="E136" s="278">
        <f>ROUND(+E135/F135,5)</f>
        <v>0.10926</v>
      </c>
      <c r="F136" s="300"/>
    </row>
    <row r="137" spans="1:7" x14ac:dyDescent="0.25">
      <c r="A137" s="116"/>
      <c r="B137" s="300"/>
      <c r="C137" s="300"/>
      <c r="D137" s="300"/>
      <c r="E137" s="300"/>
      <c r="F137" s="300"/>
    </row>
    <row r="138" spans="1:7" x14ac:dyDescent="0.25">
      <c r="A138" s="315" t="s">
        <v>316</v>
      </c>
      <c r="B138" s="300"/>
      <c r="C138" s="300"/>
      <c r="D138" s="102">
        <f>+Q82</f>
        <v>-5364373.87</v>
      </c>
      <c r="E138" s="102">
        <f>+Q119</f>
        <v>-1082301.6599999999</v>
      </c>
      <c r="F138" s="102">
        <f>+D138+E138</f>
        <v>-6446675.5300000003</v>
      </c>
    </row>
    <row r="139" spans="1:7" x14ac:dyDescent="0.25">
      <c r="A139" s="116"/>
      <c r="B139" s="300"/>
      <c r="C139" s="300"/>
      <c r="D139" s="278">
        <f>1-E139</f>
        <v>0.83211000000000002</v>
      </c>
      <c r="E139" s="278">
        <f>ROUND(+E138/F138,5)</f>
        <v>0.16789000000000001</v>
      </c>
      <c r="F139" s="300"/>
    </row>
    <row r="140" spans="1:7" x14ac:dyDescent="0.25">
      <c r="A140" s="300"/>
      <c r="B140" s="300"/>
      <c r="C140" s="300"/>
      <c r="D140" s="300"/>
      <c r="E140" s="300"/>
      <c r="F140" s="300"/>
    </row>
    <row r="141" spans="1:7" x14ac:dyDescent="0.25">
      <c r="A141" s="315" t="s">
        <v>325</v>
      </c>
      <c r="B141" s="300"/>
      <c r="C141" s="300"/>
      <c r="D141" s="102">
        <f>+P64-D64</f>
        <v>224794198.50078678</v>
      </c>
      <c r="E141" s="102">
        <f>+P103-D103</f>
        <v>24517718.639212966</v>
      </c>
      <c r="F141" s="102">
        <f>+D141+E141</f>
        <v>249311917.13999975</v>
      </c>
    </row>
    <row r="142" spans="1:7" x14ac:dyDescent="0.25">
      <c r="A142" s="116"/>
      <c r="B142" s="300"/>
      <c r="C142" s="300"/>
      <c r="D142" s="278">
        <f>1-E142</f>
        <v>0.90166000000000002</v>
      </c>
      <c r="E142" s="278">
        <f>ROUND(+E141/F141,5)</f>
        <v>9.8339999999999997E-2</v>
      </c>
      <c r="F142" s="300"/>
    </row>
    <row r="143" spans="1:7" x14ac:dyDescent="0.25">
      <c r="A143" s="116"/>
      <c r="B143" s="300"/>
      <c r="C143" s="300"/>
      <c r="D143" s="300"/>
      <c r="E143" s="278"/>
      <c r="F143" s="300"/>
    </row>
    <row r="144" spans="1:7" x14ac:dyDescent="0.25">
      <c r="A144" s="491" t="s">
        <v>387</v>
      </c>
      <c r="B144" s="436"/>
      <c r="C144" s="436"/>
      <c r="D144" s="295">
        <f>Q87</f>
        <v>1302078169.4100001</v>
      </c>
      <c r="E144" s="295">
        <f>Q124</f>
        <v>197720221.23471501</v>
      </c>
      <c r="F144" s="102">
        <f>+D144+E144</f>
        <v>1499798390.6447151</v>
      </c>
      <c r="G144" s="478"/>
    </row>
    <row r="145" spans="1:18" x14ac:dyDescent="0.25">
      <c r="A145" s="300"/>
      <c r="B145" s="300"/>
      <c r="C145" s="300"/>
      <c r="D145" s="278">
        <f>1-E145</f>
        <v>0.86817</v>
      </c>
      <c r="E145" s="278">
        <f>ROUND(+E144/F144,5)</f>
        <v>0.13183</v>
      </c>
      <c r="F145" s="300"/>
    </row>
    <row r="150" spans="1:18" x14ac:dyDescent="0.25">
      <c r="A150" s="116" t="s">
        <v>326</v>
      </c>
      <c r="B150" s="116"/>
      <c r="D150" s="321" t="s">
        <v>20</v>
      </c>
      <c r="E150" s="321" t="s">
        <v>21</v>
      </c>
      <c r="F150" s="321" t="s">
        <v>22</v>
      </c>
      <c r="G150" s="321" t="s">
        <v>23</v>
      </c>
      <c r="H150" s="321" t="s">
        <v>24</v>
      </c>
      <c r="I150" s="321" t="s">
        <v>25</v>
      </c>
      <c r="J150" s="321" t="s">
        <v>26</v>
      </c>
      <c r="K150" s="321" t="s">
        <v>27</v>
      </c>
      <c r="L150" s="321" t="s">
        <v>28</v>
      </c>
      <c r="M150" s="321" t="s">
        <v>29</v>
      </c>
      <c r="N150" s="321" t="s">
        <v>30</v>
      </c>
      <c r="O150" s="321" t="s">
        <v>31</v>
      </c>
      <c r="P150" s="321" t="s">
        <v>20</v>
      </c>
      <c r="R150" s="300"/>
    </row>
    <row r="151" spans="1:18" x14ac:dyDescent="0.25">
      <c r="A151" s="116"/>
      <c r="B151" s="116"/>
      <c r="D151" s="492">
        <f t="shared" ref="D151:P151" si="25">+D5</f>
        <v>2019</v>
      </c>
      <c r="E151" s="492">
        <f t="shared" si="25"/>
        <v>2020</v>
      </c>
      <c r="F151" s="492">
        <f t="shared" si="25"/>
        <v>2020</v>
      </c>
      <c r="G151" s="492">
        <f t="shared" si="25"/>
        <v>2020</v>
      </c>
      <c r="H151" s="492">
        <f t="shared" si="25"/>
        <v>2020</v>
      </c>
      <c r="I151" s="492">
        <f t="shared" si="25"/>
        <v>2020</v>
      </c>
      <c r="J151" s="492">
        <f t="shared" si="25"/>
        <v>2020</v>
      </c>
      <c r="K151" s="492">
        <f t="shared" si="25"/>
        <v>2020</v>
      </c>
      <c r="L151" s="492">
        <f t="shared" si="25"/>
        <v>2020</v>
      </c>
      <c r="M151" s="492">
        <f t="shared" si="25"/>
        <v>2020</v>
      </c>
      <c r="N151" s="492">
        <f t="shared" si="25"/>
        <v>2020</v>
      </c>
      <c r="O151" s="492">
        <f t="shared" si="25"/>
        <v>2020</v>
      </c>
      <c r="P151" s="492">
        <f t="shared" si="25"/>
        <v>2020</v>
      </c>
      <c r="R151" s="300"/>
    </row>
    <row r="152" spans="1:18" x14ac:dyDescent="0.25">
      <c r="A152" s="451"/>
      <c r="B152" s="469"/>
      <c r="D152" s="493"/>
      <c r="E152" s="493"/>
      <c r="F152" s="493"/>
      <c r="G152" s="493"/>
      <c r="H152" s="493"/>
      <c r="I152" s="493"/>
      <c r="J152" s="493"/>
      <c r="K152" s="493"/>
      <c r="L152" s="493"/>
      <c r="M152" s="493"/>
      <c r="N152" s="493"/>
      <c r="O152" s="493"/>
      <c r="P152" s="493"/>
      <c r="R152" s="218"/>
    </row>
    <row r="153" spans="1:18" x14ac:dyDescent="0.25">
      <c r="A153" s="494" t="s">
        <v>504</v>
      </c>
      <c r="B153" s="494"/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102"/>
    </row>
    <row r="154" spans="1:18" x14ac:dyDescent="0.25">
      <c r="A154" s="451"/>
      <c r="B154" s="451"/>
      <c r="D154" s="409"/>
      <c r="E154" s="409"/>
      <c r="F154" s="409"/>
      <c r="G154" s="409"/>
      <c r="H154" s="409"/>
      <c r="I154" s="409"/>
      <c r="J154" s="409"/>
      <c r="K154" s="409"/>
      <c r="L154" s="409"/>
      <c r="M154" s="409"/>
      <c r="N154" s="409"/>
      <c r="O154" s="409"/>
      <c r="P154" s="409"/>
      <c r="Q154" s="409"/>
      <c r="R154" s="102"/>
    </row>
    <row r="155" spans="1:18" x14ac:dyDescent="0.25">
      <c r="A155" s="300" t="s">
        <v>383</v>
      </c>
      <c r="B155" s="116"/>
      <c r="D155" s="410">
        <f>D156*0.1131</f>
        <v>2643228.5473620002</v>
      </c>
      <c r="E155" s="410">
        <f>E156*Factors!$C$110</f>
        <v>2956006.2706249999</v>
      </c>
      <c r="F155" s="410">
        <f>F156*Factors!$C$110</f>
        <v>3105169.4425499998</v>
      </c>
      <c r="G155" s="410">
        <f>G156*Factors!$C$110</f>
        <v>3177831.3058750001</v>
      </c>
      <c r="H155" s="410">
        <f>H156*Factors!$C$110</f>
        <v>3207341.4963750001</v>
      </c>
      <c r="I155" s="410">
        <f>I156*Factors!$C$110</f>
        <v>3231715.35085</v>
      </c>
      <c r="J155" s="410">
        <f>J156*Factors!$C$110</f>
        <v>3241351.2101000003</v>
      </c>
      <c r="K155" s="410">
        <f>K156*Factors!$C$110</f>
        <v>3259243.5122500001</v>
      </c>
      <c r="L155" s="410">
        <f>L156*Factors!$C$110</f>
        <v>3252267.2309500002</v>
      </c>
      <c r="M155" s="410">
        <f>M156*Factors!$C$110</f>
        <v>3230691.2349</v>
      </c>
      <c r="N155" s="410">
        <f>N156*Factors!$C$110</f>
        <v>3218326.8256999999</v>
      </c>
      <c r="O155" s="410">
        <v>3200146.6213499997</v>
      </c>
      <c r="P155" s="410">
        <v>3189651.9886749997</v>
      </c>
      <c r="Q155" s="409"/>
      <c r="R155" s="102"/>
    </row>
    <row r="156" spans="1:18" x14ac:dyDescent="0.25">
      <c r="A156" s="300" t="s">
        <v>327</v>
      </c>
      <c r="B156" s="116"/>
      <c r="D156" s="410">
        <v>23370721.02</v>
      </c>
      <c r="E156" s="410">
        <v>27497732.75</v>
      </c>
      <c r="F156" s="410">
        <v>28885297.140000001</v>
      </c>
      <c r="G156" s="410">
        <v>29561221.450000003</v>
      </c>
      <c r="H156" s="410">
        <v>29835734.850000001</v>
      </c>
      <c r="I156" s="410">
        <v>30062468.379999999</v>
      </c>
      <c r="J156" s="410">
        <v>30152104.280000001</v>
      </c>
      <c r="K156" s="410">
        <v>30318544.300000001</v>
      </c>
      <c r="L156" s="410">
        <v>30253648.660000004</v>
      </c>
      <c r="M156" s="410">
        <v>30052941.719999999</v>
      </c>
      <c r="N156" s="300">
        <v>29937923.960000001</v>
      </c>
      <c r="O156" s="300">
        <v>26383232.819999997</v>
      </c>
      <c r="P156" s="300">
        <v>26300264.489999998</v>
      </c>
      <c r="Q156" s="409"/>
      <c r="R156" s="102"/>
    </row>
    <row r="157" spans="1:18" x14ac:dyDescent="0.25">
      <c r="A157" s="102"/>
      <c r="B157" s="102"/>
      <c r="D157" s="409"/>
      <c r="E157" s="409"/>
      <c r="F157" s="409"/>
      <c r="G157" s="409"/>
      <c r="H157" s="409"/>
      <c r="I157" s="409"/>
      <c r="J157" s="409"/>
      <c r="K157" s="409"/>
      <c r="L157" s="409"/>
      <c r="M157" s="409"/>
      <c r="N157" s="409"/>
      <c r="O157" s="409"/>
      <c r="P157" s="409"/>
      <c r="Q157" s="409"/>
      <c r="R157" s="102"/>
    </row>
    <row r="158" spans="1:18" x14ac:dyDescent="0.25">
      <c r="A158" s="116"/>
      <c r="B158" s="116"/>
      <c r="D158" s="300"/>
      <c r="E158" s="300"/>
      <c r="F158" s="300"/>
      <c r="G158" s="300"/>
      <c r="H158" s="300"/>
      <c r="I158" s="300"/>
      <c r="J158" s="300"/>
      <c r="K158" s="300"/>
      <c r="L158" s="300"/>
      <c r="M158" s="300"/>
      <c r="N158" s="300"/>
      <c r="O158" s="300"/>
      <c r="P158" s="300"/>
      <c r="Q158" s="300"/>
      <c r="R158" s="300"/>
    </row>
    <row r="159" spans="1:18" x14ac:dyDescent="0.25">
      <c r="A159" s="495" t="s">
        <v>503</v>
      </c>
      <c r="B159" s="495"/>
      <c r="D159" s="300"/>
      <c r="E159" s="300"/>
      <c r="F159" s="300"/>
      <c r="G159" s="300"/>
      <c r="H159" s="300"/>
      <c r="I159" s="300"/>
      <c r="J159" s="300"/>
      <c r="K159" s="300"/>
      <c r="L159" s="300"/>
      <c r="M159" s="300"/>
      <c r="N159" s="300"/>
      <c r="O159" s="300"/>
      <c r="P159" s="300"/>
      <c r="Q159" s="300"/>
      <c r="R159" s="300"/>
    </row>
    <row r="160" spans="1:18" x14ac:dyDescent="0.25">
      <c r="A160" s="116"/>
      <c r="B160" s="116"/>
      <c r="D160" s="300"/>
      <c r="E160" s="300"/>
      <c r="F160" s="300"/>
      <c r="G160" s="300"/>
      <c r="H160" s="300"/>
      <c r="I160" s="300"/>
      <c r="J160" s="300"/>
      <c r="K160" s="300"/>
      <c r="L160" s="300"/>
      <c r="M160" s="300"/>
      <c r="N160" s="300"/>
      <c r="O160" s="300"/>
      <c r="P160" s="300"/>
      <c r="Q160" s="300"/>
      <c r="R160" s="300"/>
    </row>
    <row r="161" spans="1:18" x14ac:dyDescent="0.25">
      <c r="A161" s="300" t="s">
        <v>505</v>
      </c>
      <c r="B161" s="216"/>
      <c r="D161" s="300">
        <v>7367883.71</v>
      </c>
      <c r="E161" s="300">
        <v>7532633.4800000004</v>
      </c>
      <c r="F161" s="300">
        <v>7655812.25</v>
      </c>
      <c r="G161" s="300">
        <v>5635850.8300000001</v>
      </c>
      <c r="H161" s="300">
        <v>5756413.0300000003</v>
      </c>
      <c r="I161" s="300">
        <v>5848988.7000000002</v>
      </c>
      <c r="J161" s="300">
        <v>6008002.3700000001</v>
      </c>
      <c r="K161" s="300">
        <v>6138374.8700000001</v>
      </c>
      <c r="L161" s="300">
        <v>6309949.2000000002</v>
      </c>
      <c r="M161" s="300">
        <v>6434528.2000000002</v>
      </c>
      <c r="N161" s="300">
        <v>6527187.2000000002</v>
      </c>
      <c r="O161" s="300">
        <v>6701706.2000000002</v>
      </c>
      <c r="P161" s="300">
        <v>6253436.2000000002</v>
      </c>
      <c r="Q161" s="300"/>
      <c r="R161" s="300"/>
    </row>
    <row r="162" spans="1:18" x14ac:dyDescent="0.25">
      <c r="A162" s="300" t="s">
        <v>562</v>
      </c>
      <c r="B162" s="216"/>
      <c r="D162" s="300">
        <v>982286.27999999991</v>
      </c>
      <c r="E162" s="300">
        <v>994615.27999999991</v>
      </c>
      <c r="F162" s="300">
        <v>1010081.2799999999</v>
      </c>
      <c r="G162" s="300">
        <v>1022323.2799999999</v>
      </c>
      <c r="H162" s="300">
        <v>1026535.2799999999</v>
      </c>
      <c r="I162" s="300">
        <v>1045749.2799999999</v>
      </c>
      <c r="J162" s="300">
        <v>1087855.2799999998</v>
      </c>
      <c r="K162" s="300">
        <v>1108371.2799999998</v>
      </c>
      <c r="L162" s="300">
        <v>1132864.2799999998</v>
      </c>
      <c r="M162" s="300">
        <v>1157048.2799999998</v>
      </c>
      <c r="N162" s="300">
        <v>1169509.2799999998</v>
      </c>
      <c r="O162" s="300">
        <v>1187434.28</v>
      </c>
      <c r="P162" s="300">
        <v>1108179.2799999998</v>
      </c>
      <c r="Q162" s="300"/>
      <c r="R162" s="300"/>
    </row>
    <row r="163" spans="1:18" x14ac:dyDescent="0.25">
      <c r="A163" s="300"/>
      <c r="B163" s="216"/>
      <c r="D163" s="411"/>
      <c r="E163" s="411"/>
      <c r="F163" s="411"/>
      <c r="G163" s="411"/>
      <c r="H163" s="411"/>
      <c r="I163" s="411"/>
      <c r="J163" s="411"/>
      <c r="K163" s="411"/>
      <c r="L163" s="411"/>
      <c r="M163" s="411"/>
      <c r="N163" s="411"/>
      <c r="O163" s="411"/>
      <c r="P163" s="411"/>
      <c r="Q163" s="300"/>
      <c r="R163" s="300"/>
    </row>
    <row r="164" spans="1:18" x14ac:dyDescent="0.25">
      <c r="A164" s="300" t="s">
        <v>506</v>
      </c>
      <c r="B164" s="216"/>
      <c r="D164" s="102">
        <v>-4855551.79</v>
      </c>
      <c r="E164" s="102">
        <v>-4844874.8099999996</v>
      </c>
      <c r="F164" s="102">
        <v>-4785128.3</v>
      </c>
      <c r="G164" s="102">
        <v>-4718043.83</v>
      </c>
      <c r="H164" s="102">
        <v>-4625695.41</v>
      </c>
      <c r="I164" s="102">
        <v>-4429572.97</v>
      </c>
      <c r="J164" s="102">
        <v>-4220874.07</v>
      </c>
      <c r="K164" s="102">
        <v>-4007466.52</v>
      </c>
      <c r="L164" s="102">
        <v>-3868003.54</v>
      </c>
      <c r="M164" s="102">
        <v>-3687457.28</v>
      </c>
      <c r="N164" s="102">
        <v>-3593885.18</v>
      </c>
      <c r="O164" s="102">
        <v>-3351931.67</v>
      </c>
      <c r="P164" s="218">
        <v>-3213863.81</v>
      </c>
      <c r="Q164" s="300"/>
      <c r="R164" s="300"/>
    </row>
    <row r="165" spans="1:18" x14ac:dyDescent="0.25">
      <c r="A165" s="300"/>
      <c r="B165" s="216"/>
      <c r="D165" s="411"/>
      <c r="E165" s="411"/>
      <c r="F165" s="411"/>
      <c r="G165" s="411"/>
      <c r="H165" s="411"/>
      <c r="I165" s="411"/>
      <c r="J165" s="411"/>
      <c r="K165" s="411"/>
      <c r="L165" s="411"/>
      <c r="M165" s="411"/>
      <c r="N165" s="411"/>
      <c r="O165" s="411"/>
      <c r="P165" s="411"/>
      <c r="Q165" s="300"/>
      <c r="R165" s="300"/>
    </row>
    <row r="166" spans="1:18" x14ac:dyDescent="0.25">
      <c r="A166" s="495" t="s">
        <v>382</v>
      </c>
      <c r="B166" s="496"/>
      <c r="D166" s="102">
        <v>22718207.759999998</v>
      </c>
      <c r="E166" s="102">
        <v>22716519.969999999</v>
      </c>
      <c r="F166" s="102">
        <v>22714910.029999997</v>
      </c>
      <c r="G166" s="102">
        <v>22713526.649999999</v>
      </c>
      <c r="H166" s="102">
        <v>22711937.299999997</v>
      </c>
      <c r="I166" s="102">
        <v>22710187.419999998</v>
      </c>
      <c r="J166" s="102">
        <v>22708215.890000001</v>
      </c>
      <c r="K166" s="102">
        <v>22706315.18</v>
      </c>
      <c r="L166" s="102">
        <v>22704389.619999997</v>
      </c>
      <c r="M166" s="102">
        <v>22702466.919999998</v>
      </c>
      <c r="N166" s="102">
        <v>22701725.259999998</v>
      </c>
      <c r="O166" s="102">
        <v>22700650.869999997</v>
      </c>
      <c r="P166" s="102">
        <v>22698814.59</v>
      </c>
      <c r="Q166" s="300"/>
      <c r="R166" s="300"/>
    </row>
    <row r="167" spans="1:18" x14ac:dyDescent="0.25">
      <c r="A167" s="300"/>
      <c r="B167" s="116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300"/>
      <c r="R167" s="300"/>
    </row>
    <row r="168" spans="1:18" x14ac:dyDescent="0.25">
      <c r="A168" s="216"/>
      <c r="B168" s="216"/>
      <c r="Q168" s="409"/>
      <c r="R168" s="102"/>
    </row>
    <row r="169" spans="1:18" x14ac:dyDescent="0.25">
      <c r="A169" s="216"/>
      <c r="B169" s="216"/>
      <c r="N169" s="102"/>
      <c r="O169" s="102"/>
      <c r="P169" s="102"/>
      <c r="Q169" s="409"/>
      <c r="R169" s="102"/>
    </row>
    <row r="170" spans="1:18" x14ac:dyDescent="0.25">
      <c r="N170" s="102"/>
      <c r="O170" s="102"/>
      <c r="P170" s="102"/>
    </row>
    <row r="171" spans="1:18" x14ac:dyDescent="0.25">
      <c r="D171" s="120"/>
      <c r="N171" s="102"/>
      <c r="O171" s="102"/>
      <c r="P171" s="102"/>
      <c r="Q171" s="102"/>
    </row>
    <row r="172" spans="1:18" x14ac:dyDescent="0.25">
      <c r="N172" s="102"/>
      <c r="O172" s="102"/>
      <c r="P172" s="102"/>
      <c r="Q172" s="102"/>
    </row>
    <row r="173" spans="1:18" x14ac:dyDescent="0.25">
      <c r="N173" s="102"/>
      <c r="O173" s="102"/>
      <c r="P173" s="102"/>
      <c r="Q173" s="102"/>
    </row>
    <row r="174" spans="1:18" x14ac:dyDescent="0.25">
      <c r="N174" s="102"/>
      <c r="O174" s="102"/>
      <c r="P174" s="102"/>
      <c r="Q174" s="102"/>
    </row>
    <row r="175" spans="1:18" x14ac:dyDescent="0.25">
      <c r="N175" s="102"/>
      <c r="O175" s="102"/>
      <c r="P175" s="102"/>
      <c r="Q175" s="102"/>
    </row>
    <row r="176" spans="1:18" x14ac:dyDescent="0.25">
      <c r="N176" s="102"/>
      <c r="O176" s="102"/>
      <c r="P176" s="102"/>
      <c r="Q176" s="102"/>
    </row>
    <row r="177" spans="14:17" x14ac:dyDescent="0.25">
      <c r="N177" s="102"/>
      <c r="O177" s="102"/>
      <c r="P177" s="102"/>
      <c r="Q177" s="102"/>
    </row>
    <row r="178" spans="14:17" x14ac:dyDescent="0.25">
      <c r="N178" s="102"/>
      <c r="O178" s="102"/>
      <c r="P178" s="102"/>
      <c r="Q178" s="102"/>
    </row>
    <row r="179" spans="14:17" x14ac:dyDescent="0.25">
      <c r="N179" s="102"/>
      <c r="O179" s="102"/>
      <c r="P179" s="102"/>
      <c r="Q179" s="102"/>
    </row>
    <row r="180" spans="14:17" x14ac:dyDescent="0.25">
      <c r="N180" s="102"/>
      <c r="O180" s="102"/>
      <c r="P180" s="102"/>
      <c r="Q180" s="102"/>
    </row>
    <row r="181" spans="14:17" x14ac:dyDescent="0.25">
      <c r="N181" s="102"/>
      <c r="O181" s="102"/>
      <c r="P181" s="102"/>
      <c r="Q181" s="102"/>
    </row>
    <row r="182" spans="14:17" x14ac:dyDescent="0.25">
      <c r="N182" s="102"/>
      <c r="O182" s="102"/>
      <c r="P182" s="102"/>
      <c r="Q182" s="102"/>
    </row>
    <row r="183" spans="14:17" x14ac:dyDescent="0.25">
      <c r="N183" s="102"/>
      <c r="O183" s="102"/>
      <c r="P183" s="102"/>
      <c r="Q183" s="102"/>
    </row>
    <row r="184" spans="14:17" x14ac:dyDescent="0.25">
      <c r="N184" s="102"/>
      <c r="O184" s="102"/>
      <c r="P184" s="102"/>
      <c r="Q184" s="102"/>
    </row>
    <row r="185" spans="14:17" x14ac:dyDescent="0.25">
      <c r="N185" s="102"/>
      <c r="O185" s="102"/>
      <c r="P185" s="102"/>
      <c r="Q185" s="102"/>
    </row>
    <row r="186" spans="14:17" x14ac:dyDescent="0.25">
      <c r="N186" s="102"/>
      <c r="O186" s="102"/>
      <c r="P186" s="102"/>
      <c r="Q186" s="102"/>
    </row>
    <row r="187" spans="14:17" x14ac:dyDescent="0.25">
      <c r="N187" s="102"/>
      <c r="O187" s="102"/>
      <c r="P187" s="102"/>
      <c r="Q187" s="102"/>
    </row>
    <row r="188" spans="14:17" x14ac:dyDescent="0.25">
      <c r="N188" s="102"/>
      <c r="O188" s="102"/>
      <c r="P188" s="102"/>
      <c r="Q188" s="102"/>
    </row>
    <row r="189" spans="14:17" x14ac:dyDescent="0.25">
      <c r="Q189" s="102"/>
    </row>
    <row r="190" spans="14:17" x14ac:dyDescent="0.25">
      <c r="Q190" s="102"/>
    </row>
  </sheetData>
  <phoneticPr fontId="6" type="noConversion"/>
  <printOptions horizontalCentered="1"/>
  <pageMargins left="0.5" right="0.5" top="0.5" bottom="0.5" header="0.25" footer="0.25"/>
  <pageSetup scale="43" fitToHeight="3" orientation="landscape" r:id="rId1"/>
  <headerFooter alignWithMargins="0"/>
  <rowBreaks count="3" manualBreakCount="3">
    <brk id="47" max="17" man="1"/>
    <brk id="88" max="17" man="1"/>
    <brk id="149" max="16" man="1"/>
  </rowBreaks>
  <colBreaks count="1" manualBreakCount="1">
    <brk id="18" max="15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42"/>
    <pageSetUpPr fitToPage="1"/>
  </sheetPr>
  <dimension ref="A1:H54"/>
  <sheetViews>
    <sheetView showGridLines="0" zoomScaleNormal="100" workbookViewId="0">
      <selection activeCell="G24" sqref="G24"/>
    </sheetView>
  </sheetViews>
  <sheetFormatPr defaultColWidth="9.1796875" defaultRowHeight="12.5" x14ac:dyDescent="0.25"/>
  <cols>
    <col min="1" max="1" width="4.7265625" style="297" customWidth="1"/>
    <col min="2" max="2" width="30.7265625" style="297" customWidth="1"/>
    <col min="3" max="5" width="14.7265625" style="298" customWidth="1"/>
    <col min="6" max="6" width="12.7265625" style="298" bestFit="1" customWidth="1"/>
    <col min="7" max="7" width="16" style="300" bestFit="1" customWidth="1"/>
    <col min="8" max="16384" width="9.1796875" style="298"/>
  </cols>
  <sheetData>
    <row r="1" spans="1:8" s="297" customFormat="1" x14ac:dyDescent="0.25">
      <c r="A1" s="297" t="str">
        <f>'Page 1'!A1</f>
        <v>NW Natural</v>
      </c>
      <c r="G1" s="116"/>
    </row>
    <row r="2" spans="1:8" s="297" customFormat="1" x14ac:dyDescent="0.25">
      <c r="A2" s="297" t="str">
        <f>+'Page 1'!A2</f>
        <v>Washington Annual Commission Basis Report</v>
      </c>
      <c r="G2" s="116"/>
    </row>
    <row r="3" spans="1:8" s="297" customFormat="1" x14ac:dyDescent="0.25">
      <c r="A3" s="297" t="str">
        <f>Adjustments!A4</f>
        <v>Twelve Months Ended December 31, 2020</v>
      </c>
    </row>
    <row r="4" spans="1:8" s="297" customFormat="1" x14ac:dyDescent="0.25">
      <c r="A4" s="297" t="s">
        <v>6</v>
      </c>
      <c r="D4" s="25"/>
      <c r="G4" s="116"/>
    </row>
    <row r="5" spans="1:8" s="297" customFormat="1" x14ac:dyDescent="0.25">
      <c r="G5" s="116"/>
    </row>
    <row r="6" spans="1:8" s="297" customFormat="1" x14ac:dyDescent="0.25">
      <c r="C6" s="166" t="s">
        <v>428</v>
      </c>
      <c r="D6" s="166"/>
      <c r="E6" s="166"/>
      <c r="G6" s="116"/>
    </row>
    <row r="7" spans="1:8" s="297" customFormat="1" x14ac:dyDescent="0.25">
      <c r="A7" s="297" t="s">
        <v>32</v>
      </c>
      <c r="C7" s="26" t="s">
        <v>33</v>
      </c>
      <c r="D7" s="26"/>
      <c r="E7" s="26" t="s">
        <v>34</v>
      </c>
      <c r="G7" s="116"/>
    </row>
    <row r="8" spans="1:8" s="297" customFormat="1" x14ac:dyDescent="0.25">
      <c r="A8" s="27" t="s">
        <v>54</v>
      </c>
      <c r="C8" s="28" t="s">
        <v>55</v>
      </c>
      <c r="D8" s="28" t="s">
        <v>56</v>
      </c>
      <c r="E8" s="28" t="s">
        <v>57</v>
      </c>
      <c r="G8" s="116"/>
    </row>
    <row r="9" spans="1:8" s="297" customFormat="1" x14ac:dyDescent="0.25">
      <c r="C9" s="26" t="s">
        <v>76</v>
      </c>
      <c r="D9" s="26" t="s">
        <v>77</v>
      </c>
      <c r="E9" s="26" t="s">
        <v>78</v>
      </c>
      <c r="G9" s="300"/>
    </row>
    <row r="10" spans="1:8" x14ac:dyDescent="0.25">
      <c r="B10" s="27" t="s">
        <v>88</v>
      </c>
      <c r="C10" s="29"/>
      <c r="D10" s="29"/>
      <c r="E10" s="29"/>
      <c r="G10" s="497" t="s">
        <v>428</v>
      </c>
      <c r="H10" s="226"/>
    </row>
    <row r="11" spans="1:8" x14ac:dyDescent="0.25">
      <c r="C11" s="31"/>
      <c r="D11" s="300"/>
      <c r="E11" s="300"/>
      <c r="F11" s="300"/>
      <c r="G11" s="498"/>
      <c r="H11" s="226"/>
    </row>
    <row r="12" spans="1:8" x14ac:dyDescent="0.25">
      <c r="A12" s="297">
        <v>1</v>
      </c>
      <c r="B12" s="297" t="s">
        <v>107</v>
      </c>
      <c r="C12" s="133">
        <v>0.49717293252961547</v>
      </c>
      <c r="D12" s="278">
        <v>4.6623259896920649E-2</v>
      </c>
      <c r="E12" s="278">
        <v>2.3199999999999998E-2</v>
      </c>
      <c r="F12" s="226"/>
      <c r="G12" s="499">
        <v>902825000</v>
      </c>
      <c r="H12" s="226"/>
    </row>
    <row r="13" spans="1:8" x14ac:dyDescent="0.25">
      <c r="A13" s="297">
        <f>A12+1</f>
        <v>2</v>
      </c>
      <c r="B13" s="297" t="s">
        <v>563</v>
      </c>
      <c r="C13" s="133">
        <v>4.4438625425151181E-2</v>
      </c>
      <c r="D13" s="278">
        <v>1.2E-2</v>
      </c>
      <c r="E13" s="278">
        <v>5.0000000000000001E-4</v>
      </c>
      <c r="F13" s="226"/>
      <c r="G13" s="499">
        <v>80696875.01958333</v>
      </c>
      <c r="H13" s="226"/>
    </row>
    <row r="14" spans="1:8" x14ac:dyDescent="0.25">
      <c r="A14" s="297">
        <f>A13+1</f>
        <v>3</v>
      </c>
      <c r="B14" s="297" t="s">
        <v>118</v>
      </c>
      <c r="C14" s="133">
        <v>0</v>
      </c>
      <c r="D14" s="278">
        <v>0</v>
      </c>
      <c r="E14" s="278">
        <v>0</v>
      </c>
      <c r="F14" s="226"/>
      <c r="G14" s="300">
        <v>0</v>
      </c>
      <c r="H14" s="226"/>
    </row>
    <row r="15" spans="1:8" x14ac:dyDescent="0.25">
      <c r="A15" s="297">
        <f>A14+1</f>
        <v>4</v>
      </c>
      <c r="B15" s="297" t="s">
        <v>124</v>
      </c>
      <c r="C15" s="133">
        <v>0.45838844204523344</v>
      </c>
      <c r="D15" s="278">
        <v>9.3999999999999972E-2</v>
      </c>
      <c r="E15" s="278">
        <v>4.3099999999999999E-2</v>
      </c>
      <c r="F15" s="226"/>
      <c r="G15" s="500">
        <v>832395567.24025011</v>
      </c>
      <c r="H15" s="226"/>
    </row>
    <row r="16" spans="1:8" x14ac:dyDescent="0.25">
      <c r="C16" s="133"/>
      <c r="D16" s="279"/>
      <c r="E16" s="314"/>
      <c r="F16" s="300"/>
      <c r="H16" s="300"/>
    </row>
    <row r="17" spans="1:8" ht="13" thickBot="1" x14ac:dyDescent="0.3">
      <c r="A17" s="297">
        <f>A15+1</f>
        <v>5</v>
      </c>
      <c r="B17" s="297" t="s">
        <v>134</v>
      </c>
      <c r="C17" s="280">
        <f>SUM(C12:C16)</f>
        <v>1</v>
      </c>
      <c r="D17" s="279"/>
      <c r="E17" s="280">
        <f>SUM(E12:E16)</f>
        <v>6.6799999999999998E-2</v>
      </c>
      <c r="F17" s="300"/>
      <c r="G17" s="312">
        <f>SUM(G12:G15)</f>
        <v>1815917442.2598333</v>
      </c>
      <c r="H17" s="300"/>
    </row>
    <row r="18" spans="1:8" ht="13" thickTop="1" x14ac:dyDescent="0.25">
      <c r="D18" s="224"/>
      <c r="E18" s="163"/>
      <c r="F18" s="300"/>
      <c r="H18" s="300"/>
    </row>
    <row r="19" spans="1:8" x14ac:dyDescent="0.25">
      <c r="B19" s="27" t="s">
        <v>146</v>
      </c>
      <c r="D19" s="31"/>
      <c r="E19" s="31"/>
    </row>
    <row r="20" spans="1:8" x14ac:dyDescent="0.25">
      <c r="D20" s="31"/>
      <c r="E20" s="31"/>
      <c r="F20" s="32"/>
    </row>
    <row r="21" spans="1:8" x14ac:dyDescent="0.25">
      <c r="A21" s="297">
        <f>A17+1</f>
        <v>6</v>
      </c>
      <c r="B21" s="297" t="s">
        <v>152</v>
      </c>
      <c r="C21" s="31">
        <f>'Page 1'!E10/'Page 1'!E$13</f>
        <v>1.0038772175917432</v>
      </c>
      <c r="D21" s="39"/>
      <c r="E21" s="32"/>
    </row>
    <row r="22" spans="1:8" x14ac:dyDescent="0.25">
      <c r="A22" s="297">
        <f>A21+1</f>
        <v>7</v>
      </c>
      <c r="B22" s="297" t="s">
        <v>119</v>
      </c>
      <c r="C22" s="31">
        <f>'Page 1'!E11/'Page 1'!E$13</f>
        <v>3.0250898267554734E-2</v>
      </c>
      <c r="D22" s="39"/>
      <c r="E22" s="32"/>
    </row>
    <row r="23" spans="1:8" x14ac:dyDescent="0.25">
      <c r="A23" s="297">
        <f>A22+1</f>
        <v>8</v>
      </c>
      <c r="B23" s="297" t="s">
        <v>161</v>
      </c>
      <c r="C23" s="40">
        <f>'Page 1'!E12/'Page 1'!E$13</f>
        <v>-3.4128115859297842E-2</v>
      </c>
      <c r="E23" s="32"/>
      <c r="F23" s="32"/>
      <c r="G23" s="313"/>
    </row>
    <row r="24" spans="1:8" x14ac:dyDescent="0.25">
      <c r="C24" s="41"/>
    </row>
    <row r="25" spans="1:8" x14ac:dyDescent="0.25">
      <c r="A25" s="297">
        <f>A23+1</f>
        <v>9</v>
      </c>
      <c r="B25" s="297" t="s">
        <v>137</v>
      </c>
      <c r="C25" s="31">
        <f>C23+C22+C21</f>
        <v>1</v>
      </c>
      <c r="F25" s="299"/>
      <c r="G25" s="279"/>
    </row>
    <row r="26" spans="1:8" x14ac:dyDescent="0.25">
      <c r="C26" s="31"/>
      <c r="F26" s="299"/>
      <c r="G26" s="279"/>
    </row>
    <row r="27" spans="1:8" x14ac:dyDescent="0.25">
      <c r="A27" s="297">
        <f>A25+1</f>
        <v>10</v>
      </c>
      <c r="B27" s="297" t="s">
        <v>168</v>
      </c>
      <c r="C27" s="120">
        <f>C52</f>
        <v>9.1E-4</v>
      </c>
      <c r="F27" s="299"/>
      <c r="G27" s="163"/>
    </row>
    <row r="28" spans="1:8" x14ac:dyDescent="0.25">
      <c r="A28" s="297">
        <f>A27+1</f>
        <v>11</v>
      </c>
      <c r="B28" s="297" t="s">
        <v>173</v>
      </c>
      <c r="C28" s="120">
        <v>0</v>
      </c>
      <c r="D28" s="297"/>
    </row>
    <row r="29" spans="1:8" x14ac:dyDescent="0.25">
      <c r="A29" s="297">
        <f>A28+1</f>
        <v>12</v>
      </c>
      <c r="B29" s="297" t="s">
        <v>175</v>
      </c>
      <c r="C29" s="120">
        <v>3.8519999999999999E-2</v>
      </c>
    </row>
    <row r="30" spans="1:8" x14ac:dyDescent="0.25">
      <c r="A30" s="297">
        <f>A29+1</f>
        <v>13</v>
      </c>
      <c r="B30" s="297" t="s">
        <v>176</v>
      </c>
      <c r="C30" s="251">
        <v>2E-3</v>
      </c>
      <c r="D30" s="61"/>
    </row>
    <row r="31" spans="1:8" x14ac:dyDescent="0.25">
      <c r="C31" s="41"/>
      <c r="D31" s="39"/>
    </row>
    <row r="32" spans="1:8" x14ac:dyDescent="0.25">
      <c r="A32" s="297">
        <f>A30+1</f>
        <v>14</v>
      </c>
      <c r="B32" s="297" t="s">
        <v>182</v>
      </c>
      <c r="C32" s="31">
        <f>C25-C27-C28-C30-C29</f>
        <v>0.95857000000000003</v>
      </c>
    </row>
    <row r="33" spans="1:3" x14ac:dyDescent="0.25">
      <c r="A33" s="297">
        <f>A32+1</f>
        <v>15</v>
      </c>
      <c r="B33" s="297" t="s">
        <v>185</v>
      </c>
      <c r="C33" s="40">
        <f>C51*C32</f>
        <v>0</v>
      </c>
    </row>
    <row r="35" spans="1:3" x14ac:dyDescent="0.25">
      <c r="A35" s="297">
        <f>A33+1</f>
        <v>16</v>
      </c>
      <c r="B35" s="297" t="s">
        <v>188</v>
      </c>
      <c r="C35" s="31">
        <f>C32-C33</f>
        <v>0.95857000000000003</v>
      </c>
    </row>
    <row r="36" spans="1:3" x14ac:dyDescent="0.25">
      <c r="A36" s="297">
        <f>A35+1</f>
        <v>17</v>
      </c>
      <c r="B36" s="297" t="s">
        <v>165</v>
      </c>
      <c r="C36" s="40">
        <f>C50*C35</f>
        <v>0.2012997</v>
      </c>
    </row>
    <row r="37" spans="1:3" x14ac:dyDescent="0.25">
      <c r="C37" s="41"/>
    </row>
    <row r="38" spans="1:3" x14ac:dyDescent="0.25">
      <c r="A38" s="297">
        <f>A36+1</f>
        <v>18</v>
      </c>
      <c r="B38" s="297" t="s">
        <v>194</v>
      </c>
      <c r="C38" s="31">
        <f>C36+C33</f>
        <v>0.2012997</v>
      </c>
    </row>
    <row r="40" spans="1:3" x14ac:dyDescent="0.25">
      <c r="A40" s="297">
        <f>A38+1</f>
        <v>19</v>
      </c>
      <c r="B40" s="297" t="s">
        <v>199</v>
      </c>
      <c r="C40" s="40">
        <f>C38+C28+C30+C27+C29</f>
        <v>0.24272969999999999</v>
      </c>
    </row>
    <row r="41" spans="1:3" x14ac:dyDescent="0.25">
      <c r="C41" s="41"/>
    </row>
    <row r="42" spans="1:3" ht="13" thickBot="1" x14ac:dyDescent="0.3">
      <c r="A42" s="297">
        <f>A40+1</f>
        <v>20</v>
      </c>
      <c r="B42" s="297" t="s">
        <v>203</v>
      </c>
      <c r="C42" s="43">
        <f>C35-C36</f>
        <v>0.75727030000000006</v>
      </c>
    </row>
    <row r="43" spans="1:3" ht="13" thickTop="1" x14ac:dyDescent="0.25"/>
    <row r="44" spans="1:3" x14ac:dyDescent="0.25">
      <c r="C44" s="31"/>
    </row>
    <row r="45" spans="1:3" x14ac:dyDescent="0.25">
      <c r="A45" s="297">
        <f>A42+1</f>
        <v>21</v>
      </c>
      <c r="B45" s="297" t="s">
        <v>209</v>
      </c>
      <c r="C45" s="39">
        <f>ROUND(1/C42,5)</f>
        <v>1.32053</v>
      </c>
    </row>
    <row r="46" spans="1:3" x14ac:dyDescent="0.25">
      <c r="C46" s="31"/>
    </row>
    <row r="47" spans="1:3" x14ac:dyDescent="0.25">
      <c r="A47" s="297">
        <f>A45+1</f>
        <v>22</v>
      </c>
      <c r="B47" s="297" t="s">
        <v>216</v>
      </c>
      <c r="C47" s="39">
        <f>E12+E13</f>
        <v>2.3699999999999999E-2</v>
      </c>
    </row>
    <row r="49" spans="1:3" x14ac:dyDescent="0.25">
      <c r="C49" s="31"/>
    </row>
    <row r="50" spans="1:3" x14ac:dyDescent="0.25">
      <c r="A50" s="297">
        <f>A47+1</f>
        <v>23</v>
      </c>
      <c r="B50" s="25" t="s">
        <v>222</v>
      </c>
      <c r="C50" s="440">
        <v>0.21</v>
      </c>
    </row>
    <row r="51" spans="1:3" x14ac:dyDescent="0.25">
      <c r="A51" s="297">
        <f>A50+1</f>
        <v>24</v>
      </c>
      <c r="B51" s="25" t="s">
        <v>225</v>
      </c>
      <c r="C51" s="440">
        <v>0</v>
      </c>
    </row>
    <row r="52" spans="1:3" x14ac:dyDescent="0.25">
      <c r="A52" s="297">
        <f>A51+1</f>
        <v>25</v>
      </c>
      <c r="B52" s="25" t="s">
        <v>228</v>
      </c>
      <c r="C52" s="31">
        <f>'d Uncollectibles'!C49</f>
        <v>9.1E-4</v>
      </c>
    </row>
    <row r="54" spans="1:3" x14ac:dyDescent="0.25">
      <c r="B54" s="297" t="s">
        <v>564</v>
      </c>
    </row>
  </sheetData>
  <phoneticPr fontId="0" type="noConversion"/>
  <printOptions horizontalCentered="1"/>
  <pageMargins left="0.5" right="0.5" top="0.5" bottom="0.5" header="0.25" footer="0.25"/>
  <pageSetup scale="9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98D9AEC4A340846848564F1EA5E3328" ma:contentTypeVersion="44" ma:contentTypeDescription="" ma:contentTypeScope="" ma:versionID="cd7da6d8f3148cc9b1e15da44a45a6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2021-04-29T07:00:00+00:00</OpenedDate>
    <SignificantOrder xmlns="dc463f71-b30c-4ab2-9473-d307f9d35888">false</SignificantOrder>
    <Date1 xmlns="dc463f71-b30c-4ab2-9473-d307f9d35888">2021-04-29T07:00:00+00:00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210289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86CFEC0-C13D-4467-B49E-8E49DBA38EDB}"/>
</file>

<file path=customXml/itemProps2.xml><?xml version="1.0" encoding="utf-8"?>
<ds:datastoreItem xmlns:ds="http://schemas.openxmlformats.org/officeDocument/2006/customXml" ds:itemID="{012C34B8-01E4-46BF-B2E7-DFF431D6BA23}"/>
</file>

<file path=customXml/itemProps3.xml><?xml version="1.0" encoding="utf-8"?>
<ds:datastoreItem xmlns:ds="http://schemas.openxmlformats.org/officeDocument/2006/customXml" ds:itemID="{9644460E-929A-422F-A506-7E11CE746D97}"/>
</file>

<file path=customXml/itemProps4.xml><?xml version="1.0" encoding="utf-8"?>
<ds:datastoreItem xmlns:ds="http://schemas.openxmlformats.org/officeDocument/2006/customXml" ds:itemID="{AE3DBCDC-8421-4771-8D26-D8243AF160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Not filed</vt:lpstr>
      <vt:lpstr>Executive Summary</vt:lpstr>
      <vt:lpstr>Adj Narrative</vt:lpstr>
      <vt:lpstr>Sheet1</vt:lpstr>
      <vt:lpstr>Page 1</vt:lpstr>
      <vt:lpstr>Taxes</vt:lpstr>
      <vt:lpstr>DIT Rate Base</vt:lpstr>
      <vt:lpstr>Rate Base</vt:lpstr>
      <vt:lpstr>Cost of Cap</vt:lpstr>
      <vt:lpstr>Adjustments</vt:lpstr>
      <vt:lpstr>a Rev &amp; Cost</vt:lpstr>
      <vt:lpstr>b Misc Revenues</vt:lpstr>
      <vt:lpstr>c Bonuses</vt:lpstr>
      <vt:lpstr>d Uncollectibles</vt:lpstr>
      <vt:lpstr>e Working Cap</vt:lpstr>
      <vt:lpstr> f Sales &amp; Mktg</vt:lpstr>
      <vt:lpstr>g Claims</vt:lpstr>
      <vt:lpstr>h Clearing</vt:lpstr>
      <vt:lpstr>Factors</vt:lpstr>
      <vt:lpstr>Other Rev, Dep &amp; Other Tax</vt:lpstr>
      <vt:lpstr>' f Sales &amp; Mktg'!Print_Area</vt:lpstr>
      <vt:lpstr>Adjustments!Print_Area</vt:lpstr>
      <vt:lpstr>'b Misc Revenues'!Print_Area</vt:lpstr>
      <vt:lpstr>'Cost of Cap'!Print_Area</vt:lpstr>
      <vt:lpstr>'d Uncollectibles'!Print_Area</vt:lpstr>
      <vt:lpstr>'DIT Rate Base'!Print_Area</vt:lpstr>
      <vt:lpstr>'e Working Cap'!Print_Area</vt:lpstr>
      <vt:lpstr>'Executive Summary'!Print_Area</vt:lpstr>
      <vt:lpstr>Factors!Print_Area</vt:lpstr>
      <vt:lpstr>'g Claims'!Print_Area</vt:lpstr>
      <vt:lpstr>'h Clearing'!Print_Area</vt:lpstr>
      <vt:lpstr>'Other Rev, Dep &amp; Other Tax'!Print_Area</vt:lpstr>
      <vt:lpstr>'Page 1'!Print_Area</vt:lpstr>
      <vt:lpstr>'Rate Base'!Print_Area</vt:lpstr>
      <vt:lpstr>Taxes!Print_Area</vt:lpstr>
      <vt:lpstr>Factors!Print_Titles</vt:lpstr>
      <vt:lpstr>'Rate Base'!Print_Titles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Siores, Natasha</dc:creator>
  <cp:lastModifiedBy>Bourdo, Lora</cp:lastModifiedBy>
  <cp:lastPrinted>2021-04-28T21:55:45Z</cp:lastPrinted>
  <dcterms:created xsi:type="dcterms:W3CDTF">2001-04-24T18:09:59Z</dcterms:created>
  <dcterms:modified xsi:type="dcterms:W3CDTF">2021-04-28T21:55:57Z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0x0101006E56B4D1795A2E4DB2F0B01679ED314A00E98D9AEC4A340846848564F1EA5E3328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