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activeX/activeX2.bin" ContentType="application/vnd.ms-office.activeX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activeX/activeX2.xml" ContentType="application/vnd.ms-office.activeX+xml"/>
  <Override PartName="/xl/comments1.xml" ContentType="application/vnd.openxmlformats-officedocument.spreadsheetml.comments+xml"/>
  <Override PartName="/xl/activeX/activeX1.bin" ContentType="application/vnd.ms-office.activeX"/>
  <Override PartName="/xl/activeX/activeX1.xml" ContentType="application/vnd.ms-office.activeX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Mason 2149\Rate Filing\Gen Rate Filing 3-1-2021\Non-Confidential\"/>
    </mc:Choice>
  </mc:AlternateContent>
  <bookViews>
    <workbookView xWindow="0" yWindow="0" windowWidth="5100" windowHeight="1170"/>
  </bookViews>
  <sheets>
    <sheet name="Depr Summary" sheetId="1" r:id="rId1"/>
    <sheet name="Depreciation" sheetId="4" r:id="rId2"/>
    <sheet name="Depreciation - Orig.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 localSheetId="1">[2]Hidden!#REF!</definedName>
    <definedName name="_ACT1">[2]Hidden!#REF!</definedName>
    <definedName name="_ACT2" localSheetId="1">[2]Hidden!#REF!</definedName>
    <definedName name="_ACT2">[2]Hidden!#REF!</definedName>
    <definedName name="_ACT3" localSheetId="1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CCT">[1]Hidden!$D$11</definedName>
    <definedName name="ACCT.ConsolSum">[1]Hidden!$Q$11</definedName>
    <definedName name="ACT_CUR" localSheetId="1">[2]Hidden!#REF!</definedName>
    <definedName name="ACT_CUR">[2]Hidden!#REF!</definedName>
    <definedName name="ACT_YTD" localSheetId="1">[2]Hidden!#REF!</definedName>
    <definedName name="ACT_YTD">[2]Hidden!#REF!</definedName>
    <definedName name="AmountCount" localSheetId="1">#REF!</definedName>
    <definedName name="AmountCount">#REF!</definedName>
    <definedName name="AmountTotal" localSheetId="1">#REF!</definedName>
    <definedName name="AmountTotal">#REF!</definedName>
    <definedName name="BatchCode">[3]APQuery!$L$12</definedName>
    <definedName name="BookRev">'[4]Pacific Regulated - Price Out'!$F$50</definedName>
    <definedName name="BookRev_com">'[4]Pacific Regulated - Price Out'!$F$214</definedName>
    <definedName name="BookRev_mfr">'[4]Pacific Regulated - Price Out'!$F$222</definedName>
    <definedName name="BookRev_ro">'[4]Pacific Regulated - Price Out'!$F$282</definedName>
    <definedName name="BookRev_rr">'[4]Pacific Regulated - Price Out'!$F$59</definedName>
    <definedName name="BookRev_yw">'[4]Pacific Regulated - Price Out'!$F$70</definedName>
    <definedName name="BREMAIR_COST_of_SERVICE_STUDY" localSheetId="1">#REF!</definedName>
    <definedName name="BREMAIR_COST_of_SERVICE_STUDY">#REF!</definedName>
    <definedName name="BUD_CUR" localSheetId="1">[2]Hidden!#REF!</definedName>
    <definedName name="BUD_CUR">[2]Hidden!#REF!</definedName>
    <definedName name="BUD_YTD" localSheetId="1">[2]Hidden!#REF!</definedName>
    <definedName name="BUD_YTD">[2]Hidden!#REF!</definedName>
    <definedName name="CheckTotals" localSheetId="1">#REF!</definedName>
    <definedName name="CheckTotals">#REF!</definedName>
    <definedName name="ClassCode">[3]APQuery!$L$13</definedName>
    <definedName name="colgroup">[1]Orientation!$G$6</definedName>
    <definedName name="colsegment">[1]Orientation!$F$6</definedName>
    <definedName name="CRCTable" localSheetId="1">#REF!</definedName>
    <definedName name="CRCTable">#REF!</definedName>
    <definedName name="CRCTableOLD" localSheetId="1">#REF!</definedName>
    <definedName name="CRCTableOLD">#REF!</definedName>
    <definedName name="CriteriaType">[5]ControlPanel!$Z$2:$Z$5</definedName>
    <definedName name="Cutomers" localSheetId="1">#REF!</definedName>
    <definedName name="Cutomers">#REF!</definedName>
    <definedName name="_xlnm.Database" localSheetId="1">#REF!</definedName>
    <definedName name="_xlnm.Database">#REF!</definedName>
    <definedName name="Database1" localSheetId="1">#REF!</definedName>
    <definedName name="Database1">#REF!</definedName>
    <definedName name="DEPT" localSheetId="1">[2]Hidden!#REF!</definedName>
    <definedName name="DEPT">[2]Hidden!#REF!</definedName>
    <definedName name="District" localSheetId="1">'[6]Vashon BS'!#REF!</definedName>
    <definedName name="District">'[6]Vashon BS'!#REF!</definedName>
    <definedName name="DistrictNum" localSheetId="1">#REF!</definedName>
    <definedName name="DistrictNum">#REF!</definedName>
    <definedName name="drlFilter">[1]Settings!$D$27</definedName>
    <definedName name="End" localSheetId="1">#REF!</definedName>
    <definedName name="End">#REF!</definedName>
    <definedName name="ExcludeIC" localSheetId="1">'[6]Vashon BS'!#REF!</definedName>
    <definedName name="ExcludeIC">'[6]Vashon BS'!#REF!</definedName>
    <definedName name="FBTable" localSheetId="1">#REF!</definedName>
    <definedName name="FBTable">#REF!</definedName>
    <definedName name="FBTableOld" localSheetId="1">#REF!</definedName>
    <definedName name="FBTableOld">#REF!</definedName>
    <definedName name="filter">[1]Settings!$B$14:$H$25</definedName>
    <definedName name="GLAccount">[3]APQuery!$L$11</definedName>
    <definedName name="GLMappingStart" localSheetId="1">#REF!</definedName>
    <definedName name="GLMappingStart">#REF!</definedName>
    <definedName name="IncomeStmnt" localSheetId="1">#REF!</definedName>
    <definedName name="IncomeStmnt">#REF!</definedName>
    <definedName name="INPUT" localSheetId="1">#REF!</definedName>
    <definedName name="INPUT">#REF!</definedName>
    <definedName name="Insurance" localSheetId="1">#REF!</definedName>
    <definedName name="Insurance">#REF!</definedName>
    <definedName name="InvoiceNumber">[3]APQuery!$I$12</definedName>
    <definedName name="JEDetail" localSheetId="1">#REF!</definedName>
    <definedName name="JEDetail">#REF!</definedName>
    <definedName name="JEType" localSheetId="1">#REF!</definedName>
    <definedName name="JEType">#REF!</definedName>
    <definedName name="lblBillAreaStatus" localSheetId="1">#REF!</definedName>
    <definedName name="lblBillAreaStatus">#REF!</definedName>
    <definedName name="lblBillCycleStatus" localSheetId="1">#REF!</definedName>
    <definedName name="lblBillCycleStatus">#REF!</definedName>
    <definedName name="lblCategoryStatus" localSheetId="1">#REF!</definedName>
    <definedName name="lblCategoryStatus">#REF!</definedName>
    <definedName name="lblCompanyStatus" localSheetId="1">#REF!</definedName>
    <definedName name="lblCompanyStatus">#REF!</definedName>
    <definedName name="lblDatabaseStatus" localSheetId="1">#REF!</definedName>
    <definedName name="lblDatabaseStatus">#REF!</definedName>
    <definedName name="lblPullStatus" localSheetId="1">#REF!</definedName>
    <definedName name="lblPullStatus">#REF!</definedName>
    <definedName name="lllllllllllllllllllll" localSheetId="1">#REF!</definedName>
    <definedName name="lllllllllllllllllllll">#REF!</definedName>
    <definedName name="MainDataEnd" localSheetId="1">#REF!</definedName>
    <definedName name="MainDataEnd">#REF!</definedName>
    <definedName name="MainDataStart" localSheetId="1">#REF!</definedName>
    <definedName name="MainDataStart">#REF!</definedName>
    <definedName name="MapKeyStart" localSheetId="1">#REF!</definedName>
    <definedName name="MapKeyStart">#REF!</definedName>
    <definedName name="master_def" localSheetId="1">#REF!</definedName>
    <definedName name="master_def">#REF!</definedName>
    <definedName name="MemoAttachment" localSheetId="1">#REF!</definedName>
    <definedName name="MemoAttachment">#REF!</definedName>
    <definedName name="MetaSet">[1]Orientation!$C$22</definedName>
    <definedName name="NewOnlyOrg">#N/A</definedName>
    <definedName name="NOTES" localSheetId="1">#REF!</definedName>
    <definedName name="NOTES">#REF!</definedName>
    <definedName name="NR" localSheetId="1">#REF!</definedName>
    <definedName name="NR">#REF!</definedName>
    <definedName name="OfficerSalary">#N/A</definedName>
    <definedName name="OffsetAcctBil">[7]JEexport!$L$10</definedName>
    <definedName name="OffsetAcctPmt">[7]JEexport!$L$9</definedName>
    <definedName name="Org11_13">#N/A</definedName>
    <definedName name="Org7_10">#N/A</definedName>
    <definedName name="p" localSheetId="1">#REF!</definedName>
    <definedName name="p">#REF!</definedName>
    <definedName name="PAGE_1" localSheetId="1">#REF!</definedName>
    <definedName name="PAGE_1">#REF!</definedName>
    <definedName name="pBatchID" localSheetId="1">#REF!</definedName>
    <definedName name="pBatchID">#REF!</definedName>
    <definedName name="pBillArea" localSheetId="1">#REF!</definedName>
    <definedName name="pBillArea">#REF!</definedName>
    <definedName name="pBillCycle" localSheetId="1">#REF!</definedName>
    <definedName name="pBillCycle">#REF!</definedName>
    <definedName name="pCategory" localSheetId="1">#REF!</definedName>
    <definedName name="pCategory">#REF!</definedName>
    <definedName name="pCompany" localSheetId="1">#REF!</definedName>
    <definedName name="pCompany">#REF!</definedName>
    <definedName name="pCustomerNumber" localSheetId="1">#REF!</definedName>
    <definedName name="pCustomerNumber">#REF!</definedName>
    <definedName name="pDatabase" localSheetId="1">#REF!</definedName>
    <definedName name="pDatabase">#REF!</definedName>
    <definedName name="pEndPostDate" localSheetId="1">#REF!</definedName>
    <definedName name="pEndPostDate">#REF!</definedName>
    <definedName name="Period" localSheetId="1">#REF!</definedName>
    <definedName name="Period">#REF!</definedName>
    <definedName name="pMonth" localSheetId="1">#REF!</definedName>
    <definedName name="pMonth">#REF!</definedName>
    <definedName name="pOnlyShowLastTranx" localSheetId="1">#REF!</definedName>
    <definedName name="pOnlyShowLastTranx">#REF!</definedName>
    <definedName name="POSeqNum">[3]APQuery!$I$11</definedName>
    <definedName name="primtbl">[1]Orientation!$C$23</definedName>
    <definedName name="_xlnm.Print_Area" localSheetId="0">'Depr Summary'!$A$1:$H$65</definedName>
    <definedName name="_xlnm.Print_Area" localSheetId="1">Depreciation!$A$7:$U$533</definedName>
    <definedName name="_xlnm.Print_Area" localSheetId="2">'Depreciation - Orig.'!$B$1:$AC$504</definedName>
    <definedName name="_xlnm.Print_Area">#REF!</definedName>
    <definedName name="Print_Area_MI" localSheetId="1">Depreciation!$D$1:$U$137</definedName>
    <definedName name="Print_Area_MI" localSheetId="2">'Depreciation - Orig.'!$C$1:$AC$101</definedName>
    <definedName name="Print_Area_MI">#REF!</definedName>
    <definedName name="Print_Area1" localSheetId="1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5" localSheetId="1">#REF!</definedName>
    <definedName name="Print_Area5">#REF!</definedName>
    <definedName name="_xlnm.Print_Titles" localSheetId="1">Depreciation!$7:$10</definedName>
    <definedName name="_xlnm.Print_Titles" localSheetId="2">'Depreciation - Orig.'!$1:$10</definedName>
    <definedName name="Print1" localSheetId="1">#REF!</definedName>
    <definedName name="Print1">#REF!</definedName>
    <definedName name="Print2" localSheetId="1">#REF!</definedName>
    <definedName name="Print2">#REF!</definedName>
    <definedName name="Print5" localSheetId="1">#REF!</definedName>
    <definedName name="Print5">#REF!</definedName>
    <definedName name="ProRev">'[4]Pacific Regulated - Price Out'!$M$49</definedName>
    <definedName name="ProRev_com">'[4]Pacific Regulated - Price Out'!$M$213</definedName>
    <definedName name="ProRev_mfr">'[4]Pacific Regulated - Price Out'!$M$221</definedName>
    <definedName name="ProRev_ro">'[4]Pacific Regulated - Price Out'!$M$281</definedName>
    <definedName name="ProRev_rr">'[4]Pacific Regulated - Price Out'!$M$58</definedName>
    <definedName name="ProRev_yw">'[4]Pacific Regulated - Price Out'!$M$69</definedName>
    <definedName name="pServer" localSheetId="1">#REF!</definedName>
    <definedName name="pServer">#REF!</definedName>
    <definedName name="pServiceCode" localSheetId="1">#REF!</definedName>
    <definedName name="pServiceCode">#REF!</definedName>
    <definedName name="pShowAllUnposted" localSheetId="1">#REF!</definedName>
    <definedName name="pShowAllUnposted">#REF!</definedName>
    <definedName name="pShowCustomerDetail" localSheetId="1">#REF!</definedName>
    <definedName name="pShowCustomerDetail">#REF!</definedName>
    <definedName name="pSortOption" localSheetId="1">#REF!</definedName>
    <definedName name="pSortOption">#REF!</definedName>
    <definedName name="pStartPostDate" localSheetId="1">#REF!</definedName>
    <definedName name="pStartPostDate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[8]ControlPanel!$S$2:$S$16</definedName>
    <definedName name="ReportVersion">[1]Settings!$D$5</definedName>
    <definedName name="RetainedEarnings" localSheetId="1">#REF!</definedName>
    <definedName name="RetainedEarnings">#REF!</definedName>
    <definedName name="RevCust" localSheetId="1">[9]RevenuesCust!#REF!</definedName>
    <definedName name="RevCust">[9]RevenuesCust!#REF!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1">#REF!</definedName>
    <definedName name="sortcol">#REF!</definedName>
    <definedName name="sSRCDate" localSheetId="1">'[10]Feb''12 FAR Data'!#REF!</definedName>
    <definedName name="sSRCDate">'[10]Feb''12 FAR Data'!#REF!</definedName>
    <definedName name="Supplemental_filter">[1]Settings!$C$31</definedName>
    <definedName name="SWDisposal">#N/A</definedName>
    <definedName name="System">[11]BS_Close!$V$8</definedName>
    <definedName name="TemplateEnd" localSheetId="1">#REF!</definedName>
    <definedName name="TemplateEnd">#REF!</definedName>
    <definedName name="TemplateStart" localSheetId="1">#REF!</definedName>
    <definedName name="TemplateStart">#REF!</definedName>
    <definedName name="TheTable" localSheetId="1">#REF!</definedName>
    <definedName name="TheTable">#REF!</definedName>
    <definedName name="TheTableOLD" localSheetId="1">#REF!</definedName>
    <definedName name="TheTableOLD">#REF!</definedName>
    <definedName name="timeseries">[1]Orientation!$B$6:$C$13</definedName>
    <definedName name="Transactions" localSheetId="1">#REF!</definedName>
    <definedName name="Transactions">#REF!</definedName>
    <definedName name="VendorCode">[3]APQuery!$I$14</definedName>
    <definedName name="VendorName">[3]APQuery!$I$13</definedName>
    <definedName name="WTable" localSheetId="1">#REF!</definedName>
    <definedName name="WTable">#REF!</definedName>
    <definedName name="WTableOld" localSheetId="1">#REF!</definedName>
    <definedName name="WTableOld">#REF!</definedName>
    <definedName name="ww" localSheetId="1">#REF!</definedName>
    <definedName name="ww">#REF!</definedName>
    <definedName name="xperiod">[1]Orientation!$G$15</definedName>
    <definedName name="xtabin" localSheetId="1">[2]Hidden!#REF!</definedName>
    <definedName name="xtabin">[2]Hidden!#REF!</definedName>
    <definedName name="xx" localSheetId="1">#REF!</definedName>
    <definedName name="xx">#REF!</definedName>
    <definedName name="xxx" localSheetId="1">#REF!</definedName>
    <definedName name="xxx">#REF!</definedName>
    <definedName name="xxxx" localSheetId="1">#REF!</definedName>
    <definedName name="xxxx">#REF!</definedName>
    <definedName name="Year">'[3]Fuel Tracking'!$E$15</definedName>
    <definedName name="YearMonth" localSheetId="1">'[6]Vashon BS'!#REF!</definedName>
    <definedName name="YearMonth">'[6]Vashon BS'!#REF!</definedName>
    <definedName name="YWMedWasteDisp">#N/A</definedName>
  </definedNames>
  <calcPr calcId="162913" iterate="1" concurrentManualCount="4"/>
</workbook>
</file>

<file path=xl/calcChain.xml><?xml version="1.0" encoding="utf-8"?>
<calcChain xmlns="http://schemas.openxmlformats.org/spreadsheetml/2006/main">
  <c r="R393" i="4" l="1"/>
  <c r="M393" i="4"/>
  <c r="N37" i="4" l="1"/>
  <c r="O37" i="4" s="1"/>
  <c r="P37" i="4" s="1"/>
  <c r="K37" i="4"/>
  <c r="L37" i="4" s="1"/>
  <c r="M463" i="4" l="1"/>
  <c r="M464" i="4" s="1"/>
  <c r="K464" i="4"/>
  <c r="L464" i="4" s="1"/>
  <c r="M456" i="4"/>
  <c r="M457" i="4" s="1"/>
  <c r="K457" i="4"/>
  <c r="L457" i="4" s="1"/>
  <c r="M453" i="4"/>
  <c r="M454" i="4" s="1"/>
  <c r="K454" i="4"/>
  <c r="L454" i="4" s="1"/>
  <c r="M44" i="4"/>
  <c r="M45" i="4" s="1"/>
  <c r="K45" i="4"/>
  <c r="L45" i="4" s="1"/>
  <c r="M68" i="4"/>
  <c r="M69" i="4" s="1"/>
  <c r="K69" i="4"/>
  <c r="L69" i="4" s="1"/>
  <c r="M17" i="4"/>
  <c r="M18" i="4" s="1"/>
  <c r="K18" i="4"/>
  <c r="L18" i="4" s="1"/>
  <c r="M15" i="4"/>
  <c r="M16" i="4" s="1"/>
  <c r="K16" i="4"/>
  <c r="L16" i="4" s="1"/>
  <c r="M12" i="4"/>
  <c r="K13" i="4"/>
  <c r="L13" i="4" s="1"/>
  <c r="M13" i="4" l="1"/>
  <c r="N13" i="4" s="1"/>
  <c r="O13" i="4" s="1"/>
  <c r="P13" i="4" s="1"/>
  <c r="N464" i="4"/>
  <c r="O464" i="4" s="1"/>
  <c r="P464" i="4" s="1"/>
  <c r="N457" i="4"/>
  <c r="O457" i="4" s="1"/>
  <c r="P457" i="4" s="1"/>
  <c r="N454" i="4"/>
  <c r="O454" i="4" s="1"/>
  <c r="P454" i="4" s="1"/>
  <c r="N45" i="4"/>
  <c r="O45" i="4" s="1"/>
  <c r="P45" i="4" s="1"/>
  <c r="N69" i="4"/>
  <c r="O69" i="4" s="1"/>
  <c r="P69" i="4" s="1"/>
  <c r="N18" i="4"/>
  <c r="O18" i="4" s="1"/>
  <c r="P18" i="4" s="1"/>
  <c r="N16" i="4"/>
  <c r="O16" i="4" s="1"/>
  <c r="P16" i="4" s="1"/>
  <c r="R449" i="4" l="1"/>
  <c r="M449" i="4"/>
  <c r="R168" i="4" l="1"/>
  <c r="K77" i="4" l="1"/>
  <c r="L77" i="4" s="1"/>
  <c r="N77" i="4"/>
  <c r="O77" i="4" s="1"/>
  <c r="P77" i="4" s="1"/>
  <c r="N528" i="4"/>
  <c r="O528" i="4" s="1"/>
  <c r="P528" i="4" s="1"/>
  <c r="K528" i="4"/>
  <c r="L528" i="4" s="1"/>
  <c r="M59" i="4" l="1"/>
  <c r="K59" i="4"/>
  <c r="L59" i="4" s="1"/>
  <c r="N59" i="4" l="1"/>
  <c r="O59" i="4" s="1"/>
  <c r="P59" i="4" s="1"/>
  <c r="N527" i="4" l="1"/>
  <c r="O527" i="4" s="1"/>
  <c r="P527" i="4" s="1"/>
  <c r="K527" i="4"/>
  <c r="L527" i="4" s="1"/>
  <c r="N391" i="4"/>
  <c r="O391" i="4" s="1"/>
  <c r="P391" i="4" s="1"/>
  <c r="K391" i="4"/>
  <c r="L391" i="4" s="1"/>
  <c r="N376" i="4"/>
  <c r="O376" i="4" s="1"/>
  <c r="P376" i="4" s="1"/>
  <c r="K376" i="4"/>
  <c r="L376" i="4" s="1"/>
  <c r="N375" i="4"/>
  <c r="O375" i="4" s="1"/>
  <c r="P375" i="4" s="1"/>
  <c r="K375" i="4"/>
  <c r="L375" i="4" s="1"/>
  <c r="M378" i="4" l="1"/>
  <c r="B36" i="1" l="1"/>
  <c r="B38" i="1"/>
  <c r="N198" i="4"/>
  <c r="O198" i="4" s="1"/>
  <c r="P198" i="4" s="1"/>
  <c r="K198" i="4"/>
  <c r="L198" i="4" s="1"/>
  <c r="N205" i="4"/>
  <c r="O205" i="4" s="1"/>
  <c r="P205" i="4" s="1"/>
  <c r="K205" i="4"/>
  <c r="L205" i="4" s="1"/>
  <c r="N260" i="4"/>
  <c r="O260" i="4" s="1"/>
  <c r="P260" i="4" s="1"/>
  <c r="K260" i="4"/>
  <c r="L260" i="4" s="1"/>
  <c r="N259" i="4"/>
  <c r="O259" i="4" s="1"/>
  <c r="P259" i="4" s="1"/>
  <c r="K259" i="4"/>
  <c r="L259" i="4" s="1"/>
  <c r="N258" i="4"/>
  <c r="O258" i="4" s="1"/>
  <c r="P258" i="4" s="1"/>
  <c r="K258" i="4"/>
  <c r="L258" i="4" s="1"/>
  <c r="N390" i="4"/>
  <c r="O390" i="4" s="1"/>
  <c r="P390" i="4" s="1"/>
  <c r="K390" i="4"/>
  <c r="L390" i="4" s="1"/>
  <c r="N374" i="4"/>
  <c r="O374" i="4" s="1"/>
  <c r="P374" i="4" s="1"/>
  <c r="K374" i="4"/>
  <c r="L374" i="4" s="1"/>
  <c r="N49" i="4"/>
  <c r="O49" i="4" s="1"/>
  <c r="P49" i="4" s="1"/>
  <c r="K49" i="4"/>
  <c r="L49" i="4" s="1"/>
  <c r="N60" i="4"/>
  <c r="O60" i="4" s="1"/>
  <c r="P60" i="4" s="1"/>
  <c r="K60" i="4"/>
  <c r="L60" i="4" s="1"/>
  <c r="N70" i="4"/>
  <c r="O70" i="4" s="1"/>
  <c r="P70" i="4" s="1"/>
  <c r="K70" i="4"/>
  <c r="L70" i="4" s="1"/>
  <c r="N76" i="4"/>
  <c r="O76" i="4" s="1"/>
  <c r="P76" i="4" s="1"/>
  <c r="K76" i="4"/>
  <c r="L76" i="4" s="1"/>
  <c r="N75" i="4"/>
  <c r="O75" i="4" s="1"/>
  <c r="P75" i="4" s="1"/>
  <c r="K75" i="4"/>
  <c r="L75" i="4" s="1"/>
  <c r="N58" i="4"/>
  <c r="O58" i="4" s="1"/>
  <c r="P58" i="4" s="1"/>
  <c r="K58" i="4"/>
  <c r="L58" i="4" s="1"/>
  <c r="S10" i="4"/>
  <c r="R39" i="4" l="1"/>
  <c r="N373" i="4" l="1"/>
  <c r="O373" i="4" s="1"/>
  <c r="P373" i="4" s="1"/>
  <c r="K373" i="4"/>
  <c r="L373" i="4" s="1"/>
  <c r="N112" i="4"/>
  <c r="O112" i="4" s="1"/>
  <c r="P112" i="4" s="1"/>
  <c r="K112" i="4"/>
  <c r="L112" i="4" s="1"/>
  <c r="N111" i="4"/>
  <c r="K111" i="4"/>
  <c r="L111" i="4" s="1"/>
  <c r="O111" i="4" l="1"/>
  <c r="N489" i="4"/>
  <c r="O489" i="4" s="1"/>
  <c r="P489" i="4" s="1"/>
  <c r="K489" i="4"/>
  <c r="L489" i="4" s="1"/>
  <c r="N389" i="4"/>
  <c r="O389" i="4" s="1"/>
  <c r="P389" i="4" s="1"/>
  <c r="K389" i="4"/>
  <c r="L389" i="4" s="1"/>
  <c r="N372" i="4"/>
  <c r="O372" i="4" s="1"/>
  <c r="P372" i="4" s="1"/>
  <c r="K372" i="4"/>
  <c r="L372" i="4" s="1"/>
  <c r="N226" i="4"/>
  <c r="O226" i="4" s="1"/>
  <c r="P226" i="4" s="1"/>
  <c r="K226" i="4"/>
  <c r="L226" i="4" s="1"/>
  <c r="N48" i="4"/>
  <c r="O48" i="4" s="1"/>
  <c r="P48" i="4" s="1"/>
  <c r="K48" i="4"/>
  <c r="L48" i="4" s="1"/>
  <c r="P111" i="4" l="1"/>
  <c r="N5" i="4"/>
  <c r="Q37" i="4" l="1"/>
  <c r="Q454" i="4"/>
  <c r="Q457" i="4"/>
  <c r="S457" i="4" s="1"/>
  <c r="T457" i="4" s="1"/>
  <c r="U457" i="4" s="1"/>
  <c r="Q464" i="4"/>
  <c r="S464" i="4" s="1"/>
  <c r="T464" i="4" s="1"/>
  <c r="U464" i="4" s="1"/>
  <c r="Q13" i="4"/>
  <c r="S13" i="4" s="1"/>
  <c r="T13" i="4" s="1"/>
  <c r="U13" i="4" s="1"/>
  <c r="Q16" i="4"/>
  <c r="S16" i="4" s="1"/>
  <c r="T16" i="4" s="1"/>
  <c r="U16" i="4" s="1"/>
  <c r="Q18" i="4"/>
  <c r="S18" i="4" s="1"/>
  <c r="T18" i="4" s="1"/>
  <c r="U18" i="4" s="1"/>
  <c r="Q69" i="4"/>
  <c r="S69" i="4" s="1"/>
  <c r="T69" i="4" s="1"/>
  <c r="U69" i="4" s="1"/>
  <c r="Q45" i="4"/>
  <c r="S45" i="4" s="1"/>
  <c r="T45" i="4" s="1"/>
  <c r="U45" i="4" s="1"/>
  <c r="Q528" i="4"/>
  <c r="S528" i="4" s="1"/>
  <c r="T528" i="4" s="1"/>
  <c r="U528" i="4" s="1"/>
  <c r="Q77" i="4"/>
  <c r="S77" i="4" s="1"/>
  <c r="T77" i="4" s="1"/>
  <c r="U77" i="4" s="1"/>
  <c r="Q59" i="4"/>
  <c r="S59" i="4" s="1"/>
  <c r="T59" i="4" s="1"/>
  <c r="U59" i="4" s="1"/>
  <c r="Q527" i="4"/>
  <c r="Q376" i="4"/>
  <c r="Q391" i="4"/>
  <c r="Q375" i="4"/>
  <c r="Q205" i="4"/>
  <c r="Q198" i="4"/>
  <c r="Q259" i="4"/>
  <c r="Q258" i="4"/>
  <c r="Q390" i="4"/>
  <c r="Q260" i="4"/>
  <c r="Q374" i="4"/>
  <c r="Q58" i="4"/>
  <c r="Q60" i="4"/>
  <c r="Q75" i="4"/>
  <c r="S75" i="4" s="1"/>
  <c r="T75" i="4" s="1"/>
  <c r="U75" i="4" s="1"/>
  <c r="Q76" i="4"/>
  <c r="S76" i="4" s="1"/>
  <c r="T76" i="4" s="1"/>
  <c r="U76" i="4" s="1"/>
  <c r="Q70" i="4"/>
  <c r="Q49" i="4"/>
  <c r="Q373" i="4"/>
  <c r="Q112" i="4"/>
  <c r="S112" i="4" s="1"/>
  <c r="T112" i="4" s="1"/>
  <c r="U112" i="4" s="1"/>
  <c r="Q111" i="4"/>
  <c r="Q489" i="4"/>
  <c r="Q226" i="4"/>
  <c r="Q389" i="4"/>
  <c r="Q372" i="4"/>
  <c r="Q48" i="4"/>
  <c r="S48" i="4" s="1"/>
  <c r="T48" i="4" s="1"/>
  <c r="U48" i="4" s="1"/>
  <c r="N87" i="4"/>
  <c r="O87" i="4" s="1"/>
  <c r="P87" i="4" s="1"/>
  <c r="K87" i="4"/>
  <c r="L87" i="4" s="1"/>
  <c r="N388" i="4"/>
  <c r="O388" i="4" s="1"/>
  <c r="P388" i="4" s="1"/>
  <c r="K388" i="4"/>
  <c r="L388" i="4" s="1"/>
  <c r="N387" i="4"/>
  <c r="O387" i="4" s="1"/>
  <c r="P387" i="4" s="1"/>
  <c r="K387" i="4"/>
  <c r="L387" i="4" s="1"/>
  <c r="N428" i="4"/>
  <c r="O428" i="4" s="1"/>
  <c r="P428" i="4" s="1"/>
  <c r="K428" i="4"/>
  <c r="L428" i="4" s="1"/>
  <c r="N371" i="4"/>
  <c r="O371" i="4" s="1"/>
  <c r="P371" i="4" s="1"/>
  <c r="K371" i="4"/>
  <c r="L371" i="4" s="1"/>
  <c r="N370" i="4"/>
  <c r="O370" i="4" s="1"/>
  <c r="P370" i="4" s="1"/>
  <c r="K370" i="4"/>
  <c r="L370" i="4" s="1"/>
  <c r="N287" i="4"/>
  <c r="O287" i="4" s="1"/>
  <c r="P287" i="4" s="1"/>
  <c r="K287" i="4"/>
  <c r="L287" i="4" s="1"/>
  <c r="N286" i="4"/>
  <c r="O286" i="4" s="1"/>
  <c r="P286" i="4" s="1"/>
  <c r="K286" i="4"/>
  <c r="L286" i="4" s="1"/>
  <c r="N285" i="4"/>
  <c r="O285" i="4" s="1"/>
  <c r="P285" i="4" s="1"/>
  <c r="K285" i="4"/>
  <c r="L285" i="4" s="1"/>
  <c r="N284" i="4"/>
  <c r="O284" i="4" s="1"/>
  <c r="P284" i="4" s="1"/>
  <c r="K284" i="4"/>
  <c r="L284" i="4" s="1"/>
  <c r="N283" i="4"/>
  <c r="O283" i="4" s="1"/>
  <c r="P283" i="4" s="1"/>
  <c r="K283" i="4"/>
  <c r="L283" i="4" s="1"/>
  <c r="N282" i="4"/>
  <c r="O282" i="4" s="1"/>
  <c r="P282" i="4" s="1"/>
  <c r="K282" i="4"/>
  <c r="L282" i="4" s="1"/>
  <c r="N281" i="4"/>
  <c r="O281" i="4" s="1"/>
  <c r="P281" i="4" s="1"/>
  <c r="K281" i="4"/>
  <c r="L281" i="4" s="1"/>
  <c r="N280" i="4"/>
  <c r="O280" i="4" s="1"/>
  <c r="P280" i="4" s="1"/>
  <c r="K280" i="4"/>
  <c r="L280" i="4" s="1"/>
  <c r="N279" i="4"/>
  <c r="O279" i="4" s="1"/>
  <c r="P279" i="4" s="1"/>
  <c r="K279" i="4"/>
  <c r="L279" i="4" s="1"/>
  <c r="N278" i="4"/>
  <c r="O278" i="4" s="1"/>
  <c r="P278" i="4" s="1"/>
  <c r="K278" i="4"/>
  <c r="L278" i="4" s="1"/>
  <c r="M36" i="4"/>
  <c r="N36" i="4" s="1"/>
  <c r="O36" i="4" s="1"/>
  <c r="P36" i="4" s="1"/>
  <c r="K36" i="4"/>
  <c r="L36" i="4" s="1"/>
  <c r="M35" i="4"/>
  <c r="N35" i="4" s="1"/>
  <c r="O35" i="4" s="1"/>
  <c r="P35" i="4" s="1"/>
  <c r="K35" i="4"/>
  <c r="L35" i="4" s="1"/>
  <c r="S454" i="4" l="1"/>
  <c r="T454" i="4" s="1"/>
  <c r="U454" i="4" s="1"/>
  <c r="S37" i="4"/>
  <c r="T37" i="4" s="1"/>
  <c r="U37" i="4" s="1"/>
  <c r="S391" i="4"/>
  <c r="T391" i="4" s="1"/>
  <c r="U391" i="4" s="1"/>
  <c r="S376" i="4"/>
  <c r="T376" i="4" s="1"/>
  <c r="U376" i="4" s="1"/>
  <c r="S527" i="4"/>
  <c r="T527" i="4" s="1"/>
  <c r="U527" i="4" s="1"/>
  <c r="S375" i="4"/>
  <c r="T375" i="4" s="1"/>
  <c r="U375" i="4" s="1"/>
  <c r="S198" i="4"/>
  <c r="T198" i="4" s="1"/>
  <c r="U198" i="4" s="1"/>
  <c r="S205" i="4"/>
  <c r="T205" i="4" s="1"/>
  <c r="U205" i="4" s="1"/>
  <c r="S390" i="4"/>
  <c r="T390" i="4" s="1"/>
  <c r="U390" i="4" s="1"/>
  <c r="S260" i="4"/>
  <c r="T260" i="4" s="1"/>
  <c r="U260" i="4" s="1"/>
  <c r="S258" i="4"/>
  <c r="T258" i="4" s="1"/>
  <c r="U258" i="4" s="1"/>
  <c r="S259" i="4"/>
  <c r="T259" i="4" s="1"/>
  <c r="U259" i="4" s="1"/>
  <c r="S60" i="4"/>
  <c r="T60" i="4" s="1"/>
  <c r="U60" i="4" s="1"/>
  <c r="S70" i="4"/>
  <c r="T70" i="4" s="1"/>
  <c r="U70" i="4" s="1"/>
  <c r="S58" i="4"/>
  <c r="T58" i="4" s="1"/>
  <c r="U58" i="4" s="1"/>
  <c r="S49" i="4"/>
  <c r="T49" i="4" s="1"/>
  <c r="U49" i="4" s="1"/>
  <c r="S374" i="4"/>
  <c r="T374" i="4" s="1"/>
  <c r="U374" i="4" s="1"/>
  <c r="S372" i="4"/>
  <c r="T372" i="4" s="1"/>
  <c r="U372" i="4" s="1"/>
  <c r="S389" i="4"/>
  <c r="T389" i="4" s="1"/>
  <c r="U389" i="4" s="1"/>
  <c r="S111" i="4"/>
  <c r="T111" i="4" s="1"/>
  <c r="U111" i="4" s="1"/>
  <c r="S226" i="4"/>
  <c r="T226" i="4" s="1"/>
  <c r="U226" i="4" s="1"/>
  <c r="S489" i="4"/>
  <c r="T489" i="4" s="1"/>
  <c r="U489" i="4" s="1"/>
  <c r="S373" i="4"/>
  <c r="T373" i="4" s="1"/>
  <c r="U373" i="4" s="1"/>
  <c r="R148" i="4"/>
  <c r="N470" i="4" l="1"/>
  <c r="O470" i="4" s="1"/>
  <c r="P470" i="4" s="1"/>
  <c r="K470" i="4"/>
  <c r="L470" i="4" s="1"/>
  <c r="N447" i="4"/>
  <c r="O447" i="4" s="1"/>
  <c r="P447" i="4" s="1"/>
  <c r="K447" i="4"/>
  <c r="L447" i="4" s="1"/>
  <c r="N225" i="4"/>
  <c r="O225" i="4" s="1"/>
  <c r="P225" i="4" s="1"/>
  <c r="K225" i="4"/>
  <c r="L225" i="4" s="1"/>
  <c r="N224" i="4"/>
  <c r="O224" i="4" s="1"/>
  <c r="P224" i="4" s="1"/>
  <c r="K224" i="4"/>
  <c r="L224" i="4" s="1"/>
  <c r="N386" i="4"/>
  <c r="O386" i="4" s="1"/>
  <c r="P386" i="4" s="1"/>
  <c r="K386" i="4"/>
  <c r="L386" i="4" s="1"/>
  <c r="N369" i="4"/>
  <c r="O369" i="4" s="1"/>
  <c r="P369" i="4" s="1"/>
  <c r="K369" i="4"/>
  <c r="L369" i="4" s="1"/>
  <c r="N368" i="4"/>
  <c r="O368" i="4" s="1"/>
  <c r="P368" i="4" s="1"/>
  <c r="K368" i="4"/>
  <c r="L368" i="4" s="1"/>
  <c r="D367" i="4"/>
  <c r="N367" i="4"/>
  <c r="O367" i="4" s="1"/>
  <c r="P367" i="4" s="1"/>
  <c r="K367" i="4"/>
  <c r="L367" i="4" s="1"/>
  <c r="N366" i="4"/>
  <c r="O366" i="4" s="1"/>
  <c r="P366" i="4" s="1"/>
  <c r="K366" i="4"/>
  <c r="L366" i="4" s="1"/>
  <c r="N365" i="4"/>
  <c r="O365" i="4" s="1"/>
  <c r="P365" i="4" s="1"/>
  <c r="K365" i="4"/>
  <c r="L365" i="4" s="1"/>
  <c r="N364" i="4"/>
  <c r="O364" i="4" s="1"/>
  <c r="P364" i="4" s="1"/>
  <c r="K364" i="4"/>
  <c r="L364" i="4" s="1"/>
  <c r="H6" i="1"/>
  <c r="Q388" i="4" l="1"/>
  <c r="Q287" i="4"/>
  <c r="Q282" i="4"/>
  <c r="S282" i="4" s="1"/>
  <c r="T282" i="4" s="1"/>
  <c r="U282" i="4" s="1"/>
  <c r="Q87" i="4"/>
  <c r="S87" i="4" s="1"/>
  <c r="T87" i="4" s="1"/>
  <c r="U87" i="4" s="1"/>
  <c r="Q371" i="4"/>
  <c r="S371" i="4" s="1"/>
  <c r="T371" i="4" s="1"/>
  <c r="U371" i="4" s="1"/>
  <c r="Q281" i="4"/>
  <c r="Q280" i="4"/>
  <c r="Q387" i="4"/>
  <c r="Q370" i="4"/>
  <c r="S370" i="4" s="1"/>
  <c r="T370" i="4" s="1"/>
  <c r="U370" i="4" s="1"/>
  <c r="Q284" i="4"/>
  <c r="Q279" i="4"/>
  <c r="Q428" i="4"/>
  <c r="Q286" i="4"/>
  <c r="Q285" i="4"/>
  <c r="Q283" i="4"/>
  <c r="Q278" i="4"/>
  <c r="Q36" i="4"/>
  <c r="S36" i="4" s="1"/>
  <c r="T36" i="4" s="1"/>
  <c r="U36" i="4" s="1"/>
  <c r="Q35" i="4"/>
  <c r="S35" i="4" s="1"/>
  <c r="T35" i="4" s="1"/>
  <c r="U35" i="4" s="1"/>
  <c r="Q470" i="4"/>
  <c r="S470" i="4" s="1"/>
  <c r="T470" i="4" s="1"/>
  <c r="U470" i="4" s="1"/>
  <c r="Q225" i="4"/>
  <c r="S225" i="4" s="1"/>
  <c r="Q365" i="4"/>
  <c r="S365" i="4" s="1"/>
  <c r="T365" i="4" s="1"/>
  <c r="U365" i="4" s="1"/>
  <c r="Q447" i="4"/>
  <c r="S447" i="4" s="1"/>
  <c r="Q386" i="4"/>
  <c r="S386" i="4" s="1"/>
  <c r="Q366" i="4"/>
  <c r="S366" i="4" s="1"/>
  <c r="Q369" i="4"/>
  <c r="S369" i="4" s="1"/>
  <c r="Q224" i="4"/>
  <c r="S224" i="4" s="1"/>
  <c r="Q368" i="4"/>
  <c r="S368" i="4" s="1"/>
  <c r="Q364" i="4"/>
  <c r="S364" i="4" s="1"/>
  <c r="Q367" i="4"/>
  <c r="K475" i="4"/>
  <c r="L475" i="4" s="1"/>
  <c r="K462" i="4"/>
  <c r="L462" i="4" s="1"/>
  <c r="K460" i="4"/>
  <c r="L460" i="4" s="1"/>
  <c r="K155" i="4"/>
  <c r="L155" i="4" s="1"/>
  <c r="S428" i="4" l="1"/>
  <c r="T428" i="4" s="1"/>
  <c r="U428" i="4" s="1"/>
  <c r="S387" i="4"/>
  <c r="T387" i="4" s="1"/>
  <c r="U387" i="4" s="1"/>
  <c r="S283" i="4"/>
  <c r="T283" i="4" s="1"/>
  <c r="U283" i="4" s="1"/>
  <c r="S279" i="4"/>
  <c r="T279" i="4" s="1"/>
  <c r="U279" i="4" s="1"/>
  <c r="S280" i="4"/>
  <c r="T280" i="4" s="1"/>
  <c r="U280" i="4" s="1"/>
  <c r="S278" i="4"/>
  <c r="T278" i="4" s="1"/>
  <c r="U278" i="4" s="1"/>
  <c r="S285" i="4"/>
  <c r="T285" i="4" s="1"/>
  <c r="U285" i="4" s="1"/>
  <c r="S284" i="4"/>
  <c r="T284" i="4" s="1"/>
  <c r="U284" i="4" s="1"/>
  <c r="S281" i="4"/>
  <c r="T281" i="4" s="1"/>
  <c r="U281" i="4" s="1"/>
  <c r="S287" i="4"/>
  <c r="T287" i="4" s="1"/>
  <c r="U287" i="4" s="1"/>
  <c r="S286" i="4"/>
  <c r="T286" i="4" s="1"/>
  <c r="U286" i="4" s="1"/>
  <c r="S388" i="4"/>
  <c r="T388" i="4" s="1"/>
  <c r="U388" i="4" s="1"/>
  <c r="T225" i="4"/>
  <c r="U225" i="4" s="1"/>
  <c r="S367" i="4"/>
  <c r="T367" i="4" s="1"/>
  <c r="U367" i="4" s="1"/>
  <c r="T368" i="4"/>
  <c r="U368" i="4" s="1"/>
  <c r="T447" i="4"/>
  <c r="U447" i="4" s="1"/>
  <c r="T386" i="4"/>
  <c r="U386" i="4" s="1"/>
  <c r="T366" i="4"/>
  <c r="U366" i="4" s="1"/>
  <c r="T224" i="4"/>
  <c r="U224" i="4" s="1"/>
  <c r="T369" i="4"/>
  <c r="U369" i="4" s="1"/>
  <c r="T364" i="4"/>
  <c r="U364" i="4" s="1"/>
  <c r="M118" i="4" l="1"/>
  <c r="K129" i="4"/>
  <c r="L129" i="4" s="1"/>
  <c r="K127" i="4"/>
  <c r="L127" i="4" s="1"/>
  <c r="K121" i="4"/>
  <c r="L121" i="4" s="1"/>
  <c r="K142" i="4"/>
  <c r="L142" i="4" s="1"/>
  <c r="K119" i="4"/>
  <c r="L119" i="4" s="1"/>
  <c r="K159" i="4"/>
  <c r="L159" i="4" s="1"/>
  <c r="K165" i="4"/>
  <c r="L165" i="4" s="1"/>
  <c r="K89" i="4"/>
  <c r="L89" i="4" s="1"/>
  <c r="K152" i="4"/>
  <c r="L152" i="4" s="1"/>
  <c r="K157" i="4"/>
  <c r="L157" i="4" s="1"/>
  <c r="K105" i="4"/>
  <c r="L105" i="4" s="1"/>
  <c r="K103" i="4"/>
  <c r="L103" i="4" s="1"/>
  <c r="K101" i="4"/>
  <c r="L101" i="4" s="1"/>
  <c r="K91" i="4"/>
  <c r="L91" i="4" s="1"/>
  <c r="K66" i="4"/>
  <c r="L66" i="4" s="1"/>
  <c r="K64" i="4"/>
  <c r="L64" i="4" s="1"/>
  <c r="K57" i="4"/>
  <c r="L57" i="4" s="1"/>
  <c r="K62" i="4"/>
  <c r="L62" i="4" s="1"/>
  <c r="K55" i="4"/>
  <c r="L55" i="4" s="1"/>
  <c r="K22" i="4"/>
  <c r="L22" i="4" s="1"/>
  <c r="K144" i="4"/>
  <c r="L144" i="4" s="1"/>
  <c r="K125" i="4"/>
  <c r="L125" i="4" s="1"/>
  <c r="K123" i="4"/>
  <c r="L123" i="4" s="1"/>
  <c r="K558" i="4"/>
  <c r="L558" i="4" s="1"/>
  <c r="K570" i="4"/>
  <c r="L570" i="4" s="1"/>
  <c r="K555" i="4"/>
  <c r="L555" i="4" s="1"/>
  <c r="K20" i="4"/>
  <c r="L20" i="4" s="1"/>
  <c r="K161" i="4"/>
  <c r="L161" i="4" s="1"/>
  <c r="K163" i="4"/>
  <c r="L163" i="4" s="1"/>
  <c r="N556" i="4"/>
  <c r="O556" i="4" s="1"/>
  <c r="P556" i="4" s="1"/>
  <c r="N23" i="4"/>
  <c r="O23" i="4" s="1"/>
  <c r="P23" i="4" s="1"/>
  <c r="K46" i="4"/>
  <c r="L46" i="4" s="1"/>
  <c r="K23" i="4"/>
  <c r="L23" i="4" s="1"/>
  <c r="K556" i="4"/>
  <c r="L556" i="4" s="1"/>
  <c r="R97" i="4"/>
  <c r="N82" i="4"/>
  <c r="K487" i="4"/>
  <c r="L487" i="4" s="1"/>
  <c r="K488" i="4"/>
  <c r="L488" i="4" s="1"/>
  <c r="N487" i="4"/>
  <c r="O487" i="4" s="1"/>
  <c r="P487" i="4" s="1"/>
  <c r="N488" i="4"/>
  <c r="O488" i="4" s="1"/>
  <c r="P488" i="4" s="1"/>
  <c r="N446" i="4"/>
  <c r="K446" i="4"/>
  <c r="L446" i="4" s="1"/>
  <c r="N523" i="4"/>
  <c r="O523" i="4" s="1"/>
  <c r="P523" i="4" s="1"/>
  <c r="N524" i="4"/>
  <c r="O524" i="4" s="1"/>
  <c r="P524" i="4" s="1"/>
  <c r="N525" i="4"/>
  <c r="O525" i="4" s="1"/>
  <c r="P525" i="4" s="1"/>
  <c r="N526" i="4"/>
  <c r="O526" i="4" s="1"/>
  <c r="P526" i="4" s="1"/>
  <c r="K526" i="4"/>
  <c r="L526" i="4" s="1"/>
  <c r="K525" i="4"/>
  <c r="L525" i="4" s="1"/>
  <c r="K524" i="4"/>
  <c r="L524" i="4" s="1"/>
  <c r="K523" i="4"/>
  <c r="L523" i="4" s="1"/>
  <c r="N273" i="4"/>
  <c r="O273" i="4" s="1"/>
  <c r="P273" i="4" s="1"/>
  <c r="N274" i="4"/>
  <c r="O274" i="4" s="1"/>
  <c r="P274" i="4" s="1"/>
  <c r="N275" i="4"/>
  <c r="O275" i="4" s="1"/>
  <c r="P275" i="4" s="1"/>
  <c r="N276" i="4"/>
  <c r="O276" i="4" s="1"/>
  <c r="P276" i="4" s="1"/>
  <c r="N277" i="4"/>
  <c r="O277" i="4" s="1"/>
  <c r="P277" i="4" s="1"/>
  <c r="K273" i="4"/>
  <c r="L273" i="4" s="1"/>
  <c r="K274" i="4"/>
  <c r="L274" i="4" s="1"/>
  <c r="K275" i="4"/>
  <c r="L275" i="4" s="1"/>
  <c r="K276" i="4"/>
  <c r="L276" i="4" s="1"/>
  <c r="K277" i="4"/>
  <c r="L277" i="4" s="1"/>
  <c r="N30" i="4"/>
  <c r="O30" i="4" s="1"/>
  <c r="P30" i="4" s="1"/>
  <c r="N31" i="4"/>
  <c r="O31" i="4" s="1"/>
  <c r="P31" i="4" s="1"/>
  <c r="N32" i="4"/>
  <c r="O32" i="4" s="1"/>
  <c r="P32" i="4" s="1"/>
  <c r="N33" i="4"/>
  <c r="O33" i="4" s="1"/>
  <c r="P33" i="4" s="1"/>
  <c r="N34" i="4"/>
  <c r="O34" i="4" s="1"/>
  <c r="P34" i="4" s="1"/>
  <c r="K34" i="4"/>
  <c r="L34" i="4" s="1"/>
  <c r="K33" i="4"/>
  <c r="L33" i="4" s="1"/>
  <c r="K32" i="4"/>
  <c r="L32" i="4" s="1"/>
  <c r="K31" i="4"/>
  <c r="L31" i="4" s="1"/>
  <c r="K30" i="4"/>
  <c r="L30" i="4" s="1"/>
  <c r="N434" i="4"/>
  <c r="O434" i="4" s="1"/>
  <c r="P434" i="4" s="1"/>
  <c r="K434" i="4"/>
  <c r="L434" i="4" s="1"/>
  <c r="M430" i="4"/>
  <c r="B44" i="1" s="1"/>
  <c r="N426" i="4"/>
  <c r="O426" i="4" s="1"/>
  <c r="P426" i="4" s="1"/>
  <c r="N427" i="4"/>
  <c r="O427" i="4" s="1"/>
  <c r="P427" i="4" s="1"/>
  <c r="K427" i="4"/>
  <c r="L427" i="4" s="1"/>
  <c r="K426" i="4"/>
  <c r="L426" i="4" s="1"/>
  <c r="K220" i="4"/>
  <c r="L220" i="4" s="1"/>
  <c r="K221" i="4"/>
  <c r="L221" i="4" s="1"/>
  <c r="Q221" i="4" s="1"/>
  <c r="K222" i="4"/>
  <c r="L222" i="4" s="1"/>
  <c r="K223" i="4"/>
  <c r="L223" i="4" s="1"/>
  <c r="N220" i="4"/>
  <c r="O220" i="4" s="1"/>
  <c r="P220" i="4" s="1"/>
  <c r="N221" i="4"/>
  <c r="O221" i="4" s="1"/>
  <c r="N222" i="4"/>
  <c r="O222" i="4" s="1"/>
  <c r="P222" i="4" s="1"/>
  <c r="N223" i="4"/>
  <c r="O223" i="4" s="1"/>
  <c r="P223" i="4" s="1"/>
  <c r="N381" i="4"/>
  <c r="N382" i="4"/>
  <c r="O382" i="4" s="1"/>
  <c r="P382" i="4" s="1"/>
  <c r="N383" i="4"/>
  <c r="O383" i="4" s="1"/>
  <c r="P383" i="4" s="1"/>
  <c r="N384" i="4"/>
  <c r="O384" i="4" s="1"/>
  <c r="P384" i="4" s="1"/>
  <c r="N385" i="4"/>
  <c r="O385" i="4" s="1"/>
  <c r="P385" i="4" s="1"/>
  <c r="K385" i="4"/>
  <c r="L385" i="4" s="1"/>
  <c r="K384" i="4"/>
  <c r="L384" i="4" s="1"/>
  <c r="K383" i="4"/>
  <c r="L383" i="4" s="1"/>
  <c r="K382" i="4"/>
  <c r="L382" i="4" s="1"/>
  <c r="K381" i="4"/>
  <c r="L381" i="4" s="1"/>
  <c r="K353" i="4"/>
  <c r="L353" i="4" s="1"/>
  <c r="N353" i="4"/>
  <c r="K354" i="4"/>
  <c r="L354" i="4" s="1"/>
  <c r="N354" i="4"/>
  <c r="O354" i="4" s="1"/>
  <c r="P354" i="4" s="1"/>
  <c r="K355" i="4"/>
  <c r="L355" i="4" s="1"/>
  <c r="N355" i="4"/>
  <c r="O355" i="4" s="1"/>
  <c r="P355" i="4" s="1"/>
  <c r="K356" i="4"/>
  <c r="L356" i="4" s="1"/>
  <c r="N356" i="4"/>
  <c r="O356" i="4" s="1"/>
  <c r="P356" i="4" s="1"/>
  <c r="K357" i="4"/>
  <c r="L357" i="4" s="1"/>
  <c r="N357" i="4"/>
  <c r="O357" i="4" s="1"/>
  <c r="P357" i="4" s="1"/>
  <c r="K358" i="4"/>
  <c r="L358" i="4" s="1"/>
  <c r="N358" i="4"/>
  <c r="O358" i="4" s="1"/>
  <c r="P358" i="4" s="1"/>
  <c r="K359" i="4"/>
  <c r="L359" i="4" s="1"/>
  <c r="N359" i="4"/>
  <c r="O359" i="4" s="1"/>
  <c r="P359" i="4" s="1"/>
  <c r="K360" i="4"/>
  <c r="L360" i="4" s="1"/>
  <c r="N360" i="4"/>
  <c r="O360" i="4" s="1"/>
  <c r="P360" i="4" s="1"/>
  <c r="K361" i="4"/>
  <c r="L361" i="4" s="1"/>
  <c r="N361" i="4"/>
  <c r="O361" i="4" s="1"/>
  <c r="P361" i="4" s="1"/>
  <c r="K362" i="4"/>
  <c r="L362" i="4" s="1"/>
  <c r="N362" i="4"/>
  <c r="O362" i="4" s="1"/>
  <c r="P362" i="4" s="1"/>
  <c r="K363" i="4"/>
  <c r="L363" i="4" s="1"/>
  <c r="N363" i="4"/>
  <c r="O363" i="4" s="1"/>
  <c r="P363" i="4" s="1"/>
  <c r="N393" i="4" l="1"/>
  <c r="O446" i="4"/>
  <c r="N449" i="4"/>
  <c r="O381" i="4"/>
  <c r="O393" i="4" s="1"/>
  <c r="D38" i="1"/>
  <c r="O353" i="4"/>
  <c r="N378" i="4"/>
  <c r="D36" i="1" s="1"/>
  <c r="Q525" i="4"/>
  <c r="S525" i="4" s="1"/>
  <c r="T525" i="4" s="1"/>
  <c r="U525" i="4" s="1"/>
  <c r="Q427" i="4"/>
  <c r="S427" i="4" s="1"/>
  <c r="T427" i="4" s="1"/>
  <c r="U427" i="4" s="1"/>
  <c r="Q434" i="4"/>
  <c r="S434" i="4" s="1"/>
  <c r="Q426" i="4"/>
  <c r="S426" i="4" s="1"/>
  <c r="T426" i="4" s="1"/>
  <c r="U426" i="4" s="1"/>
  <c r="Q526" i="4"/>
  <c r="S526" i="4" s="1"/>
  <c r="T526" i="4" s="1"/>
  <c r="U526" i="4" s="1"/>
  <c r="Q524" i="4"/>
  <c r="S524" i="4" s="1"/>
  <c r="Q523" i="4"/>
  <c r="S523" i="4" s="1"/>
  <c r="T523" i="4" s="1"/>
  <c r="U523" i="4" s="1"/>
  <c r="Q487" i="4"/>
  <c r="S487" i="4" s="1"/>
  <c r="T487" i="4" s="1"/>
  <c r="U487" i="4" s="1"/>
  <c r="Q488" i="4"/>
  <c r="S488" i="4" s="1"/>
  <c r="Q446" i="4"/>
  <c r="Q383" i="4"/>
  <c r="S383" i="4" s="1"/>
  <c r="T383" i="4" s="1"/>
  <c r="U383" i="4" s="1"/>
  <c r="Q31" i="4"/>
  <c r="S31" i="4" s="1"/>
  <c r="T31" i="4" s="1"/>
  <c r="U31" i="4" s="1"/>
  <c r="Q274" i="4"/>
  <c r="S274" i="4" s="1"/>
  <c r="T274" i="4" s="1"/>
  <c r="U274" i="4" s="1"/>
  <c r="Q30" i="4"/>
  <c r="S30" i="4" s="1"/>
  <c r="Q34" i="4"/>
  <c r="S34" i="4" s="1"/>
  <c r="T34" i="4" s="1"/>
  <c r="U34" i="4" s="1"/>
  <c r="Q275" i="4"/>
  <c r="S275" i="4" s="1"/>
  <c r="T275" i="4" s="1"/>
  <c r="U275" i="4" s="1"/>
  <c r="Q385" i="4"/>
  <c r="S385" i="4" s="1"/>
  <c r="T385" i="4" s="1"/>
  <c r="U385" i="4" s="1"/>
  <c r="Q33" i="4"/>
  <c r="S33" i="4" s="1"/>
  <c r="T33" i="4" s="1"/>
  <c r="U33" i="4" s="1"/>
  <c r="Q276" i="4"/>
  <c r="S276" i="4" s="1"/>
  <c r="T276" i="4" s="1"/>
  <c r="U276" i="4" s="1"/>
  <c r="Q362" i="4"/>
  <c r="S362" i="4" s="1"/>
  <c r="T362" i="4" s="1"/>
  <c r="U362" i="4" s="1"/>
  <c r="Q223" i="4"/>
  <c r="S223" i="4" s="1"/>
  <c r="T223" i="4" s="1"/>
  <c r="U223" i="4" s="1"/>
  <c r="Q23" i="4"/>
  <c r="S23" i="4" s="1"/>
  <c r="T23" i="4" s="1"/>
  <c r="U23" i="4" s="1"/>
  <c r="Q360" i="4"/>
  <c r="S360" i="4" s="1"/>
  <c r="T360" i="4" s="1"/>
  <c r="U360" i="4" s="1"/>
  <c r="Q363" i="4"/>
  <c r="S363" i="4" s="1"/>
  <c r="Q361" i="4"/>
  <c r="S361" i="4" s="1"/>
  <c r="T361" i="4" s="1"/>
  <c r="U361" i="4" s="1"/>
  <c r="Q359" i="4"/>
  <c r="S359" i="4" s="1"/>
  <c r="Q357" i="4"/>
  <c r="S357" i="4" s="1"/>
  <c r="T357" i="4" s="1"/>
  <c r="U357" i="4" s="1"/>
  <c r="Q355" i="4"/>
  <c r="S355" i="4" s="1"/>
  <c r="Q384" i="4"/>
  <c r="S384" i="4" s="1"/>
  <c r="Q222" i="4"/>
  <c r="Q32" i="4"/>
  <c r="S32" i="4" s="1"/>
  <c r="Q277" i="4"/>
  <c r="S277" i="4" s="1"/>
  <c r="T277" i="4" s="1"/>
  <c r="U277" i="4" s="1"/>
  <c r="Q273" i="4"/>
  <c r="S273" i="4" s="1"/>
  <c r="Q358" i="4"/>
  <c r="Q356" i="4"/>
  <c r="S356" i="4" s="1"/>
  <c r="Q354" i="4"/>
  <c r="S354" i="4" s="1"/>
  <c r="T354" i="4" s="1"/>
  <c r="U354" i="4" s="1"/>
  <c r="Q382" i="4"/>
  <c r="S382" i="4" s="1"/>
  <c r="T382" i="4" s="1"/>
  <c r="U382" i="4" s="1"/>
  <c r="Q220" i="4"/>
  <c r="S220" i="4" s="1"/>
  <c r="T220" i="4" s="1"/>
  <c r="U220" i="4" s="1"/>
  <c r="N118" i="4"/>
  <c r="N17" i="4"/>
  <c r="O17" i="4" s="1"/>
  <c r="P17" i="4" s="1"/>
  <c r="Q556" i="4"/>
  <c r="S556" i="4" s="1"/>
  <c r="T556" i="4" s="1"/>
  <c r="U556" i="4" s="1"/>
  <c r="N46" i="4"/>
  <c r="O46" i="4" s="1"/>
  <c r="P46" i="4" s="1"/>
  <c r="Q46" i="4" s="1"/>
  <c r="P221" i="4"/>
  <c r="S221" i="4"/>
  <c r="T221" i="4" s="1"/>
  <c r="U221" i="4" s="1"/>
  <c r="R530" i="4"/>
  <c r="R504" i="4"/>
  <c r="R491" i="4"/>
  <c r="R441" i="4"/>
  <c r="R436" i="4"/>
  <c r="R430" i="4"/>
  <c r="N420" i="4"/>
  <c r="O420" i="4"/>
  <c r="P420" i="4"/>
  <c r="Q420" i="4"/>
  <c r="R420" i="4"/>
  <c r="S420" i="4"/>
  <c r="T420" i="4"/>
  <c r="U420" i="4"/>
  <c r="R417" i="4"/>
  <c r="R409" i="4"/>
  <c r="R350" i="4"/>
  <c r="R335" i="4"/>
  <c r="R289" i="4"/>
  <c r="R228" i="4"/>
  <c r="R138" i="4"/>
  <c r="R170" i="4" s="1"/>
  <c r="P445" i="4"/>
  <c r="P118" i="4"/>
  <c r="L118" i="4"/>
  <c r="Q118" i="4" s="1"/>
  <c r="N551" i="4"/>
  <c r="O551" i="4" s="1"/>
  <c r="P551" i="4" s="1"/>
  <c r="K551" i="4"/>
  <c r="N547" i="4"/>
  <c r="O547" i="4" s="1"/>
  <c r="P547" i="4" s="1"/>
  <c r="K547" i="4"/>
  <c r="N546" i="4"/>
  <c r="O546" i="4" s="1"/>
  <c r="P546" i="4" s="1"/>
  <c r="K546" i="4"/>
  <c r="N542" i="4"/>
  <c r="O542" i="4" s="1"/>
  <c r="P542" i="4" s="1"/>
  <c r="K542" i="4"/>
  <c r="N541" i="4"/>
  <c r="O541" i="4" s="1"/>
  <c r="P541" i="4" s="1"/>
  <c r="K541" i="4"/>
  <c r="M537" i="4"/>
  <c r="K537" i="4"/>
  <c r="N536" i="4"/>
  <c r="O536" i="4" s="1"/>
  <c r="P536" i="4" s="1"/>
  <c r="K536" i="4"/>
  <c r="N522" i="4"/>
  <c r="O522" i="4" s="1"/>
  <c r="P522" i="4" s="1"/>
  <c r="K522" i="4"/>
  <c r="N521" i="4"/>
  <c r="O521" i="4" s="1"/>
  <c r="P521" i="4" s="1"/>
  <c r="K521" i="4"/>
  <c r="M520" i="4"/>
  <c r="K520" i="4"/>
  <c r="N519" i="4"/>
  <c r="O519" i="4" s="1"/>
  <c r="P519" i="4" s="1"/>
  <c r="K519" i="4"/>
  <c r="N518" i="4"/>
  <c r="O518" i="4" s="1"/>
  <c r="P518" i="4" s="1"/>
  <c r="K518" i="4"/>
  <c r="N517" i="4"/>
  <c r="O517" i="4" s="1"/>
  <c r="P517" i="4" s="1"/>
  <c r="K517" i="4"/>
  <c r="N516" i="4"/>
  <c r="O516" i="4" s="1"/>
  <c r="P516" i="4" s="1"/>
  <c r="K516" i="4"/>
  <c r="M515" i="4"/>
  <c r="K515" i="4"/>
  <c r="N514" i="4"/>
  <c r="O514" i="4" s="1"/>
  <c r="P514" i="4" s="1"/>
  <c r="K514" i="4"/>
  <c r="N513" i="4"/>
  <c r="O513" i="4" s="1"/>
  <c r="P513" i="4" s="1"/>
  <c r="K513" i="4"/>
  <c r="N512" i="4"/>
  <c r="O512" i="4" s="1"/>
  <c r="P512" i="4" s="1"/>
  <c r="K512" i="4"/>
  <c r="N511" i="4"/>
  <c r="O511" i="4" s="1"/>
  <c r="P511" i="4" s="1"/>
  <c r="K511" i="4"/>
  <c r="N510" i="4"/>
  <c r="O510" i="4" s="1"/>
  <c r="P510" i="4" s="1"/>
  <c r="K510" i="4"/>
  <c r="N509" i="4"/>
  <c r="O509" i="4" s="1"/>
  <c r="P509" i="4" s="1"/>
  <c r="K509" i="4"/>
  <c r="N508" i="4"/>
  <c r="O508" i="4" s="1"/>
  <c r="P508" i="4" s="1"/>
  <c r="K508" i="4"/>
  <c r="N507" i="4"/>
  <c r="O507" i="4" s="1"/>
  <c r="P507" i="4" s="1"/>
  <c r="K507" i="4"/>
  <c r="M504" i="4"/>
  <c r="B58" i="1" s="1"/>
  <c r="N502" i="4"/>
  <c r="O502" i="4" s="1"/>
  <c r="P502" i="4" s="1"/>
  <c r="K502" i="4"/>
  <c r="N501" i="4"/>
  <c r="O501" i="4" s="1"/>
  <c r="P501" i="4" s="1"/>
  <c r="K501" i="4"/>
  <c r="N500" i="4"/>
  <c r="O500" i="4" s="1"/>
  <c r="P500" i="4" s="1"/>
  <c r="K500" i="4"/>
  <c r="N499" i="4"/>
  <c r="O499" i="4" s="1"/>
  <c r="P499" i="4" s="1"/>
  <c r="K499" i="4"/>
  <c r="N560" i="4"/>
  <c r="O560" i="4" s="1"/>
  <c r="P560" i="4" s="1"/>
  <c r="K560" i="4"/>
  <c r="N498" i="4"/>
  <c r="O498" i="4" s="1"/>
  <c r="P498" i="4" s="1"/>
  <c r="K498" i="4"/>
  <c r="N497" i="4"/>
  <c r="O497" i="4" s="1"/>
  <c r="P497" i="4" s="1"/>
  <c r="K497" i="4"/>
  <c r="N496" i="4"/>
  <c r="O496" i="4" s="1"/>
  <c r="P496" i="4" s="1"/>
  <c r="K496" i="4"/>
  <c r="N495" i="4"/>
  <c r="O495" i="4" s="1"/>
  <c r="P495" i="4" s="1"/>
  <c r="K495" i="4"/>
  <c r="N494" i="4"/>
  <c r="O494" i="4" s="1"/>
  <c r="P494" i="4" s="1"/>
  <c r="K494" i="4"/>
  <c r="N484" i="4"/>
  <c r="O484" i="4" s="1"/>
  <c r="P484" i="4" s="1"/>
  <c r="K484" i="4"/>
  <c r="N483" i="4"/>
  <c r="O483" i="4" s="1"/>
  <c r="P483" i="4" s="1"/>
  <c r="K483" i="4"/>
  <c r="N482" i="4"/>
  <c r="O482" i="4" s="1"/>
  <c r="P482" i="4" s="1"/>
  <c r="K482" i="4"/>
  <c r="N481" i="4"/>
  <c r="O481" i="4" s="1"/>
  <c r="P481" i="4" s="1"/>
  <c r="K481" i="4"/>
  <c r="N480" i="4"/>
  <c r="O480" i="4" s="1"/>
  <c r="P480" i="4" s="1"/>
  <c r="K480" i="4"/>
  <c r="N479" i="4"/>
  <c r="O479" i="4" s="1"/>
  <c r="P479" i="4" s="1"/>
  <c r="K479" i="4"/>
  <c r="N478" i="4"/>
  <c r="O478" i="4" s="1"/>
  <c r="P478" i="4" s="1"/>
  <c r="K478" i="4"/>
  <c r="N477" i="4"/>
  <c r="O477" i="4" s="1"/>
  <c r="P477" i="4" s="1"/>
  <c r="K477" i="4"/>
  <c r="N476" i="4"/>
  <c r="O476" i="4" s="1"/>
  <c r="P476" i="4" s="1"/>
  <c r="K476" i="4"/>
  <c r="K474" i="4"/>
  <c r="N473" i="4"/>
  <c r="O473" i="4" s="1"/>
  <c r="P473" i="4" s="1"/>
  <c r="K473" i="4"/>
  <c r="N472" i="4"/>
  <c r="O472" i="4" s="1"/>
  <c r="P472" i="4" s="1"/>
  <c r="K472" i="4"/>
  <c r="N471" i="4"/>
  <c r="O471" i="4" s="1"/>
  <c r="P471" i="4" s="1"/>
  <c r="K471" i="4"/>
  <c r="M469" i="4"/>
  <c r="N469" i="4" s="1"/>
  <c r="O469" i="4" s="1"/>
  <c r="P469" i="4" s="1"/>
  <c r="K469" i="4"/>
  <c r="N468" i="4"/>
  <c r="O468" i="4" s="1"/>
  <c r="P468" i="4" s="1"/>
  <c r="K468" i="4"/>
  <c r="N467" i="4"/>
  <c r="O467" i="4" s="1"/>
  <c r="P467" i="4" s="1"/>
  <c r="K467" i="4"/>
  <c r="N466" i="4"/>
  <c r="O466" i="4" s="1"/>
  <c r="P466" i="4" s="1"/>
  <c r="K466" i="4"/>
  <c r="N465" i="4"/>
  <c r="O465" i="4" s="1"/>
  <c r="P465" i="4" s="1"/>
  <c r="K465" i="4"/>
  <c r="N463" i="4"/>
  <c r="O463" i="4" s="1"/>
  <c r="P463" i="4" s="1"/>
  <c r="K463" i="4"/>
  <c r="K461" i="4"/>
  <c r="K459" i="4"/>
  <c r="N458" i="4"/>
  <c r="O458" i="4" s="1"/>
  <c r="P458" i="4" s="1"/>
  <c r="K458" i="4"/>
  <c r="N456" i="4"/>
  <c r="O456" i="4" s="1"/>
  <c r="P456" i="4" s="1"/>
  <c r="K456" i="4"/>
  <c r="N455" i="4"/>
  <c r="O455" i="4" s="1"/>
  <c r="P455" i="4" s="1"/>
  <c r="K455" i="4"/>
  <c r="N453" i="4"/>
  <c r="O453" i="4" s="1"/>
  <c r="P453" i="4" s="1"/>
  <c r="K453" i="4"/>
  <c r="N486" i="4"/>
  <c r="O486" i="4" s="1"/>
  <c r="P486" i="4" s="1"/>
  <c r="K486" i="4"/>
  <c r="N485" i="4"/>
  <c r="O485" i="4" s="1"/>
  <c r="P485" i="4" s="1"/>
  <c r="K485" i="4"/>
  <c r="K154" i="4"/>
  <c r="N153" i="4"/>
  <c r="O153" i="4" s="1"/>
  <c r="P153" i="4" s="1"/>
  <c r="K153" i="4"/>
  <c r="M441" i="4"/>
  <c r="B48" i="1" s="1"/>
  <c r="N439" i="4"/>
  <c r="K439" i="4"/>
  <c r="M436" i="4"/>
  <c r="B46" i="1" s="1"/>
  <c r="N433" i="4"/>
  <c r="N436" i="4" s="1"/>
  <c r="D46" i="1" s="1"/>
  <c r="K433" i="4"/>
  <c r="N425" i="4"/>
  <c r="O425" i="4" s="1"/>
  <c r="P425" i="4" s="1"/>
  <c r="K425" i="4"/>
  <c r="N424" i="4"/>
  <c r="O424" i="4" s="1"/>
  <c r="P424" i="4" s="1"/>
  <c r="K424" i="4"/>
  <c r="N423" i="4"/>
  <c r="O423" i="4" s="1"/>
  <c r="P423" i="4" s="1"/>
  <c r="K423" i="4"/>
  <c r="N422" i="4"/>
  <c r="K422" i="4"/>
  <c r="M420" i="4"/>
  <c r="M417" i="4"/>
  <c r="B42" i="1" s="1"/>
  <c r="N415" i="4"/>
  <c r="O415" i="4" s="1"/>
  <c r="P415" i="4" s="1"/>
  <c r="K415" i="4"/>
  <c r="N414" i="4"/>
  <c r="O414" i="4" s="1"/>
  <c r="P414" i="4" s="1"/>
  <c r="K414" i="4"/>
  <c r="N413" i="4"/>
  <c r="O413" i="4" s="1"/>
  <c r="P413" i="4" s="1"/>
  <c r="K413" i="4"/>
  <c r="N412" i="4"/>
  <c r="O412" i="4" s="1"/>
  <c r="P412" i="4" s="1"/>
  <c r="K412" i="4"/>
  <c r="N407" i="4"/>
  <c r="O407" i="4" s="1"/>
  <c r="P407" i="4" s="1"/>
  <c r="K407" i="4"/>
  <c r="M406" i="4"/>
  <c r="N406" i="4" s="1"/>
  <c r="O406" i="4" s="1"/>
  <c r="P406" i="4" s="1"/>
  <c r="K406" i="4"/>
  <c r="N405" i="4"/>
  <c r="O405" i="4" s="1"/>
  <c r="P405" i="4" s="1"/>
  <c r="K405" i="4"/>
  <c r="N404" i="4"/>
  <c r="O404" i="4" s="1"/>
  <c r="P404" i="4" s="1"/>
  <c r="K404" i="4"/>
  <c r="N403" i="4"/>
  <c r="O403" i="4" s="1"/>
  <c r="P403" i="4" s="1"/>
  <c r="K403" i="4"/>
  <c r="N402" i="4"/>
  <c r="O402" i="4" s="1"/>
  <c r="P402" i="4" s="1"/>
  <c r="K402" i="4"/>
  <c r="M401" i="4"/>
  <c r="N401" i="4" s="1"/>
  <c r="O401" i="4" s="1"/>
  <c r="P401" i="4" s="1"/>
  <c r="K401" i="4"/>
  <c r="N400" i="4"/>
  <c r="O400" i="4" s="1"/>
  <c r="P400" i="4" s="1"/>
  <c r="K400" i="4"/>
  <c r="N399" i="4"/>
  <c r="O399" i="4" s="1"/>
  <c r="P399" i="4" s="1"/>
  <c r="K399" i="4"/>
  <c r="M398" i="4"/>
  <c r="K398" i="4"/>
  <c r="N397" i="4"/>
  <c r="K397" i="4"/>
  <c r="N348" i="4"/>
  <c r="O348" i="4" s="1"/>
  <c r="P348" i="4" s="1"/>
  <c r="K348" i="4"/>
  <c r="N347" i="4"/>
  <c r="O347" i="4" s="1"/>
  <c r="P347" i="4" s="1"/>
  <c r="K347" i="4"/>
  <c r="N346" i="4"/>
  <c r="O346" i="4" s="1"/>
  <c r="P346" i="4" s="1"/>
  <c r="K346" i="4"/>
  <c r="N345" i="4"/>
  <c r="O345" i="4" s="1"/>
  <c r="P345" i="4" s="1"/>
  <c r="K345" i="4"/>
  <c r="N344" i="4"/>
  <c r="O344" i="4" s="1"/>
  <c r="P344" i="4" s="1"/>
  <c r="K344" i="4"/>
  <c r="N343" i="4"/>
  <c r="O343" i="4" s="1"/>
  <c r="P343" i="4" s="1"/>
  <c r="K343" i="4"/>
  <c r="N342" i="4"/>
  <c r="O342" i="4" s="1"/>
  <c r="P342" i="4" s="1"/>
  <c r="K342" i="4"/>
  <c r="N341" i="4"/>
  <c r="O341" i="4" s="1"/>
  <c r="P341" i="4" s="1"/>
  <c r="K341" i="4"/>
  <c r="N340" i="4"/>
  <c r="O340" i="4" s="1"/>
  <c r="P340" i="4" s="1"/>
  <c r="K340" i="4"/>
  <c r="N339" i="4"/>
  <c r="O339" i="4" s="1"/>
  <c r="P339" i="4" s="1"/>
  <c r="K339" i="4"/>
  <c r="M338" i="4"/>
  <c r="M350" i="4" s="1"/>
  <c r="B34" i="1" s="1"/>
  <c r="K338" i="4"/>
  <c r="N333" i="4"/>
  <c r="O333" i="4" s="1"/>
  <c r="P333" i="4" s="1"/>
  <c r="K333" i="4"/>
  <c r="N332" i="4"/>
  <c r="O332" i="4" s="1"/>
  <c r="P332" i="4" s="1"/>
  <c r="K332" i="4"/>
  <c r="N331" i="4"/>
  <c r="O331" i="4" s="1"/>
  <c r="P331" i="4" s="1"/>
  <c r="K331" i="4"/>
  <c r="N330" i="4"/>
  <c r="O330" i="4" s="1"/>
  <c r="P330" i="4" s="1"/>
  <c r="K330" i="4"/>
  <c r="N329" i="4"/>
  <c r="O329" i="4" s="1"/>
  <c r="P329" i="4" s="1"/>
  <c r="K329" i="4"/>
  <c r="N328" i="4"/>
  <c r="O328" i="4" s="1"/>
  <c r="P328" i="4" s="1"/>
  <c r="K328" i="4"/>
  <c r="M327" i="4"/>
  <c r="N327" i="4" s="1"/>
  <c r="O327" i="4" s="1"/>
  <c r="P327" i="4" s="1"/>
  <c r="K327" i="4"/>
  <c r="N326" i="4"/>
  <c r="O326" i="4" s="1"/>
  <c r="P326" i="4" s="1"/>
  <c r="K326" i="4"/>
  <c r="N325" i="4"/>
  <c r="O325" i="4" s="1"/>
  <c r="P325" i="4" s="1"/>
  <c r="K325" i="4"/>
  <c r="N324" i="4"/>
  <c r="O324" i="4" s="1"/>
  <c r="P324" i="4" s="1"/>
  <c r="K324" i="4"/>
  <c r="N323" i="4"/>
  <c r="O323" i="4" s="1"/>
  <c r="P323" i="4" s="1"/>
  <c r="K323" i="4"/>
  <c r="N322" i="4"/>
  <c r="O322" i="4" s="1"/>
  <c r="P322" i="4" s="1"/>
  <c r="K322" i="4"/>
  <c r="N321" i="4"/>
  <c r="O321" i="4" s="1"/>
  <c r="P321" i="4" s="1"/>
  <c r="K321" i="4"/>
  <c r="N320" i="4"/>
  <c r="O320" i="4" s="1"/>
  <c r="P320" i="4" s="1"/>
  <c r="K320" i="4"/>
  <c r="N319" i="4"/>
  <c r="O319" i="4" s="1"/>
  <c r="P319" i="4" s="1"/>
  <c r="K319" i="4"/>
  <c r="N318" i="4"/>
  <c r="O318" i="4" s="1"/>
  <c r="P318" i="4" s="1"/>
  <c r="K318" i="4"/>
  <c r="N317" i="4"/>
  <c r="O317" i="4" s="1"/>
  <c r="P317" i="4" s="1"/>
  <c r="K317" i="4"/>
  <c r="N316" i="4"/>
  <c r="O316" i="4" s="1"/>
  <c r="P316" i="4" s="1"/>
  <c r="K316" i="4"/>
  <c r="N315" i="4"/>
  <c r="O315" i="4" s="1"/>
  <c r="P315" i="4" s="1"/>
  <c r="K315" i="4"/>
  <c r="M314" i="4"/>
  <c r="N314" i="4" s="1"/>
  <c r="O314" i="4" s="1"/>
  <c r="P314" i="4" s="1"/>
  <c r="K314" i="4"/>
  <c r="D314" i="4"/>
  <c r="D335" i="4" s="1"/>
  <c r="N313" i="4"/>
  <c r="O313" i="4" s="1"/>
  <c r="P313" i="4" s="1"/>
  <c r="K313" i="4"/>
  <c r="N312" i="4"/>
  <c r="O312" i="4" s="1"/>
  <c r="P312" i="4" s="1"/>
  <c r="K312" i="4"/>
  <c r="N311" i="4"/>
  <c r="O311" i="4" s="1"/>
  <c r="P311" i="4" s="1"/>
  <c r="K311" i="4"/>
  <c r="N310" i="4"/>
  <c r="O310" i="4" s="1"/>
  <c r="P310" i="4" s="1"/>
  <c r="K310" i="4"/>
  <c r="N309" i="4"/>
  <c r="O309" i="4" s="1"/>
  <c r="P309" i="4" s="1"/>
  <c r="K309" i="4"/>
  <c r="N308" i="4"/>
  <c r="O308" i="4" s="1"/>
  <c r="P308" i="4" s="1"/>
  <c r="K308" i="4"/>
  <c r="N307" i="4"/>
  <c r="O307" i="4" s="1"/>
  <c r="P307" i="4" s="1"/>
  <c r="K307" i="4"/>
  <c r="N306" i="4"/>
  <c r="O306" i="4" s="1"/>
  <c r="P306" i="4" s="1"/>
  <c r="K306" i="4"/>
  <c r="N305" i="4"/>
  <c r="O305" i="4" s="1"/>
  <c r="P305" i="4" s="1"/>
  <c r="K305" i="4"/>
  <c r="M304" i="4"/>
  <c r="N304" i="4" s="1"/>
  <c r="O304" i="4" s="1"/>
  <c r="P304" i="4" s="1"/>
  <c r="K304" i="4"/>
  <c r="M303" i="4"/>
  <c r="N303" i="4" s="1"/>
  <c r="O303" i="4" s="1"/>
  <c r="P303" i="4" s="1"/>
  <c r="K303" i="4"/>
  <c r="N302" i="4"/>
  <c r="O302" i="4" s="1"/>
  <c r="P302" i="4" s="1"/>
  <c r="K302" i="4"/>
  <c r="M301" i="4"/>
  <c r="N301" i="4" s="1"/>
  <c r="O301" i="4" s="1"/>
  <c r="P301" i="4" s="1"/>
  <c r="K301" i="4"/>
  <c r="N300" i="4"/>
  <c r="O300" i="4" s="1"/>
  <c r="P300" i="4" s="1"/>
  <c r="K300" i="4"/>
  <c r="N299" i="4"/>
  <c r="O299" i="4" s="1"/>
  <c r="P299" i="4" s="1"/>
  <c r="K299" i="4"/>
  <c r="M298" i="4"/>
  <c r="N298" i="4" s="1"/>
  <c r="O298" i="4" s="1"/>
  <c r="P298" i="4" s="1"/>
  <c r="K298" i="4"/>
  <c r="N297" i="4"/>
  <c r="O297" i="4" s="1"/>
  <c r="P297" i="4" s="1"/>
  <c r="K297" i="4"/>
  <c r="N296" i="4"/>
  <c r="O296" i="4" s="1"/>
  <c r="P296" i="4" s="1"/>
  <c r="K296" i="4"/>
  <c r="M295" i="4"/>
  <c r="N295" i="4" s="1"/>
  <c r="O295" i="4" s="1"/>
  <c r="P295" i="4" s="1"/>
  <c r="K295" i="4"/>
  <c r="M294" i="4"/>
  <c r="N294" i="4" s="1"/>
  <c r="K294" i="4"/>
  <c r="N293" i="4"/>
  <c r="O293" i="4" s="1"/>
  <c r="P293" i="4" s="1"/>
  <c r="K293" i="4"/>
  <c r="M292" i="4"/>
  <c r="K292" i="4"/>
  <c r="D289" i="4"/>
  <c r="N272" i="4"/>
  <c r="O272" i="4" s="1"/>
  <c r="P272" i="4" s="1"/>
  <c r="K272" i="4"/>
  <c r="N271" i="4"/>
  <c r="O271" i="4" s="1"/>
  <c r="P271" i="4" s="1"/>
  <c r="K271" i="4"/>
  <c r="N270" i="4"/>
  <c r="O270" i="4" s="1"/>
  <c r="P270" i="4" s="1"/>
  <c r="K270" i="4"/>
  <c r="N269" i="4"/>
  <c r="O269" i="4" s="1"/>
  <c r="P269" i="4" s="1"/>
  <c r="K269" i="4"/>
  <c r="N268" i="4"/>
  <c r="O268" i="4" s="1"/>
  <c r="P268" i="4" s="1"/>
  <c r="K268" i="4"/>
  <c r="N267" i="4"/>
  <c r="O267" i="4" s="1"/>
  <c r="P267" i="4" s="1"/>
  <c r="K267" i="4"/>
  <c r="N266" i="4"/>
  <c r="O266" i="4" s="1"/>
  <c r="P266" i="4" s="1"/>
  <c r="K266" i="4"/>
  <c r="N265" i="4"/>
  <c r="O265" i="4" s="1"/>
  <c r="P265" i="4" s="1"/>
  <c r="K265" i="4"/>
  <c r="N264" i="4"/>
  <c r="O264" i="4" s="1"/>
  <c r="P264" i="4" s="1"/>
  <c r="K264" i="4"/>
  <c r="N263" i="4"/>
  <c r="O263" i="4" s="1"/>
  <c r="P263" i="4" s="1"/>
  <c r="K263" i="4"/>
  <c r="N262" i="4"/>
  <c r="O262" i="4" s="1"/>
  <c r="P262" i="4" s="1"/>
  <c r="K262" i="4"/>
  <c r="N261" i="4"/>
  <c r="O261" i="4" s="1"/>
  <c r="P261" i="4" s="1"/>
  <c r="K261" i="4"/>
  <c r="N257" i="4"/>
  <c r="O257" i="4" s="1"/>
  <c r="P257" i="4" s="1"/>
  <c r="K257" i="4"/>
  <c r="N256" i="4"/>
  <c r="O256" i="4" s="1"/>
  <c r="P256" i="4" s="1"/>
  <c r="K256" i="4"/>
  <c r="N255" i="4"/>
  <c r="O255" i="4" s="1"/>
  <c r="P255" i="4" s="1"/>
  <c r="K255" i="4"/>
  <c r="M254" i="4"/>
  <c r="N254" i="4" s="1"/>
  <c r="O254" i="4" s="1"/>
  <c r="P254" i="4" s="1"/>
  <c r="K254" i="4"/>
  <c r="N253" i="4"/>
  <c r="O253" i="4" s="1"/>
  <c r="P253" i="4" s="1"/>
  <c r="K253" i="4"/>
  <c r="N252" i="4"/>
  <c r="O252" i="4" s="1"/>
  <c r="P252" i="4" s="1"/>
  <c r="K252" i="4"/>
  <c r="N251" i="4"/>
  <c r="O251" i="4" s="1"/>
  <c r="P251" i="4" s="1"/>
  <c r="K251" i="4"/>
  <c r="N250" i="4"/>
  <c r="O250" i="4" s="1"/>
  <c r="P250" i="4" s="1"/>
  <c r="K250" i="4"/>
  <c r="N249" i="4"/>
  <c r="O249" i="4" s="1"/>
  <c r="P249" i="4" s="1"/>
  <c r="K249" i="4"/>
  <c r="N248" i="4"/>
  <c r="O248" i="4" s="1"/>
  <c r="P248" i="4" s="1"/>
  <c r="K248" i="4"/>
  <c r="N247" i="4"/>
  <c r="O247" i="4" s="1"/>
  <c r="P247" i="4" s="1"/>
  <c r="K247" i="4"/>
  <c r="M246" i="4"/>
  <c r="N246" i="4" s="1"/>
  <c r="O246" i="4" s="1"/>
  <c r="P246" i="4" s="1"/>
  <c r="K246" i="4"/>
  <c r="M245" i="4"/>
  <c r="K245" i="4"/>
  <c r="N244" i="4"/>
  <c r="O244" i="4" s="1"/>
  <c r="P244" i="4" s="1"/>
  <c r="K244" i="4"/>
  <c r="N243" i="4"/>
  <c r="O243" i="4" s="1"/>
  <c r="P243" i="4" s="1"/>
  <c r="K243" i="4"/>
  <c r="N242" i="4"/>
  <c r="O242" i="4" s="1"/>
  <c r="P242" i="4" s="1"/>
  <c r="K242" i="4"/>
  <c r="N241" i="4"/>
  <c r="O241" i="4" s="1"/>
  <c r="P241" i="4" s="1"/>
  <c r="K241" i="4"/>
  <c r="N240" i="4"/>
  <c r="O240" i="4" s="1"/>
  <c r="P240" i="4" s="1"/>
  <c r="K240" i="4"/>
  <c r="N239" i="4"/>
  <c r="O239" i="4" s="1"/>
  <c r="P239" i="4" s="1"/>
  <c r="K239" i="4"/>
  <c r="N238" i="4"/>
  <c r="O238" i="4" s="1"/>
  <c r="P238" i="4" s="1"/>
  <c r="K238" i="4"/>
  <c r="N237" i="4"/>
  <c r="O237" i="4" s="1"/>
  <c r="P237" i="4" s="1"/>
  <c r="K237" i="4"/>
  <c r="M236" i="4"/>
  <c r="N236" i="4" s="1"/>
  <c r="O236" i="4" s="1"/>
  <c r="P236" i="4" s="1"/>
  <c r="K236" i="4"/>
  <c r="N559" i="4"/>
  <c r="O559" i="4" s="1"/>
  <c r="P559" i="4" s="1"/>
  <c r="K559" i="4"/>
  <c r="N235" i="4"/>
  <c r="O235" i="4" s="1"/>
  <c r="P235" i="4" s="1"/>
  <c r="K235" i="4"/>
  <c r="N234" i="4"/>
  <c r="O234" i="4" s="1"/>
  <c r="P234" i="4" s="1"/>
  <c r="K234" i="4"/>
  <c r="N233" i="4"/>
  <c r="O233" i="4" s="1"/>
  <c r="P233" i="4" s="1"/>
  <c r="K233" i="4"/>
  <c r="N232" i="4"/>
  <c r="O232" i="4" s="1"/>
  <c r="P232" i="4" s="1"/>
  <c r="K232" i="4"/>
  <c r="N219" i="4"/>
  <c r="O219" i="4" s="1"/>
  <c r="P219" i="4" s="1"/>
  <c r="K219" i="4"/>
  <c r="N218" i="4"/>
  <c r="O218" i="4" s="1"/>
  <c r="P218" i="4" s="1"/>
  <c r="K218" i="4"/>
  <c r="N217" i="4"/>
  <c r="O217" i="4" s="1"/>
  <c r="P217" i="4" s="1"/>
  <c r="K217" i="4"/>
  <c r="N216" i="4"/>
  <c r="O216" i="4" s="1"/>
  <c r="P216" i="4" s="1"/>
  <c r="K216" i="4"/>
  <c r="M215" i="4"/>
  <c r="K215" i="4"/>
  <c r="D215" i="4"/>
  <c r="M214" i="4"/>
  <c r="N214" i="4" s="1"/>
  <c r="O214" i="4" s="1"/>
  <c r="P214" i="4" s="1"/>
  <c r="K214" i="4"/>
  <c r="D214" i="4"/>
  <c r="N213" i="4"/>
  <c r="O213" i="4" s="1"/>
  <c r="P213" i="4" s="1"/>
  <c r="K213" i="4"/>
  <c r="N212" i="4"/>
  <c r="O212" i="4" s="1"/>
  <c r="P212" i="4" s="1"/>
  <c r="K212" i="4"/>
  <c r="N211" i="4"/>
  <c r="O211" i="4" s="1"/>
  <c r="P211" i="4" s="1"/>
  <c r="K211" i="4"/>
  <c r="N210" i="4"/>
  <c r="O210" i="4" s="1"/>
  <c r="P210" i="4" s="1"/>
  <c r="K210" i="4"/>
  <c r="N209" i="4"/>
  <c r="O209" i="4" s="1"/>
  <c r="P209" i="4" s="1"/>
  <c r="K209" i="4"/>
  <c r="N208" i="4"/>
  <c r="O208" i="4" s="1"/>
  <c r="P208" i="4" s="1"/>
  <c r="K208" i="4"/>
  <c r="N207" i="4"/>
  <c r="O207" i="4" s="1"/>
  <c r="P207" i="4" s="1"/>
  <c r="K207" i="4"/>
  <c r="N206" i="4"/>
  <c r="O206" i="4" s="1"/>
  <c r="P206" i="4" s="1"/>
  <c r="K206" i="4"/>
  <c r="N204" i="4"/>
  <c r="O204" i="4" s="1"/>
  <c r="P204" i="4" s="1"/>
  <c r="K204" i="4"/>
  <c r="N203" i="4"/>
  <c r="O203" i="4" s="1"/>
  <c r="P203" i="4" s="1"/>
  <c r="K203" i="4"/>
  <c r="M202" i="4"/>
  <c r="N202" i="4" s="1"/>
  <c r="O202" i="4" s="1"/>
  <c r="P202" i="4" s="1"/>
  <c r="K202" i="4"/>
  <c r="N201" i="4"/>
  <c r="O201" i="4" s="1"/>
  <c r="P201" i="4" s="1"/>
  <c r="K201" i="4"/>
  <c r="N200" i="4"/>
  <c r="O200" i="4" s="1"/>
  <c r="P200" i="4" s="1"/>
  <c r="K200" i="4"/>
  <c r="N199" i="4"/>
  <c r="O199" i="4" s="1"/>
  <c r="P199" i="4" s="1"/>
  <c r="K199" i="4"/>
  <c r="M197" i="4"/>
  <c r="N197" i="4" s="1"/>
  <c r="O197" i="4" s="1"/>
  <c r="P197" i="4" s="1"/>
  <c r="K197" i="4"/>
  <c r="M196" i="4"/>
  <c r="N196" i="4" s="1"/>
  <c r="O196" i="4" s="1"/>
  <c r="P196" i="4" s="1"/>
  <c r="K196" i="4"/>
  <c r="M195" i="4"/>
  <c r="N195" i="4" s="1"/>
  <c r="O195" i="4" s="1"/>
  <c r="P195" i="4" s="1"/>
  <c r="K195" i="4"/>
  <c r="M194" i="4"/>
  <c r="N194" i="4" s="1"/>
  <c r="O194" i="4" s="1"/>
  <c r="P194" i="4" s="1"/>
  <c r="K194" i="4"/>
  <c r="N193" i="4"/>
  <c r="O193" i="4" s="1"/>
  <c r="P193" i="4" s="1"/>
  <c r="K193" i="4"/>
  <c r="N192" i="4"/>
  <c r="O192" i="4" s="1"/>
  <c r="P192" i="4" s="1"/>
  <c r="K192" i="4"/>
  <c r="M191" i="4"/>
  <c r="N191" i="4" s="1"/>
  <c r="O191" i="4" s="1"/>
  <c r="P191" i="4" s="1"/>
  <c r="K191" i="4"/>
  <c r="M190" i="4"/>
  <c r="N190" i="4" s="1"/>
  <c r="O190" i="4" s="1"/>
  <c r="P190" i="4" s="1"/>
  <c r="K190" i="4"/>
  <c r="N189" i="4"/>
  <c r="O189" i="4" s="1"/>
  <c r="P189" i="4" s="1"/>
  <c r="K189" i="4"/>
  <c r="N188" i="4"/>
  <c r="O188" i="4" s="1"/>
  <c r="P188" i="4" s="1"/>
  <c r="K188" i="4"/>
  <c r="M187" i="4"/>
  <c r="N187" i="4" s="1"/>
  <c r="O187" i="4" s="1"/>
  <c r="P187" i="4" s="1"/>
  <c r="K187" i="4"/>
  <c r="N186" i="4"/>
  <c r="O186" i="4" s="1"/>
  <c r="P186" i="4" s="1"/>
  <c r="K186" i="4"/>
  <c r="N185" i="4"/>
  <c r="O185" i="4" s="1"/>
  <c r="P185" i="4" s="1"/>
  <c r="K185" i="4"/>
  <c r="M184" i="4"/>
  <c r="N184" i="4" s="1"/>
  <c r="O184" i="4" s="1"/>
  <c r="P184" i="4" s="1"/>
  <c r="K184" i="4"/>
  <c r="N183" i="4"/>
  <c r="O183" i="4" s="1"/>
  <c r="P183" i="4" s="1"/>
  <c r="K183" i="4"/>
  <c r="N182" i="4"/>
  <c r="O182" i="4" s="1"/>
  <c r="P182" i="4" s="1"/>
  <c r="K182" i="4"/>
  <c r="N181" i="4"/>
  <c r="O181" i="4" s="1"/>
  <c r="P181" i="4" s="1"/>
  <c r="K181" i="4"/>
  <c r="N180" i="4"/>
  <c r="O180" i="4" s="1"/>
  <c r="P180" i="4" s="1"/>
  <c r="K180" i="4"/>
  <c r="M179" i="4"/>
  <c r="K179" i="4"/>
  <c r="N178" i="4"/>
  <c r="O178" i="4" s="1"/>
  <c r="P178" i="4" s="1"/>
  <c r="K178" i="4"/>
  <c r="N177" i="4"/>
  <c r="O177" i="4" s="1"/>
  <c r="P177" i="4" s="1"/>
  <c r="K177" i="4"/>
  <c r="N176" i="4"/>
  <c r="O176" i="4" s="1"/>
  <c r="P176" i="4" s="1"/>
  <c r="K176" i="4"/>
  <c r="N175" i="4"/>
  <c r="O175" i="4" s="1"/>
  <c r="P175" i="4" s="1"/>
  <c r="K175" i="4"/>
  <c r="N174" i="4"/>
  <c r="O174" i="4" s="1"/>
  <c r="P174" i="4" s="1"/>
  <c r="K174" i="4"/>
  <c r="N173" i="4"/>
  <c r="O173" i="4" s="1"/>
  <c r="P173" i="4" s="1"/>
  <c r="K173" i="4"/>
  <c r="N566" i="4"/>
  <c r="O566" i="4" s="1"/>
  <c r="P566" i="4" s="1"/>
  <c r="K566" i="4"/>
  <c r="N568" i="4"/>
  <c r="O568" i="4" s="1"/>
  <c r="P568" i="4" s="1"/>
  <c r="K568" i="4"/>
  <c r="N29" i="4"/>
  <c r="O29" i="4" s="1"/>
  <c r="P29" i="4" s="1"/>
  <c r="K29" i="4"/>
  <c r="N136" i="4"/>
  <c r="O136" i="4" s="1"/>
  <c r="P136" i="4" s="1"/>
  <c r="K136" i="4"/>
  <c r="N146" i="4"/>
  <c r="O146" i="4" s="1"/>
  <c r="P146" i="4" s="1"/>
  <c r="K146" i="4"/>
  <c r="N145" i="4"/>
  <c r="O145" i="4" s="1"/>
  <c r="P145" i="4" s="1"/>
  <c r="K145" i="4"/>
  <c r="N567" i="4"/>
  <c r="O567" i="4" s="1"/>
  <c r="P567" i="4" s="1"/>
  <c r="K567" i="4"/>
  <c r="N135" i="4"/>
  <c r="O135" i="4" s="1"/>
  <c r="P135" i="4" s="1"/>
  <c r="K135" i="4"/>
  <c r="N28" i="4"/>
  <c r="O28" i="4" s="1"/>
  <c r="P28" i="4" s="1"/>
  <c r="K28" i="4"/>
  <c r="N565" i="4"/>
  <c r="O565" i="4" s="1"/>
  <c r="P565" i="4" s="1"/>
  <c r="K565" i="4"/>
  <c r="N134" i="4"/>
  <c r="O134" i="4" s="1"/>
  <c r="P134" i="4" s="1"/>
  <c r="K134" i="4"/>
  <c r="N133" i="4"/>
  <c r="O133" i="4" s="1"/>
  <c r="P133" i="4" s="1"/>
  <c r="K133" i="4"/>
  <c r="M132" i="4"/>
  <c r="N132" i="4" s="1"/>
  <c r="O132" i="4" s="1"/>
  <c r="P132" i="4" s="1"/>
  <c r="K132" i="4"/>
  <c r="M131" i="4"/>
  <c r="N131" i="4" s="1"/>
  <c r="O131" i="4" s="1"/>
  <c r="P131" i="4" s="1"/>
  <c r="K131" i="4"/>
  <c r="M130" i="4"/>
  <c r="N130" i="4" s="1"/>
  <c r="O130" i="4" s="1"/>
  <c r="P130" i="4" s="1"/>
  <c r="K130" i="4"/>
  <c r="K128" i="4"/>
  <c r="K126" i="4"/>
  <c r="K120" i="4"/>
  <c r="K141" i="4"/>
  <c r="N44" i="4"/>
  <c r="K44" i="4"/>
  <c r="M110" i="4"/>
  <c r="N110" i="4" s="1"/>
  <c r="O110" i="4" s="1"/>
  <c r="P110" i="4" s="1"/>
  <c r="K110" i="4"/>
  <c r="N109" i="4"/>
  <c r="O109" i="4" s="1"/>
  <c r="P109" i="4" s="1"/>
  <c r="K109" i="4"/>
  <c r="M108" i="4"/>
  <c r="N108" i="4" s="1"/>
  <c r="O108" i="4" s="1"/>
  <c r="P108" i="4" s="1"/>
  <c r="K108" i="4"/>
  <c r="M107" i="4"/>
  <c r="N107" i="4" s="1"/>
  <c r="O107" i="4" s="1"/>
  <c r="P107" i="4" s="1"/>
  <c r="K107" i="4"/>
  <c r="K158" i="4"/>
  <c r="K164" i="4"/>
  <c r="K88" i="4"/>
  <c r="K151" i="4"/>
  <c r="K156" i="4"/>
  <c r="K104" i="4"/>
  <c r="K102" i="4"/>
  <c r="K100" i="4"/>
  <c r="N95" i="4"/>
  <c r="O95" i="4" s="1"/>
  <c r="P95" i="4" s="1"/>
  <c r="K95" i="4"/>
  <c r="N94" i="4"/>
  <c r="O94" i="4" s="1"/>
  <c r="P94" i="4" s="1"/>
  <c r="K94" i="4"/>
  <c r="N93" i="4"/>
  <c r="O93" i="4" s="1"/>
  <c r="P93" i="4" s="1"/>
  <c r="K93" i="4"/>
  <c r="N92" i="4"/>
  <c r="O92" i="4" s="1"/>
  <c r="P92" i="4" s="1"/>
  <c r="K92" i="4"/>
  <c r="K90" i="4"/>
  <c r="N86" i="4"/>
  <c r="O86" i="4" s="1"/>
  <c r="P86" i="4" s="1"/>
  <c r="K86" i="4"/>
  <c r="N85" i="4"/>
  <c r="O85" i="4" s="1"/>
  <c r="P85" i="4" s="1"/>
  <c r="K85" i="4"/>
  <c r="N84" i="4"/>
  <c r="O84" i="4" s="1"/>
  <c r="P84" i="4" s="1"/>
  <c r="K84" i="4"/>
  <c r="N83" i="4"/>
  <c r="O83" i="4" s="1"/>
  <c r="P83" i="4" s="1"/>
  <c r="K83" i="4"/>
  <c r="O82" i="4"/>
  <c r="K82" i="4"/>
  <c r="M74" i="4"/>
  <c r="N74" i="4" s="1"/>
  <c r="O74" i="4" s="1"/>
  <c r="P74" i="4" s="1"/>
  <c r="K74" i="4"/>
  <c r="M73" i="4"/>
  <c r="N73" i="4" s="1"/>
  <c r="O73" i="4" s="1"/>
  <c r="P73" i="4" s="1"/>
  <c r="K73" i="4"/>
  <c r="M72" i="4"/>
  <c r="N72" i="4" s="1"/>
  <c r="O72" i="4" s="1"/>
  <c r="P72" i="4" s="1"/>
  <c r="K72" i="4"/>
  <c r="N71" i="4"/>
  <c r="O71" i="4" s="1"/>
  <c r="P71" i="4" s="1"/>
  <c r="K71" i="4"/>
  <c r="N68" i="4"/>
  <c r="O68" i="4" s="1"/>
  <c r="P68" i="4" s="1"/>
  <c r="K68" i="4"/>
  <c r="M67" i="4"/>
  <c r="N67" i="4" s="1"/>
  <c r="O67" i="4" s="1"/>
  <c r="P67" i="4" s="1"/>
  <c r="K67" i="4"/>
  <c r="K65" i="4"/>
  <c r="K63" i="4"/>
  <c r="K61" i="4"/>
  <c r="K56" i="4"/>
  <c r="K54" i="4"/>
  <c r="M47" i="4"/>
  <c r="M51" i="4" s="1"/>
  <c r="B10" i="1" s="1"/>
  <c r="K47" i="4"/>
  <c r="N106" i="4"/>
  <c r="O106" i="4" s="1"/>
  <c r="P106" i="4" s="1"/>
  <c r="K106" i="4"/>
  <c r="M27" i="4"/>
  <c r="N27" i="4" s="1"/>
  <c r="O27" i="4" s="1"/>
  <c r="P27" i="4" s="1"/>
  <c r="K27" i="4"/>
  <c r="N26" i="4"/>
  <c r="O26" i="4" s="1"/>
  <c r="P26" i="4" s="1"/>
  <c r="K26" i="4"/>
  <c r="M25" i="4"/>
  <c r="N25" i="4" s="1"/>
  <c r="O25" i="4" s="1"/>
  <c r="P25" i="4" s="1"/>
  <c r="K25" i="4"/>
  <c r="M24" i="4"/>
  <c r="K24" i="4"/>
  <c r="N166" i="4"/>
  <c r="O166" i="4" s="1"/>
  <c r="P166" i="4" s="1"/>
  <c r="K166" i="4"/>
  <c r="K21" i="4"/>
  <c r="K143" i="4"/>
  <c r="K124" i="4"/>
  <c r="K122" i="4"/>
  <c r="K557" i="4"/>
  <c r="K569" i="4"/>
  <c r="K554" i="4"/>
  <c r="K19" i="4"/>
  <c r="K17" i="4"/>
  <c r="N15" i="4"/>
  <c r="O15" i="4" s="1"/>
  <c r="P15" i="4" s="1"/>
  <c r="K15" i="4"/>
  <c r="N14" i="4"/>
  <c r="O14" i="4" s="1"/>
  <c r="P14" i="4" s="1"/>
  <c r="K14" i="4"/>
  <c r="K12" i="4"/>
  <c r="K160" i="4"/>
  <c r="N11" i="4"/>
  <c r="O11" i="4" s="1"/>
  <c r="P11" i="4" s="1"/>
  <c r="K11" i="4"/>
  <c r="K162" i="4"/>
  <c r="L162" i="4" s="1"/>
  <c r="Q162" i="4" s="1"/>
  <c r="A3" i="4"/>
  <c r="P446" i="4" l="1"/>
  <c r="P449" i="4" s="1"/>
  <c r="O449" i="4"/>
  <c r="S446" i="4"/>
  <c r="Q449" i="4"/>
  <c r="C38" i="1"/>
  <c r="C36" i="1"/>
  <c r="R443" i="4"/>
  <c r="P381" i="4"/>
  <c r="P393" i="4" s="1"/>
  <c r="P353" i="4"/>
  <c r="O378" i="4"/>
  <c r="S46" i="4"/>
  <c r="T46" i="4" s="1"/>
  <c r="U46" i="4" s="1"/>
  <c r="C46" i="1"/>
  <c r="N537" i="4"/>
  <c r="O537" i="4" s="1"/>
  <c r="P537" i="4" s="1"/>
  <c r="N520" i="4"/>
  <c r="O520" i="4" s="1"/>
  <c r="P520" i="4" s="1"/>
  <c r="O439" i="4"/>
  <c r="O441" i="4" s="1"/>
  <c r="D48" i="1"/>
  <c r="P82" i="4"/>
  <c r="T434" i="4"/>
  <c r="U434" i="4" s="1"/>
  <c r="T488" i="4"/>
  <c r="U488" i="4" s="1"/>
  <c r="T524" i="4"/>
  <c r="U524" i="4" s="1"/>
  <c r="T273" i="4"/>
  <c r="U273" i="4" s="1"/>
  <c r="M335" i="4"/>
  <c r="B32" i="1" s="1"/>
  <c r="P504" i="4"/>
  <c r="N430" i="4"/>
  <c r="D44" i="1" s="1"/>
  <c r="T356" i="4"/>
  <c r="U356" i="4" s="1"/>
  <c r="T32" i="4"/>
  <c r="U32" i="4" s="1"/>
  <c r="T30" i="4"/>
  <c r="U30" i="4" s="1"/>
  <c r="S222" i="4"/>
  <c r="T222" i="4" s="1"/>
  <c r="U222" i="4" s="1"/>
  <c r="T359" i="4"/>
  <c r="U359" i="4" s="1"/>
  <c r="T384" i="4"/>
  <c r="U384" i="4" s="1"/>
  <c r="S358" i="4"/>
  <c r="T358" i="4" s="1"/>
  <c r="U358" i="4" s="1"/>
  <c r="P417" i="4"/>
  <c r="T355" i="4"/>
  <c r="U355" i="4" s="1"/>
  <c r="T363" i="4"/>
  <c r="U363" i="4" s="1"/>
  <c r="O417" i="4"/>
  <c r="N417" i="4"/>
  <c r="D42" i="1" s="1"/>
  <c r="N441" i="4"/>
  <c r="O504" i="4"/>
  <c r="S118" i="4"/>
  <c r="L11" i="4"/>
  <c r="Q11" i="4" s="1"/>
  <c r="L15" i="4"/>
  <c r="Q15" i="4" s="1"/>
  <c r="L19" i="4"/>
  <c r="Q19" i="4" s="1"/>
  <c r="L569" i="4"/>
  <c r="Q569" i="4" s="1"/>
  <c r="L122" i="4"/>
  <c r="Q122" i="4" s="1"/>
  <c r="L166" i="4"/>
  <c r="Q166" i="4" s="1"/>
  <c r="L24" i="4"/>
  <c r="Q24" i="4" s="1"/>
  <c r="L54" i="4"/>
  <c r="Q54" i="4" s="1"/>
  <c r="L65" i="4"/>
  <c r="Q65" i="4" s="1"/>
  <c r="L84" i="4"/>
  <c r="Q84" i="4" s="1"/>
  <c r="L100" i="4"/>
  <c r="Q100" i="4" s="1"/>
  <c r="L158" i="4"/>
  <c r="Q158" i="4" s="1"/>
  <c r="L108" i="4"/>
  <c r="Q108" i="4" s="1"/>
  <c r="L141" i="4"/>
  <c r="Q141" i="4" s="1"/>
  <c r="L126" i="4"/>
  <c r="Q126" i="4" s="1"/>
  <c r="L130" i="4"/>
  <c r="Q130" i="4" s="1"/>
  <c r="L132" i="4"/>
  <c r="Q132" i="4" s="1"/>
  <c r="L134" i="4"/>
  <c r="Q134" i="4" s="1"/>
  <c r="L28" i="4"/>
  <c r="Q28" i="4" s="1"/>
  <c r="L567" i="4"/>
  <c r="Q567" i="4" s="1"/>
  <c r="L146" i="4"/>
  <c r="Q146" i="4" s="1"/>
  <c r="L29" i="4"/>
  <c r="Q29" i="4" s="1"/>
  <c r="L566" i="4"/>
  <c r="Q566" i="4" s="1"/>
  <c r="L178" i="4"/>
  <c r="Q178" i="4" s="1"/>
  <c r="L180" i="4"/>
  <c r="Q180" i="4" s="1"/>
  <c r="L182" i="4"/>
  <c r="Q182" i="4" s="1"/>
  <c r="L184" i="4"/>
  <c r="Q184" i="4" s="1"/>
  <c r="L186" i="4"/>
  <c r="Q186" i="4" s="1"/>
  <c r="L188" i="4"/>
  <c r="Q188" i="4" s="1"/>
  <c r="L192" i="4"/>
  <c r="Q192" i="4" s="1"/>
  <c r="L194" i="4"/>
  <c r="Q194" i="4" s="1"/>
  <c r="L202" i="4"/>
  <c r="Q202" i="4" s="1"/>
  <c r="L204" i="4"/>
  <c r="Q204" i="4" s="1"/>
  <c r="L232" i="4"/>
  <c r="Q232" i="4" s="1"/>
  <c r="L234" i="4"/>
  <c r="Q234" i="4" s="1"/>
  <c r="L559" i="4"/>
  <c r="L237" i="4"/>
  <c r="Q237" i="4" s="1"/>
  <c r="L239" i="4"/>
  <c r="Q239" i="4" s="1"/>
  <c r="L241" i="4"/>
  <c r="Q241" i="4" s="1"/>
  <c r="L243" i="4"/>
  <c r="Q243" i="4" s="1"/>
  <c r="L245" i="4"/>
  <c r="Q245" i="4" s="1"/>
  <c r="L247" i="4"/>
  <c r="Q247" i="4" s="1"/>
  <c r="L249" i="4"/>
  <c r="Q249" i="4" s="1"/>
  <c r="L251" i="4"/>
  <c r="Q251" i="4" s="1"/>
  <c r="L253" i="4"/>
  <c r="Q253" i="4" s="1"/>
  <c r="L255" i="4"/>
  <c r="Q255" i="4" s="1"/>
  <c r="L257" i="4"/>
  <c r="Q257" i="4" s="1"/>
  <c r="L262" i="4"/>
  <c r="Q262" i="4" s="1"/>
  <c r="L264" i="4"/>
  <c r="Q264" i="4" s="1"/>
  <c r="L266" i="4"/>
  <c r="Q266" i="4" s="1"/>
  <c r="L268" i="4"/>
  <c r="Q268" i="4" s="1"/>
  <c r="L270" i="4"/>
  <c r="Q270" i="4" s="1"/>
  <c r="L272" i="4"/>
  <c r="Q272" i="4" s="1"/>
  <c r="L292" i="4"/>
  <c r="Q292" i="4" s="1"/>
  <c r="L294" i="4"/>
  <c r="Q294" i="4" s="1"/>
  <c r="L296" i="4"/>
  <c r="Q296" i="4" s="1"/>
  <c r="L298" i="4"/>
  <c r="Q298" i="4" s="1"/>
  <c r="L300" i="4"/>
  <c r="Q300" i="4" s="1"/>
  <c r="L302" i="4"/>
  <c r="Q302" i="4" s="1"/>
  <c r="L304" i="4"/>
  <c r="Q304" i="4" s="1"/>
  <c r="L306" i="4"/>
  <c r="Q306" i="4" s="1"/>
  <c r="L308" i="4"/>
  <c r="Q308" i="4" s="1"/>
  <c r="L310" i="4"/>
  <c r="Q310" i="4" s="1"/>
  <c r="L312" i="4"/>
  <c r="Q312" i="4" s="1"/>
  <c r="L317" i="4"/>
  <c r="Q317" i="4" s="1"/>
  <c r="L319" i="4"/>
  <c r="Q319" i="4" s="1"/>
  <c r="L321" i="4"/>
  <c r="Q321" i="4" s="1"/>
  <c r="L323" i="4"/>
  <c r="Q323" i="4" s="1"/>
  <c r="L325" i="4"/>
  <c r="Q325" i="4" s="1"/>
  <c r="L327" i="4"/>
  <c r="Q327" i="4" s="1"/>
  <c r="L329" i="4"/>
  <c r="Q329" i="4" s="1"/>
  <c r="L331" i="4"/>
  <c r="Q331" i="4" s="1"/>
  <c r="L400" i="4"/>
  <c r="Q400" i="4" s="1"/>
  <c r="L402" i="4"/>
  <c r="Q402" i="4" s="1"/>
  <c r="L404" i="4"/>
  <c r="Q404" i="4" s="1"/>
  <c r="L414" i="4"/>
  <c r="Q414" i="4" s="1"/>
  <c r="L423" i="4"/>
  <c r="Q423" i="4" s="1"/>
  <c r="L425" i="4"/>
  <c r="Q425" i="4" s="1"/>
  <c r="L433" i="4"/>
  <c r="L439" i="4"/>
  <c r="L153" i="4"/>
  <c r="Q153" i="4" s="1"/>
  <c r="L485" i="4"/>
  <c r="Q485" i="4" s="1"/>
  <c r="L12" i="4"/>
  <c r="Q12" i="4" s="1"/>
  <c r="L160" i="4"/>
  <c r="Q160" i="4" s="1"/>
  <c r="L14" i="4"/>
  <c r="Q14" i="4" s="1"/>
  <c r="L17" i="4"/>
  <c r="Q17" i="4" s="1"/>
  <c r="L554" i="4"/>
  <c r="L557" i="4"/>
  <c r="L124" i="4"/>
  <c r="Q124" i="4" s="1"/>
  <c r="L21" i="4"/>
  <c r="Q21" i="4" s="1"/>
  <c r="L25" i="4"/>
  <c r="Q25" i="4" s="1"/>
  <c r="L27" i="4"/>
  <c r="Q27" i="4" s="1"/>
  <c r="L47" i="4"/>
  <c r="L56" i="4"/>
  <c r="Q56" i="4" s="1"/>
  <c r="L63" i="4"/>
  <c r="Q63" i="4" s="1"/>
  <c r="L67" i="4"/>
  <c r="Q67" i="4" s="1"/>
  <c r="L71" i="4"/>
  <c r="Q71" i="4" s="1"/>
  <c r="L73" i="4"/>
  <c r="Q73" i="4" s="1"/>
  <c r="L83" i="4"/>
  <c r="Q83" i="4" s="1"/>
  <c r="L85" i="4"/>
  <c r="Q85" i="4" s="1"/>
  <c r="L90" i="4"/>
  <c r="Q90" i="4" s="1"/>
  <c r="L93" i="4"/>
  <c r="Q93" i="4" s="1"/>
  <c r="L95" i="4"/>
  <c r="Q95" i="4" s="1"/>
  <c r="L156" i="4"/>
  <c r="Q156" i="4" s="1"/>
  <c r="L88" i="4"/>
  <c r="Q88" i="4" s="1"/>
  <c r="L109" i="4"/>
  <c r="L173" i="4"/>
  <c r="Q173" i="4" s="1"/>
  <c r="L175" i="4"/>
  <c r="Q175" i="4" s="1"/>
  <c r="L177" i="4"/>
  <c r="Q177" i="4" s="1"/>
  <c r="L190" i="4"/>
  <c r="Q190" i="4" s="1"/>
  <c r="L197" i="4"/>
  <c r="Q197" i="4" s="1"/>
  <c r="L200" i="4"/>
  <c r="Q200" i="4" s="1"/>
  <c r="L206" i="4"/>
  <c r="Q206" i="4" s="1"/>
  <c r="L208" i="4"/>
  <c r="Q208" i="4" s="1"/>
  <c r="L210" i="4"/>
  <c r="Q210" i="4" s="1"/>
  <c r="L212" i="4"/>
  <c r="Q212" i="4" s="1"/>
  <c r="L215" i="4"/>
  <c r="L217" i="4"/>
  <c r="Q217" i="4" s="1"/>
  <c r="L219" i="4"/>
  <c r="Q219" i="4" s="1"/>
  <c r="L314" i="4"/>
  <c r="Q314" i="4" s="1"/>
  <c r="L316" i="4"/>
  <c r="Q316" i="4" s="1"/>
  <c r="L333" i="4"/>
  <c r="Q333" i="4" s="1"/>
  <c r="L339" i="4"/>
  <c r="Q339" i="4" s="1"/>
  <c r="L341" i="4"/>
  <c r="Q341" i="4" s="1"/>
  <c r="L343" i="4"/>
  <c r="Q343" i="4" s="1"/>
  <c r="L345" i="4"/>
  <c r="Q345" i="4" s="1"/>
  <c r="L347" i="4"/>
  <c r="Q347" i="4" s="1"/>
  <c r="L398" i="4"/>
  <c r="Q398" i="4" s="1"/>
  <c r="L405" i="4"/>
  <c r="Q405" i="4" s="1"/>
  <c r="L407" i="4"/>
  <c r="Q407" i="4" s="1"/>
  <c r="L412" i="4"/>
  <c r="Q412" i="4" s="1"/>
  <c r="L413" i="4"/>
  <c r="Q413" i="4" s="1"/>
  <c r="L459" i="4"/>
  <c r="Q459" i="4" s="1"/>
  <c r="L466" i="4"/>
  <c r="Q466" i="4" s="1"/>
  <c r="L471" i="4"/>
  <c r="Q471" i="4" s="1"/>
  <c r="L102" i="4"/>
  <c r="Q102" i="4" s="1"/>
  <c r="L164" i="4"/>
  <c r="Q164" i="4" s="1"/>
  <c r="L107" i="4"/>
  <c r="Q107" i="4" s="1"/>
  <c r="L44" i="4"/>
  <c r="Q44" i="4" s="1"/>
  <c r="L120" i="4"/>
  <c r="Q120" i="4" s="1"/>
  <c r="L128" i="4"/>
  <c r="Q128" i="4" s="1"/>
  <c r="L131" i="4"/>
  <c r="Q131" i="4" s="1"/>
  <c r="L133" i="4"/>
  <c r="Q133" i="4" s="1"/>
  <c r="L565" i="4"/>
  <c r="Q565" i="4" s="1"/>
  <c r="L135" i="4"/>
  <c r="L145" i="4"/>
  <c r="Q145" i="4" s="1"/>
  <c r="L136" i="4"/>
  <c r="Q136" i="4" s="1"/>
  <c r="L568" i="4"/>
  <c r="Q568" i="4" s="1"/>
  <c r="L179" i="4"/>
  <c r="Q179" i="4" s="1"/>
  <c r="L181" i="4"/>
  <c r="Q181" i="4" s="1"/>
  <c r="L183" i="4"/>
  <c r="Q183" i="4" s="1"/>
  <c r="L185" i="4"/>
  <c r="Q185" i="4" s="1"/>
  <c r="L187" i="4"/>
  <c r="Q187" i="4" s="1"/>
  <c r="L189" i="4"/>
  <c r="Q189" i="4" s="1"/>
  <c r="L193" i="4"/>
  <c r="Q193" i="4" s="1"/>
  <c r="L195" i="4"/>
  <c r="Q195" i="4" s="1"/>
  <c r="L203" i="4"/>
  <c r="Q203" i="4" s="1"/>
  <c r="L214" i="4"/>
  <c r="Q214" i="4" s="1"/>
  <c r="L233" i="4"/>
  <c r="Q233" i="4" s="1"/>
  <c r="L235" i="4"/>
  <c r="Q235" i="4" s="1"/>
  <c r="L236" i="4"/>
  <c r="Q236" i="4" s="1"/>
  <c r="L238" i="4"/>
  <c r="Q238" i="4" s="1"/>
  <c r="L240" i="4"/>
  <c r="Q240" i="4" s="1"/>
  <c r="L242" i="4"/>
  <c r="Q242" i="4" s="1"/>
  <c r="L244" i="4"/>
  <c r="Q244" i="4" s="1"/>
  <c r="L246" i="4"/>
  <c r="Q246" i="4" s="1"/>
  <c r="L248" i="4"/>
  <c r="Q248" i="4" s="1"/>
  <c r="L250" i="4"/>
  <c r="Q250" i="4" s="1"/>
  <c r="L252" i="4"/>
  <c r="Q252" i="4" s="1"/>
  <c r="L254" i="4"/>
  <c r="Q254" i="4" s="1"/>
  <c r="L256" i="4"/>
  <c r="Q256" i="4" s="1"/>
  <c r="L261" i="4"/>
  <c r="Q261" i="4" s="1"/>
  <c r="L263" i="4"/>
  <c r="Q263" i="4" s="1"/>
  <c r="L265" i="4"/>
  <c r="Q265" i="4" s="1"/>
  <c r="L267" i="4"/>
  <c r="Q267" i="4" s="1"/>
  <c r="L269" i="4"/>
  <c r="Q269" i="4" s="1"/>
  <c r="L271" i="4"/>
  <c r="Q271" i="4" s="1"/>
  <c r="L293" i="4"/>
  <c r="Q293" i="4" s="1"/>
  <c r="L295" i="4"/>
  <c r="Q295" i="4" s="1"/>
  <c r="L297" i="4"/>
  <c r="Q297" i="4" s="1"/>
  <c r="L299" i="4"/>
  <c r="Q299" i="4" s="1"/>
  <c r="L301" i="4"/>
  <c r="Q301" i="4" s="1"/>
  <c r="L303" i="4"/>
  <c r="Q303" i="4" s="1"/>
  <c r="L305" i="4"/>
  <c r="Q305" i="4" s="1"/>
  <c r="L307" i="4"/>
  <c r="Q307" i="4" s="1"/>
  <c r="L309" i="4"/>
  <c r="Q309" i="4" s="1"/>
  <c r="L311" i="4"/>
  <c r="Q311" i="4" s="1"/>
  <c r="L313" i="4"/>
  <c r="Q313" i="4" s="1"/>
  <c r="L318" i="4"/>
  <c r="Q318" i="4" s="1"/>
  <c r="L320" i="4"/>
  <c r="Q320" i="4" s="1"/>
  <c r="L322" i="4"/>
  <c r="Q322" i="4" s="1"/>
  <c r="L324" i="4"/>
  <c r="Q324" i="4" s="1"/>
  <c r="L326" i="4"/>
  <c r="Q326" i="4" s="1"/>
  <c r="L328" i="4"/>
  <c r="Q328" i="4" s="1"/>
  <c r="L330" i="4"/>
  <c r="Q330" i="4" s="1"/>
  <c r="L332" i="4"/>
  <c r="Q332" i="4" s="1"/>
  <c r="L401" i="4"/>
  <c r="Q401" i="4" s="1"/>
  <c r="L403" i="4"/>
  <c r="Q403" i="4" s="1"/>
  <c r="L415" i="4"/>
  <c r="Q415" i="4" s="1"/>
  <c r="L422" i="4"/>
  <c r="L424" i="4"/>
  <c r="Q424" i="4" s="1"/>
  <c r="L154" i="4"/>
  <c r="Q154" i="4" s="1"/>
  <c r="L486" i="4"/>
  <c r="Q486" i="4" s="1"/>
  <c r="L143" i="4"/>
  <c r="Q143" i="4" s="1"/>
  <c r="L26" i="4"/>
  <c r="Q26" i="4" s="1"/>
  <c r="L106" i="4"/>
  <c r="Q106" i="4" s="1"/>
  <c r="L61" i="4"/>
  <c r="Q61" i="4" s="1"/>
  <c r="L68" i="4"/>
  <c r="Q68" i="4" s="1"/>
  <c r="L72" i="4"/>
  <c r="Q72" i="4" s="1"/>
  <c r="L74" i="4"/>
  <c r="Q74" i="4" s="1"/>
  <c r="L82" i="4"/>
  <c r="Q82" i="4" s="1"/>
  <c r="L86" i="4"/>
  <c r="Q86" i="4" s="1"/>
  <c r="L92" i="4"/>
  <c r="Q92" i="4" s="1"/>
  <c r="L94" i="4"/>
  <c r="Q94" i="4" s="1"/>
  <c r="L104" i="4"/>
  <c r="Q104" i="4" s="1"/>
  <c r="L151" i="4"/>
  <c r="Q151" i="4" s="1"/>
  <c r="L110" i="4"/>
  <c r="Q110" i="4" s="1"/>
  <c r="L174" i="4"/>
  <c r="Q174" i="4" s="1"/>
  <c r="L176" i="4"/>
  <c r="Q176" i="4" s="1"/>
  <c r="L191" i="4"/>
  <c r="Q191" i="4" s="1"/>
  <c r="L196" i="4"/>
  <c r="Q196" i="4" s="1"/>
  <c r="L199" i="4"/>
  <c r="Q199" i="4" s="1"/>
  <c r="L201" i="4"/>
  <c r="Q201" i="4" s="1"/>
  <c r="L207" i="4"/>
  <c r="Q207" i="4" s="1"/>
  <c r="L209" i="4"/>
  <c r="Q209" i="4" s="1"/>
  <c r="L211" i="4"/>
  <c r="Q211" i="4" s="1"/>
  <c r="L213" i="4"/>
  <c r="Q213" i="4" s="1"/>
  <c r="L216" i="4"/>
  <c r="Q216" i="4" s="1"/>
  <c r="L218" i="4"/>
  <c r="Q218" i="4" s="1"/>
  <c r="L315" i="4"/>
  <c r="Q315" i="4" s="1"/>
  <c r="L338" i="4"/>
  <c r="Q338" i="4" s="1"/>
  <c r="L340" i="4"/>
  <c r="Q340" i="4" s="1"/>
  <c r="L342" i="4"/>
  <c r="Q342" i="4" s="1"/>
  <c r="L344" i="4"/>
  <c r="Q344" i="4" s="1"/>
  <c r="L346" i="4"/>
  <c r="Q346" i="4" s="1"/>
  <c r="L348" i="4"/>
  <c r="Q348" i="4" s="1"/>
  <c r="L397" i="4"/>
  <c r="Q397" i="4" s="1"/>
  <c r="L399" i="4"/>
  <c r="Q399" i="4" s="1"/>
  <c r="L406" i="4"/>
  <c r="Q406" i="4" s="1"/>
  <c r="L463" i="4"/>
  <c r="Q463" i="4" s="1"/>
  <c r="L468" i="4"/>
  <c r="Q468" i="4" s="1"/>
  <c r="L473" i="4"/>
  <c r="Q473" i="4" s="1"/>
  <c r="L458" i="4"/>
  <c r="Q458" i="4" s="1"/>
  <c r="L461" i="4"/>
  <c r="Q461" i="4" s="1"/>
  <c r="L465" i="4"/>
  <c r="Q465" i="4" s="1"/>
  <c r="L467" i="4"/>
  <c r="Q467" i="4" s="1"/>
  <c r="L469" i="4"/>
  <c r="Q469" i="4" s="1"/>
  <c r="L472" i="4"/>
  <c r="Q472" i="4" s="1"/>
  <c r="L474" i="4"/>
  <c r="Q474" i="4" s="1"/>
  <c r="L453" i="4"/>
  <c r="Q453" i="4" s="1"/>
  <c r="L456" i="4"/>
  <c r="Q456" i="4" s="1"/>
  <c r="L477" i="4"/>
  <c r="Q477" i="4" s="1"/>
  <c r="L479" i="4"/>
  <c r="Q479" i="4" s="1"/>
  <c r="L481" i="4"/>
  <c r="Q481" i="4" s="1"/>
  <c r="L483" i="4"/>
  <c r="Q483" i="4" s="1"/>
  <c r="L495" i="4"/>
  <c r="Q495" i="4" s="1"/>
  <c r="L497" i="4"/>
  <c r="Q497" i="4" s="1"/>
  <c r="L560" i="4"/>
  <c r="L500" i="4"/>
  <c r="Q500" i="4" s="1"/>
  <c r="L502" i="4"/>
  <c r="Q502" i="4" s="1"/>
  <c r="L507" i="4"/>
  <c r="Q507" i="4" s="1"/>
  <c r="L509" i="4"/>
  <c r="Q509" i="4" s="1"/>
  <c r="L511" i="4"/>
  <c r="Q511" i="4" s="1"/>
  <c r="L513" i="4"/>
  <c r="L515" i="4"/>
  <c r="L517" i="4"/>
  <c r="Q517" i="4" s="1"/>
  <c r="L519" i="4"/>
  <c r="Q519" i="4" s="1"/>
  <c r="L521" i="4"/>
  <c r="Q521" i="4" s="1"/>
  <c r="L536" i="4"/>
  <c r="Q536" i="4" s="1"/>
  <c r="L541" i="4"/>
  <c r="Q541" i="4" s="1"/>
  <c r="L546" i="4"/>
  <c r="Q546" i="4" s="1"/>
  <c r="L551" i="4"/>
  <c r="Q551" i="4" s="1"/>
  <c r="L455" i="4"/>
  <c r="Q455" i="4" s="1"/>
  <c r="L476" i="4"/>
  <c r="Q476" i="4" s="1"/>
  <c r="L478" i="4"/>
  <c r="Q478" i="4" s="1"/>
  <c r="L480" i="4"/>
  <c r="Q480" i="4" s="1"/>
  <c r="L482" i="4"/>
  <c r="Q482" i="4" s="1"/>
  <c r="L484" i="4"/>
  <c r="Q484" i="4" s="1"/>
  <c r="L494" i="4"/>
  <c r="Q494" i="4" s="1"/>
  <c r="L496" i="4"/>
  <c r="Q496" i="4" s="1"/>
  <c r="L498" i="4"/>
  <c r="Q498" i="4" s="1"/>
  <c r="L499" i="4"/>
  <c r="Q499" i="4" s="1"/>
  <c r="L501" i="4"/>
  <c r="Q501" i="4" s="1"/>
  <c r="L508" i="4"/>
  <c r="Q508" i="4" s="1"/>
  <c r="L510" i="4"/>
  <c r="Q510" i="4" s="1"/>
  <c r="L512" i="4"/>
  <c r="Q512" i="4" s="1"/>
  <c r="L514" i="4"/>
  <c r="Q514" i="4" s="1"/>
  <c r="L516" i="4"/>
  <c r="Q516" i="4" s="1"/>
  <c r="L518" i="4"/>
  <c r="Q518" i="4" s="1"/>
  <c r="L520" i="4"/>
  <c r="L522" i="4"/>
  <c r="Q522" i="4" s="1"/>
  <c r="L537" i="4"/>
  <c r="Q537" i="4" s="1"/>
  <c r="L542" i="4"/>
  <c r="Q542" i="4" s="1"/>
  <c r="L547" i="4"/>
  <c r="Q547" i="4" s="1"/>
  <c r="M409" i="4"/>
  <c r="B40" i="1" s="1"/>
  <c r="N292" i="4"/>
  <c r="N335" i="4" s="1"/>
  <c r="D32" i="1" s="1"/>
  <c r="O44" i="4"/>
  <c r="M289" i="4"/>
  <c r="B30" i="1" s="1"/>
  <c r="N338" i="4"/>
  <c r="O422" i="4"/>
  <c r="O430" i="4" s="1"/>
  <c r="N398" i="4"/>
  <c r="O398" i="4" s="1"/>
  <c r="P398" i="4" s="1"/>
  <c r="N504" i="4"/>
  <c r="D58" i="1" s="1"/>
  <c r="T10" i="4"/>
  <c r="U10" i="4"/>
  <c r="N24" i="4"/>
  <c r="O24" i="4" s="1"/>
  <c r="P24" i="4" s="1"/>
  <c r="N47" i="4"/>
  <c r="O47" i="4" s="1"/>
  <c r="P47" i="4" s="1"/>
  <c r="M228" i="4"/>
  <c r="N215" i="4"/>
  <c r="O215" i="4" s="1"/>
  <c r="N179" i="4"/>
  <c r="N245" i="4"/>
  <c r="O245" i="4" s="1"/>
  <c r="P245" i="4" s="1"/>
  <c r="O294" i="4"/>
  <c r="P294" i="4" s="1"/>
  <c r="O397" i="4"/>
  <c r="O433" i="4"/>
  <c r="O436" i="4" s="1"/>
  <c r="M530" i="4"/>
  <c r="B60" i="1" s="1"/>
  <c r="N515" i="4"/>
  <c r="O515" i="4" s="1"/>
  <c r="P515" i="4" s="1"/>
  <c r="N35" i="2"/>
  <c r="T446" i="4" l="1"/>
  <c r="S449" i="4"/>
  <c r="O51" i="4"/>
  <c r="R532" i="4"/>
  <c r="N51" i="4"/>
  <c r="D10" i="1" s="1"/>
  <c r="C48" i="1"/>
  <c r="C42" i="1"/>
  <c r="C44" i="1"/>
  <c r="B28" i="1"/>
  <c r="M443" i="4"/>
  <c r="E38" i="1"/>
  <c r="Q381" i="4"/>
  <c r="Q393" i="4" s="1"/>
  <c r="P439" i="4"/>
  <c r="P441" i="4" s="1"/>
  <c r="P378" i="4"/>
  <c r="Q353" i="4"/>
  <c r="P530" i="4"/>
  <c r="Q520" i="4"/>
  <c r="Q515" i="4"/>
  <c r="S515" i="4" s="1"/>
  <c r="T515" i="4" s="1"/>
  <c r="U515" i="4" s="1"/>
  <c r="Q513" i="4"/>
  <c r="S513" i="4" s="1"/>
  <c r="T513" i="4" s="1"/>
  <c r="U513" i="4" s="1"/>
  <c r="Q109" i="4"/>
  <c r="S109" i="4" s="1"/>
  <c r="T109" i="4" s="1"/>
  <c r="U109" i="4" s="1"/>
  <c r="Q135" i="4"/>
  <c r="S135" i="4" s="1"/>
  <c r="T135" i="4" s="1"/>
  <c r="U135" i="4" s="1"/>
  <c r="Q47" i="4"/>
  <c r="Q51" i="4" s="1"/>
  <c r="E10" i="1" s="1"/>
  <c r="O409" i="4"/>
  <c r="S17" i="4"/>
  <c r="T17" i="4" s="1"/>
  <c r="U17" i="4" s="1"/>
  <c r="N228" i="4"/>
  <c r="O530" i="4"/>
  <c r="N289" i="4"/>
  <c r="D30" i="1" s="1"/>
  <c r="P289" i="4"/>
  <c r="O289" i="4"/>
  <c r="O338" i="4"/>
  <c r="N350" i="4"/>
  <c r="D34" i="1" s="1"/>
  <c r="O292" i="4"/>
  <c r="N409" i="4"/>
  <c r="D40" i="1" s="1"/>
  <c r="T118" i="4"/>
  <c r="U118" i="4" s="1"/>
  <c r="S136" i="4"/>
  <c r="S542" i="4"/>
  <c r="T542" i="4" s="1"/>
  <c r="U542" i="4" s="1"/>
  <c r="S551" i="4"/>
  <c r="T551" i="4" s="1"/>
  <c r="U551" i="4" s="1"/>
  <c r="S405" i="4"/>
  <c r="T405" i="4" s="1"/>
  <c r="U405" i="4" s="1"/>
  <c r="S537" i="4"/>
  <c r="T537" i="4" s="1"/>
  <c r="U537" i="4" s="1"/>
  <c r="S546" i="4"/>
  <c r="T546" i="4" s="1"/>
  <c r="U546" i="4" s="1"/>
  <c r="S108" i="4"/>
  <c r="T108" i="4" s="1"/>
  <c r="U108" i="4" s="1"/>
  <c r="S547" i="4"/>
  <c r="T547" i="4" s="1"/>
  <c r="U547" i="4" s="1"/>
  <c r="S536" i="4"/>
  <c r="T536" i="4" s="1"/>
  <c r="U536" i="4" s="1"/>
  <c r="S541" i="4"/>
  <c r="T541" i="4" s="1"/>
  <c r="U541" i="4" s="1"/>
  <c r="P397" i="4"/>
  <c r="P409" i="4" s="1"/>
  <c r="S501" i="4"/>
  <c r="T501" i="4" s="1"/>
  <c r="U501" i="4" s="1"/>
  <c r="S519" i="4"/>
  <c r="T519" i="4" s="1"/>
  <c r="U519" i="4" s="1"/>
  <c r="S511" i="4"/>
  <c r="T511" i="4" s="1"/>
  <c r="U511" i="4" s="1"/>
  <c r="S483" i="4"/>
  <c r="T483" i="4" s="1"/>
  <c r="U483" i="4" s="1"/>
  <c r="S479" i="4"/>
  <c r="T479" i="4" s="1"/>
  <c r="U479" i="4" s="1"/>
  <c r="S406" i="4"/>
  <c r="T406" i="4" s="1"/>
  <c r="U406" i="4" s="1"/>
  <c r="S218" i="4"/>
  <c r="T218" i="4" s="1"/>
  <c r="U218" i="4" s="1"/>
  <c r="S424" i="4"/>
  <c r="T424" i="4" s="1"/>
  <c r="U424" i="4" s="1"/>
  <c r="Q554" i="4"/>
  <c r="P433" i="4"/>
  <c r="Q433" i="4" s="1"/>
  <c r="P44" i="4"/>
  <c r="P51" i="4" s="1"/>
  <c r="S271" i="4"/>
  <c r="T271" i="4" s="1"/>
  <c r="U271" i="4" s="1"/>
  <c r="S267" i="4"/>
  <c r="T267" i="4" s="1"/>
  <c r="U267" i="4" s="1"/>
  <c r="S263" i="4"/>
  <c r="T263" i="4" s="1"/>
  <c r="U263" i="4" s="1"/>
  <c r="S214" i="4"/>
  <c r="T214" i="4" s="1"/>
  <c r="U214" i="4" s="1"/>
  <c r="S568" i="4"/>
  <c r="T568" i="4" s="1"/>
  <c r="U568" i="4" s="1"/>
  <c r="S145" i="4"/>
  <c r="T145" i="4" s="1"/>
  <c r="U145" i="4" s="1"/>
  <c r="P422" i="4"/>
  <c r="P430" i="4" s="1"/>
  <c r="Q560" i="4"/>
  <c r="S347" i="4"/>
  <c r="T347" i="4" s="1"/>
  <c r="U347" i="4" s="1"/>
  <c r="S343" i="4"/>
  <c r="T343" i="4" s="1"/>
  <c r="U343" i="4" s="1"/>
  <c r="S316" i="4"/>
  <c r="T316" i="4" s="1"/>
  <c r="U316" i="4" s="1"/>
  <c r="S210" i="4"/>
  <c r="T210" i="4" s="1"/>
  <c r="U210" i="4" s="1"/>
  <c r="S197" i="4"/>
  <c r="T197" i="4" s="1"/>
  <c r="U197" i="4" s="1"/>
  <c r="Q557" i="4"/>
  <c r="S485" i="4"/>
  <c r="T485" i="4" s="1"/>
  <c r="U485" i="4" s="1"/>
  <c r="S414" i="4"/>
  <c r="T414" i="4" s="1"/>
  <c r="U414" i="4" s="1"/>
  <c r="S312" i="4"/>
  <c r="T312" i="4" s="1"/>
  <c r="U312" i="4" s="1"/>
  <c r="S308" i="4"/>
  <c r="T308" i="4" s="1"/>
  <c r="U308" i="4" s="1"/>
  <c r="S304" i="4"/>
  <c r="T304" i="4" s="1"/>
  <c r="U304" i="4" s="1"/>
  <c r="Q559" i="4"/>
  <c r="P215" i="4"/>
  <c r="Q215" i="4" s="1"/>
  <c r="S403" i="4"/>
  <c r="T403" i="4" s="1"/>
  <c r="U403" i="4" s="1"/>
  <c r="S332" i="4"/>
  <c r="T332" i="4" s="1"/>
  <c r="U332" i="4" s="1"/>
  <c r="S328" i="4"/>
  <c r="T328" i="4" s="1"/>
  <c r="U328" i="4" s="1"/>
  <c r="S324" i="4"/>
  <c r="T324" i="4" s="1"/>
  <c r="U324" i="4" s="1"/>
  <c r="S320" i="4"/>
  <c r="T320" i="4" s="1"/>
  <c r="U320" i="4" s="1"/>
  <c r="S133" i="4"/>
  <c r="T133" i="4" s="1"/>
  <c r="U133" i="4" s="1"/>
  <c r="N530" i="4"/>
  <c r="D60" i="1" s="1"/>
  <c r="O179" i="4"/>
  <c r="O228" i="4" s="1"/>
  <c r="S116" i="2"/>
  <c r="N116" i="2"/>
  <c r="AQ116" i="2"/>
  <c r="AO116" i="2"/>
  <c r="AM116" i="2"/>
  <c r="AK116" i="2"/>
  <c r="C10" i="1" l="1"/>
  <c r="U446" i="4"/>
  <c r="U449" i="4" s="1"/>
  <c r="T449" i="4"/>
  <c r="Q439" i="4"/>
  <c r="E48" i="1" s="1"/>
  <c r="N443" i="4"/>
  <c r="S381" i="4"/>
  <c r="S393" i="4" s="1"/>
  <c r="D28" i="1"/>
  <c r="Q378" i="4"/>
  <c r="E36" i="1" s="1"/>
  <c r="S353" i="4"/>
  <c r="Q422" i="4"/>
  <c r="S422" i="4" s="1"/>
  <c r="P292" i="4"/>
  <c r="P335" i="4" s="1"/>
  <c r="O335" i="4"/>
  <c r="Q289" i="4"/>
  <c r="Q436" i="4"/>
  <c r="P436" i="4"/>
  <c r="P338" i="4"/>
  <c r="P350" i="4" s="1"/>
  <c r="O350" i="4"/>
  <c r="Q228" i="4"/>
  <c r="Q504" i="4"/>
  <c r="Q409" i="4"/>
  <c r="Q530" i="4"/>
  <c r="Q335" i="4"/>
  <c r="Q417" i="4"/>
  <c r="S565" i="4"/>
  <c r="Q350" i="4"/>
  <c r="T136" i="4"/>
  <c r="U136" i="4" s="1"/>
  <c r="S254" i="4"/>
  <c r="T254" i="4" s="1"/>
  <c r="U254" i="4" s="1"/>
  <c r="S187" i="4"/>
  <c r="T187" i="4" s="1"/>
  <c r="U187" i="4" s="1"/>
  <c r="S265" i="4"/>
  <c r="S193" i="4"/>
  <c r="T193" i="4" s="1"/>
  <c r="U193" i="4" s="1"/>
  <c r="S235" i="4"/>
  <c r="T235" i="4" s="1"/>
  <c r="U235" i="4" s="1"/>
  <c r="S250" i="4"/>
  <c r="T250" i="4" s="1"/>
  <c r="U250" i="4" s="1"/>
  <c r="S269" i="4"/>
  <c r="T269" i="4" s="1"/>
  <c r="U269" i="4" s="1"/>
  <c r="S305" i="4"/>
  <c r="T305" i="4" s="1"/>
  <c r="U305" i="4" s="1"/>
  <c r="S215" i="4"/>
  <c r="T215" i="4" s="1"/>
  <c r="U215" i="4" s="1"/>
  <c r="S29" i="4"/>
  <c r="T29" i="4" s="1"/>
  <c r="U29" i="4" s="1"/>
  <c r="S178" i="4"/>
  <c r="T178" i="4" s="1"/>
  <c r="U178" i="4" s="1"/>
  <c r="S202" i="4"/>
  <c r="T202" i="4" s="1"/>
  <c r="U202" i="4" s="1"/>
  <c r="S239" i="4"/>
  <c r="T239" i="4" s="1"/>
  <c r="U239" i="4" s="1"/>
  <c r="S255" i="4"/>
  <c r="T255" i="4" s="1"/>
  <c r="U255" i="4" s="1"/>
  <c r="S292" i="4"/>
  <c r="S327" i="4"/>
  <c r="T327" i="4" s="1"/>
  <c r="U327" i="4" s="1"/>
  <c r="S425" i="4"/>
  <c r="T425" i="4" s="1"/>
  <c r="U425" i="4" s="1"/>
  <c r="S67" i="4"/>
  <c r="T67" i="4" s="1"/>
  <c r="U67" i="4" s="1"/>
  <c r="S412" i="4"/>
  <c r="S82" i="4"/>
  <c r="S199" i="4"/>
  <c r="T199" i="4" s="1"/>
  <c r="U199" i="4" s="1"/>
  <c r="S315" i="4"/>
  <c r="T315" i="4" s="1"/>
  <c r="U315" i="4" s="1"/>
  <c r="S399" i="4"/>
  <c r="T399" i="4" s="1"/>
  <c r="U399" i="4" s="1"/>
  <c r="S467" i="4"/>
  <c r="T467" i="4" s="1"/>
  <c r="U467" i="4" s="1"/>
  <c r="S453" i="4"/>
  <c r="T453" i="4" s="1"/>
  <c r="U453" i="4" s="1"/>
  <c r="S509" i="4"/>
  <c r="T509" i="4" s="1"/>
  <c r="U509" i="4" s="1"/>
  <c r="S508" i="4"/>
  <c r="T508" i="4" s="1"/>
  <c r="U508" i="4" s="1"/>
  <c r="S181" i="4"/>
  <c r="T181" i="4" s="1"/>
  <c r="U181" i="4" s="1"/>
  <c r="S240" i="4"/>
  <c r="T240" i="4" s="1"/>
  <c r="U240" i="4" s="1"/>
  <c r="S256" i="4"/>
  <c r="T256" i="4" s="1"/>
  <c r="U256" i="4" s="1"/>
  <c r="S295" i="4"/>
  <c r="T295" i="4" s="1"/>
  <c r="U295" i="4" s="1"/>
  <c r="S311" i="4"/>
  <c r="T311" i="4" s="1"/>
  <c r="U311" i="4" s="1"/>
  <c r="S330" i="4"/>
  <c r="T330" i="4" s="1"/>
  <c r="U330" i="4" s="1"/>
  <c r="S15" i="4"/>
  <c r="T15" i="4" s="1"/>
  <c r="U15" i="4" s="1"/>
  <c r="S28" i="4"/>
  <c r="T28" i="4" s="1"/>
  <c r="U28" i="4" s="1"/>
  <c r="S188" i="4"/>
  <c r="T188" i="4" s="1"/>
  <c r="U188" i="4" s="1"/>
  <c r="S234" i="4"/>
  <c r="T234" i="4" s="1"/>
  <c r="U234" i="4" s="1"/>
  <c r="S249" i="4"/>
  <c r="T249" i="4" s="1"/>
  <c r="U249" i="4" s="1"/>
  <c r="S268" i="4"/>
  <c r="T268" i="4" s="1"/>
  <c r="U268" i="4" s="1"/>
  <c r="S302" i="4"/>
  <c r="T302" i="4" s="1"/>
  <c r="U302" i="4" s="1"/>
  <c r="S321" i="4"/>
  <c r="T321" i="4" s="1"/>
  <c r="U321" i="4" s="1"/>
  <c r="S404" i="4"/>
  <c r="T404" i="4" s="1"/>
  <c r="U404" i="4" s="1"/>
  <c r="S95" i="4"/>
  <c r="T95" i="4" s="1"/>
  <c r="U95" i="4" s="1"/>
  <c r="S175" i="4"/>
  <c r="T175" i="4" s="1"/>
  <c r="U175" i="4" s="1"/>
  <c r="S212" i="4"/>
  <c r="S341" i="4"/>
  <c r="T341" i="4" s="1"/>
  <c r="U341" i="4" s="1"/>
  <c r="S413" i="4"/>
  <c r="T413" i="4" s="1"/>
  <c r="U413" i="4" s="1"/>
  <c r="S415" i="4"/>
  <c r="T415" i="4" s="1"/>
  <c r="U415" i="4" s="1"/>
  <c r="S74" i="4"/>
  <c r="S201" i="4"/>
  <c r="T201" i="4" s="1"/>
  <c r="U201" i="4" s="1"/>
  <c r="S338" i="4"/>
  <c r="S469" i="4"/>
  <c r="T469" i="4" s="1"/>
  <c r="U469" i="4" s="1"/>
  <c r="S456" i="4"/>
  <c r="T456" i="4" s="1"/>
  <c r="U456" i="4" s="1"/>
  <c r="S484" i="4"/>
  <c r="T484" i="4" s="1"/>
  <c r="U484" i="4" s="1"/>
  <c r="S522" i="4"/>
  <c r="T522" i="4" s="1"/>
  <c r="U522" i="4" s="1"/>
  <c r="S179" i="4"/>
  <c r="T179" i="4" s="1"/>
  <c r="U179" i="4" s="1"/>
  <c r="S182" i="4"/>
  <c r="T182" i="4" s="1"/>
  <c r="U182" i="4" s="1"/>
  <c r="S243" i="4"/>
  <c r="T243" i="4" s="1"/>
  <c r="U243" i="4" s="1"/>
  <c r="S262" i="4"/>
  <c r="T262" i="4" s="1"/>
  <c r="U262" i="4" s="1"/>
  <c r="S296" i="4"/>
  <c r="T296" i="4" s="1"/>
  <c r="U296" i="4" s="1"/>
  <c r="S331" i="4"/>
  <c r="T331" i="4" s="1"/>
  <c r="U331" i="4" s="1"/>
  <c r="S207" i="4"/>
  <c r="T207" i="4" s="1"/>
  <c r="U207" i="4" s="1"/>
  <c r="S512" i="4"/>
  <c r="T512" i="4" s="1"/>
  <c r="U512" i="4" s="1"/>
  <c r="S131" i="4"/>
  <c r="T131" i="4" s="1"/>
  <c r="U131" i="4" s="1"/>
  <c r="S185" i="4"/>
  <c r="T185" i="4" s="1"/>
  <c r="U185" i="4" s="1"/>
  <c r="S244" i="4"/>
  <c r="T244" i="4" s="1"/>
  <c r="U244" i="4" s="1"/>
  <c r="S299" i="4"/>
  <c r="T299" i="4" s="1"/>
  <c r="U299" i="4" s="1"/>
  <c r="S318" i="4"/>
  <c r="T318" i="4" s="1"/>
  <c r="U318" i="4" s="1"/>
  <c r="S401" i="4"/>
  <c r="T401" i="4" s="1"/>
  <c r="U401" i="4" s="1"/>
  <c r="S146" i="4"/>
  <c r="S194" i="4"/>
  <c r="T194" i="4" s="1"/>
  <c r="U194" i="4" s="1"/>
  <c r="S237" i="4"/>
  <c r="T237" i="4" s="1"/>
  <c r="U237" i="4" s="1"/>
  <c r="S253" i="4"/>
  <c r="T253" i="4" s="1"/>
  <c r="U253" i="4" s="1"/>
  <c r="S272" i="4"/>
  <c r="T272" i="4" s="1"/>
  <c r="U272" i="4" s="1"/>
  <c r="S306" i="4"/>
  <c r="T306" i="4" s="1"/>
  <c r="U306" i="4" s="1"/>
  <c r="S325" i="4"/>
  <c r="T325" i="4" s="1"/>
  <c r="U325" i="4" s="1"/>
  <c r="S423" i="4"/>
  <c r="T423" i="4" s="1"/>
  <c r="U423" i="4" s="1"/>
  <c r="S71" i="4"/>
  <c r="T71" i="4" s="1"/>
  <c r="U71" i="4" s="1"/>
  <c r="S190" i="4"/>
  <c r="T190" i="4" s="1"/>
  <c r="U190" i="4" s="1"/>
  <c r="S217" i="4"/>
  <c r="T217" i="4" s="1"/>
  <c r="U217" i="4" s="1"/>
  <c r="S345" i="4"/>
  <c r="T345" i="4" s="1"/>
  <c r="U345" i="4" s="1"/>
  <c r="S86" i="4"/>
  <c r="T86" i="4" s="1"/>
  <c r="U86" i="4" s="1"/>
  <c r="S209" i="4"/>
  <c r="T209" i="4" s="1"/>
  <c r="U209" i="4" s="1"/>
  <c r="S342" i="4"/>
  <c r="T342" i="4" s="1"/>
  <c r="U342" i="4" s="1"/>
  <c r="S468" i="4"/>
  <c r="T468" i="4" s="1"/>
  <c r="U468" i="4" s="1"/>
  <c r="S497" i="4"/>
  <c r="T497" i="4" s="1"/>
  <c r="U497" i="4" s="1"/>
  <c r="S510" i="4"/>
  <c r="T510" i="4" s="1"/>
  <c r="U510" i="4" s="1"/>
  <c r="S203" i="4"/>
  <c r="T203" i="4" s="1"/>
  <c r="U203" i="4" s="1"/>
  <c r="S293" i="4"/>
  <c r="T293" i="4" s="1"/>
  <c r="U293" i="4" s="1"/>
  <c r="S309" i="4"/>
  <c r="T309" i="4" s="1"/>
  <c r="U309" i="4" s="1"/>
  <c r="S11" i="4"/>
  <c r="T11" i="4" s="1"/>
  <c r="U11" i="4" s="1"/>
  <c r="S130" i="4"/>
  <c r="T130" i="4" s="1"/>
  <c r="U130" i="4" s="1"/>
  <c r="S439" i="4"/>
  <c r="S73" i="4"/>
  <c r="T73" i="4" s="1"/>
  <c r="U73" i="4" s="1"/>
  <c r="S206" i="4"/>
  <c r="T206" i="4" s="1"/>
  <c r="U206" i="4" s="1"/>
  <c r="S339" i="4"/>
  <c r="T339" i="4" s="1"/>
  <c r="U339" i="4" s="1"/>
  <c r="S466" i="4"/>
  <c r="T466" i="4" s="1"/>
  <c r="U466" i="4" s="1"/>
  <c r="S26" i="4"/>
  <c r="T26" i="4" s="1"/>
  <c r="U26" i="4" s="1"/>
  <c r="S92" i="4"/>
  <c r="T92" i="4" s="1"/>
  <c r="U92" i="4" s="1"/>
  <c r="S340" i="4"/>
  <c r="T340" i="4" s="1"/>
  <c r="U340" i="4" s="1"/>
  <c r="S463" i="4"/>
  <c r="T463" i="4" s="1"/>
  <c r="U463" i="4" s="1"/>
  <c r="S472" i="4"/>
  <c r="T472" i="4" s="1"/>
  <c r="U472" i="4" s="1"/>
  <c r="S477" i="4"/>
  <c r="T477" i="4" s="1"/>
  <c r="U477" i="4" s="1"/>
  <c r="S495" i="4"/>
  <c r="T495" i="4" s="1"/>
  <c r="U495" i="4" s="1"/>
  <c r="S517" i="4"/>
  <c r="T517" i="4" s="1"/>
  <c r="U517" i="4" s="1"/>
  <c r="S455" i="4"/>
  <c r="T455" i="4" s="1"/>
  <c r="U455" i="4" s="1"/>
  <c r="S183" i="4"/>
  <c r="T183" i="4" s="1"/>
  <c r="U183" i="4" s="1"/>
  <c r="S242" i="4"/>
  <c r="T242" i="4" s="1"/>
  <c r="U242" i="4" s="1"/>
  <c r="S261" i="4"/>
  <c r="T261" i="4" s="1"/>
  <c r="U261" i="4" s="1"/>
  <c r="S297" i="4"/>
  <c r="T297" i="4" s="1"/>
  <c r="U297" i="4" s="1"/>
  <c r="S313" i="4"/>
  <c r="T313" i="4" s="1"/>
  <c r="U313" i="4" s="1"/>
  <c r="S84" i="4"/>
  <c r="T84" i="4" s="1"/>
  <c r="U84" i="4" s="1"/>
  <c r="S134" i="4"/>
  <c r="T134" i="4" s="1"/>
  <c r="U134" i="4" s="1"/>
  <c r="S186" i="4"/>
  <c r="T186" i="4" s="1"/>
  <c r="U186" i="4" s="1"/>
  <c r="S232" i="4"/>
  <c r="T232" i="4" s="1"/>
  <c r="U232" i="4" s="1"/>
  <c r="S247" i="4"/>
  <c r="T247" i="4" s="1"/>
  <c r="U247" i="4" s="1"/>
  <c r="S266" i="4"/>
  <c r="T266" i="4" s="1"/>
  <c r="U266" i="4" s="1"/>
  <c r="S300" i="4"/>
  <c r="T300" i="4" s="1"/>
  <c r="U300" i="4" s="1"/>
  <c r="S319" i="4"/>
  <c r="T319" i="4" s="1"/>
  <c r="U319" i="4" s="1"/>
  <c r="S402" i="4"/>
  <c r="T402" i="4" s="1"/>
  <c r="U402" i="4" s="1"/>
  <c r="S27" i="4"/>
  <c r="T27" i="4" s="1"/>
  <c r="U27" i="4" s="1"/>
  <c r="S85" i="4"/>
  <c r="T85" i="4" s="1"/>
  <c r="U85" i="4" s="1"/>
  <c r="S173" i="4"/>
  <c r="T173" i="4" s="1"/>
  <c r="U173" i="4" s="1"/>
  <c r="S174" i="4"/>
  <c r="T174" i="4" s="1"/>
  <c r="U174" i="4" s="1"/>
  <c r="S211" i="4"/>
  <c r="T211" i="4" s="1"/>
  <c r="U211" i="4" s="1"/>
  <c r="S344" i="4"/>
  <c r="T344" i="4" s="1"/>
  <c r="U344" i="4" s="1"/>
  <c r="S473" i="4"/>
  <c r="T473" i="4" s="1"/>
  <c r="U473" i="4" s="1"/>
  <c r="S481" i="4"/>
  <c r="T481" i="4" s="1"/>
  <c r="U481" i="4" s="1"/>
  <c r="S560" i="4"/>
  <c r="T560" i="4" s="1"/>
  <c r="U560" i="4" s="1"/>
  <c r="S521" i="4"/>
  <c r="T521" i="4" s="1"/>
  <c r="U521" i="4" s="1"/>
  <c r="S478" i="4"/>
  <c r="T478" i="4" s="1"/>
  <c r="U478" i="4" s="1"/>
  <c r="S496" i="4"/>
  <c r="T496" i="4" s="1"/>
  <c r="U496" i="4" s="1"/>
  <c r="S516" i="4"/>
  <c r="T516" i="4" s="1"/>
  <c r="U516" i="4" s="1"/>
  <c r="S189" i="4"/>
  <c r="T189" i="4" s="1"/>
  <c r="U189" i="4" s="1"/>
  <c r="S233" i="4"/>
  <c r="T233" i="4" s="1"/>
  <c r="U233" i="4" s="1"/>
  <c r="S248" i="4"/>
  <c r="T248" i="4" s="1"/>
  <c r="U248" i="4" s="1"/>
  <c r="S303" i="4"/>
  <c r="S322" i="4"/>
  <c r="T322" i="4" s="1"/>
  <c r="U322" i="4" s="1"/>
  <c r="S166" i="4"/>
  <c r="T166" i="4" s="1"/>
  <c r="U166" i="4" s="1"/>
  <c r="S566" i="4"/>
  <c r="T566" i="4" s="1"/>
  <c r="U566" i="4" s="1"/>
  <c r="S180" i="4"/>
  <c r="T180" i="4" s="1"/>
  <c r="U180" i="4" s="1"/>
  <c r="S204" i="4"/>
  <c r="T204" i="4" s="1"/>
  <c r="U204" i="4" s="1"/>
  <c r="S241" i="4"/>
  <c r="T241" i="4" s="1"/>
  <c r="U241" i="4" s="1"/>
  <c r="S257" i="4"/>
  <c r="T257" i="4" s="1"/>
  <c r="U257" i="4" s="1"/>
  <c r="S294" i="4"/>
  <c r="T294" i="4" s="1"/>
  <c r="U294" i="4" s="1"/>
  <c r="S310" i="4"/>
  <c r="S329" i="4"/>
  <c r="T329" i="4" s="1"/>
  <c r="U329" i="4" s="1"/>
  <c r="S153" i="4"/>
  <c r="S14" i="4"/>
  <c r="T14" i="4" s="1"/>
  <c r="U14" i="4" s="1"/>
  <c r="S25" i="4"/>
  <c r="T25" i="4" s="1"/>
  <c r="U25" i="4" s="1"/>
  <c r="S83" i="4"/>
  <c r="T83" i="4" s="1"/>
  <c r="U83" i="4" s="1"/>
  <c r="S200" i="4"/>
  <c r="T200" i="4" s="1"/>
  <c r="U200" i="4" s="1"/>
  <c r="S314" i="4"/>
  <c r="T314" i="4" s="1"/>
  <c r="U314" i="4" s="1"/>
  <c r="S398" i="4"/>
  <c r="T398" i="4" s="1"/>
  <c r="U398" i="4" s="1"/>
  <c r="S471" i="4"/>
  <c r="T471" i="4" s="1"/>
  <c r="U471" i="4" s="1"/>
  <c r="S486" i="4"/>
  <c r="T486" i="4" s="1"/>
  <c r="U486" i="4" s="1"/>
  <c r="S106" i="4"/>
  <c r="T106" i="4" s="1"/>
  <c r="U106" i="4" s="1"/>
  <c r="S94" i="4"/>
  <c r="T94" i="4" s="1"/>
  <c r="U94" i="4" s="1"/>
  <c r="S176" i="4"/>
  <c r="T176" i="4" s="1"/>
  <c r="U176" i="4" s="1"/>
  <c r="S213" i="4"/>
  <c r="S346" i="4"/>
  <c r="T346" i="4" s="1"/>
  <c r="U346" i="4" s="1"/>
  <c r="S458" i="4"/>
  <c r="T458" i="4" s="1"/>
  <c r="U458" i="4" s="1"/>
  <c r="S500" i="4"/>
  <c r="T500" i="4" s="1"/>
  <c r="U500" i="4" s="1"/>
  <c r="S476" i="4"/>
  <c r="T476" i="4" s="1"/>
  <c r="U476" i="4" s="1"/>
  <c r="S494" i="4"/>
  <c r="T494" i="4" s="1"/>
  <c r="U494" i="4" s="1"/>
  <c r="S514" i="4"/>
  <c r="S238" i="4"/>
  <c r="T238" i="4" s="1"/>
  <c r="U238" i="4" s="1"/>
  <c r="S44" i="4"/>
  <c r="S246" i="4"/>
  <c r="T246" i="4" s="1"/>
  <c r="U246" i="4" s="1"/>
  <c r="S301" i="4"/>
  <c r="T301" i="4" s="1"/>
  <c r="U301" i="4" s="1"/>
  <c r="S567" i="4"/>
  <c r="T567" i="4" s="1"/>
  <c r="U567" i="4" s="1"/>
  <c r="S192" i="4"/>
  <c r="T192" i="4" s="1"/>
  <c r="U192" i="4" s="1"/>
  <c r="S559" i="4"/>
  <c r="T559" i="4" s="1"/>
  <c r="U559" i="4" s="1"/>
  <c r="S251" i="4"/>
  <c r="T251" i="4" s="1"/>
  <c r="U251" i="4" s="1"/>
  <c r="S270" i="4"/>
  <c r="T270" i="4" s="1"/>
  <c r="U270" i="4" s="1"/>
  <c r="S323" i="4"/>
  <c r="T323" i="4" s="1"/>
  <c r="U323" i="4" s="1"/>
  <c r="S93" i="4"/>
  <c r="T93" i="4" s="1"/>
  <c r="U93" i="4" s="1"/>
  <c r="S177" i="4"/>
  <c r="T177" i="4" s="1"/>
  <c r="U177" i="4" s="1"/>
  <c r="S219" i="4"/>
  <c r="T219" i="4" s="1"/>
  <c r="U219" i="4" s="1"/>
  <c r="S107" i="4"/>
  <c r="T107" i="4" s="1"/>
  <c r="U107" i="4" s="1"/>
  <c r="S72" i="4"/>
  <c r="T72" i="4" s="1"/>
  <c r="U72" i="4" s="1"/>
  <c r="S110" i="4"/>
  <c r="T110" i="4" s="1"/>
  <c r="U110" i="4" s="1"/>
  <c r="S191" i="4"/>
  <c r="T191" i="4" s="1"/>
  <c r="U191" i="4" s="1"/>
  <c r="S216" i="4"/>
  <c r="T216" i="4" s="1"/>
  <c r="U216" i="4" s="1"/>
  <c r="S348" i="4"/>
  <c r="T348" i="4" s="1"/>
  <c r="U348" i="4" s="1"/>
  <c r="S502" i="4"/>
  <c r="T502" i="4" s="1"/>
  <c r="U502" i="4" s="1"/>
  <c r="S482" i="4"/>
  <c r="T482" i="4" s="1"/>
  <c r="U482" i="4" s="1"/>
  <c r="S499" i="4"/>
  <c r="S520" i="4"/>
  <c r="T520" i="4" s="1"/>
  <c r="U520" i="4" s="1"/>
  <c r="S195" i="4"/>
  <c r="T195" i="4" s="1"/>
  <c r="U195" i="4" s="1"/>
  <c r="S236" i="4"/>
  <c r="T236" i="4" s="1"/>
  <c r="U236" i="4" s="1"/>
  <c r="S252" i="4"/>
  <c r="T252" i="4" s="1"/>
  <c r="U252" i="4" s="1"/>
  <c r="S307" i="4"/>
  <c r="T307" i="4" s="1"/>
  <c r="U307" i="4" s="1"/>
  <c r="S326" i="4"/>
  <c r="T326" i="4" s="1"/>
  <c r="U326" i="4" s="1"/>
  <c r="S24" i="4"/>
  <c r="T24" i="4" s="1"/>
  <c r="U24" i="4" s="1"/>
  <c r="S132" i="4"/>
  <c r="T132" i="4" s="1"/>
  <c r="U132" i="4" s="1"/>
  <c r="S184" i="4"/>
  <c r="T184" i="4" s="1"/>
  <c r="U184" i="4" s="1"/>
  <c r="S245" i="4"/>
  <c r="T245" i="4" s="1"/>
  <c r="U245" i="4" s="1"/>
  <c r="S264" i="4"/>
  <c r="T264" i="4" s="1"/>
  <c r="U264" i="4" s="1"/>
  <c r="S298" i="4"/>
  <c r="T298" i="4" s="1"/>
  <c r="U298" i="4" s="1"/>
  <c r="S317" i="4"/>
  <c r="T317" i="4" s="1"/>
  <c r="U317" i="4" s="1"/>
  <c r="S400" i="4"/>
  <c r="T400" i="4" s="1"/>
  <c r="U400" i="4" s="1"/>
  <c r="S47" i="4"/>
  <c r="S208" i="4"/>
  <c r="S333" i="4"/>
  <c r="S407" i="4"/>
  <c r="T407" i="4" s="1"/>
  <c r="U407" i="4" s="1"/>
  <c r="S68" i="4"/>
  <c r="T68" i="4" s="1"/>
  <c r="U68" i="4" s="1"/>
  <c r="S196" i="4"/>
  <c r="T196" i="4" s="1"/>
  <c r="U196" i="4" s="1"/>
  <c r="S397" i="4"/>
  <c r="S465" i="4"/>
  <c r="T465" i="4" s="1"/>
  <c r="U465" i="4" s="1"/>
  <c r="S507" i="4"/>
  <c r="S480" i="4"/>
  <c r="T480" i="4" s="1"/>
  <c r="U480" i="4" s="1"/>
  <c r="S498" i="4"/>
  <c r="S518" i="4"/>
  <c r="T518" i="4" s="1"/>
  <c r="U518" i="4" s="1"/>
  <c r="P179" i="4"/>
  <c r="P228" i="4" s="1"/>
  <c r="P443" i="4" s="1"/>
  <c r="Q441" i="4" l="1"/>
  <c r="Q430" i="4"/>
  <c r="Q443" i="4" s="1"/>
  <c r="S51" i="4"/>
  <c r="F10" i="1" s="1"/>
  <c r="O443" i="4"/>
  <c r="T381" i="4"/>
  <c r="T393" i="4" s="1"/>
  <c r="F38" i="1"/>
  <c r="T353" i="4"/>
  <c r="S378" i="4"/>
  <c r="F36" i="1" s="1"/>
  <c r="E40" i="1"/>
  <c r="E46" i="1"/>
  <c r="E42" i="1"/>
  <c r="E58" i="1"/>
  <c r="E34" i="1"/>
  <c r="E32" i="1"/>
  <c r="E28" i="1"/>
  <c r="E30" i="1"/>
  <c r="E60" i="1"/>
  <c r="F48" i="1"/>
  <c r="T82" i="4"/>
  <c r="U82" i="4" s="1"/>
  <c r="S433" i="4"/>
  <c r="S436" i="4" s="1"/>
  <c r="S409" i="4"/>
  <c r="T338" i="4"/>
  <c r="S350" i="4"/>
  <c r="S417" i="4"/>
  <c r="T507" i="4"/>
  <c r="U507" i="4" s="1"/>
  <c r="S530" i="4"/>
  <c r="S228" i="4"/>
  <c r="S289" i="4"/>
  <c r="T292" i="4"/>
  <c r="U292" i="4" s="1"/>
  <c r="S335" i="4"/>
  <c r="T565" i="4"/>
  <c r="U565" i="4" s="1"/>
  <c r="T44" i="4"/>
  <c r="T422" i="4"/>
  <c r="S430" i="4"/>
  <c r="S504" i="4"/>
  <c r="T439" i="4"/>
  <c r="S441" i="4"/>
  <c r="T412" i="4"/>
  <c r="U412" i="4" s="1"/>
  <c r="T213" i="4"/>
  <c r="U213" i="4" s="1"/>
  <c r="T498" i="4"/>
  <c r="U498" i="4" s="1"/>
  <c r="T146" i="4"/>
  <c r="U146" i="4" s="1"/>
  <c r="T333" i="4"/>
  <c r="U333" i="4" s="1"/>
  <c r="T499" i="4"/>
  <c r="U499" i="4" s="1"/>
  <c r="T310" i="4"/>
  <c r="U310" i="4" s="1"/>
  <c r="T74" i="4"/>
  <c r="T265" i="4"/>
  <c r="U265" i="4" s="1"/>
  <c r="T303" i="4"/>
  <c r="U303" i="4" s="1"/>
  <c r="T397" i="4"/>
  <c r="T208" i="4"/>
  <c r="U208" i="4" s="1"/>
  <c r="T47" i="4"/>
  <c r="U47" i="4" s="1"/>
  <c r="T514" i="4"/>
  <c r="U514" i="4" s="1"/>
  <c r="T153" i="4"/>
  <c r="T212" i="4"/>
  <c r="U212" i="4" s="1"/>
  <c r="AQ382" i="2"/>
  <c r="AO382" i="2"/>
  <c r="AM382" i="2"/>
  <c r="AK382" i="2"/>
  <c r="AQ37" i="2"/>
  <c r="AO37" i="2"/>
  <c r="AK37" i="2"/>
  <c r="AQ52" i="2"/>
  <c r="AO52" i="2"/>
  <c r="AM52" i="2"/>
  <c r="AK52" i="2"/>
  <c r="AQ69" i="2"/>
  <c r="AO69" i="2"/>
  <c r="AM69" i="2"/>
  <c r="AK69" i="2"/>
  <c r="AQ86" i="2"/>
  <c r="AO86" i="2"/>
  <c r="AM86" i="2"/>
  <c r="AK86" i="2"/>
  <c r="AQ102" i="2"/>
  <c r="AO102" i="2"/>
  <c r="AM102" i="2"/>
  <c r="AK102" i="2"/>
  <c r="AQ230" i="2"/>
  <c r="AO230" i="2"/>
  <c r="AM230" i="2"/>
  <c r="AK230" i="2"/>
  <c r="AQ278" i="2"/>
  <c r="AO278" i="2"/>
  <c r="AM278" i="2"/>
  <c r="AK278" i="2"/>
  <c r="AQ324" i="2"/>
  <c r="AO324" i="2"/>
  <c r="AM324" i="2"/>
  <c r="AK324" i="2"/>
  <c r="AQ339" i="2"/>
  <c r="AO339" i="2"/>
  <c r="AM339" i="2"/>
  <c r="AK339" i="2"/>
  <c r="AR370" i="2"/>
  <c r="AQ370" i="2"/>
  <c r="AP370" i="2"/>
  <c r="AO370" i="2"/>
  <c r="AN370" i="2"/>
  <c r="AM370" i="2"/>
  <c r="AL370" i="2"/>
  <c r="AK370" i="2"/>
  <c r="AJ370" i="2"/>
  <c r="AQ364" i="2"/>
  <c r="AO364" i="2"/>
  <c r="AM364" i="2"/>
  <c r="AK364" i="2"/>
  <c r="AQ377" i="2"/>
  <c r="AO377" i="2"/>
  <c r="AM377" i="2"/>
  <c r="AK377" i="2"/>
  <c r="AQ387" i="2"/>
  <c r="AO387" i="2"/>
  <c r="AM387" i="2"/>
  <c r="AK387" i="2"/>
  <c r="AQ397" i="2"/>
  <c r="AO397" i="2"/>
  <c r="AM397" i="2"/>
  <c r="AK397" i="2"/>
  <c r="AQ445" i="2"/>
  <c r="AO445" i="2"/>
  <c r="AM445" i="2"/>
  <c r="AK445" i="2"/>
  <c r="AQ482" i="2"/>
  <c r="AO482" i="2"/>
  <c r="AM482" i="2"/>
  <c r="AK482" i="2"/>
  <c r="AQ502" i="2"/>
  <c r="AO502" i="2"/>
  <c r="AM502" i="2"/>
  <c r="AK502" i="2"/>
  <c r="AP484" i="2"/>
  <c r="AN484" i="2"/>
  <c r="AJ484" i="2"/>
  <c r="AL484" i="2" s="1"/>
  <c r="AP400" i="2"/>
  <c r="AN400" i="2"/>
  <c r="AJ400" i="2"/>
  <c r="AL400" i="2" s="1"/>
  <c r="AP351" i="2"/>
  <c r="AN351" i="2"/>
  <c r="AJ351" i="2"/>
  <c r="AL351" i="2" s="1"/>
  <c r="AP345" i="2"/>
  <c r="AN345" i="2"/>
  <c r="AJ345" i="2"/>
  <c r="AL345" i="2" s="1"/>
  <c r="AP214" i="2"/>
  <c r="AN214" i="2"/>
  <c r="AJ214" i="2"/>
  <c r="AL214" i="2" s="1"/>
  <c r="AP210" i="2"/>
  <c r="AN210" i="2"/>
  <c r="AJ210" i="2"/>
  <c r="AL210" i="2" s="1"/>
  <c r="AP206" i="2"/>
  <c r="AN206" i="2"/>
  <c r="AJ206" i="2"/>
  <c r="AL206" i="2" s="1"/>
  <c r="AP203" i="2"/>
  <c r="AN203" i="2"/>
  <c r="AJ203" i="2"/>
  <c r="AL203" i="2" s="1"/>
  <c r="AP198" i="2"/>
  <c r="AN198" i="2"/>
  <c r="AJ198" i="2"/>
  <c r="AL198" i="2" s="1"/>
  <c r="AP192" i="2"/>
  <c r="AN192" i="2"/>
  <c r="AJ192" i="2"/>
  <c r="AL192" i="2" s="1"/>
  <c r="AP179" i="2"/>
  <c r="AN179" i="2"/>
  <c r="AJ179" i="2"/>
  <c r="AL179" i="2" s="1"/>
  <c r="AP173" i="2"/>
  <c r="AN173" i="2"/>
  <c r="AJ173" i="2"/>
  <c r="AL173" i="2" s="1"/>
  <c r="AP90" i="2"/>
  <c r="AN90" i="2"/>
  <c r="AP39" i="2"/>
  <c r="AN39" i="2"/>
  <c r="AJ39" i="2"/>
  <c r="AL39" i="2" s="1"/>
  <c r="E44" i="1" l="1"/>
  <c r="T51" i="4"/>
  <c r="G10" i="1" s="1"/>
  <c r="S443" i="4"/>
  <c r="U381" i="4"/>
  <c r="G38" i="1"/>
  <c r="U353" i="4"/>
  <c r="U378" i="4" s="1"/>
  <c r="H36" i="1" s="1"/>
  <c r="T378" i="4"/>
  <c r="G36" i="1" s="1"/>
  <c r="F30" i="1"/>
  <c r="F60" i="1"/>
  <c r="F46" i="1"/>
  <c r="F58" i="1"/>
  <c r="F40" i="1"/>
  <c r="F28" i="1"/>
  <c r="F42" i="1"/>
  <c r="F32" i="1"/>
  <c r="F44" i="1"/>
  <c r="F34" i="1"/>
  <c r="T350" i="4"/>
  <c r="U338" i="4"/>
  <c r="U350" i="4" s="1"/>
  <c r="U74" i="4"/>
  <c r="U44" i="4"/>
  <c r="U51" i="4" s="1"/>
  <c r="H10" i="1" s="1"/>
  <c r="U153" i="4"/>
  <c r="T409" i="4"/>
  <c r="U397" i="4"/>
  <c r="U409" i="4" s="1"/>
  <c r="T430" i="4"/>
  <c r="U422" i="4"/>
  <c r="U430" i="4" s="1"/>
  <c r="T441" i="4"/>
  <c r="G48" i="1"/>
  <c r="U439" i="4"/>
  <c r="T433" i="4"/>
  <c r="U335" i="4"/>
  <c r="T504" i="4"/>
  <c r="T228" i="4"/>
  <c r="T289" i="4"/>
  <c r="T335" i="4"/>
  <c r="T530" i="4"/>
  <c r="U417" i="4"/>
  <c r="T417" i="4"/>
  <c r="U228" i="4"/>
  <c r="U530" i="4"/>
  <c r="U504" i="4"/>
  <c r="U289" i="4"/>
  <c r="AR210" i="2"/>
  <c r="AR400" i="2"/>
  <c r="AR203" i="2"/>
  <c r="AR173" i="2"/>
  <c r="AR214" i="2"/>
  <c r="AR345" i="2"/>
  <c r="AR484" i="2"/>
  <c r="AR39" i="2"/>
  <c r="AR198" i="2"/>
  <c r="AM504" i="2"/>
  <c r="AO504" i="2"/>
  <c r="AQ504" i="2"/>
  <c r="AR206" i="2"/>
  <c r="AR351" i="2"/>
  <c r="AK504" i="2"/>
  <c r="AR90" i="2"/>
  <c r="AR179" i="2"/>
  <c r="AR192" i="2"/>
  <c r="AK119" i="2"/>
  <c r="AM119" i="2"/>
  <c r="AQ119" i="2"/>
  <c r="AO119" i="2"/>
  <c r="AM389" i="2"/>
  <c r="AQ389" i="2"/>
  <c r="AK389" i="2"/>
  <c r="AO389" i="2"/>
  <c r="O370" i="2"/>
  <c r="P370" i="2"/>
  <c r="Q370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N370" i="2"/>
  <c r="U393" i="4" l="1"/>
  <c r="H38" i="1" s="1"/>
  <c r="G30" i="1"/>
  <c r="G40" i="1"/>
  <c r="G28" i="1"/>
  <c r="H44" i="1"/>
  <c r="H34" i="1"/>
  <c r="H28" i="1"/>
  <c r="H58" i="1"/>
  <c r="G42" i="1"/>
  <c r="H60" i="1"/>
  <c r="H42" i="1"/>
  <c r="G60" i="1"/>
  <c r="G58" i="1"/>
  <c r="H48" i="1"/>
  <c r="G44" i="1"/>
  <c r="G34" i="1"/>
  <c r="H30" i="1"/>
  <c r="G32" i="1"/>
  <c r="H32" i="1"/>
  <c r="H40" i="1"/>
  <c r="U441" i="4"/>
  <c r="U433" i="4"/>
  <c r="U436" i="4" s="1"/>
  <c r="T436" i="4"/>
  <c r="T443" i="4" s="1"/>
  <c r="AH17" i="2"/>
  <c r="AG17" i="2"/>
  <c r="AE17" i="2"/>
  <c r="AD17" i="2"/>
  <c r="P17" i="2"/>
  <c r="K17" i="2"/>
  <c r="AF17" i="2" s="1"/>
  <c r="AH61" i="2"/>
  <c r="AG61" i="2"/>
  <c r="AE61" i="2"/>
  <c r="AD61" i="2"/>
  <c r="P61" i="2"/>
  <c r="Q61" i="2" s="1"/>
  <c r="K61" i="2"/>
  <c r="AF61" i="2" s="1"/>
  <c r="AH60" i="2"/>
  <c r="AG60" i="2"/>
  <c r="AE60" i="2"/>
  <c r="AD60" i="2"/>
  <c r="Z69" i="2"/>
  <c r="P60" i="2"/>
  <c r="Q60" i="2" s="1"/>
  <c r="K60" i="2"/>
  <c r="AF60" i="2" s="1"/>
  <c r="AH59" i="2"/>
  <c r="AG59" i="2"/>
  <c r="AE59" i="2"/>
  <c r="AD59" i="2"/>
  <c r="P59" i="2"/>
  <c r="Q59" i="2" s="1"/>
  <c r="K59" i="2"/>
  <c r="AF59" i="2" s="1"/>
  <c r="AH58" i="2"/>
  <c r="AG58" i="2"/>
  <c r="AE58" i="2"/>
  <c r="AD58" i="2"/>
  <c r="P58" i="2"/>
  <c r="Q58" i="2" s="1"/>
  <c r="K58" i="2"/>
  <c r="AF58" i="2" s="1"/>
  <c r="AH64" i="2"/>
  <c r="AG64" i="2"/>
  <c r="AE64" i="2"/>
  <c r="AD64" i="2"/>
  <c r="P64" i="2"/>
  <c r="Q64" i="2" s="1"/>
  <c r="K64" i="2"/>
  <c r="AF64" i="2" s="1"/>
  <c r="AH63" i="2"/>
  <c r="AG63" i="2"/>
  <c r="AE63" i="2"/>
  <c r="AD63" i="2"/>
  <c r="P63" i="2"/>
  <c r="Q63" i="2" s="1"/>
  <c r="K63" i="2"/>
  <c r="AF63" i="2" s="1"/>
  <c r="AH57" i="2"/>
  <c r="AG57" i="2"/>
  <c r="AE57" i="2"/>
  <c r="AD57" i="2"/>
  <c r="P57" i="2"/>
  <c r="Q57" i="2" s="1"/>
  <c r="K57" i="2"/>
  <c r="AF57" i="2" s="1"/>
  <c r="AH66" i="2"/>
  <c r="AG66" i="2"/>
  <c r="AE66" i="2"/>
  <c r="AD66" i="2"/>
  <c r="P66" i="2"/>
  <c r="Q66" i="2" s="1"/>
  <c r="K66" i="2"/>
  <c r="AF66" i="2" s="1"/>
  <c r="K72" i="2"/>
  <c r="AH65" i="2"/>
  <c r="AG65" i="2"/>
  <c r="AE65" i="2"/>
  <c r="AD65" i="2"/>
  <c r="P65" i="2"/>
  <c r="Q65" i="2" s="1"/>
  <c r="K65" i="2"/>
  <c r="AF65" i="2" s="1"/>
  <c r="AH62" i="2"/>
  <c r="AG62" i="2"/>
  <c r="AE62" i="2"/>
  <c r="AD62" i="2"/>
  <c r="N62" i="2"/>
  <c r="N69" i="2" s="1"/>
  <c r="K62" i="2"/>
  <c r="AF62" i="2" s="1"/>
  <c r="AH82" i="2"/>
  <c r="AH114" i="2"/>
  <c r="AG114" i="2"/>
  <c r="AE114" i="2"/>
  <c r="AD114" i="2"/>
  <c r="P114" i="2"/>
  <c r="Q114" i="2" s="1"/>
  <c r="K114" i="2"/>
  <c r="AF114" i="2" s="1"/>
  <c r="AH113" i="2"/>
  <c r="AG113" i="2"/>
  <c r="AE113" i="2"/>
  <c r="AD113" i="2"/>
  <c r="P113" i="2"/>
  <c r="Q113" i="2" s="1"/>
  <c r="K113" i="2"/>
  <c r="AF113" i="2" s="1"/>
  <c r="AH112" i="2"/>
  <c r="AG112" i="2"/>
  <c r="AE112" i="2"/>
  <c r="AD112" i="2"/>
  <c r="P112" i="2"/>
  <c r="Q112" i="2" s="1"/>
  <c r="K112" i="2"/>
  <c r="AF112" i="2" s="1"/>
  <c r="AH111" i="2"/>
  <c r="AG111" i="2"/>
  <c r="AE111" i="2"/>
  <c r="AD111" i="2"/>
  <c r="P111" i="2"/>
  <c r="Q111" i="2" s="1"/>
  <c r="K111" i="2"/>
  <c r="AF111" i="2" s="1"/>
  <c r="AH110" i="2"/>
  <c r="AG110" i="2"/>
  <c r="AE110" i="2"/>
  <c r="AD110" i="2"/>
  <c r="P110" i="2"/>
  <c r="Q110" i="2" s="1"/>
  <c r="K110" i="2"/>
  <c r="AF110" i="2" s="1"/>
  <c r="AH109" i="2"/>
  <c r="AG109" i="2"/>
  <c r="AE109" i="2"/>
  <c r="AD109" i="2"/>
  <c r="P109" i="2"/>
  <c r="Q109" i="2" s="1"/>
  <c r="K109" i="2"/>
  <c r="AF109" i="2" s="1"/>
  <c r="AH108" i="2"/>
  <c r="AG108" i="2"/>
  <c r="AE108" i="2"/>
  <c r="AD108" i="2"/>
  <c r="P108" i="2"/>
  <c r="Q108" i="2" s="1"/>
  <c r="K108" i="2"/>
  <c r="AF108" i="2" s="1"/>
  <c r="AH107" i="2"/>
  <c r="AG107" i="2"/>
  <c r="AE107" i="2"/>
  <c r="AD107" i="2"/>
  <c r="P107" i="2"/>
  <c r="Q107" i="2" s="1"/>
  <c r="K107" i="2"/>
  <c r="AF107" i="2" s="1"/>
  <c r="P106" i="2"/>
  <c r="Q106" i="2" s="1"/>
  <c r="AH106" i="2"/>
  <c r="AG106" i="2"/>
  <c r="AE106" i="2"/>
  <c r="AD106" i="2"/>
  <c r="K106" i="2"/>
  <c r="AF106" i="2" s="1"/>
  <c r="AH105" i="2"/>
  <c r="AG105" i="2"/>
  <c r="AE105" i="2"/>
  <c r="AD105" i="2"/>
  <c r="P105" i="2"/>
  <c r="K105" i="2"/>
  <c r="AF105" i="2" s="1"/>
  <c r="AH15" i="2"/>
  <c r="AG15" i="2"/>
  <c r="AE15" i="2"/>
  <c r="AD15" i="2"/>
  <c r="P15" i="2"/>
  <c r="Q15" i="2" s="1"/>
  <c r="K15" i="2"/>
  <c r="AF15" i="2" s="1"/>
  <c r="AH32" i="2"/>
  <c r="AG32" i="2"/>
  <c r="AE32" i="2"/>
  <c r="AD32" i="2"/>
  <c r="P32" i="2"/>
  <c r="Q32" i="2" s="1"/>
  <c r="K32" i="2"/>
  <c r="AF32" i="2" s="1"/>
  <c r="AH16" i="2"/>
  <c r="AG16" i="2"/>
  <c r="AE16" i="2"/>
  <c r="AD16" i="2"/>
  <c r="P16" i="2"/>
  <c r="K16" i="2"/>
  <c r="AF16" i="2" s="1"/>
  <c r="AN16" i="2" s="1"/>
  <c r="AH35" i="2"/>
  <c r="AG35" i="2"/>
  <c r="AE35" i="2"/>
  <c r="AD35" i="2"/>
  <c r="P35" i="2"/>
  <c r="Q35" i="2" s="1"/>
  <c r="K35" i="2"/>
  <c r="AF35" i="2" s="1"/>
  <c r="AH34" i="2"/>
  <c r="AG34" i="2"/>
  <c r="AE34" i="2"/>
  <c r="AD34" i="2"/>
  <c r="P34" i="2"/>
  <c r="Q34" i="2" s="1"/>
  <c r="K34" i="2"/>
  <c r="AF34" i="2" s="1"/>
  <c r="U443" i="4" l="1"/>
  <c r="H46" i="1"/>
  <c r="G46" i="1"/>
  <c r="Q105" i="2"/>
  <c r="Q116" i="2" s="1"/>
  <c r="P116" i="2"/>
  <c r="AN17" i="2"/>
  <c r="AJ106" i="2"/>
  <c r="AN106" i="2"/>
  <c r="AP60" i="2"/>
  <c r="AJ60" i="2"/>
  <c r="AJ15" i="2"/>
  <c r="AN15" i="2"/>
  <c r="AN108" i="2"/>
  <c r="AJ108" i="2"/>
  <c r="AP108" i="2" s="1"/>
  <c r="AJ110" i="2"/>
  <c r="AN110" i="2"/>
  <c r="AN112" i="2"/>
  <c r="AJ112" i="2"/>
  <c r="AP112" i="2" s="1"/>
  <c r="AJ114" i="2"/>
  <c r="AN114" i="2"/>
  <c r="AJ66" i="2"/>
  <c r="AN66" i="2"/>
  <c r="AJ64" i="2"/>
  <c r="AP64" i="2"/>
  <c r="AJ59" i="2"/>
  <c r="AP59" i="2"/>
  <c r="AJ65" i="2"/>
  <c r="AP65" i="2" s="1"/>
  <c r="AN65" i="2"/>
  <c r="AP61" i="2"/>
  <c r="AJ61" i="2"/>
  <c r="AJ34" i="2"/>
  <c r="AN34" i="2"/>
  <c r="AN35" i="2"/>
  <c r="AJ35" i="2"/>
  <c r="AN32" i="2"/>
  <c r="AJ32" i="2"/>
  <c r="AP32" i="2" s="1"/>
  <c r="AJ105" i="2"/>
  <c r="AN105" i="2"/>
  <c r="AJ107" i="2"/>
  <c r="AN107" i="2"/>
  <c r="AJ109" i="2"/>
  <c r="AN109" i="2"/>
  <c r="AJ111" i="2"/>
  <c r="AN111" i="2"/>
  <c r="AJ113" i="2"/>
  <c r="AP113" i="2" s="1"/>
  <c r="AN113" i="2"/>
  <c r="AP57" i="2"/>
  <c r="AJ57" i="2"/>
  <c r="AJ63" i="2"/>
  <c r="AP63" i="2"/>
  <c r="AJ58" i="2"/>
  <c r="AP58" i="2"/>
  <c r="Q16" i="2"/>
  <c r="AJ16" i="2"/>
  <c r="Q17" i="2"/>
  <c r="R17" i="2" s="1"/>
  <c r="T17" i="2" s="1"/>
  <c r="X17" i="2" s="1"/>
  <c r="Y17" i="2" s="1"/>
  <c r="AA17" i="2" s="1"/>
  <c r="AJ17" i="2"/>
  <c r="P62" i="2"/>
  <c r="R63" i="2"/>
  <c r="T63" i="2" s="1"/>
  <c r="X66" i="2"/>
  <c r="Y66" i="2" s="1"/>
  <c r="AA66" i="2" s="1"/>
  <c r="X60" i="2"/>
  <c r="Y60" i="2" s="1"/>
  <c r="AA60" i="2" s="1"/>
  <c r="R57" i="2"/>
  <c r="V57" i="2" s="1"/>
  <c r="R65" i="2"/>
  <c r="T65" i="2" s="1"/>
  <c r="R59" i="2"/>
  <c r="T59" i="2" s="1"/>
  <c r="R62" i="2"/>
  <c r="V62" i="2" s="1"/>
  <c r="R64" i="2"/>
  <c r="T64" i="2" s="1"/>
  <c r="R58" i="2"/>
  <c r="T58" i="2" s="1"/>
  <c r="R66" i="2"/>
  <c r="T66" i="2" s="1"/>
  <c r="R60" i="2"/>
  <c r="V60" i="2" s="1"/>
  <c r="R61" i="2"/>
  <c r="T61" i="2" s="1"/>
  <c r="P69" i="2"/>
  <c r="X61" i="2"/>
  <c r="Y61" i="2" s="1"/>
  <c r="AA61" i="2" s="1"/>
  <c r="X59" i="2"/>
  <c r="Y59" i="2" s="1"/>
  <c r="AA59" i="2" s="1"/>
  <c r="X58" i="2"/>
  <c r="X64" i="2"/>
  <c r="Y64" i="2" s="1"/>
  <c r="AA64" i="2" s="1"/>
  <c r="X63" i="2"/>
  <c r="Y63" i="2" s="1"/>
  <c r="AA63" i="2" s="1"/>
  <c r="X57" i="2"/>
  <c r="X65" i="2"/>
  <c r="Y65" i="2" s="1"/>
  <c r="AA65" i="2" s="1"/>
  <c r="R114" i="2"/>
  <c r="V114" i="2" s="1"/>
  <c r="X114" i="2"/>
  <c r="Y114" i="2" s="1"/>
  <c r="AA114" i="2" s="1"/>
  <c r="R113" i="2"/>
  <c r="V113" i="2" s="1"/>
  <c r="X113" i="2"/>
  <c r="Y113" i="2" s="1"/>
  <c r="AA113" i="2" s="1"/>
  <c r="R112" i="2"/>
  <c r="T112" i="2" s="1"/>
  <c r="R111" i="2"/>
  <c r="V111" i="2" s="1"/>
  <c r="X112" i="2"/>
  <c r="Y112" i="2" s="1"/>
  <c r="AA112" i="2" s="1"/>
  <c r="X111" i="2"/>
  <c r="Y111" i="2" s="1"/>
  <c r="AA111" i="2" s="1"/>
  <c r="R110" i="2"/>
  <c r="V110" i="2" s="1"/>
  <c r="X110" i="2"/>
  <c r="Y110" i="2" s="1"/>
  <c r="AA110" i="2" s="1"/>
  <c r="R109" i="2"/>
  <c r="T109" i="2" s="1"/>
  <c r="X109" i="2"/>
  <c r="Y109" i="2" s="1"/>
  <c r="AA109" i="2" s="1"/>
  <c r="R108" i="2"/>
  <c r="V108" i="2" s="1"/>
  <c r="R105" i="2"/>
  <c r="R107" i="2"/>
  <c r="V107" i="2" s="1"/>
  <c r="X108" i="2"/>
  <c r="Y108" i="2" s="1"/>
  <c r="AA108" i="2" s="1"/>
  <c r="X107" i="2"/>
  <c r="Y107" i="2" s="1"/>
  <c r="AA107" i="2" s="1"/>
  <c r="R106" i="2"/>
  <c r="V106" i="2" s="1"/>
  <c r="X106" i="2"/>
  <c r="Y106" i="2" s="1"/>
  <c r="AA106" i="2" s="1"/>
  <c r="X105" i="2"/>
  <c r="Y105" i="2" s="1"/>
  <c r="AA105" i="2" s="1"/>
  <c r="R15" i="2"/>
  <c r="V15" i="2" s="1"/>
  <c r="R16" i="2"/>
  <c r="V16" i="2" s="1"/>
  <c r="R32" i="2"/>
  <c r="V32" i="2" s="1"/>
  <c r="X32" i="2"/>
  <c r="Y32" i="2" s="1"/>
  <c r="AA32" i="2" s="1"/>
  <c r="R35" i="2"/>
  <c r="V35" i="2" s="1"/>
  <c r="R34" i="2"/>
  <c r="T34" i="2" s="1"/>
  <c r="X35" i="2"/>
  <c r="Y35" i="2" s="1"/>
  <c r="AA35" i="2" s="1"/>
  <c r="X34" i="2"/>
  <c r="Y34" i="2" s="1"/>
  <c r="AA34" i="2" s="1"/>
  <c r="AH337" i="2"/>
  <c r="AG337" i="2"/>
  <c r="AE337" i="2"/>
  <c r="AD337" i="2"/>
  <c r="P337" i="2"/>
  <c r="Q337" i="2" s="1"/>
  <c r="K337" i="2"/>
  <c r="AF337" i="2" s="1"/>
  <c r="AH480" i="2"/>
  <c r="AG480" i="2"/>
  <c r="AE480" i="2"/>
  <c r="AD480" i="2"/>
  <c r="P480" i="2"/>
  <c r="Q480" i="2" s="1"/>
  <c r="K480" i="2"/>
  <c r="AF480" i="2" s="1"/>
  <c r="AH479" i="2"/>
  <c r="AG479" i="2"/>
  <c r="AE479" i="2"/>
  <c r="AD479" i="2"/>
  <c r="P479" i="2"/>
  <c r="Q479" i="2" s="1"/>
  <c r="K479" i="2"/>
  <c r="AF479" i="2" s="1"/>
  <c r="AH478" i="2"/>
  <c r="AG478" i="2"/>
  <c r="AE478" i="2"/>
  <c r="AD478" i="2"/>
  <c r="P478" i="2"/>
  <c r="Q478" i="2" s="1"/>
  <c r="K478" i="2"/>
  <c r="AF478" i="2" s="1"/>
  <c r="AH375" i="2"/>
  <c r="AG375" i="2"/>
  <c r="AE375" i="2"/>
  <c r="AD375" i="2"/>
  <c r="P375" i="2"/>
  <c r="Q375" i="2" s="1"/>
  <c r="K375" i="2"/>
  <c r="AF375" i="2" s="1"/>
  <c r="AH100" i="2"/>
  <c r="AG100" i="2"/>
  <c r="AE100" i="2"/>
  <c r="AD100" i="2"/>
  <c r="P100" i="2"/>
  <c r="Q100" i="2" s="1"/>
  <c r="K100" i="2"/>
  <c r="AF100" i="2" s="1"/>
  <c r="AH276" i="2"/>
  <c r="AG276" i="2"/>
  <c r="AE276" i="2"/>
  <c r="AD276" i="2"/>
  <c r="P276" i="2"/>
  <c r="Q276" i="2" s="1"/>
  <c r="K276" i="2"/>
  <c r="AF276" i="2" s="1"/>
  <c r="AH275" i="2"/>
  <c r="AG275" i="2"/>
  <c r="AE275" i="2"/>
  <c r="AD275" i="2"/>
  <c r="P275" i="2"/>
  <c r="Q275" i="2" s="1"/>
  <c r="K275" i="2"/>
  <c r="AF275" i="2" s="1"/>
  <c r="AH443" i="2"/>
  <c r="AG443" i="2"/>
  <c r="AE443" i="2"/>
  <c r="AD443" i="2"/>
  <c r="P443" i="2"/>
  <c r="Q443" i="2" s="1"/>
  <c r="K443" i="2"/>
  <c r="AF443" i="2" s="1"/>
  <c r="AH228" i="2"/>
  <c r="AG228" i="2"/>
  <c r="AE228" i="2"/>
  <c r="AD228" i="2"/>
  <c r="P228" i="2"/>
  <c r="Q228" i="2" s="1"/>
  <c r="K228" i="2"/>
  <c r="AF228" i="2" s="1"/>
  <c r="AH227" i="2"/>
  <c r="AG227" i="2"/>
  <c r="AE227" i="2"/>
  <c r="AD227" i="2"/>
  <c r="P227" i="2"/>
  <c r="Q227" i="2" s="1"/>
  <c r="K227" i="2"/>
  <c r="AF227" i="2" s="1"/>
  <c r="AH226" i="2"/>
  <c r="AG226" i="2"/>
  <c r="AE226" i="2"/>
  <c r="AD226" i="2"/>
  <c r="P226" i="2"/>
  <c r="Q226" i="2" s="1"/>
  <c r="K226" i="2"/>
  <c r="AF226" i="2" s="1"/>
  <c r="AH322" i="2"/>
  <c r="AG322" i="2"/>
  <c r="AE322" i="2"/>
  <c r="AD322" i="2"/>
  <c r="P322" i="2"/>
  <c r="Q322" i="2" s="1"/>
  <c r="K322" i="2"/>
  <c r="AF322" i="2" s="1"/>
  <c r="AH321" i="2"/>
  <c r="AG321" i="2"/>
  <c r="AE321" i="2"/>
  <c r="AD321" i="2"/>
  <c r="P321" i="2"/>
  <c r="Q321" i="2" s="1"/>
  <c r="K321" i="2"/>
  <c r="AF321" i="2" s="1"/>
  <c r="AH320" i="2"/>
  <c r="AG320" i="2"/>
  <c r="AE320" i="2"/>
  <c r="AD320" i="2"/>
  <c r="P320" i="2"/>
  <c r="Q320" i="2" s="1"/>
  <c r="K320" i="2"/>
  <c r="AF320" i="2" s="1"/>
  <c r="AH319" i="2"/>
  <c r="AG319" i="2"/>
  <c r="AE319" i="2"/>
  <c r="AD319" i="2"/>
  <c r="P319" i="2"/>
  <c r="Q319" i="2" s="1"/>
  <c r="K319" i="2"/>
  <c r="AF319" i="2" s="1"/>
  <c r="AH318" i="2"/>
  <c r="AG318" i="2"/>
  <c r="AE318" i="2"/>
  <c r="AD318" i="2"/>
  <c r="P318" i="2"/>
  <c r="Q318" i="2" s="1"/>
  <c r="K318" i="2"/>
  <c r="AF318" i="2" s="1"/>
  <c r="K477" i="2"/>
  <c r="AF477" i="2" s="1"/>
  <c r="AH477" i="2"/>
  <c r="AG477" i="2"/>
  <c r="AE477" i="2"/>
  <c r="AD477" i="2"/>
  <c r="P477" i="2"/>
  <c r="Q477" i="2" s="1"/>
  <c r="AH317" i="2"/>
  <c r="AG317" i="2"/>
  <c r="AE317" i="2"/>
  <c r="AD317" i="2"/>
  <c r="P317" i="2"/>
  <c r="Q317" i="2" s="1"/>
  <c r="K317" i="2"/>
  <c r="AF317" i="2" s="1"/>
  <c r="AH362" i="2"/>
  <c r="AG362" i="2"/>
  <c r="AE362" i="2"/>
  <c r="AD362" i="2"/>
  <c r="P362" i="2"/>
  <c r="Q362" i="2" s="1"/>
  <c r="K362" i="2"/>
  <c r="AF362" i="2" s="1"/>
  <c r="Z387" i="2"/>
  <c r="N387" i="2"/>
  <c r="Z382" i="2"/>
  <c r="N382" i="2"/>
  <c r="AH385" i="2"/>
  <c r="AG385" i="2"/>
  <c r="AE385" i="2"/>
  <c r="AD385" i="2"/>
  <c r="P385" i="2"/>
  <c r="Q385" i="2" s="1"/>
  <c r="Q387" i="2" s="1"/>
  <c r="K385" i="2"/>
  <c r="AF385" i="2" s="1"/>
  <c r="AH380" i="2"/>
  <c r="AG380" i="2"/>
  <c r="AE380" i="2"/>
  <c r="AD380" i="2"/>
  <c r="P380" i="2"/>
  <c r="Q380" i="2" s="1"/>
  <c r="Q382" i="2" s="1"/>
  <c r="K380" i="2"/>
  <c r="AF380" i="2" s="1"/>
  <c r="AH374" i="2"/>
  <c r="AG374" i="2"/>
  <c r="AE374" i="2"/>
  <c r="AD374" i="2"/>
  <c r="P374" i="2"/>
  <c r="Q374" i="2" s="1"/>
  <c r="K374" i="2"/>
  <c r="AF374" i="2" s="1"/>
  <c r="AH373" i="2"/>
  <c r="AG373" i="2"/>
  <c r="AE373" i="2"/>
  <c r="AD373" i="2"/>
  <c r="P373" i="2"/>
  <c r="K373" i="2"/>
  <c r="AF373" i="2" s="1"/>
  <c r="AH360" i="2"/>
  <c r="AG360" i="2"/>
  <c r="AE360" i="2"/>
  <c r="AD360" i="2"/>
  <c r="P360" i="2"/>
  <c r="Q360" i="2" s="1"/>
  <c r="K360" i="2"/>
  <c r="AF360" i="2" s="1"/>
  <c r="Z377" i="2"/>
  <c r="N377" i="2"/>
  <c r="Z364" i="2"/>
  <c r="N364" i="2"/>
  <c r="AH372" i="2"/>
  <c r="AG372" i="2"/>
  <c r="AE372" i="2"/>
  <c r="AD372" i="2"/>
  <c r="P372" i="2"/>
  <c r="Q372" i="2" s="1"/>
  <c r="K372" i="2"/>
  <c r="AF372" i="2" s="1"/>
  <c r="AH361" i="2"/>
  <c r="AG361" i="2"/>
  <c r="AE361" i="2"/>
  <c r="AD361" i="2"/>
  <c r="P361" i="2"/>
  <c r="Q361" i="2" s="1"/>
  <c r="K361" i="2"/>
  <c r="AF361" i="2" s="1"/>
  <c r="AH359" i="2"/>
  <c r="AG359" i="2"/>
  <c r="AE359" i="2"/>
  <c r="AD359" i="2"/>
  <c r="P359" i="2"/>
  <c r="Q359" i="2" s="1"/>
  <c r="K359" i="2"/>
  <c r="AF359" i="2" s="1"/>
  <c r="AH395" i="2"/>
  <c r="AG395" i="2"/>
  <c r="AE395" i="2"/>
  <c r="AD395" i="2"/>
  <c r="P395" i="2"/>
  <c r="Q395" i="2" s="1"/>
  <c r="K395" i="2"/>
  <c r="AF395" i="2" s="1"/>
  <c r="Z397" i="2"/>
  <c r="W397" i="2"/>
  <c r="U397" i="2"/>
  <c r="S397" i="2"/>
  <c r="N397" i="2"/>
  <c r="AH394" i="2"/>
  <c r="AG394" i="2"/>
  <c r="AE394" i="2"/>
  <c r="AD394" i="2"/>
  <c r="P394" i="2"/>
  <c r="Q394" i="2" s="1"/>
  <c r="K394" i="2"/>
  <c r="AF394" i="2" s="1"/>
  <c r="Q62" i="2" l="1"/>
  <c r="Q69" i="2" s="1"/>
  <c r="M90" i="4"/>
  <c r="AN116" i="2"/>
  <c r="T105" i="2"/>
  <c r="R116" i="2"/>
  <c r="AP105" i="2"/>
  <c r="AJ116" i="2"/>
  <c r="AA116" i="2"/>
  <c r="AJ394" i="2"/>
  <c r="AP394" i="2" s="1"/>
  <c r="AN394" i="2"/>
  <c r="AJ62" i="2"/>
  <c r="AJ380" i="2"/>
  <c r="AN380" i="2"/>
  <c r="AN382" i="2" s="1"/>
  <c r="AL66" i="2"/>
  <c r="AJ395" i="2"/>
  <c r="AN395" i="2"/>
  <c r="AJ385" i="2"/>
  <c r="AN385" i="2"/>
  <c r="AN387" i="2" s="1"/>
  <c r="AL59" i="2"/>
  <c r="AL109" i="2"/>
  <c r="AP34" i="2"/>
  <c r="AL34" i="2"/>
  <c r="AL64" i="2"/>
  <c r="AP114" i="2"/>
  <c r="AL114" i="2"/>
  <c r="AL60" i="2"/>
  <c r="AN317" i="2"/>
  <c r="AJ317" i="2"/>
  <c r="AP317" i="2" s="1"/>
  <c r="AN375" i="2"/>
  <c r="AJ375" i="2"/>
  <c r="AP375" i="2" s="1"/>
  <c r="AJ337" i="2"/>
  <c r="AP337" i="2" s="1"/>
  <c r="AN337" i="2"/>
  <c r="AL63" i="2"/>
  <c r="AP111" i="2"/>
  <c r="AL111" i="2"/>
  <c r="AL105" i="2"/>
  <c r="AP35" i="2"/>
  <c r="AL35" i="2"/>
  <c r="AL61" i="2"/>
  <c r="AP66" i="2"/>
  <c r="AP110" i="2"/>
  <c r="AL110" i="2"/>
  <c r="AL62" i="2"/>
  <c r="AN374" i="2"/>
  <c r="AJ374" i="2"/>
  <c r="AP374" i="2" s="1"/>
  <c r="AJ479" i="2"/>
  <c r="AN479" i="2"/>
  <c r="AL58" i="2"/>
  <c r="AL57" i="2"/>
  <c r="AP107" i="2"/>
  <c r="AL107" i="2"/>
  <c r="AL65" i="2"/>
  <c r="AL112" i="2"/>
  <c r="AL15" i="2"/>
  <c r="AN361" i="2"/>
  <c r="AJ361" i="2"/>
  <c r="AP361" i="2" s="1"/>
  <c r="AJ360" i="2"/>
  <c r="AP360" i="2" s="1"/>
  <c r="AN360" i="2"/>
  <c r="AN318" i="2"/>
  <c r="AJ318" i="2"/>
  <c r="AJ320" i="2"/>
  <c r="AP320" i="2" s="1"/>
  <c r="AN320" i="2"/>
  <c r="AN322" i="2"/>
  <c r="AJ322" i="2"/>
  <c r="AP322" i="2" s="1"/>
  <c r="AN227" i="2"/>
  <c r="AJ227" i="2"/>
  <c r="AN443" i="2"/>
  <c r="AJ443" i="2"/>
  <c r="AN276" i="2"/>
  <c r="AJ276" i="2"/>
  <c r="AN477" i="2"/>
  <c r="AJ477" i="2"/>
  <c r="AN359" i="2"/>
  <c r="AJ359" i="2"/>
  <c r="AN372" i="2"/>
  <c r="AJ372" i="2"/>
  <c r="AN373" i="2"/>
  <c r="AJ373" i="2"/>
  <c r="AP373" i="2" s="1"/>
  <c r="AN362" i="2"/>
  <c r="AJ362" i="2"/>
  <c r="AJ319" i="2"/>
  <c r="AN319" i="2"/>
  <c r="AN321" i="2"/>
  <c r="AJ321" i="2"/>
  <c r="AN226" i="2"/>
  <c r="AJ226" i="2"/>
  <c r="AP226" i="2" s="1"/>
  <c r="AN228" i="2"/>
  <c r="AJ228" i="2"/>
  <c r="AP228" i="2" s="1"/>
  <c r="AN275" i="2"/>
  <c r="AJ275" i="2"/>
  <c r="AP275" i="2" s="1"/>
  <c r="AN100" i="2"/>
  <c r="AJ100" i="2"/>
  <c r="AN478" i="2"/>
  <c r="AJ478" i="2"/>
  <c r="AN480" i="2"/>
  <c r="AJ480" i="2"/>
  <c r="AL113" i="2"/>
  <c r="AP109" i="2"/>
  <c r="AL32" i="2"/>
  <c r="AL108" i="2"/>
  <c r="AP15" i="2"/>
  <c r="AP106" i="2"/>
  <c r="AL106" i="2"/>
  <c r="AL16" i="2"/>
  <c r="AL17" i="2"/>
  <c r="T57" i="2"/>
  <c r="V63" i="2"/>
  <c r="AB63" i="2" s="1"/>
  <c r="AC63" i="2" s="1"/>
  <c r="AN63" i="2" s="1"/>
  <c r="AR63" i="2" s="1"/>
  <c r="V66" i="2"/>
  <c r="AB66" i="2" s="1"/>
  <c r="AC66" i="2" s="1"/>
  <c r="AR66" i="2" s="1"/>
  <c r="T62" i="2"/>
  <c r="V59" i="2"/>
  <c r="AB59" i="2" s="1"/>
  <c r="AC59" i="2" s="1"/>
  <c r="T60" i="2"/>
  <c r="V65" i="2"/>
  <c r="AB65" i="2" s="1"/>
  <c r="AC65" i="2" s="1"/>
  <c r="AR65" i="2" s="1"/>
  <c r="V64" i="2"/>
  <c r="AB64" i="2" s="1"/>
  <c r="AC64" i="2" s="1"/>
  <c r="R69" i="2"/>
  <c r="V58" i="2"/>
  <c r="V61" i="2"/>
  <c r="X394" i="2"/>
  <c r="Y394" i="2" s="1"/>
  <c r="AA394" i="2" s="1"/>
  <c r="V17" i="2"/>
  <c r="AB17" i="2" s="1"/>
  <c r="AC17" i="2" s="1"/>
  <c r="AB60" i="2"/>
  <c r="AC60" i="2" s="1"/>
  <c r="Y58" i="2"/>
  <c r="Y57" i="2"/>
  <c r="T113" i="2"/>
  <c r="AB114" i="2"/>
  <c r="AC114" i="2" s="1"/>
  <c r="T114" i="2"/>
  <c r="T111" i="2"/>
  <c r="V112" i="2"/>
  <c r="AB112" i="2" s="1"/>
  <c r="AC112" i="2" s="1"/>
  <c r="AR112" i="2" s="1"/>
  <c r="V105" i="2"/>
  <c r="AB113" i="2"/>
  <c r="AC113" i="2" s="1"/>
  <c r="AR113" i="2" s="1"/>
  <c r="T108" i="2"/>
  <c r="AB111" i="2"/>
  <c r="AC111" i="2" s="1"/>
  <c r="AB110" i="2"/>
  <c r="AC110" i="2" s="1"/>
  <c r="T110" i="2"/>
  <c r="V109" i="2"/>
  <c r="AB109" i="2" s="1"/>
  <c r="AC109" i="2" s="1"/>
  <c r="T107" i="2"/>
  <c r="AB105" i="2"/>
  <c r="AB108" i="2"/>
  <c r="AC108" i="2" s="1"/>
  <c r="AR108" i="2" s="1"/>
  <c r="AB107" i="2"/>
  <c r="AC107" i="2" s="1"/>
  <c r="AB106" i="2"/>
  <c r="AC106" i="2" s="1"/>
  <c r="T106" i="2"/>
  <c r="T15" i="2"/>
  <c r="X15" i="2" s="1"/>
  <c r="Y15" i="2" s="1"/>
  <c r="AA15" i="2" s="1"/>
  <c r="AB15" i="2" s="1"/>
  <c r="AC15" i="2" s="1"/>
  <c r="T16" i="2"/>
  <c r="X16" i="2" s="1"/>
  <c r="Y16" i="2" s="1"/>
  <c r="AA16" i="2" s="1"/>
  <c r="AB16" i="2" s="1"/>
  <c r="AC16" i="2" s="1"/>
  <c r="T32" i="2"/>
  <c r="AB32" i="2"/>
  <c r="AC32" i="2" s="1"/>
  <c r="AR32" i="2" s="1"/>
  <c r="T35" i="2"/>
  <c r="V34" i="2"/>
  <c r="AB34" i="2" s="1"/>
  <c r="AC34" i="2" s="1"/>
  <c r="X479" i="2"/>
  <c r="Y479" i="2" s="1"/>
  <c r="AA479" i="2" s="1"/>
  <c r="R480" i="2"/>
  <c r="T480" i="2" s="1"/>
  <c r="AB35" i="2"/>
  <c r="AC35" i="2" s="1"/>
  <c r="R337" i="2"/>
  <c r="V337" i="2" s="1"/>
  <c r="X478" i="2"/>
  <c r="Y478" i="2" s="1"/>
  <c r="AA478" i="2" s="1"/>
  <c r="X337" i="2"/>
  <c r="Y337" i="2" s="1"/>
  <c r="AA337" i="2" s="1"/>
  <c r="X480" i="2"/>
  <c r="Y480" i="2" s="1"/>
  <c r="AA480" i="2" s="1"/>
  <c r="R479" i="2"/>
  <c r="V479" i="2" s="1"/>
  <c r="R478" i="2"/>
  <c r="V478" i="2" s="1"/>
  <c r="R375" i="2"/>
  <c r="V375" i="2" s="1"/>
  <c r="R276" i="2"/>
  <c r="T276" i="2" s="1"/>
  <c r="X375" i="2"/>
  <c r="Y375" i="2" s="1"/>
  <c r="AA375" i="2" s="1"/>
  <c r="R100" i="2"/>
  <c r="V100" i="2" s="1"/>
  <c r="X100" i="2"/>
  <c r="Y100" i="2" s="1"/>
  <c r="AA100" i="2" s="1"/>
  <c r="X276" i="2"/>
  <c r="Y276" i="2" s="1"/>
  <c r="AA276" i="2" s="1"/>
  <c r="P387" i="2"/>
  <c r="R443" i="2"/>
  <c r="T443" i="2" s="1"/>
  <c r="R275" i="2"/>
  <c r="V275" i="2" s="1"/>
  <c r="P382" i="2"/>
  <c r="X275" i="2"/>
  <c r="Y275" i="2" s="1"/>
  <c r="AA275" i="2" s="1"/>
  <c r="X443" i="2"/>
  <c r="Y443" i="2" s="1"/>
  <c r="AA443" i="2" s="1"/>
  <c r="R228" i="2"/>
  <c r="V228" i="2" s="1"/>
  <c r="X228" i="2"/>
  <c r="Y228" i="2" s="1"/>
  <c r="AA228" i="2" s="1"/>
  <c r="R227" i="2"/>
  <c r="V227" i="2" s="1"/>
  <c r="X227" i="2"/>
  <c r="Y227" i="2" s="1"/>
  <c r="AA227" i="2" s="1"/>
  <c r="R226" i="2"/>
  <c r="V226" i="2" s="1"/>
  <c r="X226" i="2"/>
  <c r="Y226" i="2" s="1"/>
  <c r="AA226" i="2" s="1"/>
  <c r="R322" i="2"/>
  <c r="V322" i="2" s="1"/>
  <c r="X319" i="2"/>
  <c r="Y319" i="2" s="1"/>
  <c r="AA319" i="2" s="1"/>
  <c r="X322" i="2"/>
  <c r="Y322" i="2" s="1"/>
  <c r="AA322" i="2" s="1"/>
  <c r="R380" i="2"/>
  <c r="R382" i="2" s="1"/>
  <c r="R385" i="2"/>
  <c r="R387" i="2" s="1"/>
  <c r="P364" i="2"/>
  <c r="R321" i="2"/>
  <c r="T321" i="2" s="1"/>
  <c r="R319" i="2"/>
  <c r="V319" i="2" s="1"/>
  <c r="X321" i="2"/>
  <c r="Y321" i="2" s="1"/>
  <c r="AA321" i="2" s="1"/>
  <c r="R318" i="2"/>
  <c r="V318" i="2" s="1"/>
  <c r="R320" i="2"/>
  <c r="T320" i="2" s="1"/>
  <c r="X320" i="2"/>
  <c r="Y320" i="2" s="1"/>
  <c r="AA320" i="2" s="1"/>
  <c r="X318" i="2"/>
  <c r="Y318" i="2" s="1"/>
  <c r="AA318" i="2" s="1"/>
  <c r="X317" i="2"/>
  <c r="Y317" i="2" s="1"/>
  <c r="AA317" i="2" s="1"/>
  <c r="R477" i="2"/>
  <c r="V477" i="2" s="1"/>
  <c r="X477" i="2"/>
  <c r="Y477" i="2" s="1"/>
  <c r="AA477" i="2" s="1"/>
  <c r="R317" i="2"/>
  <c r="V317" i="2" s="1"/>
  <c r="R362" i="2"/>
  <c r="T362" i="2" s="1"/>
  <c r="X362" i="2"/>
  <c r="Y362" i="2" s="1"/>
  <c r="AA362" i="2" s="1"/>
  <c r="X385" i="2"/>
  <c r="R374" i="2"/>
  <c r="V374" i="2" s="1"/>
  <c r="X380" i="2"/>
  <c r="R360" i="2"/>
  <c r="V360" i="2" s="1"/>
  <c r="P377" i="2"/>
  <c r="X374" i="2"/>
  <c r="Y374" i="2" s="1"/>
  <c r="AA374" i="2" s="1"/>
  <c r="X373" i="2"/>
  <c r="Y373" i="2" s="1"/>
  <c r="AA373" i="2" s="1"/>
  <c r="R372" i="2"/>
  <c r="V372" i="2" s="1"/>
  <c r="Q373" i="2"/>
  <c r="Q377" i="2" s="1"/>
  <c r="X360" i="2"/>
  <c r="Y360" i="2" s="1"/>
  <c r="AA360" i="2" s="1"/>
  <c r="Q364" i="2"/>
  <c r="X372" i="2"/>
  <c r="R395" i="2"/>
  <c r="V395" i="2" s="1"/>
  <c r="R361" i="2"/>
  <c r="X361" i="2"/>
  <c r="R359" i="2"/>
  <c r="X359" i="2"/>
  <c r="X395" i="2"/>
  <c r="Y395" i="2" s="1"/>
  <c r="AA395" i="2" s="1"/>
  <c r="R394" i="2"/>
  <c r="V394" i="2" s="1"/>
  <c r="AB394" i="2" s="1"/>
  <c r="AC394" i="2" s="1"/>
  <c r="AH98" i="2"/>
  <c r="AG98" i="2"/>
  <c r="AE98" i="2"/>
  <c r="AD98" i="2"/>
  <c r="N98" i="2"/>
  <c r="P98" i="2" s="1"/>
  <c r="Q98" i="2" s="1"/>
  <c r="K98" i="2"/>
  <c r="AF98" i="2" s="1"/>
  <c r="AH83" i="2"/>
  <c r="AG83" i="2"/>
  <c r="AE83" i="2"/>
  <c r="AD83" i="2"/>
  <c r="N83" i="2"/>
  <c r="K83" i="2"/>
  <c r="AF83" i="2" s="1"/>
  <c r="N50" i="2"/>
  <c r="P50" i="2" s="1"/>
  <c r="Q50" i="2" s="1"/>
  <c r="AH50" i="2"/>
  <c r="AG50" i="2"/>
  <c r="AE50" i="2"/>
  <c r="AD50" i="2"/>
  <c r="K50" i="2"/>
  <c r="AF50" i="2" s="1"/>
  <c r="N33" i="2"/>
  <c r="M91" i="4" l="1"/>
  <c r="N91" i="4" s="1"/>
  <c r="O91" i="4" s="1"/>
  <c r="P91" i="4" s="1"/>
  <c r="Q91" i="4" s="1"/>
  <c r="N90" i="4"/>
  <c r="S90" i="4"/>
  <c r="AR34" i="2"/>
  <c r="AR110" i="2"/>
  <c r="AR35" i="2"/>
  <c r="AR106" i="2"/>
  <c r="AJ69" i="2"/>
  <c r="AR15" i="2"/>
  <c r="AR114" i="2"/>
  <c r="T69" i="2"/>
  <c r="X62" i="2"/>
  <c r="AP116" i="2"/>
  <c r="AL116" i="2"/>
  <c r="T116" i="2"/>
  <c r="AC105" i="2"/>
  <c r="AB116" i="2"/>
  <c r="V116" i="2"/>
  <c r="T385" i="2"/>
  <c r="T387" i="2" s="1"/>
  <c r="AR109" i="2"/>
  <c r="V276" i="2"/>
  <c r="AP395" i="2"/>
  <c r="AL395" i="2"/>
  <c r="AR394" i="2"/>
  <c r="AP385" i="2"/>
  <c r="AP387" i="2" s="1"/>
  <c r="AL385" i="2"/>
  <c r="AL387" i="2" s="1"/>
  <c r="AJ387" i="2"/>
  <c r="AP380" i="2"/>
  <c r="AP382" i="2" s="1"/>
  <c r="AJ382" i="2"/>
  <c r="AL380" i="2"/>
  <c r="AL382" i="2" s="1"/>
  <c r="AL394" i="2"/>
  <c r="AN50" i="2"/>
  <c r="AJ50" i="2"/>
  <c r="AP50" i="2" s="1"/>
  <c r="AN98" i="2"/>
  <c r="AJ98" i="2"/>
  <c r="AP100" i="2"/>
  <c r="AL100" i="2"/>
  <c r="AL321" i="2"/>
  <c r="AP362" i="2"/>
  <c r="AL362" i="2"/>
  <c r="AN364" i="2"/>
  <c r="AL227" i="2"/>
  <c r="AL318" i="2"/>
  <c r="AR111" i="2"/>
  <c r="AL478" i="2"/>
  <c r="AL226" i="2"/>
  <c r="AP372" i="2"/>
  <c r="AJ377" i="2"/>
  <c r="AL372" i="2"/>
  <c r="AP477" i="2"/>
  <c r="AL477" i="2"/>
  <c r="AP443" i="2"/>
  <c r="AL443" i="2"/>
  <c r="AL360" i="2"/>
  <c r="AL479" i="2"/>
  <c r="AL69" i="2"/>
  <c r="AL337" i="2"/>
  <c r="AN59" i="2"/>
  <c r="AR59" i="2" s="1"/>
  <c r="AL275" i="2"/>
  <c r="AL228" i="2"/>
  <c r="AN377" i="2"/>
  <c r="AL322" i="2"/>
  <c r="AP318" i="2"/>
  <c r="AL374" i="2"/>
  <c r="AL375" i="2"/>
  <c r="AL317" i="2"/>
  <c r="AN83" i="2"/>
  <c r="AN60" i="2"/>
  <c r="AR60" i="2" s="1"/>
  <c r="AN64" i="2"/>
  <c r="AP480" i="2"/>
  <c r="AL480" i="2"/>
  <c r="AP478" i="2"/>
  <c r="AP321" i="2"/>
  <c r="AP319" i="2"/>
  <c r="AL319" i="2"/>
  <c r="AP359" i="2"/>
  <c r="AJ364" i="2"/>
  <c r="AL359" i="2"/>
  <c r="AP276" i="2"/>
  <c r="AL276" i="2"/>
  <c r="AP227" i="2"/>
  <c r="AL320" i="2"/>
  <c r="AL361" i="2"/>
  <c r="AR107" i="2"/>
  <c r="AP479" i="2"/>
  <c r="AP16" i="2"/>
  <c r="AR16" i="2" s="1"/>
  <c r="AP17" i="2"/>
  <c r="AR17" i="2" s="1"/>
  <c r="V69" i="2"/>
  <c r="AB61" i="2"/>
  <c r="AC61" i="2" s="1"/>
  <c r="AN61" i="2" s="1"/>
  <c r="AR61" i="2" s="1"/>
  <c r="R373" i="2"/>
  <c r="V373" i="2" s="1"/>
  <c r="AB373" i="2" s="1"/>
  <c r="AC373" i="2" s="1"/>
  <c r="AR373" i="2" s="1"/>
  <c r="AA58" i="2"/>
  <c r="AA57" i="2"/>
  <c r="AB479" i="2"/>
  <c r="AC479" i="2" s="1"/>
  <c r="AB478" i="2"/>
  <c r="AC478" i="2" s="1"/>
  <c r="V480" i="2"/>
  <c r="AB480" i="2" s="1"/>
  <c r="AC480" i="2" s="1"/>
  <c r="T337" i="2"/>
  <c r="T479" i="2"/>
  <c r="T478" i="2"/>
  <c r="AB337" i="2"/>
  <c r="AC337" i="2" s="1"/>
  <c r="AR337" i="2" s="1"/>
  <c r="T375" i="2"/>
  <c r="AB375" i="2"/>
  <c r="AC375" i="2" s="1"/>
  <c r="AR375" i="2" s="1"/>
  <c r="V443" i="2"/>
  <c r="AB443" i="2" s="1"/>
  <c r="AC443" i="2" s="1"/>
  <c r="AB276" i="2"/>
  <c r="AC276" i="2" s="1"/>
  <c r="T100" i="2"/>
  <c r="AB100" i="2"/>
  <c r="AC100" i="2" s="1"/>
  <c r="T318" i="2"/>
  <c r="AB319" i="2"/>
  <c r="AC319" i="2" s="1"/>
  <c r="V380" i="2"/>
  <c r="V382" i="2" s="1"/>
  <c r="T380" i="2"/>
  <c r="T382" i="2" s="1"/>
  <c r="T275" i="2"/>
  <c r="AB275" i="2"/>
  <c r="AC275" i="2" s="1"/>
  <c r="AR275" i="2" s="1"/>
  <c r="V385" i="2"/>
  <c r="V387" i="2" s="1"/>
  <c r="AB228" i="2"/>
  <c r="AC228" i="2" s="1"/>
  <c r="AR228" i="2" s="1"/>
  <c r="T228" i="2"/>
  <c r="T227" i="2"/>
  <c r="T319" i="2"/>
  <c r="T322" i="2"/>
  <c r="V321" i="2"/>
  <c r="AB321" i="2" s="1"/>
  <c r="AC321" i="2" s="1"/>
  <c r="T226" i="2"/>
  <c r="AB226" i="2"/>
  <c r="AC226" i="2" s="1"/>
  <c r="AR226" i="2" s="1"/>
  <c r="AB227" i="2"/>
  <c r="AC227" i="2" s="1"/>
  <c r="AR227" i="2" s="1"/>
  <c r="V320" i="2"/>
  <c r="AB320" i="2" s="1"/>
  <c r="AC320" i="2" s="1"/>
  <c r="AR320" i="2" s="1"/>
  <c r="AB322" i="2"/>
  <c r="AC322" i="2" s="1"/>
  <c r="AR322" i="2" s="1"/>
  <c r="Y380" i="2"/>
  <c r="X382" i="2"/>
  <c r="Y385" i="2"/>
  <c r="X387" i="2"/>
  <c r="T395" i="2"/>
  <c r="T394" i="2"/>
  <c r="AB318" i="2"/>
  <c r="AC318" i="2" s="1"/>
  <c r="AB317" i="2"/>
  <c r="AC317" i="2" s="1"/>
  <c r="AR317" i="2" s="1"/>
  <c r="V362" i="2"/>
  <c r="AB362" i="2" s="1"/>
  <c r="AC362" i="2" s="1"/>
  <c r="T477" i="2"/>
  <c r="T317" i="2"/>
  <c r="AB477" i="2"/>
  <c r="AC477" i="2" s="1"/>
  <c r="T360" i="2"/>
  <c r="T374" i="2"/>
  <c r="V377" i="2"/>
  <c r="T372" i="2"/>
  <c r="AB374" i="2"/>
  <c r="AC374" i="2" s="1"/>
  <c r="AR374" i="2" s="1"/>
  <c r="AB360" i="2"/>
  <c r="AC360" i="2" s="1"/>
  <c r="AR360" i="2" s="1"/>
  <c r="V359" i="2"/>
  <c r="R364" i="2"/>
  <c r="Y361" i="2"/>
  <c r="V361" i="2"/>
  <c r="Y372" i="2"/>
  <c r="X377" i="2"/>
  <c r="Y359" i="2"/>
  <c r="X364" i="2"/>
  <c r="T361" i="2"/>
  <c r="T359" i="2"/>
  <c r="AB395" i="2"/>
  <c r="AC395" i="2" s="1"/>
  <c r="R98" i="2"/>
  <c r="X98" i="2"/>
  <c r="Y98" i="2" s="1"/>
  <c r="AA98" i="2" s="1"/>
  <c r="P83" i="2"/>
  <c r="Q83" i="2" s="1"/>
  <c r="R83" i="2" s="1"/>
  <c r="R50" i="2"/>
  <c r="T50" i="2" s="1"/>
  <c r="X50" i="2"/>
  <c r="Y50" i="2" s="1"/>
  <c r="AA50" i="2" s="1"/>
  <c r="AH33" i="2"/>
  <c r="AG33" i="2"/>
  <c r="AE33" i="2"/>
  <c r="AD33" i="2"/>
  <c r="K33" i="2"/>
  <c r="AF33" i="2" s="1"/>
  <c r="AH476" i="2"/>
  <c r="AG476" i="2"/>
  <c r="AE476" i="2"/>
  <c r="AD476" i="2"/>
  <c r="P476" i="2"/>
  <c r="Q476" i="2" s="1"/>
  <c r="K476" i="2"/>
  <c r="AF476" i="2" s="1"/>
  <c r="AH442" i="2"/>
  <c r="AG442" i="2"/>
  <c r="AE442" i="2"/>
  <c r="AD442" i="2"/>
  <c r="P442" i="2"/>
  <c r="Q442" i="2" s="1"/>
  <c r="K442" i="2"/>
  <c r="AF442" i="2" s="1"/>
  <c r="AH441" i="2"/>
  <c r="AG441" i="2"/>
  <c r="AE441" i="2"/>
  <c r="AD441" i="2"/>
  <c r="P441" i="2"/>
  <c r="Q441" i="2" s="1"/>
  <c r="K441" i="2"/>
  <c r="AF441" i="2" s="1"/>
  <c r="AH99" i="2"/>
  <c r="AG99" i="2"/>
  <c r="AE99" i="2"/>
  <c r="AD99" i="2"/>
  <c r="P99" i="2"/>
  <c r="Q99" i="2" s="1"/>
  <c r="K99" i="2"/>
  <c r="AF99" i="2" s="1"/>
  <c r="AH440" i="2"/>
  <c r="AG440" i="2"/>
  <c r="AE440" i="2"/>
  <c r="AD440" i="2"/>
  <c r="P440" i="2"/>
  <c r="Q440" i="2" s="1"/>
  <c r="K440" i="2"/>
  <c r="AF440" i="2" s="1"/>
  <c r="N316" i="2"/>
  <c r="P316" i="2" s="1"/>
  <c r="Q316" i="2" s="1"/>
  <c r="AH316" i="2"/>
  <c r="AG316" i="2"/>
  <c r="AE316" i="2"/>
  <c r="AD316" i="2"/>
  <c r="K316" i="2"/>
  <c r="AF316" i="2" s="1"/>
  <c r="AH315" i="2"/>
  <c r="AG315" i="2"/>
  <c r="AE315" i="2"/>
  <c r="AD315" i="2"/>
  <c r="P315" i="2"/>
  <c r="Q315" i="2" s="1"/>
  <c r="K315" i="2"/>
  <c r="AF315" i="2" s="1"/>
  <c r="AH314" i="2"/>
  <c r="AG314" i="2"/>
  <c r="AE314" i="2"/>
  <c r="AD314" i="2"/>
  <c r="P314" i="2"/>
  <c r="Q314" i="2" s="1"/>
  <c r="K314" i="2"/>
  <c r="AF314" i="2" s="1"/>
  <c r="AH313" i="2"/>
  <c r="AG313" i="2"/>
  <c r="AE313" i="2"/>
  <c r="AD313" i="2"/>
  <c r="P313" i="2"/>
  <c r="Q313" i="2" s="1"/>
  <c r="K313" i="2"/>
  <c r="AF313" i="2" s="1"/>
  <c r="AH312" i="2"/>
  <c r="AG312" i="2"/>
  <c r="AE312" i="2"/>
  <c r="AD312" i="2"/>
  <c r="P312" i="2"/>
  <c r="Q312" i="2" s="1"/>
  <c r="K312" i="2"/>
  <c r="AF312" i="2" s="1"/>
  <c r="AH475" i="2"/>
  <c r="AG475" i="2"/>
  <c r="AE475" i="2"/>
  <c r="AD475" i="2"/>
  <c r="P475" i="2"/>
  <c r="Q475" i="2" s="1"/>
  <c r="K475" i="2"/>
  <c r="AF475" i="2" s="1"/>
  <c r="AG82" i="2"/>
  <c r="AE82" i="2"/>
  <c r="AD82" i="2"/>
  <c r="P82" i="2"/>
  <c r="Q82" i="2" s="1"/>
  <c r="K82" i="2"/>
  <c r="AF82" i="2" s="1"/>
  <c r="AH336" i="2"/>
  <c r="AG336" i="2"/>
  <c r="AE336" i="2"/>
  <c r="AD336" i="2"/>
  <c r="P336" i="2"/>
  <c r="Q336" i="2" s="1"/>
  <c r="K336" i="2"/>
  <c r="AF336" i="2" s="1"/>
  <c r="T90" i="4" l="1"/>
  <c r="O90" i="4"/>
  <c r="S91" i="4"/>
  <c r="X83" i="2"/>
  <c r="Y83" i="2" s="1"/>
  <c r="AA83" i="2" s="1"/>
  <c r="AR443" i="2"/>
  <c r="Y62" i="2"/>
  <c r="X69" i="2"/>
  <c r="AR105" i="2"/>
  <c r="AR116" i="2" s="1"/>
  <c r="AC116" i="2"/>
  <c r="AR362" i="2"/>
  <c r="AR318" i="2"/>
  <c r="AR276" i="2"/>
  <c r="AR100" i="2"/>
  <c r="AR480" i="2"/>
  <c r="AR64" i="2"/>
  <c r="AJ83" i="2"/>
  <c r="AP83" i="2" s="1"/>
  <c r="AR395" i="2"/>
  <c r="AJ313" i="2"/>
  <c r="AP313" i="2" s="1"/>
  <c r="AN313" i="2"/>
  <c r="AJ440" i="2"/>
  <c r="AN440" i="2"/>
  <c r="AN441" i="2"/>
  <c r="AJ441" i="2"/>
  <c r="AP441" i="2" s="1"/>
  <c r="AJ476" i="2"/>
  <c r="AN476" i="2"/>
  <c r="AN336" i="2"/>
  <c r="AJ336" i="2"/>
  <c r="AJ312" i="2"/>
  <c r="AP312" i="2" s="1"/>
  <c r="AN312" i="2"/>
  <c r="AN314" i="2"/>
  <c r="AJ314" i="2"/>
  <c r="AJ99" i="2"/>
  <c r="AN99" i="2"/>
  <c r="AJ442" i="2"/>
  <c r="AN442" i="2"/>
  <c r="AN33" i="2"/>
  <c r="AR319" i="2"/>
  <c r="AR478" i="2"/>
  <c r="AL98" i="2"/>
  <c r="AP364" i="2"/>
  <c r="AR321" i="2"/>
  <c r="AJ82" i="2"/>
  <c r="AN82" i="2"/>
  <c r="AN475" i="2"/>
  <c r="AJ475" i="2"/>
  <c r="AL373" i="2"/>
  <c r="AL377" i="2" s="1"/>
  <c r="AP377" i="2"/>
  <c r="AP98" i="2"/>
  <c r="AJ315" i="2"/>
  <c r="AN315" i="2"/>
  <c r="AJ316" i="2"/>
  <c r="AN316" i="2"/>
  <c r="AR479" i="2"/>
  <c r="AL364" i="2"/>
  <c r="AL83" i="2"/>
  <c r="AR477" i="2"/>
  <c r="AL50" i="2"/>
  <c r="V364" i="2"/>
  <c r="T364" i="2"/>
  <c r="R377" i="2"/>
  <c r="T373" i="2"/>
  <c r="T377" i="2" s="1"/>
  <c r="AB58" i="2"/>
  <c r="AB57" i="2"/>
  <c r="AC57" i="2" s="1"/>
  <c r="AA385" i="2"/>
  <c r="Y387" i="2"/>
  <c r="AA380" i="2"/>
  <c r="Y382" i="2"/>
  <c r="AA372" i="2"/>
  <c r="Y377" i="2"/>
  <c r="AA361" i="2"/>
  <c r="AA359" i="2"/>
  <c r="Y364" i="2"/>
  <c r="V98" i="2"/>
  <c r="AB98" i="2" s="1"/>
  <c r="AC98" i="2" s="1"/>
  <c r="T98" i="2"/>
  <c r="V50" i="2"/>
  <c r="AB50" i="2" s="1"/>
  <c r="AC50" i="2" s="1"/>
  <c r="AR50" i="2" s="1"/>
  <c r="V83" i="2"/>
  <c r="AB83" i="2" s="1"/>
  <c r="AC83" i="2" s="1"/>
  <c r="T83" i="2"/>
  <c r="P33" i="2"/>
  <c r="Q33" i="2" s="1"/>
  <c r="R33" i="2" s="1"/>
  <c r="X33" i="2"/>
  <c r="Y33" i="2" s="1"/>
  <c r="AA33" i="2" s="1"/>
  <c r="R441" i="2"/>
  <c r="V441" i="2" s="1"/>
  <c r="R99" i="2"/>
  <c r="T99" i="2" s="1"/>
  <c r="R442" i="2"/>
  <c r="V442" i="2" s="1"/>
  <c r="R476" i="2"/>
  <c r="V476" i="2" s="1"/>
  <c r="X476" i="2"/>
  <c r="Y476" i="2" s="1"/>
  <c r="AA476" i="2" s="1"/>
  <c r="X442" i="2"/>
  <c r="Y442" i="2" s="1"/>
  <c r="AA442" i="2" s="1"/>
  <c r="X441" i="2"/>
  <c r="Y441" i="2" s="1"/>
  <c r="AA441" i="2" s="1"/>
  <c r="X99" i="2"/>
  <c r="Y99" i="2" s="1"/>
  <c r="AA99" i="2" s="1"/>
  <c r="R440" i="2"/>
  <c r="V440" i="2" s="1"/>
  <c r="X440" i="2"/>
  <c r="Y440" i="2" s="1"/>
  <c r="AA440" i="2" s="1"/>
  <c r="R312" i="2"/>
  <c r="V312" i="2" s="1"/>
  <c r="R316" i="2"/>
  <c r="X316" i="2"/>
  <c r="Y316" i="2" s="1"/>
  <c r="AA316" i="2" s="1"/>
  <c r="R313" i="2"/>
  <c r="V313" i="2" s="1"/>
  <c r="R314" i="2"/>
  <c r="V314" i="2" s="1"/>
  <c r="R315" i="2"/>
  <c r="X315" i="2"/>
  <c r="Y315" i="2" s="1"/>
  <c r="AA315" i="2" s="1"/>
  <c r="X314" i="2"/>
  <c r="Y314" i="2" s="1"/>
  <c r="AA314" i="2" s="1"/>
  <c r="X313" i="2"/>
  <c r="Y313" i="2" s="1"/>
  <c r="AA313" i="2" s="1"/>
  <c r="X312" i="2"/>
  <c r="Y312" i="2" s="1"/>
  <c r="AA312" i="2" s="1"/>
  <c r="R475" i="2"/>
  <c r="V475" i="2" s="1"/>
  <c r="X475" i="2"/>
  <c r="Y475" i="2" s="1"/>
  <c r="AA475" i="2" s="1"/>
  <c r="R82" i="2"/>
  <c r="V82" i="2" s="1"/>
  <c r="X82" i="2"/>
  <c r="Y82" i="2" s="1"/>
  <c r="AA82" i="2" s="1"/>
  <c r="R336" i="2"/>
  <c r="X336" i="2"/>
  <c r="Y336" i="2" s="1"/>
  <c r="AA336" i="2" s="1"/>
  <c r="T91" i="4" l="1"/>
  <c r="U91" i="4" s="1"/>
  <c r="P90" i="4"/>
  <c r="U90" i="4"/>
  <c r="AA62" i="2"/>
  <c r="Y69" i="2"/>
  <c r="AR98" i="2"/>
  <c r="AR83" i="2"/>
  <c r="AJ33" i="2"/>
  <c r="AP33" i="2" s="1"/>
  <c r="AN57" i="2"/>
  <c r="AR57" i="2" s="1"/>
  <c r="AL316" i="2"/>
  <c r="AL99" i="2"/>
  <c r="AL336" i="2"/>
  <c r="AP440" i="2"/>
  <c r="AL440" i="2"/>
  <c r="AL475" i="2"/>
  <c r="AP82" i="2"/>
  <c r="AL82" i="2"/>
  <c r="AL442" i="2"/>
  <c r="AL314" i="2"/>
  <c r="AL441" i="2"/>
  <c r="AP316" i="2"/>
  <c r="AP315" i="2"/>
  <c r="AL315" i="2"/>
  <c r="AP99" i="2"/>
  <c r="AL312" i="2"/>
  <c r="AP475" i="2"/>
  <c r="AP442" i="2"/>
  <c r="AP314" i="2"/>
  <c r="AP336" i="2"/>
  <c r="AP476" i="2"/>
  <c r="AL476" i="2"/>
  <c r="AL313" i="2"/>
  <c r="AC58" i="2"/>
  <c r="AB380" i="2"/>
  <c r="AA382" i="2"/>
  <c r="AB385" i="2"/>
  <c r="AA387" i="2"/>
  <c r="AB361" i="2"/>
  <c r="AA364" i="2"/>
  <c r="AB359" i="2"/>
  <c r="AB372" i="2"/>
  <c r="AA377" i="2"/>
  <c r="T314" i="2"/>
  <c r="V99" i="2"/>
  <c r="AB99" i="2" s="1"/>
  <c r="AC99" i="2" s="1"/>
  <c r="T312" i="2"/>
  <c r="T441" i="2"/>
  <c r="V33" i="2"/>
  <c r="AB33" i="2" s="1"/>
  <c r="AC33" i="2" s="1"/>
  <c r="T33" i="2"/>
  <c r="AB442" i="2"/>
  <c r="AC442" i="2" s="1"/>
  <c r="T442" i="2"/>
  <c r="T476" i="2"/>
  <c r="AB476" i="2"/>
  <c r="AC476" i="2" s="1"/>
  <c r="AB441" i="2"/>
  <c r="AC441" i="2" s="1"/>
  <c r="AR441" i="2" s="1"/>
  <c r="T440" i="2"/>
  <c r="AB440" i="2"/>
  <c r="AC440" i="2" s="1"/>
  <c r="AB313" i="2"/>
  <c r="AC313" i="2" s="1"/>
  <c r="AR313" i="2" s="1"/>
  <c r="T313" i="2"/>
  <c r="V316" i="2"/>
  <c r="AB316" i="2" s="1"/>
  <c r="AC316" i="2" s="1"/>
  <c r="T316" i="2"/>
  <c r="AB314" i="2"/>
  <c r="AC314" i="2" s="1"/>
  <c r="V315" i="2"/>
  <c r="AB315" i="2" s="1"/>
  <c r="AC315" i="2" s="1"/>
  <c r="T315" i="2"/>
  <c r="AB312" i="2"/>
  <c r="AC312" i="2" s="1"/>
  <c r="AR312" i="2" s="1"/>
  <c r="T475" i="2"/>
  <c r="AB475" i="2"/>
  <c r="AC475" i="2" s="1"/>
  <c r="T82" i="2"/>
  <c r="AB82" i="2"/>
  <c r="AC82" i="2" s="1"/>
  <c r="V336" i="2"/>
  <c r="AB336" i="2" s="1"/>
  <c r="AC336" i="2" s="1"/>
  <c r="T336" i="2"/>
  <c r="AR475" i="2" l="1"/>
  <c r="AR336" i="2"/>
  <c r="AB62" i="2"/>
  <c r="AA69" i="2"/>
  <c r="AR440" i="2"/>
  <c r="AR33" i="2"/>
  <c r="AL33" i="2"/>
  <c r="AR314" i="2"/>
  <c r="AR476" i="2"/>
  <c r="AN58" i="2"/>
  <c r="AR58" i="2" s="1"/>
  <c r="AR442" i="2"/>
  <c r="AR82" i="2"/>
  <c r="AR99" i="2"/>
  <c r="AR315" i="2"/>
  <c r="AR316" i="2"/>
  <c r="AC385" i="2"/>
  <c r="AB387" i="2"/>
  <c r="AC380" i="2"/>
  <c r="AB382" i="2"/>
  <c r="AC359" i="2"/>
  <c r="AR359" i="2" s="1"/>
  <c r="AB364" i="2"/>
  <c r="AC361" i="2"/>
  <c r="AR361" i="2" s="1"/>
  <c r="AC372" i="2"/>
  <c r="AB377" i="2"/>
  <c r="N31" i="2"/>
  <c r="AH31" i="2"/>
  <c r="AG31" i="2"/>
  <c r="AE31" i="2"/>
  <c r="AD31" i="2"/>
  <c r="K31" i="2"/>
  <c r="AF31" i="2" s="1"/>
  <c r="N49" i="2"/>
  <c r="P49" i="2" s="1"/>
  <c r="Q49" i="2" s="1"/>
  <c r="AH49" i="2"/>
  <c r="AG49" i="2"/>
  <c r="AE49" i="2"/>
  <c r="AD49" i="2"/>
  <c r="K49" i="2"/>
  <c r="AF49" i="2" s="1"/>
  <c r="AH81" i="2"/>
  <c r="AG81" i="2"/>
  <c r="AE81" i="2"/>
  <c r="AD81" i="2"/>
  <c r="N81" i="2"/>
  <c r="K81" i="2"/>
  <c r="AF81" i="2" s="1"/>
  <c r="AH97" i="2"/>
  <c r="AG97" i="2"/>
  <c r="AE97" i="2"/>
  <c r="AD97" i="2"/>
  <c r="N97" i="2"/>
  <c r="P97" i="2" s="1"/>
  <c r="Q97" i="2" s="1"/>
  <c r="K97" i="2"/>
  <c r="AF97" i="2" s="1"/>
  <c r="AH439" i="2"/>
  <c r="AG439" i="2"/>
  <c r="AE439" i="2"/>
  <c r="AD439" i="2"/>
  <c r="P439" i="2"/>
  <c r="Q439" i="2" s="1"/>
  <c r="K439" i="2"/>
  <c r="AF439" i="2" s="1"/>
  <c r="AH438" i="2"/>
  <c r="AG438" i="2"/>
  <c r="AE438" i="2"/>
  <c r="AD438" i="2"/>
  <c r="P438" i="2"/>
  <c r="Q438" i="2" s="1"/>
  <c r="K438" i="2"/>
  <c r="AF438" i="2" s="1"/>
  <c r="AH274" i="2"/>
  <c r="AG274" i="2"/>
  <c r="AE274" i="2"/>
  <c r="AD274" i="2"/>
  <c r="P274" i="2"/>
  <c r="Q274" i="2" s="1"/>
  <c r="K274" i="2"/>
  <c r="AF274" i="2" s="1"/>
  <c r="AH354" i="2"/>
  <c r="AG354" i="2"/>
  <c r="AE354" i="2"/>
  <c r="AD354" i="2"/>
  <c r="P354" i="2"/>
  <c r="Q354" i="2" s="1"/>
  <c r="K354" i="2"/>
  <c r="AF354" i="2" s="1"/>
  <c r="AH225" i="2"/>
  <c r="AG225" i="2"/>
  <c r="AE225" i="2"/>
  <c r="AD225" i="2"/>
  <c r="P225" i="2"/>
  <c r="Q225" i="2" s="1"/>
  <c r="AH224" i="2"/>
  <c r="AG224" i="2"/>
  <c r="AE224" i="2"/>
  <c r="AD224" i="2"/>
  <c r="AH223" i="2"/>
  <c r="AG223" i="2"/>
  <c r="AE223" i="2"/>
  <c r="AD223" i="2"/>
  <c r="K225" i="2"/>
  <c r="AF225" i="2" s="1"/>
  <c r="N224" i="2"/>
  <c r="P224" i="2" s="1"/>
  <c r="Q224" i="2" s="1"/>
  <c r="K224" i="2"/>
  <c r="AF224" i="2" s="1"/>
  <c r="C224" i="2"/>
  <c r="N223" i="2"/>
  <c r="P223" i="2" s="1"/>
  <c r="Q223" i="2" s="1"/>
  <c r="K223" i="2"/>
  <c r="AF223" i="2" s="1"/>
  <c r="C223" i="2"/>
  <c r="N30" i="2"/>
  <c r="P30" i="2" s="1"/>
  <c r="Q30" i="2" s="1"/>
  <c r="AH30" i="2"/>
  <c r="AG30" i="2"/>
  <c r="AE30" i="2"/>
  <c r="AD30" i="2"/>
  <c r="K30" i="2"/>
  <c r="AF30" i="2" s="1"/>
  <c r="AH96" i="2"/>
  <c r="AG96" i="2"/>
  <c r="AE96" i="2"/>
  <c r="AD96" i="2"/>
  <c r="N96" i="2"/>
  <c r="K96" i="2"/>
  <c r="AF96" i="2" s="1"/>
  <c r="N80" i="2"/>
  <c r="AH80" i="2"/>
  <c r="AG80" i="2"/>
  <c r="AE80" i="2"/>
  <c r="AD80" i="2"/>
  <c r="K80" i="2"/>
  <c r="AF80" i="2" s="1"/>
  <c r="AH48" i="2"/>
  <c r="AG48" i="2"/>
  <c r="AE48" i="2"/>
  <c r="AD48" i="2"/>
  <c r="N48" i="2"/>
  <c r="P48" i="2" s="1"/>
  <c r="Q48" i="2" s="1"/>
  <c r="K48" i="2"/>
  <c r="AF48" i="2" s="1"/>
  <c r="AH47" i="2"/>
  <c r="AG47" i="2"/>
  <c r="AE47" i="2"/>
  <c r="AD47" i="2"/>
  <c r="P47" i="2"/>
  <c r="Q47" i="2" s="1"/>
  <c r="K47" i="2"/>
  <c r="AF47" i="2" s="1"/>
  <c r="AH308" i="2"/>
  <c r="AG308" i="2"/>
  <c r="AE308" i="2"/>
  <c r="AD308" i="2"/>
  <c r="AH307" i="2"/>
  <c r="AG307" i="2"/>
  <c r="AE307" i="2"/>
  <c r="AD307" i="2"/>
  <c r="P308" i="2"/>
  <c r="Q308" i="2" s="1"/>
  <c r="P307" i="2"/>
  <c r="Q307" i="2" s="1"/>
  <c r="K308" i="2"/>
  <c r="AF308" i="2" s="1"/>
  <c r="K307" i="2"/>
  <c r="AF307" i="2" s="1"/>
  <c r="AH311" i="2"/>
  <c r="AG311" i="2"/>
  <c r="AE311" i="2"/>
  <c r="AD311" i="2"/>
  <c r="AH310" i="2"/>
  <c r="AG310" i="2"/>
  <c r="AE310" i="2"/>
  <c r="AD310" i="2"/>
  <c r="AH309" i="2"/>
  <c r="AG309" i="2"/>
  <c r="AE309" i="2"/>
  <c r="AD309" i="2"/>
  <c r="P311" i="2"/>
  <c r="Q311" i="2" s="1"/>
  <c r="P310" i="2"/>
  <c r="Q310" i="2" s="1"/>
  <c r="P309" i="2"/>
  <c r="Q309" i="2" s="1"/>
  <c r="K311" i="2"/>
  <c r="AF311" i="2" s="1"/>
  <c r="K310" i="2"/>
  <c r="AF310" i="2" s="1"/>
  <c r="K309" i="2"/>
  <c r="AF309" i="2" s="1"/>
  <c r="AH353" i="2"/>
  <c r="AG353" i="2"/>
  <c r="AE353" i="2"/>
  <c r="AD353" i="2"/>
  <c r="AC62" i="2" l="1"/>
  <c r="AB69" i="2"/>
  <c r="AP62" i="2"/>
  <c r="AP69" i="2" s="1"/>
  <c r="AR364" i="2"/>
  <c r="AC387" i="2"/>
  <c r="AR385" i="2"/>
  <c r="AR387" i="2" s="1"/>
  <c r="AC382" i="2"/>
  <c r="AR380" i="2"/>
  <c r="AR382" i="2" s="1"/>
  <c r="AN223" i="2"/>
  <c r="AJ223" i="2"/>
  <c r="AP223" i="2" s="1"/>
  <c r="AN47" i="2"/>
  <c r="AJ47" i="2"/>
  <c r="AN30" i="2"/>
  <c r="AJ30" i="2"/>
  <c r="AN225" i="2"/>
  <c r="AJ225" i="2"/>
  <c r="AJ274" i="2"/>
  <c r="AP274" i="2" s="1"/>
  <c r="AN274" i="2"/>
  <c r="AJ439" i="2"/>
  <c r="AP439" i="2" s="1"/>
  <c r="AN439" i="2"/>
  <c r="AN81" i="2"/>
  <c r="AN31" i="2"/>
  <c r="AC377" i="2"/>
  <c r="AR372" i="2"/>
  <c r="AR377" i="2" s="1"/>
  <c r="AN49" i="2"/>
  <c r="AJ49" i="2"/>
  <c r="AP49" i="2" s="1"/>
  <c r="AN80" i="2"/>
  <c r="AN224" i="2"/>
  <c r="AJ224" i="2"/>
  <c r="AJ309" i="2"/>
  <c r="AP309" i="2" s="1"/>
  <c r="AN309" i="2"/>
  <c r="AN310" i="2"/>
  <c r="AJ310" i="2"/>
  <c r="AP310" i="2" s="1"/>
  <c r="AJ311" i="2"/>
  <c r="AN311" i="2"/>
  <c r="AJ307" i="2"/>
  <c r="AN307" i="2"/>
  <c r="AJ308" i="2"/>
  <c r="AN308" i="2"/>
  <c r="AJ48" i="2"/>
  <c r="AP48" i="2" s="1"/>
  <c r="AN48" i="2"/>
  <c r="AN96" i="2"/>
  <c r="AJ354" i="2"/>
  <c r="AN354" i="2"/>
  <c r="AN438" i="2"/>
  <c r="AJ438" i="2"/>
  <c r="AN97" i="2"/>
  <c r="AJ97" i="2"/>
  <c r="AC364" i="2"/>
  <c r="X223" i="2"/>
  <c r="Y223" i="2" s="1"/>
  <c r="AA223" i="2" s="1"/>
  <c r="P31" i="2"/>
  <c r="Q31" i="2" s="1"/>
  <c r="R31" i="2" s="1"/>
  <c r="R97" i="2"/>
  <c r="V97" i="2" s="1"/>
  <c r="R49" i="2"/>
  <c r="V49" i="2" s="1"/>
  <c r="P81" i="2"/>
  <c r="Q81" i="2" s="1"/>
  <c r="R81" i="2" s="1"/>
  <c r="V81" i="2" s="1"/>
  <c r="R438" i="2"/>
  <c r="V438" i="2" s="1"/>
  <c r="R439" i="2"/>
  <c r="T439" i="2" s="1"/>
  <c r="X439" i="2"/>
  <c r="Y439" i="2" s="1"/>
  <c r="AA439" i="2" s="1"/>
  <c r="R274" i="2"/>
  <c r="V274" i="2" s="1"/>
  <c r="X438" i="2"/>
  <c r="Y438" i="2" s="1"/>
  <c r="AA438" i="2" s="1"/>
  <c r="X274" i="2"/>
  <c r="Y274" i="2" s="1"/>
  <c r="AA274" i="2" s="1"/>
  <c r="R354" i="2"/>
  <c r="T354" i="2" s="1"/>
  <c r="R224" i="2"/>
  <c r="V224" i="2" s="1"/>
  <c r="X354" i="2"/>
  <c r="Y354" i="2" s="1"/>
  <c r="AA354" i="2" s="1"/>
  <c r="R223" i="2"/>
  <c r="V223" i="2" s="1"/>
  <c r="R225" i="2"/>
  <c r="V225" i="2" s="1"/>
  <c r="X225" i="2"/>
  <c r="Y225" i="2" s="1"/>
  <c r="AA225" i="2" s="1"/>
  <c r="X224" i="2"/>
  <c r="Y224" i="2" s="1"/>
  <c r="AA224" i="2" s="1"/>
  <c r="R30" i="2"/>
  <c r="V30" i="2" s="1"/>
  <c r="P96" i="2"/>
  <c r="Q96" i="2" s="1"/>
  <c r="R96" i="2" s="1"/>
  <c r="P80" i="2"/>
  <c r="Q80" i="2" s="1"/>
  <c r="R80" i="2" s="1"/>
  <c r="V80" i="2" s="1"/>
  <c r="R48" i="2"/>
  <c r="T48" i="2" s="1"/>
  <c r="X48" i="2" s="1"/>
  <c r="Y48" i="2" s="1"/>
  <c r="AA48" i="2" s="1"/>
  <c r="R47" i="2"/>
  <c r="T47" i="2" s="1"/>
  <c r="R307" i="2"/>
  <c r="V307" i="2" s="1"/>
  <c r="R311" i="2"/>
  <c r="V311" i="2" s="1"/>
  <c r="R308" i="2"/>
  <c r="T308" i="2" s="1"/>
  <c r="X47" i="2"/>
  <c r="Y47" i="2" s="1"/>
  <c r="AA47" i="2" s="1"/>
  <c r="X311" i="2"/>
  <c r="Y311" i="2" s="1"/>
  <c r="AA311" i="2" s="1"/>
  <c r="R309" i="2"/>
  <c r="T309" i="2" s="1"/>
  <c r="R310" i="2"/>
  <c r="V310" i="2" s="1"/>
  <c r="X307" i="2"/>
  <c r="Y307" i="2" s="1"/>
  <c r="AA307" i="2" s="1"/>
  <c r="X308" i="2"/>
  <c r="Y308" i="2" s="1"/>
  <c r="AA308" i="2" s="1"/>
  <c r="X309" i="2"/>
  <c r="Y309" i="2" s="1"/>
  <c r="AA309" i="2" s="1"/>
  <c r="X310" i="2"/>
  <c r="Y310" i="2" s="1"/>
  <c r="AA310" i="2" s="1"/>
  <c r="AH335" i="2"/>
  <c r="AG335" i="2"/>
  <c r="AE335" i="2"/>
  <c r="AD335" i="2"/>
  <c r="P335" i="2"/>
  <c r="Q335" i="2" s="1"/>
  <c r="K335" i="2"/>
  <c r="AF335" i="2" s="1"/>
  <c r="AH352" i="2"/>
  <c r="AG352" i="2"/>
  <c r="AE352" i="2"/>
  <c r="AD352" i="2"/>
  <c r="AN62" i="2" l="1"/>
  <c r="AN69" i="2" s="1"/>
  <c r="AC69" i="2"/>
  <c r="AJ80" i="2"/>
  <c r="AL80" i="2" s="1"/>
  <c r="AL438" i="2"/>
  <c r="AJ81" i="2"/>
  <c r="AP81" i="2" s="1"/>
  <c r="AJ96" i="2"/>
  <c r="AL96" i="2" s="1"/>
  <c r="AJ31" i="2"/>
  <c r="AL31" i="2" s="1"/>
  <c r="AP354" i="2"/>
  <c r="AL354" i="2"/>
  <c r="AL308" i="2"/>
  <c r="AP311" i="2"/>
  <c r="AL311" i="2"/>
  <c r="AL224" i="2"/>
  <c r="AP225" i="2"/>
  <c r="AL225" i="2"/>
  <c r="AP47" i="2"/>
  <c r="AL47" i="2"/>
  <c r="AL48" i="2"/>
  <c r="AN335" i="2"/>
  <c r="AJ335" i="2"/>
  <c r="AP335" i="2" s="1"/>
  <c r="AP97" i="2"/>
  <c r="AL97" i="2"/>
  <c r="AP308" i="2"/>
  <c r="AP307" i="2"/>
  <c r="AL307" i="2"/>
  <c r="AL310" i="2"/>
  <c r="AL309" i="2"/>
  <c r="AL49" i="2"/>
  <c r="AP30" i="2"/>
  <c r="AL30" i="2"/>
  <c r="AL223" i="2"/>
  <c r="AP224" i="2"/>
  <c r="AL439" i="2"/>
  <c r="AL274" i="2"/>
  <c r="AB223" i="2"/>
  <c r="AC223" i="2" s="1"/>
  <c r="AR223" i="2" s="1"/>
  <c r="T224" i="2"/>
  <c r="T97" i="2"/>
  <c r="X97" i="2" s="1"/>
  <c r="Y97" i="2" s="1"/>
  <c r="AA97" i="2" s="1"/>
  <c r="AB97" i="2" s="1"/>
  <c r="AC97" i="2" s="1"/>
  <c r="T274" i="2"/>
  <c r="AB224" i="2"/>
  <c r="AC224" i="2" s="1"/>
  <c r="T81" i="2"/>
  <c r="X81" i="2" s="1"/>
  <c r="Y81" i="2" s="1"/>
  <c r="AA81" i="2" s="1"/>
  <c r="AB81" i="2" s="1"/>
  <c r="AC81" i="2" s="1"/>
  <c r="T49" i="2"/>
  <c r="X49" i="2" s="1"/>
  <c r="Y49" i="2" s="1"/>
  <c r="AA49" i="2" s="1"/>
  <c r="AB49" i="2" s="1"/>
  <c r="AC49" i="2" s="1"/>
  <c r="AR49" i="2" s="1"/>
  <c r="AB274" i="2"/>
  <c r="AC274" i="2" s="1"/>
  <c r="AR274" i="2" s="1"/>
  <c r="V439" i="2"/>
  <c r="AB439" i="2" s="1"/>
  <c r="AC439" i="2" s="1"/>
  <c r="AR439" i="2" s="1"/>
  <c r="V31" i="2"/>
  <c r="T31" i="2"/>
  <c r="X31" i="2" s="1"/>
  <c r="Y31" i="2" s="1"/>
  <c r="AA31" i="2" s="1"/>
  <c r="T438" i="2"/>
  <c r="V47" i="2"/>
  <c r="AB47" i="2" s="1"/>
  <c r="AC47" i="2" s="1"/>
  <c r="AB438" i="2"/>
  <c r="AC438" i="2" s="1"/>
  <c r="T223" i="2"/>
  <c r="V354" i="2"/>
  <c r="AB354" i="2" s="1"/>
  <c r="AC354" i="2" s="1"/>
  <c r="T225" i="2"/>
  <c r="T307" i="2"/>
  <c r="T30" i="2"/>
  <c r="X30" i="2" s="1"/>
  <c r="Y30" i="2" s="1"/>
  <c r="AA30" i="2" s="1"/>
  <c r="AB30" i="2" s="1"/>
  <c r="AC30" i="2" s="1"/>
  <c r="T310" i="2"/>
  <c r="T80" i="2"/>
  <c r="X80" i="2" s="1"/>
  <c r="Y80" i="2" s="1"/>
  <c r="AA80" i="2" s="1"/>
  <c r="AB80" i="2" s="1"/>
  <c r="AC80" i="2" s="1"/>
  <c r="AB225" i="2"/>
  <c r="AC225" i="2" s="1"/>
  <c r="T311" i="2"/>
  <c r="R335" i="2"/>
  <c r="V335" i="2" s="1"/>
  <c r="T96" i="2"/>
  <c r="X96" i="2" s="1"/>
  <c r="Y96" i="2" s="1"/>
  <c r="AA96" i="2" s="1"/>
  <c r="V96" i="2"/>
  <c r="V48" i="2"/>
  <c r="AB48" i="2" s="1"/>
  <c r="AC48" i="2" s="1"/>
  <c r="AR48" i="2" s="1"/>
  <c r="AB311" i="2"/>
  <c r="AC311" i="2" s="1"/>
  <c r="V308" i="2"/>
  <c r="AB308" i="2" s="1"/>
  <c r="AC308" i="2" s="1"/>
  <c r="V309" i="2"/>
  <c r="AB309" i="2" s="1"/>
  <c r="AC309" i="2" s="1"/>
  <c r="AR309" i="2" s="1"/>
  <c r="AB310" i="2"/>
  <c r="AC310" i="2" s="1"/>
  <c r="AR310" i="2" s="1"/>
  <c r="AB307" i="2"/>
  <c r="AC307" i="2" s="1"/>
  <c r="X335" i="2"/>
  <c r="Y335" i="2" s="1"/>
  <c r="AA335" i="2" s="1"/>
  <c r="AR62" i="2" l="1"/>
  <c r="AR69" i="2" s="1"/>
  <c r="AP31" i="2"/>
  <c r="AP80" i="2"/>
  <c r="AR224" i="2"/>
  <c r="AR30" i="2"/>
  <c r="AR354" i="2"/>
  <c r="AL81" i="2"/>
  <c r="AP96" i="2"/>
  <c r="AR81" i="2"/>
  <c r="AR80" i="2"/>
  <c r="AR308" i="2"/>
  <c r="AR97" i="2"/>
  <c r="AR225" i="2"/>
  <c r="AL335" i="2"/>
  <c r="AR47" i="2"/>
  <c r="AR311" i="2"/>
  <c r="AP438" i="2"/>
  <c r="AR438" i="2" s="1"/>
  <c r="AR307" i="2"/>
  <c r="AB96" i="2"/>
  <c r="AC96" i="2" s="1"/>
  <c r="AB31" i="2"/>
  <c r="AC31" i="2" s="1"/>
  <c r="AR31" i="2" s="1"/>
  <c r="T335" i="2"/>
  <c r="AB335" i="2"/>
  <c r="AC335" i="2" s="1"/>
  <c r="AR335" i="2" s="1"/>
  <c r="N353" i="2"/>
  <c r="P353" i="2" s="1"/>
  <c r="Q353" i="2" s="1"/>
  <c r="K353" i="2"/>
  <c r="AF353" i="2" s="1"/>
  <c r="P352" i="2"/>
  <c r="Q352" i="2" s="1"/>
  <c r="K352" i="2"/>
  <c r="AF352" i="2" s="1"/>
  <c r="AH350" i="2"/>
  <c r="AG350" i="2"/>
  <c r="AE350" i="2"/>
  <c r="AD350" i="2"/>
  <c r="P350" i="2"/>
  <c r="Q350" i="2" s="1"/>
  <c r="K350" i="2"/>
  <c r="AF350" i="2" s="1"/>
  <c r="AH29" i="2"/>
  <c r="AG29" i="2"/>
  <c r="AE29" i="2"/>
  <c r="AD29" i="2"/>
  <c r="N29" i="2"/>
  <c r="P29" i="2" s="1"/>
  <c r="Q29" i="2" s="1"/>
  <c r="K29" i="2"/>
  <c r="AF29" i="2" s="1"/>
  <c r="AH28" i="2"/>
  <c r="AG28" i="2"/>
  <c r="AE28" i="2"/>
  <c r="AD28" i="2"/>
  <c r="N28" i="2"/>
  <c r="P28" i="2" s="1"/>
  <c r="Q28" i="2" s="1"/>
  <c r="K28" i="2"/>
  <c r="AF28" i="2" s="1"/>
  <c r="AH437" i="2"/>
  <c r="AG437" i="2"/>
  <c r="AE437" i="2"/>
  <c r="AD437" i="2"/>
  <c r="P437" i="2"/>
  <c r="Q437" i="2" s="1"/>
  <c r="K437" i="2"/>
  <c r="AF437" i="2" s="1"/>
  <c r="AH222" i="2"/>
  <c r="AG222" i="2"/>
  <c r="AE222" i="2"/>
  <c r="AD222" i="2"/>
  <c r="AH221" i="2"/>
  <c r="AG221" i="2"/>
  <c r="AE221" i="2"/>
  <c r="AD221" i="2"/>
  <c r="P222" i="2"/>
  <c r="Q222" i="2" s="1"/>
  <c r="K222" i="2"/>
  <c r="AF222" i="2" s="1"/>
  <c r="P221" i="2"/>
  <c r="Q221" i="2" s="1"/>
  <c r="K221" i="2"/>
  <c r="AF221" i="2" s="1"/>
  <c r="AH306" i="2"/>
  <c r="AG306" i="2"/>
  <c r="AE306" i="2"/>
  <c r="AD306" i="2"/>
  <c r="P306" i="2"/>
  <c r="Q306" i="2" s="1"/>
  <c r="AH305" i="2"/>
  <c r="AG305" i="2"/>
  <c r="AE305" i="2"/>
  <c r="AD305" i="2"/>
  <c r="P305" i="2"/>
  <c r="Q305" i="2" s="1"/>
  <c r="AH304" i="2"/>
  <c r="AG304" i="2"/>
  <c r="AE304" i="2"/>
  <c r="AD304" i="2"/>
  <c r="P304" i="2"/>
  <c r="Q304" i="2" s="1"/>
  <c r="AH303" i="2"/>
  <c r="AG303" i="2"/>
  <c r="AE303" i="2"/>
  <c r="AD303" i="2"/>
  <c r="K306" i="2"/>
  <c r="AF306" i="2" s="1"/>
  <c r="K305" i="2"/>
  <c r="AF305" i="2" s="1"/>
  <c r="K304" i="2"/>
  <c r="AF304" i="2" s="1"/>
  <c r="N303" i="2"/>
  <c r="P303" i="2" s="1"/>
  <c r="Q303" i="2" s="1"/>
  <c r="K303" i="2"/>
  <c r="AF303" i="2" s="1"/>
  <c r="C303" i="2"/>
  <c r="AH474" i="2"/>
  <c r="AG474" i="2"/>
  <c r="AE474" i="2"/>
  <c r="AD474" i="2"/>
  <c r="P474" i="2"/>
  <c r="Q474" i="2" s="1"/>
  <c r="K474" i="2"/>
  <c r="AF474" i="2" s="1"/>
  <c r="AH436" i="2"/>
  <c r="AG436" i="2"/>
  <c r="AE436" i="2"/>
  <c r="AD436" i="2"/>
  <c r="P436" i="2"/>
  <c r="Q436" i="2" s="1"/>
  <c r="K436" i="2"/>
  <c r="AF436" i="2" s="1"/>
  <c r="AH302" i="2"/>
  <c r="AG302" i="2"/>
  <c r="AE302" i="2"/>
  <c r="AD302" i="2"/>
  <c r="P302" i="2"/>
  <c r="Q302" i="2" s="1"/>
  <c r="K302" i="2"/>
  <c r="AF302" i="2" s="1"/>
  <c r="AH334" i="2"/>
  <c r="AG334" i="2"/>
  <c r="AE334" i="2"/>
  <c r="AD334" i="2"/>
  <c r="P334" i="2"/>
  <c r="Q334" i="2" s="1"/>
  <c r="K334" i="2"/>
  <c r="AF334" i="2" s="1"/>
  <c r="AH435" i="2"/>
  <c r="AG435" i="2"/>
  <c r="AE435" i="2"/>
  <c r="AD435" i="2"/>
  <c r="P435" i="2"/>
  <c r="Q435" i="2" s="1"/>
  <c r="K435" i="2"/>
  <c r="AF435" i="2" s="1"/>
  <c r="AR96" i="2" l="1"/>
  <c r="AJ353" i="2"/>
  <c r="AP353" i="2" s="1"/>
  <c r="AN353" i="2"/>
  <c r="AN352" i="2"/>
  <c r="AJ352" i="2"/>
  <c r="AP352" i="2" s="1"/>
  <c r="AN306" i="2"/>
  <c r="AJ306" i="2"/>
  <c r="AP306" i="2" s="1"/>
  <c r="AJ28" i="2"/>
  <c r="AN28" i="2"/>
  <c r="AJ334" i="2"/>
  <c r="AN334" i="2"/>
  <c r="AN436" i="2"/>
  <c r="AJ436" i="2"/>
  <c r="AN222" i="2"/>
  <c r="AJ222" i="2"/>
  <c r="AJ303" i="2"/>
  <c r="AN303" i="2"/>
  <c r="AN350" i="2"/>
  <c r="AJ350" i="2"/>
  <c r="AN221" i="2"/>
  <c r="AJ221" i="2"/>
  <c r="AN435" i="2"/>
  <c r="AJ435" i="2"/>
  <c r="AP435" i="2" s="1"/>
  <c r="AN302" i="2"/>
  <c r="AJ302" i="2"/>
  <c r="AN474" i="2"/>
  <c r="AJ474" i="2"/>
  <c r="AJ304" i="2"/>
  <c r="AP304" i="2" s="1"/>
  <c r="AN304" i="2"/>
  <c r="AJ437" i="2"/>
  <c r="AN437" i="2"/>
  <c r="AN29" i="2"/>
  <c r="AJ29" i="2"/>
  <c r="AJ305" i="2"/>
  <c r="AP305" i="2" s="1"/>
  <c r="AN305" i="2"/>
  <c r="R353" i="2"/>
  <c r="X353" i="2"/>
  <c r="Y353" i="2" s="1"/>
  <c r="AA353" i="2" s="1"/>
  <c r="R352" i="2"/>
  <c r="X352" i="2"/>
  <c r="Y352" i="2" s="1"/>
  <c r="AA352" i="2" s="1"/>
  <c r="R350" i="2"/>
  <c r="T350" i="2" s="1"/>
  <c r="R334" i="2"/>
  <c r="R221" i="2"/>
  <c r="T221" i="2" s="1"/>
  <c r="R29" i="2"/>
  <c r="T29" i="2" s="1"/>
  <c r="R306" i="2"/>
  <c r="T306" i="2" s="1"/>
  <c r="X350" i="2"/>
  <c r="Y350" i="2" s="1"/>
  <c r="AA350" i="2" s="1"/>
  <c r="X305" i="2"/>
  <c r="Y305" i="2" s="1"/>
  <c r="AA305" i="2" s="1"/>
  <c r="R222" i="2"/>
  <c r="T222" i="2" s="1"/>
  <c r="X437" i="2"/>
  <c r="Y437" i="2" s="1"/>
  <c r="AA437" i="2" s="1"/>
  <c r="X29" i="2"/>
  <c r="Y29" i="2" s="1"/>
  <c r="AA29" i="2" s="1"/>
  <c r="R303" i="2"/>
  <c r="V303" i="2" s="1"/>
  <c r="R437" i="2"/>
  <c r="T437" i="2" s="1"/>
  <c r="R28" i="2"/>
  <c r="V28" i="2" s="1"/>
  <c r="X28" i="2"/>
  <c r="Y28" i="2" s="1"/>
  <c r="AA28" i="2" s="1"/>
  <c r="R302" i="2"/>
  <c r="T302" i="2" s="1"/>
  <c r="X222" i="2"/>
  <c r="Y222" i="2" s="1"/>
  <c r="AA222" i="2" s="1"/>
  <c r="X221" i="2"/>
  <c r="Y221" i="2" s="1"/>
  <c r="AA221" i="2" s="1"/>
  <c r="R305" i="2"/>
  <c r="V305" i="2" s="1"/>
  <c r="R304" i="2"/>
  <c r="X306" i="2"/>
  <c r="Y306" i="2" s="1"/>
  <c r="AA306" i="2" s="1"/>
  <c r="X303" i="2"/>
  <c r="Y303" i="2" s="1"/>
  <c r="AA303" i="2" s="1"/>
  <c r="X304" i="2"/>
  <c r="Y304" i="2" s="1"/>
  <c r="AA304" i="2" s="1"/>
  <c r="X302" i="2"/>
  <c r="Y302" i="2" s="1"/>
  <c r="AA302" i="2" s="1"/>
  <c r="R435" i="2"/>
  <c r="T435" i="2" s="1"/>
  <c r="R436" i="2"/>
  <c r="T436" i="2" s="1"/>
  <c r="R474" i="2"/>
  <c r="T474" i="2" s="1"/>
  <c r="X474" i="2"/>
  <c r="Y474" i="2" s="1"/>
  <c r="AA474" i="2" s="1"/>
  <c r="X436" i="2"/>
  <c r="Y436" i="2" s="1"/>
  <c r="AA436" i="2" s="1"/>
  <c r="X334" i="2"/>
  <c r="Y334" i="2" s="1"/>
  <c r="AA334" i="2" s="1"/>
  <c r="X435" i="2"/>
  <c r="Y435" i="2" s="1"/>
  <c r="AA435" i="2" s="1"/>
  <c r="AL352" i="2" l="1"/>
  <c r="V353" i="2"/>
  <c r="AB353" i="2" s="1"/>
  <c r="AC353" i="2" s="1"/>
  <c r="AR353" i="2" s="1"/>
  <c r="AL353" i="2"/>
  <c r="AL29" i="2"/>
  <c r="AP437" i="2"/>
  <c r="AL437" i="2"/>
  <c r="AL474" i="2"/>
  <c r="AL302" i="2"/>
  <c r="AL222" i="2"/>
  <c r="AL28" i="2"/>
  <c r="AP221" i="2"/>
  <c r="AL221" i="2"/>
  <c r="AP334" i="2"/>
  <c r="AL334" i="2"/>
  <c r="AP474" i="2"/>
  <c r="AL435" i="2"/>
  <c r="AP303" i="2"/>
  <c r="AL303" i="2"/>
  <c r="AP436" i="2"/>
  <c r="AL436" i="2"/>
  <c r="AL306" i="2"/>
  <c r="AL305" i="2"/>
  <c r="AL304" i="2"/>
  <c r="AP302" i="2"/>
  <c r="AP350" i="2"/>
  <c r="AL350" i="2"/>
  <c r="AP222" i="2"/>
  <c r="T353" i="2"/>
  <c r="T352" i="2"/>
  <c r="V352" i="2"/>
  <c r="AB352" i="2" s="1"/>
  <c r="AC352" i="2" s="1"/>
  <c r="AR352" i="2" s="1"/>
  <c r="AB305" i="2"/>
  <c r="AC305" i="2" s="1"/>
  <c r="AR305" i="2" s="1"/>
  <c r="V29" i="2"/>
  <c r="AB29" i="2" s="1"/>
  <c r="AC29" i="2" s="1"/>
  <c r="V350" i="2"/>
  <c r="AB350" i="2" s="1"/>
  <c r="AC350" i="2" s="1"/>
  <c r="AR350" i="2" s="1"/>
  <c r="V221" i="2"/>
  <c r="AB221" i="2" s="1"/>
  <c r="AC221" i="2" s="1"/>
  <c r="T334" i="2"/>
  <c r="V334" i="2"/>
  <c r="AB334" i="2" s="1"/>
  <c r="AC334" i="2" s="1"/>
  <c r="V306" i="2"/>
  <c r="AB306" i="2" s="1"/>
  <c r="AC306" i="2" s="1"/>
  <c r="AR306" i="2" s="1"/>
  <c r="T303" i="2"/>
  <c r="V437" i="2"/>
  <c r="AB437" i="2" s="1"/>
  <c r="AC437" i="2" s="1"/>
  <c r="V222" i="2"/>
  <c r="AB222" i="2" s="1"/>
  <c r="AC222" i="2" s="1"/>
  <c r="T28" i="2"/>
  <c r="AB28" i="2"/>
  <c r="AC28" i="2" s="1"/>
  <c r="V435" i="2"/>
  <c r="AB435" i="2" s="1"/>
  <c r="AC435" i="2" s="1"/>
  <c r="AR435" i="2" s="1"/>
  <c r="V302" i="2"/>
  <c r="AB302" i="2" s="1"/>
  <c r="AC302" i="2" s="1"/>
  <c r="AR302" i="2" s="1"/>
  <c r="T305" i="2"/>
  <c r="AB303" i="2"/>
  <c r="AC303" i="2" s="1"/>
  <c r="AR303" i="2" s="1"/>
  <c r="V304" i="2"/>
  <c r="AB304" i="2" s="1"/>
  <c r="AC304" i="2" s="1"/>
  <c r="AR304" i="2" s="1"/>
  <c r="T304" i="2"/>
  <c r="V474" i="2"/>
  <c r="AB474" i="2" s="1"/>
  <c r="AC474" i="2" s="1"/>
  <c r="V436" i="2"/>
  <c r="AB436" i="2" s="1"/>
  <c r="AC436" i="2" s="1"/>
  <c r="AR222" i="2" l="1"/>
  <c r="AP29" i="2"/>
  <c r="AR29" i="2" s="1"/>
  <c r="AR474" i="2"/>
  <c r="AR221" i="2"/>
  <c r="AR436" i="2"/>
  <c r="AP28" i="2"/>
  <c r="AR28" i="2" s="1"/>
  <c r="AR334" i="2"/>
  <c r="AR437" i="2"/>
  <c r="AH273" i="2"/>
  <c r="AG273" i="2"/>
  <c r="AE273" i="2"/>
  <c r="AD273" i="2"/>
  <c r="P273" i="2"/>
  <c r="Q273" i="2" s="1"/>
  <c r="K273" i="2"/>
  <c r="AF273" i="2" s="1"/>
  <c r="AH500" i="2"/>
  <c r="AG500" i="2"/>
  <c r="AE500" i="2"/>
  <c r="AD500" i="2"/>
  <c r="P500" i="2"/>
  <c r="Q500" i="2" s="1"/>
  <c r="K500" i="2"/>
  <c r="AF500" i="2" s="1"/>
  <c r="AH27" i="2"/>
  <c r="AG27" i="2"/>
  <c r="AE27" i="2"/>
  <c r="AD27" i="2"/>
  <c r="P27" i="2"/>
  <c r="Q27" i="2" s="1"/>
  <c r="K27" i="2"/>
  <c r="AF27" i="2" s="1"/>
  <c r="AJ27" i="2" l="1"/>
  <c r="AN27" i="2"/>
  <c r="AJ273" i="2"/>
  <c r="AN273" i="2"/>
  <c r="AN500" i="2"/>
  <c r="AJ500" i="2"/>
  <c r="AP500" i="2" s="1"/>
  <c r="X273" i="2"/>
  <c r="Y273" i="2" s="1"/>
  <c r="AA273" i="2" s="1"/>
  <c r="R500" i="2"/>
  <c r="T500" i="2" s="1"/>
  <c r="R273" i="2"/>
  <c r="T273" i="2" s="1"/>
  <c r="R27" i="2"/>
  <c r="T27" i="2" s="1"/>
  <c r="X500" i="2"/>
  <c r="Y500" i="2" s="1"/>
  <c r="AA500" i="2" s="1"/>
  <c r="X27" i="2"/>
  <c r="Y27" i="2" s="1"/>
  <c r="AA27" i="2" s="1"/>
  <c r="AP273" i="2" l="1"/>
  <c r="AL273" i="2"/>
  <c r="AL500" i="2"/>
  <c r="AL27" i="2"/>
  <c r="V500" i="2"/>
  <c r="AB500" i="2" s="1"/>
  <c r="AC500" i="2" s="1"/>
  <c r="AR500" i="2" s="1"/>
  <c r="V273" i="2"/>
  <c r="AB273" i="2" s="1"/>
  <c r="AC273" i="2" s="1"/>
  <c r="V27" i="2"/>
  <c r="AB27" i="2" s="1"/>
  <c r="AC27" i="2" s="1"/>
  <c r="AP27" i="2" l="1"/>
  <c r="AR27" i="2" s="1"/>
  <c r="AR273" i="2"/>
  <c r="D3" i="2"/>
  <c r="AH473" i="2"/>
  <c r="AG473" i="2"/>
  <c r="AE473" i="2"/>
  <c r="AD473" i="2"/>
  <c r="P473" i="2"/>
  <c r="Q473" i="2" s="1"/>
  <c r="K473" i="2"/>
  <c r="AF473" i="2" s="1"/>
  <c r="AH220" i="2"/>
  <c r="AG220" i="2"/>
  <c r="AE220" i="2"/>
  <c r="AD220" i="2"/>
  <c r="AH219" i="2"/>
  <c r="AG219" i="2"/>
  <c r="AE219" i="2"/>
  <c r="AD219" i="2"/>
  <c r="AH218" i="2"/>
  <c r="AG218" i="2"/>
  <c r="AE218" i="2"/>
  <c r="AD218" i="2"/>
  <c r="P220" i="2"/>
  <c r="Q220" i="2" s="1"/>
  <c r="P219" i="2"/>
  <c r="Q219" i="2" s="1"/>
  <c r="P218" i="2"/>
  <c r="Q218" i="2" s="1"/>
  <c r="K219" i="2"/>
  <c r="AF219" i="2" s="1"/>
  <c r="K220" i="2"/>
  <c r="AF220" i="2" s="1"/>
  <c r="K218" i="2"/>
  <c r="AF218" i="2" s="1"/>
  <c r="AH301" i="2"/>
  <c r="AG301" i="2"/>
  <c r="AE301" i="2"/>
  <c r="AD301" i="2"/>
  <c r="AH300" i="2"/>
  <c r="AG300" i="2"/>
  <c r="AE300" i="2"/>
  <c r="AD300" i="2"/>
  <c r="P301" i="2"/>
  <c r="Q301" i="2" s="1"/>
  <c r="P300" i="2"/>
  <c r="Q300" i="2" s="1"/>
  <c r="K301" i="2"/>
  <c r="AF301" i="2" s="1"/>
  <c r="K300" i="2"/>
  <c r="AF300" i="2" s="1"/>
  <c r="AH333" i="2"/>
  <c r="AG333" i="2"/>
  <c r="AE333" i="2"/>
  <c r="AD333" i="2"/>
  <c r="P333" i="2"/>
  <c r="Q333" i="2" s="1"/>
  <c r="K333" i="2"/>
  <c r="AF333" i="2" s="1"/>
  <c r="AH332" i="2"/>
  <c r="AG332" i="2"/>
  <c r="AE332" i="2"/>
  <c r="AD332" i="2"/>
  <c r="P332" i="2"/>
  <c r="Q332" i="2" s="1"/>
  <c r="K332" i="2"/>
  <c r="AF332" i="2" s="1"/>
  <c r="N498" i="2"/>
  <c r="P498" i="2" s="1"/>
  <c r="Q498" i="2" s="1"/>
  <c r="X10" i="2"/>
  <c r="AH272" i="2"/>
  <c r="AG272" i="2"/>
  <c r="AE272" i="2"/>
  <c r="AD272" i="2"/>
  <c r="P272" i="2"/>
  <c r="Q272" i="2" s="1"/>
  <c r="K272" i="2"/>
  <c r="AF272" i="2" s="1"/>
  <c r="AH331" i="2"/>
  <c r="AG331" i="2"/>
  <c r="AE331" i="2"/>
  <c r="AD331" i="2"/>
  <c r="P331" i="2"/>
  <c r="Q331" i="2" s="1"/>
  <c r="K331" i="2"/>
  <c r="AF331" i="2" s="1"/>
  <c r="AH299" i="2"/>
  <c r="AG299" i="2"/>
  <c r="AE299" i="2"/>
  <c r="AD299" i="2"/>
  <c r="AH298" i="2"/>
  <c r="AG298" i="2"/>
  <c r="AE298" i="2"/>
  <c r="AD298" i="2"/>
  <c r="P299" i="2"/>
  <c r="Q299" i="2" s="1"/>
  <c r="P298" i="2"/>
  <c r="Q298" i="2" s="1"/>
  <c r="K299" i="2"/>
  <c r="AF299" i="2" s="1"/>
  <c r="K298" i="2"/>
  <c r="AF298" i="2" s="1"/>
  <c r="N26" i="2"/>
  <c r="P26" i="2" s="1"/>
  <c r="Q26" i="2" s="1"/>
  <c r="Z502" i="2"/>
  <c r="U502" i="2"/>
  <c r="AH499" i="2"/>
  <c r="AG499" i="2"/>
  <c r="AE499" i="2"/>
  <c r="AD499" i="2"/>
  <c r="P499" i="2"/>
  <c r="Q499" i="2" s="1"/>
  <c r="K499" i="2"/>
  <c r="AF499" i="2" s="1"/>
  <c r="AH498" i="2"/>
  <c r="AG498" i="2"/>
  <c r="AE498" i="2"/>
  <c r="AD498" i="2"/>
  <c r="K498" i="2"/>
  <c r="AF498" i="2" s="1"/>
  <c r="AH26" i="2"/>
  <c r="AG26" i="2"/>
  <c r="AE26" i="2"/>
  <c r="AD26" i="2"/>
  <c r="K26" i="2"/>
  <c r="AF26" i="2" s="1"/>
  <c r="AH424" i="2"/>
  <c r="AG424" i="2"/>
  <c r="AE424" i="2"/>
  <c r="AD424" i="2"/>
  <c r="P424" i="2"/>
  <c r="K424" i="2"/>
  <c r="AF424" i="2" s="1"/>
  <c r="AH217" i="2"/>
  <c r="AG217" i="2"/>
  <c r="AE217" i="2"/>
  <c r="AD217" i="2"/>
  <c r="P217" i="2"/>
  <c r="Q217" i="2" s="1"/>
  <c r="K217" i="2"/>
  <c r="AF217" i="2" s="1"/>
  <c r="AH271" i="2"/>
  <c r="AG271" i="2"/>
  <c r="AE271" i="2"/>
  <c r="AD271" i="2"/>
  <c r="P271" i="2"/>
  <c r="Q271" i="2" s="1"/>
  <c r="K271" i="2"/>
  <c r="AF271" i="2" s="1"/>
  <c r="AH297" i="2"/>
  <c r="AG297" i="2"/>
  <c r="AE297" i="2"/>
  <c r="AD297" i="2"/>
  <c r="P297" i="2"/>
  <c r="Q297" i="2" s="1"/>
  <c r="K297" i="2"/>
  <c r="AF297" i="2" s="1"/>
  <c r="Q424" i="2" l="1"/>
  <c r="M461" i="4"/>
  <c r="AN217" i="2"/>
  <c r="AJ217" i="2"/>
  <c r="AJ297" i="2"/>
  <c r="AP297" i="2" s="1"/>
  <c r="AN297" i="2"/>
  <c r="AN272" i="2"/>
  <c r="AJ272" i="2"/>
  <c r="AN271" i="2"/>
  <c r="AJ271" i="2"/>
  <c r="AP271" i="2" s="1"/>
  <c r="AJ331" i="2"/>
  <c r="AP331" i="2" s="1"/>
  <c r="AN331" i="2"/>
  <c r="AN332" i="2"/>
  <c r="AJ332" i="2"/>
  <c r="AP332" i="2" s="1"/>
  <c r="AN218" i="2"/>
  <c r="AJ218" i="2"/>
  <c r="AN219" i="2"/>
  <c r="AJ219" i="2"/>
  <c r="AP219" i="2" s="1"/>
  <c r="AN220" i="2"/>
  <c r="AJ220" i="2"/>
  <c r="AP220" i="2" s="1"/>
  <c r="AN26" i="2"/>
  <c r="AJ26" i="2"/>
  <c r="AN498" i="2"/>
  <c r="AJ498" i="2"/>
  <c r="AN298" i="2"/>
  <c r="AJ298" i="2"/>
  <c r="AP298" i="2" s="1"/>
  <c r="AN333" i="2"/>
  <c r="AJ333" i="2"/>
  <c r="AP333" i="2" s="1"/>
  <c r="AJ300" i="2"/>
  <c r="AP300" i="2" s="1"/>
  <c r="AN300" i="2"/>
  <c r="AJ301" i="2"/>
  <c r="AP301" i="2" s="1"/>
  <c r="AN301" i="2"/>
  <c r="AJ473" i="2"/>
  <c r="AN473" i="2"/>
  <c r="AJ299" i="2"/>
  <c r="AN299" i="2"/>
  <c r="AJ424" i="2"/>
  <c r="AP424" i="2"/>
  <c r="AJ499" i="2"/>
  <c r="AP499" i="2" s="1"/>
  <c r="AN499" i="2"/>
  <c r="R332" i="2"/>
  <c r="R333" i="2"/>
  <c r="R301" i="2"/>
  <c r="R300" i="2"/>
  <c r="X333" i="2"/>
  <c r="Y333" i="2" s="1"/>
  <c r="AA333" i="2" s="1"/>
  <c r="X301" i="2"/>
  <c r="Y301" i="2" s="1"/>
  <c r="AA301" i="2" s="1"/>
  <c r="X220" i="2"/>
  <c r="Y220" i="2" s="1"/>
  <c r="AA220" i="2" s="1"/>
  <c r="X473" i="2"/>
  <c r="Y473" i="2" s="1"/>
  <c r="AA473" i="2" s="1"/>
  <c r="X332" i="2"/>
  <c r="Y332" i="2" s="1"/>
  <c r="AA332" i="2" s="1"/>
  <c r="R220" i="2"/>
  <c r="T220" i="2" s="1"/>
  <c r="R473" i="2"/>
  <c r="T473" i="2" s="1"/>
  <c r="R219" i="2"/>
  <c r="T219" i="2" s="1"/>
  <c r="R218" i="2"/>
  <c r="T218" i="2" s="1"/>
  <c r="R331" i="2"/>
  <c r="T331" i="2" s="1"/>
  <c r="X272" i="2"/>
  <c r="Y272" i="2" s="1"/>
  <c r="AA272" i="2" s="1"/>
  <c r="X219" i="2"/>
  <c r="Y219" i="2" s="1"/>
  <c r="AA219" i="2" s="1"/>
  <c r="X218" i="2"/>
  <c r="Y218" i="2" s="1"/>
  <c r="AA218" i="2" s="1"/>
  <c r="X300" i="2"/>
  <c r="Y300" i="2" s="1"/>
  <c r="AA300" i="2" s="1"/>
  <c r="X331" i="2"/>
  <c r="Y331" i="2" s="1"/>
  <c r="AA331" i="2" s="1"/>
  <c r="R272" i="2"/>
  <c r="T272" i="2" s="1"/>
  <c r="X26" i="2"/>
  <c r="Y26" i="2" s="1"/>
  <c r="AA26" i="2" s="1"/>
  <c r="R299" i="2"/>
  <c r="T299" i="2" s="1"/>
  <c r="X298" i="2"/>
  <c r="Y298" i="2" s="1"/>
  <c r="AA298" i="2" s="1"/>
  <c r="R298" i="2"/>
  <c r="X299" i="2"/>
  <c r="Y299" i="2" s="1"/>
  <c r="AA299" i="2" s="1"/>
  <c r="R498" i="2"/>
  <c r="T498" i="2" s="1"/>
  <c r="R499" i="2"/>
  <c r="T499" i="2" s="1"/>
  <c r="X498" i="2"/>
  <c r="Y498" i="2" s="1"/>
  <c r="AA498" i="2" s="1"/>
  <c r="X499" i="2"/>
  <c r="Y499" i="2" s="1"/>
  <c r="AA499" i="2" s="1"/>
  <c r="X271" i="2"/>
  <c r="Y271" i="2" s="1"/>
  <c r="AA271" i="2" s="1"/>
  <c r="R26" i="2"/>
  <c r="R271" i="2"/>
  <c r="T271" i="2" s="1"/>
  <c r="X297" i="2"/>
  <c r="Y297" i="2" s="1"/>
  <c r="AA297" i="2" s="1"/>
  <c r="R217" i="2"/>
  <c r="T217" i="2" s="1"/>
  <c r="X217" i="2"/>
  <c r="Y217" i="2" s="1"/>
  <c r="AA217" i="2" s="1"/>
  <c r="R424" i="2"/>
  <c r="R297" i="2"/>
  <c r="T297" i="2" s="1"/>
  <c r="M462" i="4" l="1"/>
  <c r="N462" i="4" s="1"/>
  <c r="O462" i="4" s="1"/>
  <c r="P462" i="4" s="1"/>
  <c r="Q462" i="4" s="1"/>
  <c r="S462" i="4" s="1"/>
  <c r="T462" i="4" s="1"/>
  <c r="U462" i="4" s="1"/>
  <c r="N461" i="4"/>
  <c r="O461" i="4" s="1"/>
  <c r="P461" i="4" s="1"/>
  <c r="S461" i="4"/>
  <c r="T461" i="4" s="1"/>
  <c r="U461" i="4" s="1"/>
  <c r="AP217" i="2"/>
  <c r="AL217" i="2"/>
  <c r="AL424" i="2"/>
  <c r="AP473" i="2"/>
  <c r="AL473" i="2"/>
  <c r="AL218" i="2"/>
  <c r="AL499" i="2"/>
  <c r="AP498" i="2"/>
  <c r="AL498" i="2"/>
  <c r="AL219" i="2"/>
  <c r="AL271" i="2"/>
  <c r="AP299" i="2"/>
  <c r="AL299" i="2"/>
  <c r="AL300" i="2"/>
  <c r="AL220" i="2"/>
  <c r="AL301" i="2"/>
  <c r="AL333" i="2"/>
  <c r="AL298" i="2"/>
  <c r="AL26" i="2"/>
  <c r="AP218" i="2"/>
  <c r="AL332" i="2"/>
  <c r="AL331" i="2"/>
  <c r="AP272" i="2"/>
  <c r="AL272" i="2"/>
  <c r="AL297" i="2"/>
  <c r="V333" i="2"/>
  <c r="AB333" i="2" s="1"/>
  <c r="AC333" i="2" s="1"/>
  <c r="AR333" i="2" s="1"/>
  <c r="T333" i="2"/>
  <c r="V332" i="2"/>
  <c r="AB332" i="2" s="1"/>
  <c r="AC332" i="2" s="1"/>
  <c r="AR332" i="2" s="1"/>
  <c r="T332" i="2"/>
  <c r="T300" i="2"/>
  <c r="V300" i="2"/>
  <c r="AB300" i="2" s="1"/>
  <c r="AC300" i="2" s="1"/>
  <c r="AR300" i="2" s="1"/>
  <c r="T301" i="2"/>
  <c r="V301" i="2"/>
  <c r="AB301" i="2" s="1"/>
  <c r="AC301" i="2" s="1"/>
  <c r="AR301" i="2" s="1"/>
  <c r="V220" i="2"/>
  <c r="AB220" i="2" s="1"/>
  <c r="AC220" i="2" s="1"/>
  <c r="AR220" i="2" s="1"/>
  <c r="V473" i="2"/>
  <c r="AB473" i="2" s="1"/>
  <c r="AC473" i="2" s="1"/>
  <c r="V219" i="2"/>
  <c r="AB219" i="2" s="1"/>
  <c r="AC219" i="2" s="1"/>
  <c r="AR219" i="2" s="1"/>
  <c r="V218" i="2"/>
  <c r="AB218" i="2" s="1"/>
  <c r="AC218" i="2" s="1"/>
  <c r="V271" i="2"/>
  <c r="AB271" i="2" s="1"/>
  <c r="AC271" i="2" s="1"/>
  <c r="AR271" i="2" s="1"/>
  <c r="V331" i="2"/>
  <c r="AB331" i="2" s="1"/>
  <c r="AC331" i="2" s="1"/>
  <c r="AR331" i="2" s="1"/>
  <c r="V272" i="2"/>
  <c r="AB272" i="2" s="1"/>
  <c r="AC272" i="2" s="1"/>
  <c r="V299" i="2"/>
  <c r="AB299" i="2" s="1"/>
  <c r="AC299" i="2" s="1"/>
  <c r="V498" i="2"/>
  <c r="AB498" i="2" s="1"/>
  <c r="AC498" i="2" s="1"/>
  <c r="V499" i="2"/>
  <c r="AB499" i="2" s="1"/>
  <c r="AC499" i="2" s="1"/>
  <c r="AR499" i="2" s="1"/>
  <c r="V298" i="2"/>
  <c r="AB298" i="2" s="1"/>
  <c r="AC298" i="2" s="1"/>
  <c r="AR298" i="2" s="1"/>
  <c r="T298" i="2"/>
  <c r="T26" i="2"/>
  <c r="V26" i="2"/>
  <c r="AB26" i="2" s="1"/>
  <c r="AC26" i="2" s="1"/>
  <c r="V217" i="2"/>
  <c r="AB217" i="2" s="1"/>
  <c r="AC217" i="2" s="1"/>
  <c r="V424" i="2"/>
  <c r="T424" i="2"/>
  <c r="X424" i="2" s="1"/>
  <c r="Y424" i="2" s="1"/>
  <c r="AA424" i="2" s="1"/>
  <c r="V297" i="2"/>
  <c r="AB297" i="2" s="1"/>
  <c r="AC297" i="2" s="1"/>
  <c r="AR297" i="2" s="1"/>
  <c r="AH216" i="2"/>
  <c r="AG216" i="2"/>
  <c r="AE216" i="2"/>
  <c r="AD216" i="2"/>
  <c r="P216" i="2"/>
  <c r="Q216" i="2" s="1"/>
  <c r="K216" i="2"/>
  <c r="AF216" i="2" s="1"/>
  <c r="AH270" i="2"/>
  <c r="AG270" i="2"/>
  <c r="AE270" i="2"/>
  <c r="AD270" i="2"/>
  <c r="P270" i="2"/>
  <c r="Q270" i="2" s="1"/>
  <c r="K270" i="2"/>
  <c r="AF270" i="2" s="1"/>
  <c r="AD237" i="2"/>
  <c r="AE237" i="2"/>
  <c r="AG237" i="2"/>
  <c r="AH237" i="2"/>
  <c r="P237" i="2"/>
  <c r="Q237" i="2" s="1"/>
  <c r="K237" i="2"/>
  <c r="AF237" i="2" s="1"/>
  <c r="K236" i="2"/>
  <c r="AR272" i="2" l="1"/>
  <c r="AR299" i="2"/>
  <c r="AR498" i="2"/>
  <c r="AN216" i="2"/>
  <c r="AJ216" i="2"/>
  <c r="AP216" i="2" s="1"/>
  <c r="AR217" i="2"/>
  <c r="AP26" i="2"/>
  <c r="AR26" i="2" s="1"/>
  <c r="AR218" i="2"/>
  <c r="AR473" i="2"/>
  <c r="AJ270" i="2"/>
  <c r="AP270" i="2" s="1"/>
  <c r="AN270" i="2"/>
  <c r="AP237" i="2"/>
  <c r="AJ237" i="2"/>
  <c r="R216" i="2"/>
  <c r="T216" i="2" s="1"/>
  <c r="AB424" i="2"/>
  <c r="AC424" i="2" s="1"/>
  <c r="AN424" i="2" s="1"/>
  <c r="AR424" i="2" s="1"/>
  <c r="R270" i="2"/>
  <c r="T270" i="2" s="1"/>
  <c r="X216" i="2"/>
  <c r="Y216" i="2" s="1"/>
  <c r="AA216" i="2" s="1"/>
  <c r="X270" i="2"/>
  <c r="Y270" i="2" s="1"/>
  <c r="AA270" i="2" s="1"/>
  <c r="R237" i="2"/>
  <c r="X237" i="2"/>
  <c r="Y237" i="2" s="1"/>
  <c r="AA237" i="2" s="1"/>
  <c r="AL216" i="2" l="1"/>
  <c r="AL270" i="2"/>
  <c r="AL237" i="2"/>
  <c r="V216" i="2"/>
  <c r="AB216" i="2" s="1"/>
  <c r="AC216" i="2" s="1"/>
  <c r="AR216" i="2" s="1"/>
  <c r="V270" i="2"/>
  <c r="AB270" i="2" s="1"/>
  <c r="AC270" i="2" s="1"/>
  <c r="AR270" i="2" s="1"/>
  <c r="V237" i="2"/>
  <c r="AB237" i="2" s="1"/>
  <c r="AC237" i="2" s="1"/>
  <c r="T237" i="2"/>
  <c r="AN237" i="2" l="1"/>
  <c r="AR237" i="2" s="1"/>
  <c r="AD497" i="2"/>
  <c r="AE497" i="2"/>
  <c r="AG497" i="2"/>
  <c r="AH497" i="2"/>
  <c r="P497" i="2"/>
  <c r="Q497" i="2" s="1"/>
  <c r="K497" i="2"/>
  <c r="AF497" i="2" s="1"/>
  <c r="AD496" i="2"/>
  <c r="AE496" i="2"/>
  <c r="AG496" i="2"/>
  <c r="AH496" i="2"/>
  <c r="P496" i="2"/>
  <c r="Q496" i="2" s="1"/>
  <c r="K496" i="2"/>
  <c r="AF496" i="2" s="1"/>
  <c r="AD495" i="2"/>
  <c r="AE495" i="2"/>
  <c r="AG495" i="2"/>
  <c r="AH495" i="2"/>
  <c r="P495" i="2"/>
  <c r="Q495" i="2" s="1"/>
  <c r="K495" i="2"/>
  <c r="AF495" i="2" s="1"/>
  <c r="N25" i="2"/>
  <c r="Z52" i="2"/>
  <c r="W52" i="2"/>
  <c r="U52" i="2"/>
  <c r="AH46" i="2"/>
  <c r="AG46" i="2"/>
  <c r="AE46" i="2"/>
  <c r="AD46" i="2"/>
  <c r="N46" i="2"/>
  <c r="P46" i="2" s="1"/>
  <c r="Q46" i="2" s="1"/>
  <c r="K46" i="2"/>
  <c r="AF46" i="2" s="1"/>
  <c r="AD472" i="2"/>
  <c r="AE472" i="2"/>
  <c r="AG472" i="2"/>
  <c r="AH472" i="2"/>
  <c r="P472" i="2"/>
  <c r="Q472" i="2" s="1"/>
  <c r="K472" i="2"/>
  <c r="AF472" i="2" s="1"/>
  <c r="AN496" i="2" l="1"/>
  <c r="AJ496" i="2"/>
  <c r="AP496" i="2" s="1"/>
  <c r="AN46" i="2"/>
  <c r="AJ46" i="2"/>
  <c r="AN472" i="2"/>
  <c r="AJ472" i="2"/>
  <c r="AJ495" i="2"/>
  <c r="AP495" i="2" s="1"/>
  <c r="AN495" i="2"/>
  <c r="AN497" i="2"/>
  <c r="AJ497" i="2"/>
  <c r="R497" i="2"/>
  <c r="T497" i="2" s="1"/>
  <c r="R472" i="2"/>
  <c r="X497" i="2"/>
  <c r="Y497" i="2" s="1"/>
  <c r="AA497" i="2" s="1"/>
  <c r="R46" i="2"/>
  <c r="T46" i="2" s="1"/>
  <c r="X46" i="2"/>
  <c r="Y46" i="2" s="1"/>
  <c r="AA46" i="2" s="1"/>
  <c r="R496" i="2"/>
  <c r="X496" i="2"/>
  <c r="Y496" i="2" s="1"/>
  <c r="AA496" i="2" s="1"/>
  <c r="R495" i="2"/>
  <c r="X495" i="2"/>
  <c r="Y495" i="2" s="1"/>
  <c r="AA495" i="2" s="1"/>
  <c r="AD492" i="2"/>
  <c r="AE492" i="2"/>
  <c r="AG492" i="2"/>
  <c r="AH492" i="2"/>
  <c r="AD493" i="2"/>
  <c r="AE493" i="2"/>
  <c r="AG493" i="2"/>
  <c r="AH493" i="2"/>
  <c r="AD494" i="2"/>
  <c r="AE494" i="2"/>
  <c r="AG494" i="2"/>
  <c r="AH494" i="2"/>
  <c r="W502" i="2"/>
  <c r="S502" i="2"/>
  <c r="P494" i="2"/>
  <c r="Q494" i="2" s="1"/>
  <c r="K494" i="2"/>
  <c r="AF494" i="2" s="1"/>
  <c r="N493" i="2"/>
  <c r="K493" i="2"/>
  <c r="AF493" i="2" s="1"/>
  <c r="P492" i="2"/>
  <c r="Q492" i="2" s="1"/>
  <c r="K492" i="2"/>
  <c r="AF492" i="2" s="1"/>
  <c r="AH491" i="2"/>
  <c r="AG491" i="2"/>
  <c r="AE491" i="2"/>
  <c r="AD491" i="2"/>
  <c r="P491" i="2"/>
  <c r="Q491" i="2" s="1"/>
  <c r="K491" i="2"/>
  <c r="AF491" i="2" s="1"/>
  <c r="AH490" i="2"/>
  <c r="AG490" i="2"/>
  <c r="AE490" i="2"/>
  <c r="AD490" i="2"/>
  <c r="P490" i="2"/>
  <c r="Q490" i="2" s="1"/>
  <c r="K490" i="2"/>
  <c r="AF490" i="2" s="1"/>
  <c r="AH489" i="2"/>
  <c r="AG489" i="2"/>
  <c r="AE489" i="2"/>
  <c r="AD489" i="2"/>
  <c r="P489" i="2"/>
  <c r="Q489" i="2" s="1"/>
  <c r="K489" i="2"/>
  <c r="AF489" i="2" s="1"/>
  <c r="AH488" i="2"/>
  <c r="AG488" i="2"/>
  <c r="AE488" i="2"/>
  <c r="AD488" i="2"/>
  <c r="P488" i="2"/>
  <c r="Q488" i="2" s="1"/>
  <c r="K488" i="2"/>
  <c r="AF488" i="2" s="1"/>
  <c r="AH487" i="2"/>
  <c r="AG487" i="2"/>
  <c r="AE487" i="2"/>
  <c r="AD487" i="2"/>
  <c r="P487" i="2"/>
  <c r="Q487" i="2" s="1"/>
  <c r="K487" i="2"/>
  <c r="AF487" i="2" s="1"/>
  <c r="AH486" i="2"/>
  <c r="AG486" i="2"/>
  <c r="AE486" i="2"/>
  <c r="AD486" i="2"/>
  <c r="P486" i="2"/>
  <c r="Q486" i="2" s="1"/>
  <c r="K486" i="2"/>
  <c r="AF486" i="2" s="1"/>
  <c r="AH485" i="2"/>
  <c r="AG485" i="2"/>
  <c r="AE485" i="2"/>
  <c r="AD485" i="2"/>
  <c r="P485" i="2"/>
  <c r="K485" i="2"/>
  <c r="AF485" i="2" s="1"/>
  <c r="Z482" i="2"/>
  <c r="W482" i="2"/>
  <c r="U482" i="2"/>
  <c r="S482" i="2"/>
  <c r="N482" i="2"/>
  <c r="AH471" i="2"/>
  <c r="AG471" i="2"/>
  <c r="AE471" i="2"/>
  <c r="AD471" i="2"/>
  <c r="P471" i="2"/>
  <c r="Q471" i="2" s="1"/>
  <c r="K471" i="2"/>
  <c r="AF471" i="2" s="1"/>
  <c r="AH470" i="2"/>
  <c r="AG470" i="2"/>
  <c r="AE470" i="2"/>
  <c r="AD470" i="2"/>
  <c r="P470" i="2"/>
  <c r="Q470" i="2" s="1"/>
  <c r="K470" i="2"/>
  <c r="AF470" i="2" s="1"/>
  <c r="AH469" i="2"/>
  <c r="AG469" i="2"/>
  <c r="AE469" i="2"/>
  <c r="AD469" i="2"/>
  <c r="P469" i="2"/>
  <c r="Q469" i="2" s="1"/>
  <c r="K469" i="2"/>
  <c r="AF469" i="2" s="1"/>
  <c r="AH468" i="2"/>
  <c r="AG468" i="2"/>
  <c r="AE468" i="2"/>
  <c r="AD468" i="2"/>
  <c r="P468" i="2"/>
  <c r="Q468" i="2" s="1"/>
  <c r="K468" i="2"/>
  <c r="AF468" i="2" s="1"/>
  <c r="AH467" i="2"/>
  <c r="AG467" i="2"/>
  <c r="AE467" i="2"/>
  <c r="AD467" i="2"/>
  <c r="P467" i="2"/>
  <c r="Q467" i="2" s="1"/>
  <c r="K467" i="2"/>
  <c r="AF467" i="2" s="1"/>
  <c r="AH466" i="2"/>
  <c r="AG466" i="2"/>
  <c r="AE466" i="2"/>
  <c r="AD466" i="2"/>
  <c r="P466" i="2"/>
  <c r="Q466" i="2" s="1"/>
  <c r="K466" i="2"/>
  <c r="AF466" i="2" s="1"/>
  <c r="AH465" i="2"/>
  <c r="AG465" i="2"/>
  <c r="AE465" i="2"/>
  <c r="AD465" i="2"/>
  <c r="P465" i="2"/>
  <c r="Q465" i="2" s="1"/>
  <c r="K465" i="2"/>
  <c r="AF465" i="2" s="1"/>
  <c r="AH464" i="2"/>
  <c r="AG464" i="2"/>
  <c r="AE464" i="2"/>
  <c r="AD464" i="2"/>
  <c r="P464" i="2"/>
  <c r="Q464" i="2" s="1"/>
  <c r="K464" i="2"/>
  <c r="AF464" i="2" s="1"/>
  <c r="AH463" i="2"/>
  <c r="AG463" i="2"/>
  <c r="AE463" i="2"/>
  <c r="AD463" i="2"/>
  <c r="P463" i="2"/>
  <c r="Q463" i="2" s="1"/>
  <c r="K463" i="2"/>
  <c r="AF463" i="2" s="1"/>
  <c r="AH462" i="2"/>
  <c r="AG462" i="2"/>
  <c r="AE462" i="2"/>
  <c r="AD462" i="2"/>
  <c r="P462" i="2"/>
  <c r="Q462" i="2" s="1"/>
  <c r="K462" i="2"/>
  <c r="AF462" i="2" s="1"/>
  <c r="AH461" i="2"/>
  <c r="AG461" i="2"/>
  <c r="AE461" i="2"/>
  <c r="AD461" i="2"/>
  <c r="P461" i="2"/>
  <c r="Q461" i="2" s="1"/>
  <c r="K461" i="2"/>
  <c r="AF461" i="2" s="1"/>
  <c r="AH460" i="2"/>
  <c r="AG460" i="2"/>
  <c r="AE460" i="2"/>
  <c r="AD460" i="2"/>
  <c r="P460" i="2"/>
  <c r="Q460" i="2" s="1"/>
  <c r="K460" i="2"/>
  <c r="AF460" i="2" s="1"/>
  <c r="AH459" i="2"/>
  <c r="AG459" i="2"/>
  <c r="AE459" i="2"/>
  <c r="AD459" i="2"/>
  <c r="P459" i="2"/>
  <c r="Q459" i="2" s="1"/>
  <c r="K459" i="2"/>
  <c r="AF459" i="2" s="1"/>
  <c r="AH458" i="2"/>
  <c r="AG458" i="2"/>
  <c r="AE458" i="2"/>
  <c r="AD458" i="2"/>
  <c r="P458" i="2"/>
  <c r="Q458" i="2" s="1"/>
  <c r="K458" i="2"/>
  <c r="AF458" i="2" s="1"/>
  <c r="AH457" i="2"/>
  <c r="AG457" i="2"/>
  <c r="AE457" i="2"/>
  <c r="AD457" i="2"/>
  <c r="P457" i="2"/>
  <c r="Q457" i="2" s="1"/>
  <c r="K457" i="2"/>
  <c r="AF457" i="2" s="1"/>
  <c r="AH456" i="2"/>
  <c r="AG456" i="2"/>
  <c r="AE456" i="2"/>
  <c r="AD456" i="2"/>
  <c r="P456" i="2"/>
  <c r="Q456" i="2" s="1"/>
  <c r="K456" i="2"/>
  <c r="AF456" i="2" s="1"/>
  <c r="AH455" i="2"/>
  <c r="AG455" i="2"/>
  <c r="AE455" i="2"/>
  <c r="AD455" i="2"/>
  <c r="P455" i="2"/>
  <c r="Q455" i="2" s="1"/>
  <c r="K455" i="2"/>
  <c r="AF455" i="2" s="1"/>
  <c r="AH454" i="2"/>
  <c r="AG454" i="2"/>
  <c r="AE454" i="2"/>
  <c r="AD454" i="2"/>
  <c r="P454" i="2"/>
  <c r="Q454" i="2" s="1"/>
  <c r="K454" i="2"/>
  <c r="AF454" i="2" s="1"/>
  <c r="AH453" i="2"/>
  <c r="AG453" i="2"/>
  <c r="AE453" i="2"/>
  <c r="AD453" i="2"/>
  <c r="P453" i="2"/>
  <c r="Q453" i="2" s="1"/>
  <c r="K453" i="2"/>
  <c r="AF453" i="2" s="1"/>
  <c r="AH452" i="2"/>
  <c r="AG452" i="2"/>
  <c r="AE452" i="2"/>
  <c r="AD452" i="2"/>
  <c r="P452" i="2"/>
  <c r="Q452" i="2" s="1"/>
  <c r="K452" i="2"/>
  <c r="AF452" i="2" s="1"/>
  <c r="AH451" i="2"/>
  <c r="AG451" i="2"/>
  <c r="AE451" i="2"/>
  <c r="AD451" i="2"/>
  <c r="P451" i="2"/>
  <c r="Q451" i="2" s="1"/>
  <c r="K451" i="2"/>
  <c r="AF451" i="2" s="1"/>
  <c r="AH450" i="2"/>
  <c r="AG450" i="2"/>
  <c r="AE450" i="2"/>
  <c r="AD450" i="2"/>
  <c r="P450" i="2"/>
  <c r="Q450" i="2" s="1"/>
  <c r="K450" i="2"/>
  <c r="AF450" i="2" s="1"/>
  <c r="AH449" i="2"/>
  <c r="AG449" i="2"/>
  <c r="AE449" i="2"/>
  <c r="AD449" i="2"/>
  <c r="P449" i="2"/>
  <c r="Q449" i="2" s="1"/>
  <c r="K449" i="2"/>
  <c r="AF449" i="2" s="1"/>
  <c r="AH448" i="2"/>
  <c r="AG448" i="2"/>
  <c r="AE448" i="2"/>
  <c r="AD448" i="2"/>
  <c r="P448" i="2"/>
  <c r="Q448" i="2" s="1"/>
  <c r="K448" i="2"/>
  <c r="AF448" i="2" s="1"/>
  <c r="U445" i="2"/>
  <c r="S445" i="2"/>
  <c r="AH434" i="2"/>
  <c r="AG434" i="2"/>
  <c r="AE434" i="2"/>
  <c r="AD434" i="2"/>
  <c r="P434" i="2"/>
  <c r="K434" i="2"/>
  <c r="AF434" i="2" s="1"/>
  <c r="AH433" i="2"/>
  <c r="AG433" i="2"/>
  <c r="AE433" i="2"/>
  <c r="AD433" i="2"/>
  <c r="P433" i="2"/>
  <c r="Q433" i="2" s="1"/>
  <c r="K433" i="2"/>
  <c r="AF433" i="2" s="1"/>
  <c r="AH432" i="2"/>
  <c r="AG432" i="2"/>
  <c r="AE432" i="2"/>
  <c r="AD432" i="2"/>
  <c r="P432" i="2"/>
  <c r="Q432" i="2" s="1"/>
  <c r="K432" i="2"/>
  <c r="AF432" i="2" s="1"/>
  <c r="AH431" i="2"/>
  <c r="AG431" i="2"/>
  <c r="AE431" i="2"/>
  <c r="AD431" i="2"/>
  <c r="P431" i="2"/>
  <c r="Q431" i="2" s="1"/>
  <c r="K431" i="2"/>
  <c r="AF431" i="2" s="1"/>
  <c r="AH430" i="2"/>
  <c r="AG430" i="2"/>
  <c r="AE430" i="2"/>
  <c r="AD430" i="2"/>
  <c r="N430" i="2"/>
  <c r="P430" i="2" s="1"/>
  <c r="Q430" i="2" s="1"/>
  <c r="K430" i="2"/>
  <c r="AF430" i="2" s="1"/>
  <c r="AH429" i="2"/>
  <c r="AG429" i="2"/>
  <c r="AE429" i="2"/>
  <c r="AD429" i="2"/>
  <c r="P429" i="2"/>
  <c r="Q429" i="2" s="1"/>
  <c r="K429" i="2"/>
  <c r="AF429" i="2" s="1"/>
  <c r="AH428" i="2"/>
  <c r="AG428" i="2"/>
  <c r="AE428" i="2"/>
  <c r="AD428" i="2"/>
  <c r="P428" i="2"/>
  <c r="Q428" i="2" s="1"/>
  <c r="K428" i="2"/>
  <c r="AF428" i="2" s="1"/>
  <c r="AH427" i="2"/>
  <c r="AG427" i="2"/>
  <c r="AE427" i="2"/>
  <c r="AD427" i="2"/>
  <c r="P427" i="2"/>
  <c r="Q427" i="2" s="1"/>
  <c r="K427" i="2"/>
  <c r="AF427" i="2" s="1"/>
  <c r="AH426" i="2"/>
  <c r="AG426" i="2"/>
  <c r="AE426" i="2"/>
  <c r="AD426" i="2"/>
  <c r="P426" i="2"/>
  <c r="Q426" i="2" s="1"/>
  <c r="K426" i="2"/>
  <c r="AF426" i="2" s="1"/>
  <c r="AH425" i="2"/>
  <c r="AG425" i="2"/>
  <c r="AE425" i="2"/>
  <c r="AD425" i="2"/>
  <c r="P425" i="2"/>
  <c r="Q425" i="2" s="1"/>
  <c r="K425" i="2"/>
  <c r="AF425" i="2" s="1"/>
  <c r="AH423" i="2"/>
  <c r="AG423" i="2"/>
  <c r="AE423" i="2"/>
  <c r="AD423" i="2"/>
  <c r="N423" i="2"/>
  <c r="P423" i="2" s="1"/>
  <c r="K423" i="2"/>
  <c r="AF423" i="2" s="1"/>
  <c r="AH422" i="2"/>
  <c r="AG422" i="2"/>
  <c r="AE422" i="2"/>
  <c r="AD422" i="2"/>
  <c r="P422" i="2"/>
  <c r="Q422" i="2" s="1"/>
  <c r="K422" i="2"/>
  <c r="AF422" i="2" s="1"/>
  <c r="AH421" i="2"/>
  <c r="AG421" i="2"/>
  <c r="AE421" i="2"/>
  <c r="AD421" i="2"/>
  <c r="P421" i="2"/>
  <c r="Q421" i="2" s="1"/>
  <c r="K421" i="2"/>
  <c r="AF421" i="2" s="1"/>
  <c r="AH420" i="2"/>
  <c r="AG420" i="2"/>
  <c r="AE420" i="2"/>
  <c r="AD420" i="2"/>
  <c r="P420" i="2"/>
  <c r="Q420" i="2" s="1"/>
  <c r="K420" i="2"/>
  <c r="AF420" i="2" s="1"/>
  <c r="AH419" i="2"/>
  <c r="AG419" i="2"/>
  <c r="AE419" i="2"/>
  <c r="AD419" i="2"/>
  <c r="N419" i="2"/>
  <c r="K419" i="2"/>
  <c r="AF419" i="2" s="1"/>
  <c r="AH418" i="2"/>
  <c r="AG418" i="2"/>
  <c r="AE418" i="2"/>
  <c r="AD418" i="2"/>
  <c r="P418" i="2"/>
  <c r="Q418" i="2" s="1"/>
  <c r="K418" i="2"/>
  <c r="AF418" i="2" s="1"/>
  <c r="AH417" i="2"/>
  <c r="AG417" i="2"/>
  <c r="AE417" i="2"/>
  <c r="AD417" i="2"/>
  <c r="P417" i="2"/>
  <c r="Q417" i="2" s="1"/>
  <c r="K417" i="2"/>
  <c r="AF417" i="2" s="1"/>
  <c r="AH416" i="2"/>
  <c r="AG416" i="2"/>
  <c r="AE416" i="2"/>
  <c r="AD416" i="2"/>
  <c r="P416" i="2"/>
  <c r="Q416" i="2" s="1"/>
  <c r="K416" i="2"/>
  <c r="AF416" i="2" s="1"/>
  <c r="AH415" i="2"/>
  <c r="AG415" i="2"/>
  <c r="AE415" i="2"/>
  <c r="AD415" i="2"/>
  <c r="P415" i="2"/>
  <c r="Q415" i="2" s="1"/>
  <c r="K415" i="2"/>
  <c r="AF415" i="2" s="1"/>
  <c r="AH414" i="2"/>
  <c r="AG414" i="2"/>
  <c r="AE414" i="2"/>
  <c r="AD414" i="2"/>
  <c r="P414" i="2"/>
  <c r="Q414" i="2" s="1"/>
  <c r="K414" i="2"/>
  <c r="AF414" i="2" s="1"/>
  <c r="AH413" i="2"/>
  <c r="AG413" i="2"/>
  <c r="AE413" i="2"/>
  <c r="AD413" i="2"/>
  <c r="P413" i="2"/>
  <c r="Q413" i="2" s="1"/>
  <c r="K413" i="2"/>
  <c r="AF413" i="2" s="1"/>
  <c r="AH412" i="2"/>
  <c r="AG412" i="2"/>
  <c r="AE412" i="2"/>
  <c r="AD412" i="2"/>
  <c r="P412" i="2"/>
  <c r="Q412" i="2" s="1"/>
  <c r="K412" i="2"/>
  <c r="AF412" i="2" s="1"/>
  <c r="AH411" i="2"/>
  <c r="AG411" i="2"/>
  <c r="AE411" i="2"/>
  <c r="AD411" i="2"/>
  <c r="P411" i="2"/>
  <c r="Q411" i="2" s="1"/>
  <c r="K411" i="2"/>
  <c r="AF411" i="2" s="1"/>
  <c r="AH410" i="2"/>
  <c r="AG410" i="2"/>
  <c r="AE410" i="2"/>
  <c r="AD410" i="2"/>
  <c r="P410" i="2"/>
  <c r="Q410" i="2" s="1"/>
  <c r="K410" i="2"/>
  <c r="AF410" i="2" s="1"/>
  <c r="AH409" i="2"/>
  <c r="AG409" i="2"/>
  <c r="AE409" i="2"/>
  <c r="AD409" i="2"/>
  <c r="P409" i="2"/>
  <c r="Q409" i="2" s="1"/>
  <c r="K409" i="2"/>
  <c r="AF409" i="2" s="1"/>
  <c r="AH408" i="2"/>
  <c r="AG408" i="2"/>
  <c r="AE408" i="2"/>
  <c r="AD408" i="2"/>
  <c r="P408" i="2"/>
  <c r="Q408" i="2" s="1"/>
  <c r="K408" i="2"/>
  <c r="AF408" i="2" s="1"/>
  <c r="AH407" i="2"/>
  <c r="AG407" i="2"/>
  <c r="AE407" i="2"/>
  <c r="AD407" i="2"/>
  <c r="P407" i="2"/>
  <c r="Q407" i="2" s="1"/>
  <c r="K407" i="2"/>
  <c r="AF407" i="2" s="1"/>
  <c r="AH406" i="2"/>
  <c r="AG406" i="2"/>
  <c r="AE406" i="2"/>
  <c r="AD406" i="2"/>
  <c r="P406" i="2"/>
  <c r="Q406" i="2" s="1"/>
  <c r="K406" i="2"/>
  <c r="AF406" i="2" s="1"/>
  <c r="AH405" i="2"/>
  <c r="AG405" i="2"/>
  <c r="AE405" i="2"/>
  <c r="AD405" i="2"/>
  <c r="P405" i="2"/>
  <c r="Q405" i="2" s="1"/>
  <c r="K405" i="2"/>
  <c r="AF405" i="2" s="1"/>
  <c r="AH404" i="2"/>
  <c r="AG404" i="2"/>
  <c r="AE404" i="2"/>
  <c r="AD404" i="2"/>
  <c r="P404" i="2"/>
  <c r="Q404" i="2" s="1"/>
  <c r="K404" i="2"/>
  <c r="AF404" i="2" s="1"/>
  <c r="AH403" i="2"/>
  <c r="AG403" i="2"/>
  <c r="AE403" i="2"/>
  <c r="AD403" i="2"/>
  <c r="P403" i="2"/>
  <c r="Q403" i="2" s="1"/>
  <c r="K403" i="2"/>
  <c r="AF403" i="2" s="1"/>
  <c r="AH526" i="2"/>
  <c r="AG526" i="2"/>
  <c r="AE526" i="2"/>
  <c r="AD526" i="2"/>
  <c r="P526" i="2"/>
  <c r="Q526" i="2" s="1"/>
  <c r="K526" i="2"/>
  <c r="AF526" i="2" s="1"/>
  <c r="AH402" i="2"/>
  <c r="AG402" i="2"/>
  <c r="AE402" i="2"/>
  <c r="AD402" i="2"/>
  <c r="P402" i="2"/>
  <c r="Q402" i="2" s="1"/>
  <c r="K402" i="2"/>
  <c r="AF402" i="2" s="1"/>
  <c r="AH401" i="2"/>
  <c r="AG401" i="2"/>
  <c r="AE401" i="2"/>
  <c r="AD401" i="2"/>
  <c r="P401" i="2"/>
  <c r="Q401" i="2" s="1"/>
  <c r="K401" i="2"/>
  <c r="AF401" i="2" s="1"/>
  <c r="AH393" i="2"/>
  <c r="AG393" i="2"/>
  <c r="AE393" i="2"/>
  <c r="AD393" i="2"/>
  <c r="P393" i="2"/>
  <c r="K393" i="2"/>
  <c r="AF393" i="2" s="1"/>
  <c r="AH392" i="2"/>
  <c r="AG392" i="2"/>
  <c r="AE392" i="2"/>
  <c r="AD392" i="2"/>
  <c r="P392" i="2"/>
  <c r="K392" i="2"/>
  <c r="AF392" i="2" s="1"/>
  <c r="Z356" i="2"/>
  <c r="W356" i="2"/>
  <c r="S356" i="2"/>
  <c r="AH349" i="2"/>
  <c r="AG349" i="2"/>
  <c r="AE349" i="2"/>
  <c r="AD349" i="2"/>
  <c r="P349" i="2"/>
  <c r="Q349" i="2" s="1"/>
  <c r="K349" i="2"/>
  <c r="AF349" i="2" s="1"/>
  <c r="AH348" i="2"/>
  <c r="AG348" i="2"/>
  <c r="AE348" i="2"/>
  <c r="AD348" i="2"/>
  <c r="P348" i="2"/>
  <c r="Q348" i="2" s="1"/>
  <c r="K348" i="2"/>
  <c r="AF348" i="2" s="1"/>
  <c r="AH347" i="2"/>
  <c r="AG347" i="2"/>
  <c r="AE347" i="2"/>
  <c r="AD347" i="2"/>
  <c r="N347" i="2"/>
  <c r="K347" i="2"/>
  <c r="AF347" i="2" s="1"/>
  <c r="AH346" i="2"/>
  <c r="AG346" i="2"/>
  <c r="AE346" i="2"/>
  <c r="AD346" i="2"/>
  <c r="P346" i="2"/>
  <c r="Q346" i="2" s="1"/>
  <c r="K346" i="2"/>
  <c r="AF346" i="2" s="1"/>
  <c r="AH344" i="2"/>
  <c r="AG344" i="2"/>
  <c r="AE344" i="2"/>
  <c r="AD344" i="2"/>
  <c r="P344" i="2"/>
  <c r="Q344" i="2" s="1"/>
  <c r="K344" i="2"/>
  <c r="AF344" i="2" s="1"/>
  <c r="AH343" i="2"/>
  <c r="AG343" i="2"/>
  <c r="AE343" i="2"/>
  <c r="AD343" i="2"/>
  <c r="N343" i="2"/>
  <c r="K343" i="2"/>
  <c r="AF343" i="2" s="1"/>
  <c r="AH342" i="2"/>
  <c r="AG342" i="2"/>
  <c r="AE342" i="2"/>
  <c r="AD342" i="2"/>
  <c r="P342" i="2"/>
  <c r="Q342" i="2" s="1"/>
  <c r="K342" i="2"/>
  <c r="AF342" i="2" s="1"/>
  <c r="Z339" i="2"/>
  <c r="W339" i="2"/>
  <c r="U339" i="2"/>
  <c r="U389" i="2" s="1"/>
  <c r="S339" i="2"/>
  <c r="AH330" i="2"/>
  <c r="AG330" i="2"/>
  <c r="AE330" i="2"/>
  <c r="AD330" i="2"/>
  <c r="P330" i="2"/>
  <c r="Q330" i="2" s="1"/>
  <c r="K330" i="2"/>
  <c r="AF330" i="2" s="1"/>
  <c r="AH329" i="2"/>
  <c r="AG329" i="2"/>
  <c r="AE329" i="2"/>
  <c r="AD329" i="2"/>
  <c r="P329" i="2"/>
  <c r="Q329" i="2" s="1"/>
  <c r="K329" i="2"/>
  <c r="AF329" i="2" s="1"/>
  <c r="AH328" i="2"/>
  <c r="AG328" i="2"/>
  <c r="AE328" i="2"/>
  <c r="AD328" i="2"/>
  <c r="P328" i="2"/>
  <c r="Q328" i="2" s="1"/>
  <c r="K328" i="2"/>
  <c r="AF328" i="2" s="1"/>
  <c r="AH327" i="2"/>
  <c r="AG327" i="2"/>
  <c r="AE327" i="2"/>
  <c r="AD327" i="2"/>
  <c r="N327" i="2"/>
  <c r="N339" i="2" s="1"/>
  <c r="K327" i="2"/>
  <c r="AF327" i="2" s="1"/>
  <c r="C324" i="2"/>
  <c r="AH296" i="2"/>
  <c r="AG296" i="2"/>
  <c r="AE296" i="2"/>
  <c r="AD296" i="2"/>
  <c r="P296" i="2"/>
  <c r="Q296" i="2" s="1"/>
  <c r="K296" i="2"/>
  <c r="AF296" i="2" s="1"/>
  <c r="AH295" i="2"/>
  <c r="AG295" i="2"/>
  <c r="AE295" i="2"/>
  <c r="AD295" i="2"/>
  <c r="P295" i="2"/>
  <c r="Q295" i="2" s="1"/>
  <c r="K295" i="2"/>
  <c r="AF295" i="2" s="1"/>
  <c r="AH294" i="2"/>
  <c r="AG294" i="2"/>
  <c r="AE294" i="2"/>
  <c r="AD294" i="2"/>
  <c r="P294" i="2"/>
  <c r="Q294" i="2" s="1"/>
  <c r="K294" i="2"/>
  <c r="AF294" i="2" s="1"/>
  <c r="AH293" i="2"/>
  <c r="AG293" i="2"/>
  <c r="AE293" i="2"/>
  <c r="AD293" i="2"/>
  <c r="N293" i="2"/>
  <c r="P293" i="2" s="1"/>
  <c r="Q293" i="2" s="1"/>
  <c r="K293" i="2"/>
  <c r="AF293" i="2" s="1"/>
  <c r="AH292" i="2"/>
  <c r="AG292" i="2"/>
  <c r="AE292" i="2"/>
  <c r="AD292" i="2"/>
  <c r="N292" i="2"/>
  <c r="P292" i="2" s="1"/>
  <c r="Q292" i="2" s="1"/>
  <c r="K292" i="2"/>
  <c r="AF292" i="2" s="1"/>
  <c r="AH291" i="2"/>
  <c r="AG291" i="2"/>
  <c r="AE291" i="2"/>
  <c r="AD291" i="2"/>
  <c r="P291" i="2"/>
  <c r="Q291" i="2" s="1"/>
  <c r="K291" i="2"/>
  <c r="AF291" i="2" s="1"/>
  <c r="AH290" i="2"/>
  <c r="AG290" i="2"/>
  <c r="AE290" i="2"/>
  <c r="AD290" i="2"/>
  <c r="N290" i="2"/>
  <c r="P290" i="2" s="1"/>
  <c r="Q290" i="2" s="1"/>
  <c r="K290" i="2"/>
  <c r="AF290" i="2" s="1"/>
  <c r="AH289" i="2"/>
  <c r="AG289" i="2"/>
  <c r="AE289" i="2"/>
  <c r="AD289" i="2"/>
  <c r="P289" i="2"/>
  <c r="Q289" i="2" s="1"/>
  <c r="K289" i="2"/>
  <c r="AF289" i="2" s="1"/>
  <c r="AH288" i="2"/>
  <c r="AG288" i="2"/>
  <c r="AE288" i="2"/>
  <c r="AD288" i="2"/>
  <c r="P288" i="2"/>
  <c r="Q288" i="2" s="1"/>
  <c r="K288" i="2"/>
  <c r="AF288" i="2" s="1"/>
  <c r="AH287" i="2"/>
  <c r="AG287" i="2"/>
  <c r="AE287" i="2"/>
  <c r="AD287" i="2"/>
  <c r="N287" i="2"/>
  <c r="P287" i="2" s="1"/>
  <c r="Q287" i="2" s="1"/>
  <c r="K287" i="2"/>
  <c r="AF287" i="2" s="1"/>
  <c r="AH286" i="2"/>
  <c r="AG286" i="2"/>
  <c r="AE286" i="2"/>
  <c r="AD286" i="2"/>
  <c r="P286" i="2"/>
  <c r="Q286" i="2" s="1"/>
  <c r="K286" i="2"/>
  <c r="AF286" i="2" s="1"/>
  <c r="AH285" i="2"/>
  <c r="AG285" i="2"/>
  <c r="AE285" i="2"/>
  <c r="AD285" i="2"/>
  <c r="P285" i="2"/>
  <c r="Q285" i="2" s="1"/>
  <c r="K285" i="2"/>
  <c r="AF285" i="2" s="1"/>
  <c r="AH284" i="2"/>
  <c r="AG284" i="2"/>
  <c r="AE284" i="2"/>
  <c r="AD284" i="2"/>
  <c r="N284" i="2"/>
  <c r="P284" i="2" s="1"/>
  <c r="Q284" i="2" s="1"/>
  <c r="K284" i="2"/>
  <c r="AF284" i="2" s="1"/>
  <c r="AH283" i="2"/>
  <c r="AG283" i="2"/>
  <c r="AE283" i="2"/>
  <c r="AD283" i="2"/>
  <c r="N283" i="2"/>
  <c r="P283" i="2" s="1"/>
  <c r="Q283" i="2" s="1"/>
  <c r="K283" i="2"/>
  <c r="AF283" i="2" s="1"/>
  <c r="AH282" i="2"/>
  <c r="AG282" i="2"/>
  <c r="AE282" i="2"/>
  <c r="AD282" i="2"/>
  <c r="P282" i="2"/>
  <c r="Q282" i="2" s="1"/>
  <c r="K282" i="2"/>
  <c r="AF282" i="2" s="1"/>
  <c r="AH281" i="2"/>
  <c r="AG281" i="2"/>
  <c r="AE281" i="2"/>
  <c r="AD281" i="2"/>
  <c r="N281" i="2"/>
  <c r="P281" i="2" s="1"/>
  <c r="K281" i="2"/>
  <c r="AF281" i="2" s="1"/>
  <c r="Z278" i="2"/>
  <c r="S278" i="2"/>
  <c r="C278" i="2"/>
  <c r="AH269" i="2"/>
  <c r="AG269" i="2"/>
  <c r="AE269" i="2"/>
  <c r="AD269" i="2"/>
  <c r="P269" i="2"/>
  <c r="Q269" i="2" s="1"/>
  <c r="K269" i="2"/>
  <c r="AF269" i="2" s="1"/>
  <c r="AH268" i="2"/>
  <c r="AG268" i="2"/>
  <c r="AE268" i="2"/>
  <c r="AD268" i="2"/>
  <c r="P268" i="2"/>
  <c r="Q268" i="2" s="1"/>
  <c r="K268" i="2"/>
  <c r="AF268" i="2" s="1"/>
  <c r="AH267" i="2"/>
  <c r="AG267" i="2"/>
  <c r="AE267" i="2"/>
  <c r="AD267" i="2"/>
  <c r="P267" i="2"/>
  <c r="Q267" i="2" s="1"/>
  <c r="K267" i="2"/>
  <c r="AF267" i="2" s="1"/>
  <c r="AH266" i="2"/>
  <c r="AG266" i="2"/>
  <c r="AE266" i="2"/>
  <c r="AD266" i="2"/>
  <c r="P266" i="2"/>
  <c r="Q266" i="2" s="1"/>
  <c r="K266" i="2"/>
  <c r="AF266" i="2" s="1"/>
  <c r="AH265" i="2"/>
  <c r="AG265" i="2"/>
  <c r="AE265" i="2"/>
  <c r="AD265" i="2"/>
  <c r="P265" i="2"/>
  <c r="Q265" i="2" s="1"/>
  <c r="K265" i="2"/>
  <c r="AF265" i="2" s="1"/>
  <c r="AH264" i="2"/>
  <c r="AG264" i="2"/>
  <c r="AE264" i="2"/>
  <c r="AD264" i="2"/>
  <c r="P264" i="2"/>
  <c r="Q264" i="2" s="1"/>
  <c r="K264" i="2"/>
  <c r="AF264" i="2" s="1"/>
  <c r="AH263" i="2"/>
  <c r="AG263" i="2"/>
  <c r="AE263" i="2"/>
  <c r="AD263" i="2"/>
  <c r="P263" i="2"/>
  <c r="Q263" i="2" s="1"/>
  <c r="K263" i="2"/>
  <c r="AF263" i="2" s="1"/>
  <c r="AH262" i="2"/>
  <c r="AG262" i="2"/>
  <c r="AE262" i="2"/>
  <c r="AD262" i="2"/>
  <c r="P262" i="2"/>
  <c r="Q262" i="2" s="1"/>
  <c r="K262" i="2"/>
  <c r="AF262" i="2" s="1"/>
  <c r="AH261" i="2"/>
  <c r="AG261" i="2"/>
  <c r="AE261" i="2"/>
  <c r="AD261" i="2"/>
  <c r="N261" i="2"/>
  <c r="K261" i="2"/>
  <c r="AF261" i="2" s="1"/>
  <c r="AH260" i="2"/>
  <c r="AG260" i="2"/>
  <c r="AE260" i="2"/>
  <c r="AD260" i="2"/>
  <c r="P260" i="2"/>
  <c r="Q260" i="2" s="1"/>
  <c r="K260" i="2"/>
  <c r="AF260" i="2" s="1"/>
  <c r="AH259" i="2"/>
  <c r="AG259" i="2"/>
  <c r="AE259" i="2"/>
  <c r="AD259" i="2"/>
  <c r="P259" i="2"/>
  <c r="Q259" i="2" s="1"/>
  <c r="K259" i="2"/>
  <c r="AF259" i="2" s="1"/>
  <c r="AH258" i="2"/>
  <c r="AG258" i="2"/>
  <c r="AE258" i="2"/>
  <c r="AD258" i="2"/>
  <c r="P258" i="2"/>
  <c r="Q258" i="2" s="1"/>
  <c r="K258" i="2"/>
  <c r="AF258" i="2" s="1"/>
  <c r="AH257" i="2"/>
  <c r="AG257" i="2"/>
  <c r="AE257" i="2"/>
  <c r="AD257" i="2"/>
  <c r="P257" i="2"/>
  <c r="Q257" i="2" s="1"/>
  <c r="K257" i="2"/>
  <c r="AF257" i="2" s="1"/>
  <c r="AH256" i="2"/>
  <c r="AG256" i="2"/>
  <c r="AE256" i="2"/>
  <c r="AD256" i="2"/>
  <c r="P256" i="2"/>
  <c r="Q256" i="2" s="1"/>
  <c r="K256" i="2"/>
  <c r="AF256" i="2" s="1"/>
  <c r="AH531" i="2"/>
  <c r="AG531" i="2"/>
  <c r="AE531" i="2"/>
  <c r="AD531" i="2"/>
  <c r="P531" i="2"/>
  <c r="Q531" i="2" s="1"/>
  <c r="K531" i="2"/>
  <c r="AF531" i="2" s="1"/>
  <c r="AH255" i="2"/>
  <c r="AG255" i="2"/>
  <c r="AE255" i="2"/>
  <c r="AD255" i="2"/>
  <c r="P255" i="2"/>
  <c r="Q255" i="2" s="1"/>
  <c r="K255" i="2"/>
  <c r="AF255" i="2" s="1"/>
  <c r="AH254" i="2"/>
  <c r="AG254" i="2"/>
  <c r="AE254" i="2"/>
  <c r="AD254" i="2"/>
  <c r="P254" i="2"/>
  <c r="Q254" i="2" s="1"/>
  <c r="K254" i="2"/>
  <c r="AF254" i="2" s="1"/>
  <c r="AH253" i="2"/>
  <c r="AG253" i="2"/>
  <c r="AE253" i="2"/>
  <c r="AD253" i="2"/>
  <c r="N253" i="2"/>
  <c r="P253" i="2" s="1"/>
  <c r="Q253" i="2" s="1"/>
  <c r="K253" i="2"/>
  <c r="AF253" i="2" s="1"/>
  <c r="AH252" i="2"/>
  <c r="AG252" i="2"/>
  <c r="AE252" i="2"/>
  <c r="AD252" i="2"/>
  <c r="N252" i="2"/>
  <c r="P252" i="2" s="1"/>
  <c r="K252" i="2"/>
  <c r="AF252" i="2" s="1"/>
  <c r="AH251" i="2"/>
  <c r="AG251" i="2"/>
  <c r="AE251" i="2"/>
  <c r="AD251" i="2"/>
  <c r="P251" i="2"/>
  <c r="Q251" i="2" s="1"/>
  <c r="K251" i="2"/>
  <c r="AF251" i="2" s="1"/>
  <c r="AH250" i="2"/>
  <c r="AG250" i="2"/>
  <c r="AE250" i="2"/>
  <c r="AD250" i="2"/>
  <c r="P250" i="2"/>
  <c r="Q250" i="2" s="1"/>
  <c r="K250" i="2"/>
  <c r="AF250" i="2" s="1"/>
  <c r="AH249" i="2"/>
  <c r="AG249" i="2"/>
  <c r="AE249" i="2"/>
  <c r="AD249" i="2"/>
  <c r="P249" i="2"/>
  <c r="Q249" i="2" s="1"/>
  <c r="K249" i="2"/>
  <c r="AF249" i="2" s="1"/>
  <c r="AH248" i="2"/>
  <c r="AG248" i="2"/>
  <c r="AE248" i="2"/>
  <c r="AD248" i="2"/>
  <c r="P248" i="2"/>
  <c r="Q248" i="2" s="1"/>
  <c r="K248" i="2"/>
  <c r="AF248" i="2" s="1"/>
  <c r="AH247" i="2"/>
  <c r="AG247" i="2"/>
  <c r="AE247" i="2"/>
  <c r="AD247" i="2"/>
  <c r="P247" i="2"/>
  <c r="Q247" i="2" s="1"/>
  <c r="K247" i="2"/>
  <c r="AF247" i="2" s="1"/>
  <c r="AH246" i="2"/>
  <c r="AG246" i="2"/>
  <c r="AE246" i="2"/>
  <c r="AD246" i="2"/>
  <c r="P246" i="2"/>
  <c r="Q246" i="2" s="1"/>
  <c r="K246" i="2"/>
  <c r="AF246" i="2" s="1"/>
  <c r="AH245" i="2"/>
  <c r="AG245" i="2"/>
  <c r="AE245" i="2"/>
  <c r="AD245" i="2"/>
  <c r="P245" i="2"/>
  <c r="Q245" i="2" s="1"/>
  <c r="K245" i="2"/>
  <c r="AF245" i="2" s="1"/>
  <c r="AH244" i="2"/>
  <c r="AG244" i="2"/>
  <c r="AE244" i="2"/>
  <c r="AD244" i="2"/>
  <c r="P244" i="2"/>
  <c r="Q244" i="2" s="1"/>
  <c r="K244" i="2"/>
  <c r="AF244" i="2" s="1"/>
  <c r="AH243" i="2"/>
  <c r="AG243" i="2"/>
  <c r="AE243" i="2"/>
  <c r="AD243" i="2"/>
  <c r="N243" i="2"/>
  <c r="K243" i="2"/>
  <c r="AF243" i="2" s="1"/>
  <c r="AH242" i="2"/>
  <c r="AG242" i="2"/>
  <c r="AE242" i="2"/>
  <c r="AD242" i="2"/>
  <c r="P242" i="2"/>
  <c r="Q242" i="2" s="1"/>
  <c r="K242" i="2"/>
  <c r="AF242" i="2" s="1"/>
  <c r="AH241" i="2"/>
  <c r="AG241" i="2"/>
  <c r="AE241" i="2"/>
  <c r="AD241" i="2"/>
  <c r="P241" i="2"/>
  <c r="Q241" i="2" s="1"/>
  <c r="K241" i="2"/>
  <c r="AF241" i="2" s="1"/>
  <c r="AH240" i="2"/>
  <c r="AG240" i="2"/>
  <c r="AE240" i="2"/>
  <c r="AD240" i="2"/>
  <c r="P240" i="2"/>
  <c r="Q240" i="2" s="1"/>
  <c r="K240" i="2"/>
  <c r="AF240" i="2" s="1"/>
  <c r="AH239" i="2"/>
  <c r="AG239" i="2"/>
  <c r="AE239" i="2"/>
  <c r="AD239" i="2"/>
  <c r="P239" i="2"/>
  <c r="Q239" i="2" s="1"/>
  <c r="K239" i="2"/>
  <c r="AF239" i="2" s="1"/>
  <c r="AH238" i="2"/>
  <c r="AG238" i="2"/>
  <c r="AE238" i="2"/>
  <c r="AD238" i="2"/>
  <c r="P238" i="2"/>
  <c r="Q238" i="2" s="1"/>
  <c r="K238" i="2"/>
  <c r="AF238" i="2" s="1"/>
  <c r="AH236" i="2"/>
  <c r="AG236" i="2"/>
  <c r="AE236" i="2"/>
  <c r="AD236" i="2"/>
  <c r="P236" i="2"/>
  <c r="Q236" i="2" s="1"/>
  <c r="AF236" i="2"/>
  <c r="AH235" i="2"/>
  <c r="AG235" i="2"/>
  <c r="AE235" i="2"/>
  <c r="AD235" i="2"/>
  <c r="P235" i="2"/>
  <c r="Q235" i="2" s="1"/>
  <c r="K235" i="2"/>
  <c r="AF235" i="2" s="1"/>
  <c r="AH234" i="2"/>
  <c r="AG234" i="2"/>
  <c r="AE234" i="2"/>
  <c r="AD234" i="2"/>
  <c r="P234" i="2"/>
  <c r="Q234" i="2" s="1"/>
  <c r="K234" i="2"/>
  <c r="AF234" i="2" s="1"/>
  <c r="AH233" i="2"/>
  <c r="AG233" i="2"/>
  <c r="AE233" i="2"/>
  <c r="AD233" i="2"/>
  <c r="P233" i="2"/>
  <c r="Q233" i="2" s="1"/>
  <c r="K233" i="2"/>
  <c r="AF233" i="2" s="1"/>
  <c r="X232" i="2"/>
  <c r="Y232" i="2" s="1"/>
  <c r="X231" i="2"/>
  <c r="Y231" i="2" s="1"/>
  <c r="Z230" i="2"/>
  <c r="S230" i="2"/>
  <c r="AH215" i="2"/>
  <c r="AG215" i="2"/>
  <c r="AE215" i="2"/>
  <c r="AD215" i="2"/>
  <c r="P215" i="2"/>
  <c r="Q215" i="2" s="1"/>
  <c r="K215" i="2"/>
  <c r="AF215" i="2" s="1"/>
  <c r="AH213" i="2"/>
  <c r="AG213" i="2"/>
  <c r="AE213" i="2"/>
  <c r="AD213" i="2"/>
  <c r="P213" i="2"/>
  <c r="Q213" i="2" s="1"/>
  <c r="K213" i="2"/>
  <c r="AF213" i="2" s="1"/>
  <c r="AH212" i="2"/>
  <c r="AG212" i="2"/>
  <c r="AE212" i="2"/>
  <c r="AD212" i="2"/>
  <c r="P212" i="2"/>
  <c r="Q212" i="2" s="1"/>
  <c r="K212" i="2"/>
  <c r="AF212" i="2" s="1"/>
  <c r="AH211" i="2"/>
  <c r="AG211" i="2"/>
  <c r="AE211" i="2"/>
  <c r="AD211" i="2"/>
  <c r="N211" i="2"/>
  <c r="P211" i="2" s="1"/>
  <c r="Q211" i="2" s="1"/>
  <c r="K211" i="2"/>
  <c r="AF211" i="2" s="1"/>
  <c r="AH209" i="2"/>
  <c r="AG209" i="2"/>
  <c r="AE209" i="2"/>
  <c r="AD209" i="2"/>
  <c r="P209" i="2"/>
  <c r="Q209" i="2" s="1"/>
  <c r="K209" i="2"/>
  <c r="AF209" i="2" s="1"/>
  <c r="AH208" i="2"/>
  <c r="AG208" i="2"/>
  <c r="AE208" i="2"/>
  <c r="AD208" i="2"/>
  <c r="P208" i="2"/>
  <c r="Q208" i="2" s="1"/>
  <c r="K208" i="2"/>
  <c r="AF208" i="2" s="1"/>
  <c r="AH207" i="2"/>
  <c r="AG207" i="2"/>
  <c r="AE207" i="2"/>
  <c r="AD207" i="2"/>
  <c r="P207" i="2"/>
  <c r="Q207" i="2" s="1"/>
  <c r="K207" i="2"/>
  <c r="AF207" i="2" s="1"/>
  <c r="AH205" i="2"/>
  <c r="AG205" i="2"/>
  <c r="AE205" i="2"/>
  <c r="AD205" i="2"/>
  <c r="N205" i="2"/>
  <c r="P205" i="2" s="1"/>
  <c r="Q205" i="2" s="1"/>
  <c r="K205" i="2"/>
  <c r="AF205" i="2" s="1"/>
  <c r="AH204" i="2"/>
  <c r="AG204" i="2"/>
  <c r="AE204" i="2"/>
  <c r="AD204" i="2"/>
  <c r="N204" i="2"/>
  <c r="P204" i="2" s="1"/>
  <c r="Q204" i="2" s="1"/>
  <c r="K204" i="2"/>
  <c r="AF204" i="2" s="1"/>
  <c r="AH202" i="2"/>
  <c r="AG202" i="2"/>
  <c r="AE202" i="2"/>
  <c r="AD202" i="2"/>
  <c r="N202" i="2"/>
  <c r="P202" i="2" s="1"/>
  <c r="Q202" i="2" s="1"/>
  <c r="K202" i="2"/>
  <c r="AF202" i="2" s="1"/>
  <c r="AH201" i="2"/>
  <c r="AG201" i="2"/>
  <c r="AE201" i="2"/>
  <c r="AD201" i="2"/>
  <c r="N201" i="2"/>
  <c r="P201" i="2" s="1"/>
  <c r="Q201" i="2" s="1"/>
  <c r="K201" i="2"/>
  <c r="AF201" i="2" s="1"/>
  <c r="AH200" i="2"/>
  <c r="AG200" i="2"/>
  <c r="AE200" i="2"/>
  <c r="AD200" i="2"/>
  <c r="P200" i="2"/>
  <c r="Q200" i="2" s="1"/>
  <c r="K200" i="2"/>
  <c r="AF200" i="2" s="1"/>
  <c r="AH199" i="2"/>
  <c r="AG199" i="2"/>
  <c r="AE199" i="2"/>
  <c r="AD199" i="2"/>
  <c r="P199" i="2"/>
  <c r="Q199" i="2" s="1"/>
  <c r="K199" i="2"/>
  <c r="AF199" i="2" s="1"/>
  <c r="AH197" i="2"/>
  <c r="AG197" i="2"/>
  <c r="AE197" i="2"/>
  <c r="AD197" i="2"/>
  <c r="N197" i="2"/>
  <c r="P197" i="2" s="1"/>
  <c r="Q197" i="2" s="1"/>
  <c r="K197" i="2"/>
  <c r="AF197" i="2" s="1"/>
  <c r="AH196" i="2"/>
  <c r="AG196" i="2"/>
  <c r="AE196" i="2"/>
  <c r="AD196" i="2"/>
  <c r="N196" i="2"/>
  <c r="P196" i="2" s="1"/>
  <c r="Q196" i="2" s="1"/>
  <c r="K196" i="2"/>
  <c r="AF196" i="2" s="1"/>
  <c r="AH195" i="2"/>
  <c r="AG195" i="2"/>
  <c r="AF195" i="2"/>
  <c r="AE195" i="2"/>
  <c r="AD195" i="2"/>
  <c r="AH194" i="2"/>
  <c r="AG194" i="2"/>
  <c r="AE194" i="2"/>
  <c r="AD194" i="2"/>
  <c r="P194" i="2"/>
  <c r="Q194" i="2" s="1"/>
  <c r="K194" i="2"/>
  <c r="AF194" i="2" s="1"/>
  <c r="AH193" i="2"/>
  <c r="AG193" i="2"/>
  <c r="AE193" i="2"/>
  <c r="AD193" i="2"/>
  <c r="P193" i="2"/>
  <c r="Q193" i="2" s="1"/>
  <c r="K193" i="2"/>
  <c r="AF193" i="2" s="1"/>
  <c r="T192" i="2"/>
  <c r="X192" i="2" s="1"/>
  <c r="Y192" i="2" s="1"/>
  <c r="AH191" i="2"/>
  <c r="AG191" i="2"/>
  <c r="AE191" i="2"/>
  <c r="AD191" i="2"/>
  <c r="N191" i="2"/>
  <c r="P191" i="2" s="1"/>
  <c r="Q191" i="2" s="1"/>
  <c r="K191" i="2"/>
  <c r="AF191" i="2" s="1"/>
  <c r="AH190" i="2"/>
  <c r="AG190" i="2"/>
  <c r="AE190" i="2"/>
  <c r="AD190" i="2"/>
  <c r="P190" i="2"/>
  <c r="Q190" i="2" s="1"/>
  <c r="K190" i="2"/>
  <c r="AF190" i="2" s="1"/>
  <c r="AH189" i="2"/>
  <c r="AG189" i="2"/>
  <c r="AE189" i="2"/>
  <c r="AD189" i="2"/>
  <c r="P189" i="2"/>
  <c r="Q189" i="2" s="1"/>
  <c r="K189" i="2"/>
  <c r="AF189" i="2" s="1"/>
  <c r="AH188" i="2"/>
  <c r="AG188" i="2"/>
  <c r="AE188" i="2"/>
  <c r="AD188" i="2"/>
  <c r="N188" i="2"/>
  <c r="P188" i="2" s="1"/>
  <c r="Q188" i="2" s="1"/>
  <c r="K188" i="2"/>
  <c r="AF188" i="2" s="1"/>
  <c r="AH187" i="2"/>
  <c r="AG187" i="2"/>
  <c r="AE187" i="2"/>
  <c r="AD187" i="2"/>
  <c r="P187" i="2"/>
  <c r="Q187" i="2" s="1"/>
  <c r="K187" i="2"/>
  <c r="AF187" i="2" s="1"/>
  <c r="AH186" i="2"/>
  <c r="AG186" i="2"/>
  <c r="AF186" i="2"/>
  <c r="P186" i="2"/>
  <c r="AH185" i="2"/>
  <c r="AG185" i="2"/>
  <c r="AE185" i="2"/>
  <c r="AD185" i="2"/>
  <c r="P185" i="2"/>
  <c r="Q185" i="2" s="1"/>
  <c r="K185" i="2"/>
  <c r="AF185" i="2" s="1"/>
  <c r="AH184" i="2"/>
  <c r="AG184" i="2"/>
  <c r="AE184" i="2"/>
  <c r="AD184" i="2"/>
  <c r="P184" i="2"/>
  <c r="Q184" i="2" s="1"/>
  <c r="K184" i="2"/>
  <c r="AF184" i="2" s="1"/>
  <c r="AH183" i="2"/>
  <c r="AG183" i="2"/>
  <c r="AE183" i="2"/>
  <c r="AD183" i="2"/>
  <c r="P183" i="2"/>
  <c r="Q183" i="2" s="1"/>
  <c r="K183" i="2"/>
  <c r="AF183" i="2" s="1"/>
  <c r="AH182" i="2"/>
  <c r="AG182" i="2"/>
  <c r="AF182" i="2"/>
  <c r="P182" i="2"/>
  <c r="AH181" i="2"/>
  <c r="AG181" i="2"/>
  <c r="AE181" i="2"/>
  <c r="AD181" i="2"/>
  <c r="N181" i="2"/>
  <c r="K181" i="2"/>
  <c r="AF181" i="2" s="1"/>
  <c r="AH180" i="2"/>
  <c r="AG180" i="2"/>
  <c r="AE180" i="2"/>
  <c r="AD180" i="2"/>
  <c r="P180" i="2"/>
  <c r="Q180" i="2" s="1"/>
  <c r="K180" i="2"/>
  <c r="AF180" i="2" s="1"/>
  <c r="AH521" i="2"/>
  <c r="AG521" i="2"/>
  <c r="AE521" i="2"/>
  <c r="AD521" i="2"/>
  <c r="P521" i="2"/>
  <c r="Q521" i="2" s="1"/>
  <c r="K521" i="2"/>
  <c r="AF521" i="2" s="1"/>
  <c r="X179" i="2"/>
  <c r="Y179" i="2" s="1"/>
  <c r="AH178" i="2"/>
  <c r="AG178" i="2"/>
  <c r="AE178" i="2"/>
  <c r="AD178" i="2"/>
  <c r="P178" i="2"/>
  <c r="Q178" i="2" s="1"/>
  <c r="K178" i="2"/>
  <c r="AF178" i="2" s="1"/>
  <c r="AH177" i="2"/>
  <c r="AG177" i="2"/>
  <c r="AE177" i="2"/>
  <c r="AD177" i="2"/>
  <c r="P177" i="2"/>
  <c r="Q177" i="2" s="1"/>
  <c r="K177" i="2"/>
  <c r="AF177" i="2" s="1"/>
  <c r="AH176" i="2"/>
  <c r="AG176" i="2"/>
  <c r="AE176" i="2"/>
  <c r="AD176" i="2"/>
  <c r="P176" i="2"/>
  <c r="Q176" i="2" s="1"/>
  <c r="K176" i="2"/>
  <c r="AF176" i="2" s="1"/>
  <c r="AH175" i="2"/>
  <c r="AG175" i="2"/>
  <c r="AE175" i="2"/>
  <c r="AD175" i="2"/>
  <c r="P175" i="2"/>
  <c r="Q175" i="2" s="1"/>
  <c r="K175" i="2"/>
  <c r="AF175" i="2" s="1"/>
  <c r="AH174" i="2"/>
  <c r="AG174" i="2"/>
  <c r="AE174" i="2"/>
  <c r="AD174" i="2"/>
  <c r="P174" i="2"/>
  <c r="Q174" i="2" s="1"/>
  <c r="K174" i="2"/>
  <c r="AF174" i="2" s="1"/>
  <c r="AH172" i="2"/>
  <c r="AG172" i="2"/>
  <c r="AE172" i="2"/>
  <c r="AD172" i="2"/>
  <c r="P172" i="2"/>
  <c r="Q172" i="2" s="1"/>
  <c r="K172" i="2"/>
  <c r="AF172" i="2" s="1"/>
  <c r="AH171" i="2"/>
  <c r="AG171" i="2"/>
  <c r="AE171" i="2"/>
  <c r="AD171" i="2"/>
  <c r="P171" i="2"/>
  <c r="Q171" i="2" s="1"/>
  <c r="K171" i="2"/>
  <c r="AF171" i="2" s="1"/>
  <c r="AH170" i="2"/>
  <c r="AG170" i="2"/>
  <c r="AE170" i="2"/>
  <c r="AD170" i="2"/>
  <c r="P170" i="2"/>
  <c r="Q170" i="2" s="1"/>
  <c r="K170" i="2"/>
  <c r="AF170" i="2" s="1"/>
  <c r="AH169" i="2"/>
  <c r="AG169" i="2"/>
  <c r="AE169" i="2"/>
  <c r="AD169" i="2"/>
  <c r="P169" i="2"/>
  <c r="Q169" i="2" s="1"/>
  <c r="K169" i="2"/>
  <c r="AF169" i="2" s="1"/>
  <c r="AH168" i="2"/>
  <c r="AG168" i="2"/>
  <c r="AE168" i="2"/>
  <c r="AD168" i="2"/>
  <c r="P168" i="2"/>
  <c r="Q168" i="2" s="1"/>
  <c r="K168" i="2"/>
  <c r="AF168" i="2" s="1"/>
  <c r="AH167" i="2"/>
  <c r="AG167" i="2"/>
  <c r="AE167" i="2"/>
  <c r="AD167" i="2"/>
  <c r="P167" i="2"/>
  <c r="Q167" i="2" s="1"/>
  <c r="K167" i="2"/>
  <c r="AF167" i="2" s="1"/>
  <c r="AH166" i="2"/>
  <c r="AG166" i="2"/>
  <c r="AE166" i="2"/>
  <c r="AD166" i="2"/>
  <c r="P166" i="2"/>
  <c r="Q166" i="2" s="1"/>
  <c r="K166" i="2"/>
  <c r="AF166" i="2" s="1"/>
  <c r="AH165" i="2"/>
  <c r="AG165" i="2"/>
  <c r="AE165" i="2"/>
  <c r="AD165" i="2"/>
  <c r="P165" i="2"/>
  <c r="Q165" i="2" s="1"/>
  <c r="K165" i="2"/>
  <c r="AF165" i="2" s="1"/>
  <c r="AH164" i="2"/>
  <c r="AG164" i="2"/>
  <c r="AE164" i="2"/>
  <c r="AD164" i="2"/>
  <c r="P164" i="2"/>
  <c r="Q164" i="2" s="1"/>
  <c r="K164" i="2"/>
  <c r="AF164" i="2" s="1"/>
  <c r="AH163" i="2"/>
  <c r="AG163" i="2"/>
  <c r="AE163" i="2"/>
  <c r="AD163" i="2"/>
  <c r="P163" i="2"/>
  <c r="Q163" i="2" s="1"/>
  <c r="K163" i="2"/>
  <c r="AF163" i="2" s="1"/>
  <c r="AH162" i="2"/>
  <c r="AG162" i="2"/>
  <c r="AE162" i="2"/>
  <c r="AD162" i="2"/>
  <c r="P162" i="2"/>
  <c r="Q162" i="2" s="1"/>
  <c r="K162" i="2"/>
  <c r="AF162" i="2" s="1"/>
  <c r="AH161" i="2"/>
  <c r="AG161" i="2"/>
  <c r="AE161" i="2"/>
  <c r="AD161" i="2"/>
  <c r="P161" i="2"/>
  <c r="Q161" i="2" s="1"/>
  <c r="K161" i="2"/>
  <c r="AF161" i="2" s="1"/>
  <c r="AH160" i="2"/>
  <c r="AG160" i="2"/>
  <c r="AE160" i="2"/>
  <c r="AD160" i="2"/>
  <c r="P160" i="2"/>
  <c r="Q160" i="2" s="1"/>
  <c r="K160" i="2"/>
  <c r="AF160" i="2" s="1"/>
  <c r="AH159" i="2"/>
  <c r="AG159" i="2"/>
  <c r="AE159" i="2"/>
  <c r="AD159" i="2"/>
  <c r="P159" i="2"/>
  <c r="Q159" i="2" s="1"/>
  <c r="K159" i="2"/>
  <c r="AF159" i="2" s="1"/>
  <c r="AH158" i="2"/>
  <c r="AG158" i="2"/>
  <c r="AE158" i="2"/>
  <c r="AD158" i="2"/>
  <c r="P158" i="2"/>
  <c r="Q158" i="2" s="1"/>
  <c r="K158" i="2"/>
  <c r="AF158" i="2" s="1"/>
  <c r="AH157" i="2"/>
  <c r="AG157" i="2"/>
  <c r="AE157" i="2"/>
  <c r="AD157" i="2"/>
  <c r="P157" i="2"/>
  <c r="Q157" i="2" s="1"/>
  <c r="K157" i="2"/>
  <c r="AF157" i="2" s="1"/>
  <c r="AH156" i="2"/>
  <c r="AG156" i="2"/>
  <c r="AE156" i="2"/>
  <c r="AD156" i="2"/>
  <c r="P156" i="2"/>
  <c r="Q156" i="2" s="1"/>
  <c r="K156" i="2"/>
  <c r="AF156" i="2" s="1"/>
  <c r="AH155" i="2"/>
  <c r="AG155" i="2"/>
  <c r="AE155" i="2"/>
  <c r="AD155" i="2"/>
  <c r="P155" i="2"/>
  <c r="Q155" i="2" s="1"/>
  <c r="K155" i="2"/>
  <c r="AF155" i="2" s="1"/>
  <c r="AH154" i="2"/>
  <c r="AG154" i="2"/>
  <c r="AE154" i="2"/>
  <c r="AD154" i="2"/>
  <c r="P154" i="2"/>
  <c r="Q154" i="2" s="1"/>
  <c r="K154" i="2"/>
  <c r="AF154" i="2" s="1"/>
  <c r="AH153" i="2"/>
  <c r="AG153" i="2"/>
  <c r="AE153" i="2"/>
  <c r="AD153" i="2"/>
  <c r="P153" i="2"/>
  <c r="Q153" i="2" s="1"/>
  <c r="K153" i="2"/>
  <c r="AF153" i="2" s="1"/>
  <c r="AH152" i="2"/>
  <c r="AG152" i="2"/>
  <c r="AE152" i="2"/>
  <c r="AD152" i="2"/>
  <c r="P152" i="2"/>
  <c r="Q152" i="2" s="1"/>
  <c r="K152" i="2"/>
  <c r="AF152" i="2" s="1"/>
  <c r="AH151" i="2"/>
  <c r="AG151" i="2"/>
  <c r="AE151" i="2"/>
  <c r="AD151" i="2"/>
  <c r="P151" i="2"/>
  <c r="Q151" i="2" s="1"/>
  <c r="K151" i="2"/>
  <c r="AF151" i="2" s="1"/>
  <c r="AH150" i="2"/>
  <c r="AG150" i="2"/>
  <c r="AE150" i="2"/>
  <c r="AD150" i="2"/>
  <c r="P150" i="2"/>
  <c r="Q150" i="2" s="1"/>
  <c r="K150" i="2"/>
  <c r="AF150" i="2" s="1"/>
  <c r="AH149" i="2"/>
  <c r="AG149" i="2"/>
  <c r="AE149" i="2"/>
  <c r="AD149" i="2"/>
  <c r="P149" i="2"/>
  <c r="Q149" i="2" s="1"/>
  <c r="K149" i="2"/>
  <c r="AF149" i="2" s="1"/>
  <c r="AH148" i="2"/>
  <c r="AG148" i="2"/>
  <c r="AE148" i="2"/>
  <c r="AD148" i="2"/>
  <c r="P148" i="2"/>
  <c r="Q148" i="2" s="1"/>
  <c r="K148" i="2"/>
  <c r="AF148" i="2" s="1"/>
  <c r="AH147" i="2"/>
  <c r="AG147" i="2"/>
  <c r="AE147" i="2"/>
  <c r="AD147" i="2"/>
  <c r="P147" i="2"/>
  <c r="Q147" i="2" s="1"/>
  <c r="K147" i="2"/>
  <c r="AF147" i="2" s="1"/>
  <c r="AH146" i="2"/>
  <c r="AG146" i="2"/>
  <c r="AE146" i="2"/>
  <c r="AD146" i="2"/>
  <c r="P146" i="2"/>
  <c r="Q146" i="2" s="1"/>
  <c r="K146" i="2"/>
  <c r="AF146" i="2" s="1"/>
  <c r="AH145" i="2"/>
  <c r="AG145" i="2"/>
  <c r="AE145" i="2"/>
  <c r="AD145" i="2"/>
  <c r="P145" i="2"/>
  <c r="Q145" i="2" s="1"/>
  <c r="K145" i="2"/>
  <c r="AF145" i="2" s="1"/>
  <c r="AH144" i="2"/>
  <c r="AG144" i="2"/>
  <c r="AE144" i="2"/>
  <c r="AD144" i="2"/>
  <c r="P144" i="2"/>
  <c r="Q144" i="2" s="1"/>
  <c r="K144" i="2"/>
  <c r="AF144" i="2" s="1"/>
  <c r="AH143" i="2"/>
  <c r="AG143" i="2"/>
  <c r="AE143" i="2"/>
  <c r="AD143" i="2"/>
  <c r="P143" i="2"/>
  <c r="Q143" i="2" s="1"/>
  <c r="K143" i="2"/>
  <c r="AF143" i="2" s="1"/>
  <c r="AH142" i="2"/>
  <c r="AG142" i="2"/>
  <c r="AE142" i="2"/>
  <c r="AD142" i="2"/>
  <c r="P142" i="2"/>
  <c r="Q142" i="2" s="1"/>
  <c r="K142" i="2"/>
  <c r="AF142" i="2" s="1"/>
  <c r="AH141" i="2"/>
  <c r="AG141" i="2"/>
  <c r="AE141" i="2"/>
  <c r="AD141" i="2"/>
  <c r="P141" i="2"/>
  <c r="Q141" i="2" s="1"/>
  <c r="K141" i="2"/>
  <c r="AF141" i="2" s="1"/>
  <c r="AH140" i="2"/>
  <c r="AG140" i="2"/>
  <c r="AE140" i="2"/>
  <c r="AD140" i="2"/>
  <c r="P140" i="2"/>
  <c r="Q140" i="2" s="1"/>
  <c r="K140" i="2"/>
  <c r="AF140" i="2" s="1"/>
  <c r="AH139" i="2"/>
  <c r="AG139" i="2"/>
  <c r="AE139" i="2"/>
  <c r="AD139" i="2"/>
  <c r="P139" i="2"/>
  <c r="Q139" i="2" s="1"/>
  <c r="K139" i="2"/>
  <c r="AF139" i="2" s="1"/>
  <c r="AH138" i="2"/>
  <c r="AG138" i="2"/>
  <c r="AE138" i="2"/>
  <c r="AD138" i="2"/>
  <c r="P138" i="2"/>
  <c r="Q138" i="2" s="1"/>
  <c r="K138" i="2"/>
  <c r="AF138" i="2" s="1"/>
  <c r="AH137" i="2"/>
  <c r="AG137" i="2"/>
  <c r="AE137" i="2"/>
  <c r="AD137" i="2"/>
  <c r="P137" i="2"/>
  <c r="Q137" i="2" s="1"/>
  <c r="K137" i="2"/>
  <c r="AF137" i="2" s="1"/>
  <c r="AH136" i="2"/>
  <c r="AG136" i="2"/>
  <c r="AE136" i="2"/>
  <c r="AD136" i="2"/>
  <c r="P136" i="2"/>
  <c r="Q136" i="2" s="1"/>
  <c r="K136" i="2"/>
  <c r="AF136" i="2" s="1"/>
  <c r="AH135" i="2"/>
  <c r="AG135" i="2"/>
  <c r="AE135" i="2"/>
  <c r="AD135" i="2"/>
  <c r="P135" i="2"/>
  <c r="Q135" i="2" s="1"/>
  <c r="K135" i="2"/>
  <c r="AF135" i="2" s="1"/>
  <c r="AH134" i="2"/>
  <c r="AG134" i="2"/>
  <c r="AE134" i="2"/>
  <c r="AD134" i="2"/>
  <c r="P134" i="2"/>
  <c r="Q134" i="2" s="1"/>
  <c r="K134" i="2"/>
  <c r="AF134" i="2" s="1"/>
  <c r="AH133" i="2"/>
  <c r="AG133" i="2"/>
  <c r="AE133" i="2"/>
  <c r="AD133" i="2"/>
  <c r="P133" i="2"/>
  <c r="Q133" i="2" s="1"/>
  <c r="K133" i="2"/>
  <c r="AF133" i="2" s="1"/>
  <c r="AH132" i="2"/>
  <c r="AG132" i="2"/>
  <c r="AE132" i="2"/>
  <c r="AD132" i="2"/>
  <c r="P132" i="2"/>
  <c r="Q132" i="2" s="1"/>
  <c r="K132" i="2"/>
  <c r="AF132" i="2" s="1"/>
  <c r="AH131" i="2"/>
  <c r="AG131" i="2"/>
  <c r="AE131" i="2"/>
  <c r="AD131" i="2"/>
  <c r="P131" i="2"/>
  <c r="Q131" i="2" s="1"/>
  <c r="K131" i="2"/>
  <c r="AF131" i="2" s="1"/>
  <c r="AH130" i="2"/>
  <c r="AG130" i="2"/>
  <c r="AE130" i="2"/>
  <c r="AD130" i="2"/>
  <c r="P130" i="2"/>
  <c r="Q130" i="2" s="1"/>
  <c r="K130" i="2"/>
  <c r="AF130" i="2" s="1"/>
  <c r="AH129" i="2"/>
  <c r="AG129" i="2"/>
  <c r="AE129" i="2"/>
  <c r="AD129" i="2"/>
  <c r="P129" i="2"/>
  <c r="Q129" i="2" s="1"/>
  <c r="K129" i="2"/>
  <c r="AF129" i="2" s="1"/>
  <c r="AH128" i="2"/>
  <c r="AG128" i="2"/>
  <c r="AE128" i="2"/>
  <c r="AD128" i="2"/>
  <c r="P128" i="2"/>
  <c r="Q128" i="2" s="1"/>
  <c r="K128" i="2"/>
  <c r="AF128" i="2" s="1"/>
  <c r="AH127" i="2"/>
  <c r="AG127" i="2"/>
  <c r="AE127" i="2"/>
  <c r="AD127" i="2"/>
  <c r="P127" i="2"/>
  <c r="Q127" i="2" s="1"/>
  <c r="K127" i="2"/>
  <c r="AF127" i="2" s="1"/>
  <c r="AH126" i="2"/>
  <c r="AG126" i="2"/>
  <c r="AE126" i="2"/>
  <c r="AD126" i="2"/>
  <c r="P126" i="2"/>
  <c r="Q126" i="2" s="1"/>
  <c r="K126" i="2"/>
  <c r="AF126" i="2" s="1"/>
  <c r="AH125" i="2"/>
  <c r="AG125" i="2"/>
  <c r="AE125" i="2"/>
  <c r="AD125" i="2"/>
  <c r="P125" i="2"/>
  <c r="Q125" i="2" s="1"/>
  <c r="K125" i="2"/>
  <c r="AF125" i="2" s="1"/>
  <c r="AH124" i="2"/>
  <c r="AG124" i="2"/>
  <c r="AE124" i="2"/>
  <c r="AD124" i="2"/>
  <c r="P124" i="2"/>
  <c r="Q124" i="2" s="1"/>
  <c r="K124" i="2"/>
  <c r="AF124" i="2" s="1"/>
  <c r="AH123" i="2"/>
  <c r="AG123" i="2"/>
  <c r="AE123" i="2"/>
  <c r="AD123" i="2"/>
  <c r="P123" i="2"/>
  <c r="Q123" i="2" s="1"/>
  <c r="K123" i="2"/>
  <c r="AF123" i="2" s="1"/>
  <c r="AH122" i="2"/>
  <c r="AG122" i="2"/>
  <c r="AE122" i="2"/>
  <c r="AD122" i="2"/>
  <c r="P122" i="2"/>
  <c r="K122" i="2"/>
  <c r="AF122" i="2" s="1"/>
  <c r="AH520" i="2"/>
  <c r="AG520" i="2"/>
  <c r="AE520" i="2"/>
  <c r="AD520" i="2"/>
  <c r="P520" i="2"/>
  <c r="Q520" i="2" s="1"/>
  <c r="K520" i="2"/>
  <c r="AF520" i="2" s="1"/>
  <c r="AH519" i="2"/>
  <c r="AG519" i="2"/>
  <c r="AE519" i="2"/>
  <c r="AD519" i="2"/>
  <c r="P519" i="2"/>
  <c r="Q519" i="2" s="1"/>
  <c r="K519" i="2"/>
  <c r="AF519" i="2" s="1"/>
  <c r="AH518" i="2"/>
  <c r="AG518" i="2"/>
  <c r="AE518" i="2"/>
  <c r="AD518" i="2"/>
  <c r="P518" i="2"/>
  <c r="Q518" i="2" s="1"/>
  <c r="K518" i="2"/>
  <c r="AF518" i="2" s="1"/>
  <c r="AH517" i="2"/>
  <c r="AG517" i="2"/>
  <c r="AE517" i="2"/>
  <c r="AD517" i="2"/>
  <c r="P517" i="2"/>
  <c r="Q517" i="2" s="1"/>
  <c r="K517" i="2"/>
  <c r="AF517" i="2" s="1"/>
  <c r="AH121" i="2"/>
  <c r="AG121" i="2"/>
  <c r="AH95" i="2"/>
  <c r="AG95" i="2"/>
  <c r="AE95" i="2"/>
  <c r="AD95" i="2"/>
  <c r="N95" i="2"/>
  <c r="K95" i="2"/>
  <c r="AF95" i="2" s="1"/>
  <c r="AH94" i="2"/>
  <c r="AG94" i="2"/>
  <c r="AE94" i="2"/>
  <c r="AD94" i="2"/>
  <c r="S94" i="2"/>
  <c r="S102" i="2" s="1"/>
  <c r="N94" i="2"/>
  <c r="K94" i="2"/>
  <c r="AF94" i="2" s="1"/>
  <c r="AH93" i="2"/>
  <c r="AG93" i="2"/>
  <c r="AE93" i="2"/>
  <c r="AD93" i="2"/>
  <c r="P93" i="2"/>
  <c r="K93" i="2"/>
  <c r="AF93" i="2" s="1"/>
  <c r="AH92" i="2"/>
  <c r="AG92" i="2"/>
  <c r="AE92" i="2"/>
  <c r="AD92" i="2"/>
  <c r="N92" i="2"/>
  <c r="K92" i="2"/>
  <c r="AF92" i="2" s="1"/>
  <c r="AH537" i="2"/>
  <c r="AG537" i="2"/>
  <c r="AE537" i="2"/>
  <c r="AD537" i="2"/>
  <c r="P537" i="2"/>
  <c r="K537" i="2"/>
  <c r="AF537" i="2" s="1"/>
  <c r="N90" i="2"/>
  <c r="Z86" i="2"/>
  <c r="W86" i="2"/>
  <c r="U86" i="2"/>
  <c r="S86" i="2"/>
  <c r="AH79" i="2"/>
  <c r="AG79" i="2"/>
  <c r="AE79" i="2"/>
  <c r="AD79" i="2"/>
  <c r="N79" i="2"/>
  <c r="P79" i="2" s="1"/>
  <c r="K79" i="2"/>
  <c r="AF79" i="2" s="1"/>
  <c r="AH78" i="2"/>
  <c r="AG78" i="2"/>
  <c r="AE78" i="2"/>
  <c r="AD78" i="2"/>
  <c r="N78" i="2"/>
  <c r="K78" i="2"/>
  <c r="AF78" i="2" s="1"/>
  <c r="AH77" i="2"/>
  <c r="AG77" i="2"/>
  <c r="AE77" i="2"/>
  <c r="AD77" i="2"/>
  <c r="P77" i="2"/>
  <c r="K77" i="2"/>
  <c r="AF77" i="2" s="1"/>
  <c r="AH76" i="2"/>
  <c r="AG76" i="2"/>
  <c r="AE76" i="2"/>
  <c r="AD76" i="2"/>
  <c r="P76" i="2"/>
  <c r="K76" i="2"/>
  <c r="AF76" i="2" s="1"/>
  <c r="AH75" i="2"/>
  <c r="AG75" i="2"/>
  <c r="AE75" i="2"/>
  <c r="AD75" i="2"/>
  <c r="P75" i="2"/>
  <c r="K75" i="2"/>
  <c r="AF75" i="2" s="1"/>
  <c r="AH74" i="2"/>
  <c r="AG74" i="2"/>
  <c r="AE74" i="2"/>
  <c r="AD74" i="2"/>
  <c r="P74" i="2"/>
  <c r="K74" i="2"/>
  <c r="AF74" i="2" s="1"/>
  <c r="AH73" i="2"/>
  <c r="AG73" i="2"/>
  <c r="AE73" i="2"/>
  <c r="AD73" i="2"/>
  <c r="P73" i="2"/>
  <c r="K73" i="2"/>
  <c r="AF73" i="2" s="1"/>
  <c r="AH72" i="2"/>
  <c r="AG72" i="2"/>
  <c r="AE72" i="2"/>
  <c r="AD72" i="2"/>
  <c r="P72" i="2"/>
  <c r="AF72" i="2"/>
  <c r="S52" i="2"/>
  <c r="AH45" i="2"/>
  <c r="AG45" i="2"/>
  <c r="AE45" i="2"/>
  <c r="AD45" i="2"/>
  <c r="N45" i="2"/>
  <c r="P45" i="2" s="1"/>
  <c r="Q45" i="2" s="1"/>
  <c r="K45" i="2"/>
  <c r="AF45" i="2" s="1"/>
  <c r="AH44" i="2"/>
  <c r="AG44" i="2"/>
  <c r="AE44" i="2"/>
  <c r="AD44" i="2"/>
  <c r="N44" i="2"/>
  <c r="P44" i="2" s="1"/>
  <c r="K44" i="2"/>
  <c r="AF44" i="2" s="1"/>
  <c r="AH43" i="2"/>
  <c r="AG43" i="2"/>
  <c r="AE43" i="2"/>
  <c r="AD43" i="2"/>
  <c r="N43" i="2"/>
  <c r="P43" i="2" s="1"/>
  <c r="K43" i="2"/>
  <c r="AF43" i="2" s="1"/>
  <c r="AH42" i="2"/>
  <c r="AG42" i="2"/>
  <c r="AE42" i="2"/>
  <c r="AD42" i="2"/>
  <c r="P42" i="2"/>
  <c r="K42" i="2"/>
  <c r="AF42" i="2" s="1"/>
  <c r="AH41" i="2"/>
  <c r="AG41" i="2"/>
  <c r="AE41" i="2"/>
  <c r="AD41" i="2"/>
  <c r="N41" i="2"/>
  <c r="P41" i="2" s="1"/>
  <c r="K41" i="2"/>
  <c r="AF41" i="2" s="1"/>
  <c r="AH40" i="2"/>
  <c r="AG40" i="2"/>
  <c r="AE40" i="2"/>
  <c r="AD40" i="2"/>
  <c r="N40" i="2"/>
  <c r="K40" i="2"/>
  <c r="AF40" i="2" s="1"/>
  <c r="Z37" i="2"/>
  <c r="W37" i="2"/>
  <c r="W504" i="2" s="1"/>
  <c r="U37" i="2"/>
  <c r="AH25" i="2"/>
  <c r="AG25" i="2"/>
  <c r="AE25" i="2"/>
  <c r="AD25" i="2"/>
  <c r="P25" i="2"/>
  <c r="K25" i="2"/>
  <c r="AF25" i="2" s="1"/>
  <c r="AH24" i="2"/>
  <c r="AG24" i="2"/>
  <c r="AE24" i="2"/>
  <c r="AD24" i="2"/>
  <c r="N24" i="2"/>
  <c r="P24" i="2" s="1"/>
  <c r="K24" i="2"/>
  <c r="AF24" i="2" s="1"/>
  <c r="AH23" i="2"/>
  <c r="AG23" i="2"/>
  <c r="AE23" i="2"/>
  <c r="AD23" i="2"/>
  <c r="P23" i="2"/>
  <c r="K23" i="2"/>
  <c r="AF23" i="2" s="1"/>
  <c r="AH22" i="2"/>
  <c r="AG22" i="2"/>
  <c r="AE22" i="2"/>
  <c r="AD22" i="2"/>
  <c r="P22" i="2"/>
  <c r="K22" i="2"/>
  <c r="AF22" i="2" s="1"/>
  <c r="AH532" i="2"/>
  <c r="AG532" i="2"/>
  <c r="AE532" i="2"/>
  <c r="AD532" i="2"/>
  <c r="P532" i="2"/>
  <c r="Q532" i="2" s="1"/>
  <c r="K532" i="2"/>
  <c r="AF532" i="2" s="1"/>
  <c r="AH21" i="2"/>
  <c r="AG21" i="2"/>
  <c r="AE21" i="2"/>
  <c r="AD21" i="2"/>
  <c r="P21" i="2"/>
  <c r="K21" i="2"/>
  <c r="AF21" i="2" s="1"/>
  <c r="AH541" i="2"/>
  <c r="AG541" i="2"/>
  <c r="AE541" i="2"/>
  <c r="AD541" i="2"/>
  <c r="P541" i="2"/>
  <c r="Q541" i="2" s="1"/>
  <c r="K541" i="2"/>
  <c r="AF541" i="2" s="1"/>
  <c r="AH20" i="2"/>
  <c r="AG20" i="2"/>
  <c r="AE20" i="2"/>
  <c r="AD20" i="2"/>
  <c r="P20" i="2"/>
  <c r="K20" i="2"/>
  <c r="AF20" i="2" s="1"/>
  <c r="AH19" i="2"/>
  <c r="AG19" i="2"/>
  <c r="AE19" i="2"/>
  <c r="AD19" i="2"/>
  <c r="P19" i="2"/>
  <c r="K19" i="2"/>
  <c r="AF19" i="2" s="1"/>
  <c r="AH536" i="2"/>
  <c r="AG536" i="2"/>
  <c r="AE536" i="2"/>
  <c r="AD536" i="2"/>
  <c r="P536" i="2"/>
  <c r="Q536" i="2" s="1"/>
  <c r="K536" i="2"/>
  <c r="AF536" i="2" s="1"/>
  <c r="AH18" i="2"/>
  <c r="AG18" i="2"/>
  <c r="AE18" i="2"/>
  <c r="AD18" i="2"/>
  <c r="P18" i="2"/>
  <c r="K18" i="2"/>
  <c r="AF18" i="2" s="1"/>
  <c r="AH14" i="2"/>
  <c r="AG14" i="2"/>
  <c r="AE14" i="2"/>
  <c r="AD14" i="2"/>
  <c r="N14" i="2"/>
  <c r="P14" i="2" s="1"/>
  <c r="Q14" i="2" s="1"/>
  <c r="K14" i="2"/>
  <c r="AF14" i="2" s="1"/>
  <c r="AH91" i="2"/>
  <c r="AG91" i="2"/>
  <c r="AE91" i="2"/>
  <c r="AD91" i="2"/>
  <c r="N91" i="2"/>
  <c r="P91" i="2" s="1"/>
  <c r="Q91" i="2" s="1"/>
  <c r="K91" i="2"/>
  <c r="AF91" i="2" s="1"/>
  <c r="AH13" i="2"/>
  <c r="AG13" i="2"/>
  <c r="AE13" i="2"/>
  <c r="AD13" i="2"/>
  <c r="P13" i="2"/>
  <c r="K13" i="2"/>
  <c r="AF13" i="2" s="1"/>
  <c r="AH12" i="2"/>
  <c r="AG12" i="2"/>
  <c r="AE12" i="2"/>
  <c r="AD12" i="2"/>
  <c r="P12" i="2"/>
  <c r="Q12" i="2" s="1"/>
  <c r="K12" i="2"/>
  <c r="AF12" i="2" s="1"/>
  <c r="AH11" i="2"/>
  <c r="AG11" i="2"/>
  <c r="AE11" i="2"/>
  <c r="AD11" i="2"/>
  <c r="N11" i="2"/>
  <c r="N37" i="2" s="1"/>
  <c r="K11" i="2"/>
  <c r="AH527" i="2"/>
  <c r="AG527" i="2"/>
  <c r="AE527" i="2"/>
  <c r="AD527" i="2"/>
  <c r="S527" i="2"/>
  <c r="S37" i="2" s="1"/>
  <c r="N527" i="2"/>
  <c r="P527" i="2" s="1"/>
  <c r="K527" i="2"/>
  <c r="AF527" i="2" s="1"/>
  <c r="AC10" i="2"/>
  <c r="AB10" i="2"/>
  <c r="Y10" i="2"/>
  <c r="AA10" i="2"/>
  <c r="Q42" i="2" l="1"/>
  <c r="M61" i="4"/>
  <c r="Q44" i="2"/>
  <c r="M65" i="4"/>
  <c r="AJ90" i="2"/>
  <c r="AL90" i="2" s="1"/>
  <c r="M119" i="4"/>
  <c r="P92" i="2"/>
  <c r="P94" i="2"/>
  <c r="Q13" i="2"/>
  <c r="M160" i="4"/>
  <c r="Q20" i="2"/>
  <c r="M569" i="4"/>
  <c r="Q21" i="2"/>
  <c r="M557" i="4"/>
  <c r="Q22" i="2"/>
  <c r="M122" i="4"/>
  <c r="Q24" i="2"/>
  <c r="M143" i="4"/>
  <c r="Q72" i="2"/>
  <c r="M100" i="4"/>
  <c r="Q74" i="2"/>
  <c r="M104" i="4"/>
  <c r="Q76" i="2"/>
  <c r="M151" i="4"/>
  <c r="S119" i="2"/>
  <c r="Q41" i="2"/>
  <c r="M56" i="4"/>
  <c r="Q43" i="2"/>
  <c r="M63" i="4"/>
  <c r="Q93" i="2"/>
  <c r="M120" i="4"/>
  <c r="Q18" i="2"/>
  <c r="M19" i="4"/>
  <c r="Q19" i="2"/>
  <c r="M554" i="4"/>
  <c r="Q23" i="2"/>
  <c r="M124" i="4"/>
  <c r="Q25" i="2"/>
  <c r="M21" i="4"/>
  <c r="Q73" i="2"/>
  <c r="M102" i="4"/>
  <c r="Q75" i="2"/>
  <c r="M156" i="4"/>
  <c r="Q77" i="2"/>
  <c r="M88" i="4"/>
  <c r="Q79" i="2"/>
  <c r="M158" i="4"/>
  <c r="Q393" i="2"/>
  <c r="M154" i="4"/>
  <c r="Q423" i="2"/>
  <c r="M459" i="4"/>
  <c r="Q434" i="2"/>
  <c r="M474" i="4"/>
  <c r="U504" i="2"/>
  <c r="U119" i="2"/>
  <c r="Z504" i="2"/>
  <c r="Z119" i="2"/>
  <c r="AN95" i="2"/>
  <c r="AP175" i="2"/>
  <c r="AJ175" i="2"/>
  <c r="AJ177" i="2"/>
  <c r="AP177" i="2"/>
  <c r="AJ193" i="2"/>
  <c r="AP193" i="2"/>
  <c r="AJ393" i="2"/>
  <c r="AN393" i="2"/>
  <c r="AP92" i="2"/>
  <c r="AJ92" i="2"/>
  <c r="AJ94" i="2"/>
  <c r="AP94" i="2"/>
  <c r="AJ196" i="2"/>
  <c r="AP196" i="2"/>
  <c r="AN199" i="2"/>
  <c r="AJ199" i="2"/>
  <c r="AJ201" i="2"/>
  <c r="AN201" i="2"/>
  <c r="AJ204" i="2"/>
  <c r="AP204" i="2" s="1"/>
  <c r="AN204" i="2"/>
  <c r="AN207" i="2"/>
  <c r="AJ207" i="2"/>
  <c r="AP207" i="2" s="1"/>
  <c r="AN209" i="2"/>
  <c r="AJ209" i="2"/>
  <c r="AJ212" i="2"/>
  <c r="AP212" i="2" s="1"/>
  <c r="AN212" i="2"/>
  <c r="AN215" i="2"/>
  <c r="AJ215" i="2"/>
  <c r="AP215" i="2" s="1"/>
  <c r="AP342" i="2"/>
  <c r="AJ342" i="2"/>
  <c r="AJ344" i="2"/>
  <c r="AN344" i="2"/>
  <c r="AP174" i="2"/>
  <c r="AJ174" i="2"/>
  <c r="AJ176" i="2"/>
  <c r="AP176" i="2"/>
  <c r="AP178" i="2"/>
  <c r="AJ178" i="2"/>
  <c r="AP194" i="2"/>
  <c r="AJ194" i="2"/>
  <c r="AP195" i="2"/>
  <c r="AN195" i="2"/>
  <c r="AJ195" i="2"/>
  <c r="AL195" i="2" s="1"/>
  <c r="AJ392" i="2"/>
  <c r="AP93" i="2"/>
  <c r="AJ93" i="2"/>
  <c r="AJ197" i="2"/>
  <c r="AP197" i="2" s="1"/>
  <c r="AJ200" i="2"/>
  <c r="AP200" i="2" s="1"/>
  <c r="AN200" i="2"/>
  <c r="AN202" i="2"/>
  <c r="AJ202" i="2"/>
  <c r="AP202" i="2" s="1"/>
  <c r="AJ205" i="2"/>
  <c r="AN205" i="2"/>
  <c r="AN208" i="2"/>
  <c r="AJ208" i="2"/>
  <c r="AP208" i="2" s="1"/>
  <c r="AN211" i="2"/>
  <c r="AJ211" i="2"/>
  <c r="AP211" i="2" s="1"/>
  <c r="AJ213" i="2"/>
  <c r="AN213" i="2"/>
  <c r="AN343" i="2"/>
  <c r="AP40" i="2"/>
  <c r="AJ42" i="2"/>
  <c r="AP42" i="2"/>
  <c r="AN44" i="2"/>
  <c r="AJ44" i="2"/>
  <c r="AP181" i="2"/>
  <c r="AP182" i="2"/>
  <c r="AN182" i="2"/>
  <c r="AJ182" i="2"/>
  <c r="AL182" i="2" s="1"/>
  <c r="AJ184" i="2"/>
  <c r="AP184" i="2"/>
  <c r="AP187" i="2"/>
  <c r="AJ187" i="2"/>
  <c r="AJ189" i="2"/>
  <c r="AP189" i="2"/>
  <c r="AP191" i="2"/>
  <c r="AJ191" i="2"/>
  <c r="AP234" i="2"/>
  <c r="AJ234" i="2"/>
  <c r="AP236" i="2"/>
  <c r="AJ236" i="2"/>
  <c r="AJ239" i="2"/>
  <c r="AP239" i="2"/>
  <c r="AJ241" i="2"/>
  <c r="AP241" i="2"/>
  <c r="AP243" i="2"/>
  <c r="AJ245" i="2"/>
  <c r="AP245" i="2"/>
  <c r="AJ247" i="2"/>
  <c r="AP247" i="2"/>
  <c r="AP249" i="2"/>
  <c r="AJ249" i="2"/>
  <c r="AP251" i="2"/>
  <c r="AJ251" i="2"/>
  <c r="AJ253" i="2"/>
  <c r="AP253" i="2" s="1"/>
  <c r="AJ255" i="2"/>
  <c r="AP255" i="2" s="1"/>
  <c r="AJ256" i="2"/>
  <c r="AP256" i="2"/>
  <c r="AJ258" i="2"/>
  <c r="AP258" i="2" s="1"/>
  <c r="AJ260" i="2"/>
  <c r="AJ262" i="2"/>
  <c r="AP262" i="2" s="1"/>
  <c r="AN262" i="2"/>
  <c r="AJ264" i="2"/>
  <c r="AN264" i="2"/>
  <c r="AJ266" i="2"/>
  <c r="AP266" i="2" s="1"/>
  <c r="AN266" i="2"/>
  <c r="AJ268" i="2"/>
  <c r="AN268" i="2"/>
  <c r="AP327" i="2"/>
  <c r="AJ329" i="2"/>
  <c r="AN329" i="2"/>
  <c r="AP347" i="2"/>
  <c r="AJ349" i="2"/>
  <c r="AN349" i="2"/>
  <c r="AP485" i="2"/>
  <c r="AJ485" i="2"/>
  <c r="AP487" i="2"/>
  <c r="AJ487" i="2"/>
  <c r="AN489" i="2"/>
  <c r="AJ489" i="2"/>
  <c r="AJ491" i="2"/>
  <c r="AN491" i="2"/>
  <c r="AP472" i="2"/>
  <c r="AL472" i="2"/>
  <c r="AF11" i="2"/>
  <c r="AP13" i="2"/>
  <c r="AJ13" i="2"/>
  <c r="AP14" i="2"/>
  <c r="AJ14" i="2"/>
  <c r="AJ20" i="2"/>
  <c r="AJ21" i="2"/>
  <c r="AJ22" i="2"/>
  <c r="AJ24" i="2"/>
  <c r="AN24" i="2"/>
  <c r="AJ72" i="2"/>
  <c r="AJ74" i="2"/>
  <c r="AJ76" i="2"/>
  <c r="AN78" i="2"/>
  <c r="AP121" i="2"/>
  <c r="AN121" i="2"/>
  <c r="AJ121" i="2"/>
  <c r="AL121" i="2" s="1"/>
  <c r="AP123" i="2"/>
  <c r="AJ123" i="2"/>
  <c r="AJ125" i="2"/>
  <c r="AP125" i="2"/>
  <c r="AJ127" i="2"/>
  <c r="AP127" i="2"/>
  <c r="AP129" i="2"/>
  <c r="AJ129" i="2"/>
  <c r="AP131" i="2"/>
  <c r="AJ131" i="2"/>
  <c r="AJ133" i="2"/>
  <c r="AP133" i="2"/>
  <c r="AJ135" i="2"/>
  <c r="AP135" i="2"/>
  <c r="AP137" i="2"/>
  <c r="AJ137" i="2"/>
  <c r="AP139" i="2"/>
  <c r="AJ139" i="2"/>
  <c r="AJ141" i="2"/>
  <c r="AP141" i="2"/>
  <c r="AJ143" i="2"/>
  <c r="AP143" i="2"/>
  <c r="AP145" i="2"/>
  <c r="AJ145" i="2"/>
  <c r="AP147" i="2"/>
  <c r="AJ147" i="2"/>
  <c r="AJ149" i="2"/>
  <c r="AP149" i="2"/>
  <c r="AJ151" i="2"/>
  <c r="AP151" i="2"/>
  <c r="AP153" i="2"/>
  <c r="AJ153" i="2"/>
  <c r="AP155" i="2"/>
  <c r="AJ155" i="2"/>
  <c r="AJ157" i="2"/>
  <c r="AP157" i="2"/>
  <c r="AJ159" i="2"/>
  <c r="AP159" i="2"/>
  <c r="AP161" i="2"/>
  <c r="AJ161" i="2"/>
  <c r="AP163" i="2"/>
  <c r="AJ163" i="2"/>
  <c r="AJ165" i="2"/>
  <c r="AP165" i="2"/>
  <c r="AP167" i="2"/>
  <c r="AJ167" i="2"/>
  <c r="AJ169" i="2"/>
  <c r="AP169" i="2"/>
  <c r="AP171" i="2"/>
  <c r="AJ171" i="2"/>
  <c r="AJ282" i="2"/>
  <c r="AP282" i="2"/>
  <c r="AJ284" i="2"/>
  <c r="AP284" i="2"/>
  <c r="AP286" i="2"/>
  <c r="AJ286" i="2"/>
  <c r="AJ288" i="2"/>
  <c r="AP288" i="2"/>
  <c r="AP290" i="2"/>
  <c r="AJ290" i="2"/>
  <c r="AJ292" i="2"/>
  <c r="AP292" i="2" s="1"/>
  <c r="AN292" i="2"/>
  <c r="AN294" i="2"/>
  <c r="AJ294" i="2"/>
  <c r="AP294" i="2" s="1"/>
  <c r="AJ296" i="2"/>
  <c r="AP296" i="2" s="1"/>
  <c r="AN296" i="2"/>
  <c r="AJ401" i="2"/>
  <c r="AP401" i="2"/>
  <c r="AJ404" i="2"/>
  <c r="AP404" i="2"/>
  <c r="AJ406" i="2"/>
  <c r="AP406" i="2"/>
  <c r="AJ408" i="2"/>
  <c r="AP408" i="2"/>
  <c r="AJ410" i="2"/>
  <c r="AP410" i="2"/>
  <c r="AJ412" i="2"/>
  <c r="AP412" i="2"/>
  <c r="AJ414" i="2"/>
  <c r="AP414" i="2"/>
  <c r="AJ416" i="2"/>
  <c r="AP416" i="2"/>
  <c r="AJ418" i="2"/>
  <c r="AP418" i="2"/>
  <c r="AJ420" i="2"/>
  <c r="AP420" i="2"/>
  <c r="AJ422" i="2"/>
  <c r="AP422" i="2"/>
  <c r="AJ425" i="2"/>
  <c r="AJ427" i="2"/>
  <c r="AP427" i="2" s="1"/>
  <c r="AN427" i="2"/>
  <c r="AN429" i="2"/>
  <c r="AJ429" i="2"/>
  <c r="AN431" i="2"/>
  <c r="AJ431" i="2"/>
  <c r="AP431" i="2" s="1"/>
  <c r="AN433" i="2"/>
  <c r="AJ433" i="2"/>
  <c r="AP449" i="2"/>
  <c r="AJ449" i="2"/>
  <c r="AJ451" i="2"/>
  <c r="AP451" i="2"/>
  <c r="AJ453" i="2"/>
  <c r="AP453" i="2"/>
  <c r="AP455" i="2"/>
  <c r="AJ455" i="2"/>
  <c r="AP457" i="2"/>
  <c r="AJ457" i="2"/>
  <c r="AJ459" i="2"/>
  <c r="AP459" i="2"/>
  <c r="AJ461" i="2"/>
  <c r="AP461" i="2"/>
  <c r="AP463" i="2"/>
  <c r="AJ463" i="2"/>
  <c r="AP465" i="2"/>
  <c r="AJ465" i="2"/>
  <c r="AJ467" i="2"/>
  <c r="AP467" i="2"/>
  <c r="AJ469" i="2"/>
  <c r="AP469" i="2"/>
  <c r="AN471" i="2"/>
  <c r="AJ471" i="2"/>
  <c r="AP471" i="2" s="1"/>
  <c r="AJ12" i="2"/>
  <c r="AP12" i="2"/>
  <c r="AP41" i="2"/>
  <c r="AJ41" i="2"/>
  <c r="AJ43" i="2"/>
  <c r="AP45" i="2"/>
  <c r="AJ45" i="2"/>
  <c r="AJ180" i="2"/>
  <c r="AP180" i="2"/>
  <c r="AP183" i="2"/>
  <c r="AJ183" i="2"/>
  <c r="AJ185" i="2"/>
  <c r="AP185" i="2"/>
  <c r="AP186" i="2"/>
  <c r="AN186" i="2"/>
  <c r="AJ186" i="2"/>
  <c r="AL186" i="2" s="1"/>
  <c r="AJ188" i="2"/>
  <c r="AP188" i="2"/>
  <c r="AP190" i="2"/>
  <c r="AJ190" i="2"/>
  <c r="AP233" i="2"/>
  <c r="AJ233" i="2"/>
  <c r="AP235" i="2"/>
  <c r="AJ235" i="2"/>
  <c r="AP238" i="2"/>
  <c r="AJ238" i="2"/>
  <c r="AJ240" i="2"/>
  <c r="AP240" i="2"/>
  <c r="AJ242" i="2"/>
  <c r="AP242" i="2"/>
  <c r="AJ244" i="2"/>
  <c r="AP244" i="2"/>
  <c r="AJ246" i="2"/>
  <c r="AP246" i="2"/>
  <c r="AJ248" i="2"/>
  <c r="AP248" i="2"/>
  <c r="AP250" i="2"/>
  <c r="AJ250" i="2"/>
  <c r="AP252" i="2"/>
  <c r="AJ252" i="2"/>
  <c r="AJ254" i="2"/>
  <c r="AP254" i="2" s="1"/>
  <c r="AJ257" i="2"/>
  <c r="AP257" i="2" s="1"/>
  <c r="AJ259" i="2"/>
  <c r="AP259" i="2"/>
  <c r="AN261" i="2"/>
  <c r="AJ263" i="2"/>
  <c r="AP263" i="2" s="1"/>
  <c r="AN263" i="2"/>
  <c r="AN265" i="2"/>
  <c r="AJ265" i="2"/>
  <c r="AJ267" i="2"/>
  <c r="AP267" i="2" s="1"/>
  <c r="AN267" i="2"/>
  <c r="AN269" i="2"/>
  <c r="AJ269" i="2"/>
  <c r="AP328" i="2"/>
  <c r="AJ328" i="2"/>
  <c r="AN330" i="2"/>
  <c r="AJ330" i="2"/>
  <c r="AJ346" i="2"/>
  <c r="AP346" i="2"/>
  <c r="AP348" i="2"/>
  <c r="AJ348" i="2"/>
  <c r="AP486" i="2"/>
  <c r="AJ486" i="2"/>
  <c r="AJ488" i="2"/>
  <c r="AP488" i="2"/>
  <c r="AN490" i="2"/>
  <c r="AJ490" i="2"/>
  <c r="AL46" i="2"/>
  <c r="AL496" i="2"/>
  <c r="AJ91" i="2"/>
  <c r="AP91" i="2"/>
  <c r="AP18" i="2"/>
  <c r="AJ18" i="2"/>
  <c r="AP19" i="2"/>
  <c r="AJ19" i="2"/>
  <c r="AJ23" i="2"/>
  <c r="AJ25" i="2"/>
  <c r="AN25" i="2"/>
  <c r="AJ73" i="2"/>
  <c r="AJ75" i="2"/>
  <c r="AJ77" i="2"/>
  <c r="AN79" i="2"/>
  <c r="AJ79" i="2"/>
  <c r="AP122" i="2"/>
  <c r="AJ122" i="2"/>
  <c r="AJ124" i="2"/>
  <c r="AP124" i="2"/>
  <c r="AJ126" i="2"/>
  <c r="AP126" i="2"/>
  <c r="AP128" i="2"/>
  <c r="AJ128" i="2"/>
  <c r="AP130" i="2"/>
  <c r="AJ130" i="2"/>
  <c r="AJ132" i="2"/>
  <c r="AP132" i="2"/>
  <c r="AJ134" i="2"/>
  <c r="AP134" i="2"/>
  <c r="AP136" i="2"/>
  <c r="AJ136" i="2"/>
  <c r="AP138" i="2"/>
  <c r="AJ138" i="2"/>
  <c r="AJ140" i="2"/>
  <c r="AP140" i="2"/>
  <c r="AJ142" i="2"/>
  <c r="AP142" i="2"/>
  <c r="AP144" i="2"/>
  <c r="AJ144" i="2"/>
  <c r="AP146" i="2"/>
  <c r="AJ146" i="2"/>
  <c r="AJ148" i="2"/>
  <c r="AP148" i="2"/>
  <c r="AJ150" i="2"/>
  <c r="AP150" i="2"/>
  <c r="AP152" i="2"/>
  <c r="AJ152" i="2"/>
  <c r="AP154" i="2"/>
  <c r="AJ154" i="2"/>
  <c r="AJ156" i="2"/>
  <c r="AP156" i="2"/>
  <c r="AJ158" i="2"/>
  <c r="AP158" i="2"/>
  <c r="AP160" i="2"/>
  <c r="AJ160" i="2"/>
  <c r="AP162" i="2"/>
  <c r="AJ162" i="2"/>
  <c r="AJ164" i="2"/>
  <c r="AP164" i="2"/>
  <c r="AP166" i="2"/>
  <c r="AJ166" i="2"/>
  <c r="AJ168" i="2"/>
  <c r="AP168" i="2"/>
  <c r="AP170" i="2"/>
  <c r="AJ170" i="2"/>
  <c r="AJ172" i="2"/>
  <c r="AP172" i="2"/>
  <c r="AJ281" i="2"/>
  <c r="AP281" i="2"/>
  <c r="AJ283" i="2"/>
  <c r="AP283" i="2"/>
  <c r="AP285" i="2"/>
  <c r="AJ285" i="2"/>
  <c r="AP287" i="2"/>
  <c r="AJ287" i="2"/>
  <c r="AP289" i="2"/>
  <c r="AJ289" i="2"/>
  <c r="AJ291" i="2"/>
  <c r="AN291" i="2"/>
  <c r="AJ293" i="2"/>
  <c r="AP293" i="2" s="1"/>
  <c r="AN293" i="2"/>
  <c r="AN295" i="2"/>
  <c r="AJ295" i="2"/>
  <c r="AJ402" i="2"/>
  <c r="AP402" i="2"/>
  <c r="AJ403" i="2"/>
  <c r="AP403" i="2"/>
  <c r="AJ405" i="2"/>
  <c r="AP405" i="2"/>
  <c r="AJ407" i="2"/>
  <c r="AP407" i="2"/>
  <c r="AJ409" i="2"/>
  <c r="AP409" i="2"/>
  <c r="AJ411" i="2"/>
  <c r="AP411" i="2"/>
  <c r="AJ413" i="2"/>
  <c r="AP413" i="2"/>
  <c r="AJ415" i="2"/>
  <c r="AP415" i="2"/>
  <c r="AJ417" i="2"/>
  <c r="AP417" i="2"/>
  <c r="AP419" i="2"/>
  <c r="AJ421" i="2"/>
  <c r="AP421" i="2"/>
  <c r="AJ423" i="2"/>
  <c r="AP423" i="2"/>
  <c r="AJ426" i="2"/>
  <c r="AP426" i="2"/>
  <c r="AJ428" i="2"/>
  <c r="AN428" i="2"/>
  <c r="AJ430" i="2"/>
  <c r="AP430" i="2" s="1"/>
  <c r="AN430" i="2"/>
  <c r="AN432" i="2"/>
  <c r="AJ432" i="2"/>
  <c r="AJ434" i="2"/>
  <c r="AN434" i="2"/>
  <c r="AP448" i="2"/>
  <c r="AJ448" i="2"/>
  <c r="AP450" i="2"/>
  <c r="AJ450" i="2"/>
  <c r="AJ452" i="2"/>
  <c r="AP452" i="2"/>
  <c r="AJ454" i="2"/>
  <c r="AP454" i="2"/>
  <c r="AP456" i="2"/>
  <c r="AJ456" i="2"/>
  <c r="AP458" i="2"/>
  <c r="AJ458" i="2"/>
  <c r="AJ460" i="2"/>
  <c r="AP460" i="2"/>
  <c r="AJ462" i="2"/>
  <c r="AP462" i="2"/>
  <c r="AP464" i="2"/>
  <c r="AJ464" i="2"/>
  <c r="AP466" i="2"/>
  <c r="AJ466" i="2"/>
  <c r="AJ468" i="2"/>
  <c r="AP468" i="2"/>
  <c r="AJ470" i="2"/>
  <c r="AP470" i="2" s="1"/>
  <c r="AN494" i="2"/>
  <c r="AJ494" i="2"/>
  <c r="AN493" i="2"/>
  <c r="AN492" i="2"/>
  <c r="AJ492" i="2"/>
  <c r="AP492" i="2" s="1"/>
  <c r="AP497" i="2"/>
  <c r="AL497" i="2"/>
  <c r="AL495" i="2"/>
  <c r="W389" i="2"/>
  <c r="Z389" i="2"/>
  <c r="P397" i="2"/>
  <c r="N86" i="2"/>
  <c r="N356" i="2"/>
  <c r="N102" i="2"/>
  <c r="P243" i="2"/>
  <c r="Q243" i="2" s="1"/>
  <c r="N278" i="2"/>
  <c r="Q122" i="2"/>
  <c r="P343" i="2"/>
  <c r="AJ343" i="2" s="1"/>
  <c r="Q537" i="2"/>
  <c r="P11" i="2"/>
  <c r="N502" i="2"/>
  <c r="P419" i="2"/>
  <c r="P445" i="2" s="1"/>
  <c r="N445" i="2"/>
  <c r="V497" i="2"/>
  <c r="AB497" i="2" s="1"/>
  <c r="AC497" i="2" s="1"/>
  <c r="N230" i="2"/>
  <c r="V472" i="2"/>
  <c r="T472" i="2"/>
  <c r="X472" i="2" s="1"/>
  <c r="Y472" i="2" s="1"/>
  <c r="AA472" i="2" s="1"/>
  <c r="P40" i="2"/>
  <c r="N52" i="2"/>
  <c r="P493" i="2"/>
  <c r="Q493" i="2" s="1"/>
  <c r="R493" i="2" s="1"/>
  <c r="V493" i="2" s="1"/>
  <c r="W119" i="2"/>
  <c r="R537" i="2"/>
  <c r="T537" i="2" s="1"/>
  <c r="V46" i="2"/>
  <c r="AB46" i="2" s="1"/>
  <c r="AC46" i="2" s="1"/>
  <c r="R174" i="2"/>
  <c r="V174" i="2" s="1"/>
  <c r="X494" i="2"/>
  <c r="Y494" i="2" s="1"/>
  <c r="AA494" i="2" s="1"/>
  <c r="R92" i="2"/>
  <c r="V92" i="2" s="1"/>
  <c r="R40" i="2"/>
  <c r="T40" i="2" s="1"/>
  <c r="R201" i="2"/>
  <c r="T201" i="2" s="1"/>
  <c r="X233" i="2"/>
  <c r="Y233" i="2" s="1"/>
  <c r="AA233" i="2" s="1"/>
  <c r="R41" i="2"/>
  <c r="V41" i="2" s="1"/>
  <c r="X213" i="2"/>
  <c r="Y213" i="2" s="1"/>
  <c r="AA213" i="2" s="1"/>
  <c r="R171" i="2"/>
  <c r="V171" i="2" s="1"/>
  <c r="X402" i="2"/>
  <c r="Y402" i="2" s="1"/>
  <c r="AA402" i="2" s="1"/>
  <c r="X405" i="2"/>
  <c r="Y405" i="2" s="1"/>
  <c r="AA405" i="2" s="1"/>
  <c r="X409" i="2"/>
  <c r="Y409" i="2" s="1"/>
  <c r="AA409" i="2" s="1"/>
  <c r="X413" i="2"/>
  <c r="Y413" i="2" s="1"/>
  <c r="AA413" i="2" s="1"/>
  <c r="X417" i="2"/>
  <c r="Y417" i="2" s="1"/>
  <c r="AA417" i="2" s="1"/>
  <c r="X269" i="2"/>
  <c r="Y269" i="2" s="1"/>
  <c r="AA269" i="2" s="1"/>
  <c r="R166" i="2"/>
  <c r="T166" i="2" s="1"/>
  <c r="X208" i="2"/>
  <c r="Y208" i="2" s="1"/>
  <c r="AA208" i="2" s="1"/>
  <c r="X211" i="2"/>
  <c r="Y211" i="2" s="1"/>
  <c r="AA211" i="2" s="1"/>
  <c r="X215" i="2"/>
  <c r="Y215" i="2" s="1"/>
  <c r="AA215" i="2" s="1"/>
  <c r="R43" i="2"/>
  <c r="V43" i="2" s="1"/>
  <c r="R193" i="2"/>
  <c r="V193" i="2" s="1"/>
  <c r="X238" i="2"/>
  <c r="Y238" i="2" s="1"/>
  <c r="AA238" i="2" s="1"/>
  <c r="R248" i="2"/>
  <c r="T248" i="2" s="1"/>
  <c r="X248" i="2" s="1"/>
  <c r="Y248" i="2" s="1"/>
  <c r="AA248" i="2" s="1"/>
  <c r="R291" i="2"/>
  <c r="T291" i="2" s="1"/>
  <c r="X291" i="2" s="1"/>
  <c r="Y291" i="2" s="1"/>
  <c r="AA291" i="2" s="1"/>
  <c r="R175" i="2"/>
  <c r="V175" i="2" s="1"/>
  <c r="R251" i="2"/>
  <c r="V251" i="2" s="1"/>
  <c r="X292" i="2"/>
  <c r="Y292" i="2" s="1"/>
  <c r="AA292" i="2" s="1"/>
  <c r="R93" i="2"/>
  <c r="V93" i="2" s="1"/>
  <c r="X79" i="2"/>
  <c r="Y79" i="2" s="1"/>
  <c r="AA79" i="2" s="1"/>
  <c r="X180" i="2"/>
  <c r="Y180" i="2" s="1"/>
  <c r="AA180" i="2" s="1"/>
  <c r="X526" i="2"/>
  <c r="Y526" i="2" s="1"/>
  <c r="AA526" i="2" s="1"/>
  <c r="X406" i="2"/>
  <c r="Y406" i="2" s="1"/>
  <c r="AA406" i="2" s="1"/>
  <c r="X410" i="2"/>
  <c r="Y410" i="2" s="1"/>
  <c r="AA410" i="2" s="1"/>
  <c r="X414" i="2"/>
  <c r="Y414" i="2" s="1"/>
  <c r="AA414" i="2" s="1"/>
  <c r="X418" i="2"/>
  <c r="Y418" i="2" s="1"/>
  <c r="AA418" i="2" s="1"/>
  <c r="R168" i="2"/>
  <c r="V168" i="2" s="1"/>
  <c r="R42" i="2"/>
  <c r="V42" i="2" s="1"/>
  <c r="X169" i="2"/>
  <c r="Y169" i="2" s="1"/>
  <c r="AA169" i="2" s="1"/>
  <c r="R258" i="2"/>
  <c r="T258" i="2" s="1"/>
  <c r="X258" i="2" s="1"/>
  <c r="Y258" i="2" s="1"/>
  <c r="AA258" i="2" s="1"/>
  <c r="R527" i="2"/>
  <c r="V527" i="2" s="1"/>
  <c r="V496" i="2"/>
  <c r="AB496" i="2" s="1"/>
  <c r="AC496" i="2" s="1"/>
  <c r="AR496" i="2" s="1"/>
  <c r="T496" i="2"/>
  <c r="V495" i="2"/>
  <c r="AB495" i="2" s="1"/>
  <c r="AC495" i="2" s="1"/>
  <c r="AR495" i="2" s="1"/>
  <c r="T495" i="2"/>
  <c r="R25" i="2"/>
  <c r="T25" i="2" s="1"/>
  <c r="X236" i="2"/>
  <c r="Y236" i="2" s="1"/>
  <c r="AA236" i="2" s="1"/>
  <c r="X401" i="2"/>
  <c r="Y401" i="2" s="1"/>
  <c r="AA401" i="2" s="1"/>
  <c r="X404" i="2"/>
  <c r="Y404" i="2" s="1"/>
  <c r="AA404" i="2" s="1"/>
  <c r="X408" i="2"/>
  <c r="Y408" i="2" s="1"/>
  <c r="AA408" i="2" s="1"/>
  <c r="X412" i="2"/>
  <c r="Y412" i="2" s="1"/>
  <c r="AA412" i="2" s="1"/>
  <c r="X416" i="2"/>
  <c r="Y416" i="2" s="1"/>
  <c r="AA416" i="2" s="1"/>
  <c r="X403" i="2"/>
  <c r="Y403" i="2" s="1"/>
  <c r="AA403" i="2" s="1"/>
  <c r="X407" i="2"/>
  <c r="Y407" i="2" s="1"/>
  <c r="AA407" i="2" s="1"/>
  <c r="X411" i="2"/>
  <c r="Y411" i="2" s="1"/>
  <c r="AA411" i="2" s="1"/>
  <c r="X415" i="2"/>
  <c r="Y415" i="2" s="1"/>
  <c r="AA415" i="2" s="1"/>
  <c r="R255" i="2"/>
  <c r="T255" i="2" s="1"/>
  <c r="X255" i="2" s="1"/>
  <c r="Y255" i="2" s="1"/>
  <c r="AA255" i="2" s="1"/>
  <c r="R170" i="2"/>
  <c r="T170" i="2" s="1"/>
  <c r="X205" i="2"/>
  <c r="Y205" i="2" s="1"/>
  <c r="AA205" i="2" s="1"/>
  <c r="R526" i="2"/>
  <c r="V526" i="2" s="1"/>
  <c r="R406" i="2"/>
  <c r="T406" i="2" s="1"/>
  <c r="R409" i="2"/>
  <c r="V409" i="2" s="1"/>
  <c r="R415" i="2"/>
  <c r="V415" i="2" s="1"/>
  <c r="R420" i="2"/>
  <c r="T420" i="2" s="1"/>
  <c r="X420" i="2" s="1"/>
  <c r="Y420" i="2" s="1"/>
  <c r="AA420" i="2" s="1"/>
  <c r="R423" i="2"/>
  <c r="T423" i="2" s="1"/>
  <c r="R427" i="2"/>
  <c r="V427" i="2" s="1"/>
  <c r="R519" i="2"/>
  <c r="V519" i="2" s="1"/>
  <c r="R122" i="2"/>
  <c r="V122" i="2" s="1"/>
  <c r="R124" i="2"/>
  <c r="T124" i="2" s="1"/>
  <c r="R127" i="2"/>
  <c r="V127" i="2" s="1"/>
  <c r="R129" i="2"/>
  <c r="T129" i="2" s="1"/>
  <c r="R131" i="2"/>
  <c r="T131" i="2" s="1"/>
  <c r="R134" i="2"/>
  <c r="T134" i="2" s="1"/>
  <c r="R137" i="2"/>
  <c r="V137" i="2" s="1"/>
  <c r="R139" i="2"/>
  <c r="V139" i="2" s="1"/>
  <c r="R143" i="2"/>
  <c r="V143" i="2" s="1"/>
  <c r="R147" i="2"/>
  <c r="V147" i="2" s="1"/>
  <c r="R154" i="2"/>
  <c r="V154" i="2" s="1"/>
  <c r="R156" i="2"/>
  <c r="V156" i="2" s="1"/>
  <c r="R158" i="2"/>
  <c r="T158" i="2" s="1"/>
  <c r="R160" i="2"/>
  <c r="T160" i="2" s="1"/>
  <c r="R162" i="2"/>
  <c r="V162" i="2" s="1"/>
  <c r="R163" i="2"/>
  <c r="T163" i="2" s="1"/>
  <c r="R196" i="2"/>
  <c r="T196" i="2" s="1"/>
  <c r="R243" i="2"/>
  <c r="T243" i="2" s="1"/>
  <c r="R249" i="2"/>
  <c r="T249" i="2" s="1"/>
  <c r="X249" i="2" s="1"/>
  <c r="Y249" i="2" s="1"/>
  <c r="AA249" i="2" s="1"/>
  <c r="R257" i="2"/>
  <c r="T257" i="2" s="1"/>
  <c r="X257" i="2" s="1"/>
  <c r="Y257" i="2" s="1"/>
  <c r="AA257" i="2" s="1"/>
  <c r="X342" i="2"/>
  <c r="Y342" i="2" s="1"/>
  <c r="X349" i="2"/>
  <c r="Y349" i="2" s="1"/>
  <c r="AA349" i="2" s="1"/>
  <c r="X423" i="2"/>
  <c r="Y423" i="2" s="1"/>
  <c r="AA423" i="2" s="1"/>
  <c r="R433" i="2"/>
  <c r="T433" i="2" s="1"/>
  <c r="X433" i="2" s="1"/>
  <c r="Y433" i="2" s="1"/>
  <c r="AA433" i="2" s="1"/>
  <c r="X434" i="2"/>
  <c r="Y434" i="2" s="1"/>
  <c r="AA434" i="2" s="1"/>
  <c r="X527" i="2"/>
  <c r="Y527" i="2" s="1"/>
  <c r="R199" i="2"/>
  <c r="V199" i="2" s="1"/>
  <c r="R233" i="2"/>
  <c r="R256" i="2"/>
  <c r="T256" i="2" s="1"/>
  <c r="R401" i="2"/>
  <c r="V401" i="2" s="1"/>
  <c r="R403" i="2"/>
  <c r="V403" i="2" s="1"/>
  <c r="R405" i="2"/>
  <c r="T405" i="2" s="1"/>
  <c r="R408" i="2"/>
  <c r="V408" i="2" s="1"/>
  <c r="R410" i="2"/>
  <c r="T410" i="2" s="1"/>
  <c r="R411" i="2"/>
  <c r="V411" i="2" s="1"/>
  <c r="R413" i="2"/>
  <c r="T413" i="2" s="1"/>
  <c r="R414" i="2"/>
  <c r="V414" i="2" s="1"/>
  <c r="R416" i="2"/>
  <c r="V416" i="2" s="1"/>
  <c r="R417" i="2"/>
  <c r="V417" i="2" s="1"/>
  <c r="R418" i="2"/>
  <c r="V418" i="2" s="1"/>
  <c r="R422" i="2"/>
  <c r="V422" i="2" s="1"/>
  <c r="R425" i="2"/>
  <c r="V425" i="2" s="1"/>
  <c r="R426" i="2"/>
  <c r="T426" i="2" s="1"/>
  <c r="X426" i="2" s="1"/>
  <c r="Y426" i="2" s="1"/>
  <c r="AA426" i="2" s="1"/>
  <c r="R429" i="2"/>
  <c r="V429" i="2" s="1"/>
  <c r="R18" i="2"/>
  <c r="V18" i="2" s="1"/>
  <c r="R23" i="2"/>
  <c r="V23" i="2" s="1"/>
  <c r="R517" i="2"/>
  <c r="T517" i="2" s="1"/>
  <c r="R518" i="2"/>
  <c r="V518" i="2" s="1"/>
  <c r="R520" i="2"/>
  <c r="V520" i="2" s="1"/>
  <c r="R123" i="2"/>
  <c r="V123" i="2" s="1"/>
  <c r="R125" i="2"/>
  <c r="T125" i="2" s="1"/>
  <c r="R126" i="2"/>
  <c r="T126" i="2" s="1"/>
  <c r="R128" i="2"/>
  <c r="T128" i="2" s="1"/>
  <c r="R130" i="2"/>
  <c r="V130" i="2" s="1"/>
  <c r="R132" i="2"/>
  <c r="V132" i="2" s="1"/>
  <c r="R133" i="2"/>
  <c r="V133" i="2" s="1"/>
  <c r="R135" i="2"/>
  <c r="V135" i="2" s="1"/>
  <c r="R136" i="2"/>
  <c r="T136" i="2" s="1"/>
  <c r="R138" i="2"/>
  <c r="V138" i="2" s="1"/>
  <c r="R140" i="2"/>
  <c r="T140" i="2" s="1"/>
  <c r="R141" i="2"/>
  <c r="V141" i="2" s="1"/>
  <c r="R142" i="2"/>
  <c r="V142" i="2" s="1"/>
  <c r="R144" i="2"/>
  <c r="V144" i="2" s="1"/>
  <c r="R145" i="2"/>
  <c r="V145" i="2" s="1"/>
  <c r="R146" i="2"/>
  <c r="V146" i="2" s="1"/>
  <c r="R148" i="2"/>
  <c r="T148" i="2" s="1"/>
  <c r="R149" i="2"/>
  <c r="V149" i="2" s="1"/>
  <c r="R150" i="2"/>
  <c r="T150" i="2" s="1"/>
  <c r="R151" i="2"/>
  <c r="V151" i="2" s="1"/>
  <c r="R152" i="2"/>
  <c r="V152" i="2" s="1"/>
  <c r="R153" i="2"/>
  <c r="T153" i="2" s="1"/>
  <c r="R155" i="2"/>
  <c r="V155" i="2" s="1"/>
  <c r="R157" i="2"/>
  <c r="V157" i="2" s="1"/>
  <c r="R159" i="2"/>
  <c r="V159" i="2" s="1"/>
  <c r="R161" i="2"/>
  <c r="T161" i="2" s="1"/>
  <c r="R164" i="2"/>
  <c r="T164" i="2" s="1"/>
  <c r="R536" i="2"/>
  <c r="V536" i="2" s="1"/>
  <c r="R24" i="2"/>
  <c r="T24" i="2" s="1"/>
  <c r="R44" i="2"/>
  <c r="T44" i="2" s="1"/>
  <c r="X44" i="2" s="1"/>
  <c r="Y44" i="2" s="1"/>
  <c r="AA44" i="2" s="1"/>
  <c r="R185" i="2"/>
  <c r="V185" i="2" s="1"/>
  <c r="X207" i="2"/>
  <c r="Y207" i="2" s="1"/>
  <c r="AA207" i="2" s="1"/>
  <c r="R242" i="2"/>
  <c r="R244" i="2"/>
  <c r="T244" i="2" s="1"/>
  <c r="X244" i="2" s="1"/>
  <c r="Y244" i="2" s="1"/>
  <c r="AA244" i="2" s="1"/>
  <c r="R250" i="2"/>
  <c r="V250" i="2" s="1"/>
  <c r="X267" i="2"/>
  <c r="Y267" i="2" s="1"/>
  <c r="AA267" i="2" s="1"/>
  <c r="R293" i="2"/>
  <c r="V293" i="2" s="1"/>
  <c r="X329" i="2"/>
  <c r="Y329" i="2" s="1"/>
  <c r="AA329" i="2" s="1"/>
  <c r="R235" i="2"/>
  <c r="V235" i="2" s="1"/>
  <c r="R342" i="2"/>
  <c r="T342" i="2" s="1"/>
  <c r="R402" i="2"/>
  <c r="T402" i="2" s="1"/>
  <c r="R404" i="2"/>
  <c r="V404" i="2" s="1"/>
  <c r="R407" i="2"/>
  <c r="V407" i="2" s="1"/>
  <c r="R412" i="2"/>
  <c r="V412" i="2" s="1"/>
  <c r="R421" i="2"/>
  <c r="V421" i="2" s="1"/>
  <c r="R428" i="2"/>
  <c r="T428" i="2" s="1"/>
  <c r="X428" i="2" s="1"/>
  <c r="Y428" i="2" s="1"/>
  <c r="AA428" i="2" s="1"/>
  <c r="X172" i="2"/>
  <c r="Y172" i="2" s="1"/>
  <c r="AA172" i="2" s="1"/>
  <c r="X174" i="2"/>
  <c r="Y174" i="2" s="1"/>
  <c r="AA174" i="2" s="1"/>
  <c r="R184" i="2"/>
  <c r="V184" i="2" s="1"/>
  <c r="R265" i="2"/>
  <c r="V265" i="2" s="1"/>
  <c r="X268" i="2"/>
  <c r="Y268" i="2" s="1"/>
  <c r="AA268" i="2" s="1"/>
  <c r="R288" i="2"/>
  <c r="V288" i="2" s="1"/>
  <c r="R348" i="2"/>
  <c r="T348" i="2" s="1"/>
  <c r="X348" i="2" s="1"/>
  <c r="Y348" i="2" s="1"/>
  <c r="AA348" i="2" s="1"/>
  <c r="R494" i="2"/>
  <c r="V494" i="2" s="1"/>
  <c r="R349" i="2"/>
  <c r="V349" i="2" s="1"/>
  <c r="R541" i="2"/>
  <c r="T541" i="2" s="1"/>
  <c r="X541" i="2" s="1"/>
  <c r="Y541" i="2" s="1"/>
  <c r="AA541" i="2" s="1"/>
  <c r="R94" i="2"/>
  <c r="V94" i="2" s="1"/>
  <c r="R240" i="2"/>
  <c r="V240" i="2" s="1"/>
  <c r="R267" i="2"/>
  <c r="T267" i="2" s="1"/>
  <c r="R431" i="2"/>
  <c r="T431" i="2" s="1"/>
  <c r="R21" i="2"/>
  <c r="V21" i="2" s="1"/>
  <c r="X167" i="2"/>
  <c r="Y167" i="2" s="1"/>
  <c r="AA167" i="2" s="1"/>
  <c r="R176" i="2"/>
  <c r="V176" i="2" s="1"/>
  <c r="R194" i="2"/>
  <c r="T194" i="2" s="1"/>
  <c r="X194" i="2" s="1"/>
  <c r="Y194" i="2" s="1"/>
  <c r="AA194" i="2" s="1"/>
  <c r="X209" i="2"/>
  <c r="Y209" i="2" s="1"/>
  <c r="AA209" i="2" s="1"/>
  <c r="R212" i="2"/>
  <c r="T212" i="2" s="1"/>
  <c r="X234" i="2"/>
  <c r="Y234" i="2" s="1"/>
  <c r="AA234" i="2" s="1"/>
  <c r="R268" i="2"/>
  <c r="V268" i="2" s="1"/>
  <c r="R241" i="2"/>
  <c r="V241" i="2" s="1"/>
  <c r="R266" i="2"/>
  <c r="V266" i="2" s="1"/>
  <c r="R393" i="2"/>
  <c r="T393" i="2" s="1"/>
  <c r="X212" i="2"/>
  <c r="Y212" i="2" s="1"/>
  <c r="AA212" i="2" s="1"/>
  <c r="R238" i="2"/>
  <c r="R289" i="2"/>
  <c r="V289" i="2" s="1"/>
  <c r="R344" i="2"/>
  <c r="T344" i="2" s="1"/>
  <c r="R180" i="2"/>
  <c r="V180" i="2" s="1"/>
  <c r="R213" i="2"/>
  <c r="T213" i="2" s="1"/>
  <c r="R215" i="2"/>
  <c r="T215" i="2" s="1"/>
  <c r="R236" i="2"/>
  <c r="V236" i="2" s="1"/>
  <c r="R531" i="2"/>
  <c r="T531" i="2" s="1"/>
  <c r="X531" i="2" s="1"/>
  <c r="Y531" i="2" s="1"/>
  <c r="AA531" i="2" s="1"/>
  <c r="R269" i="2"/>
  <c r="T269" i="2" s="1"/>
  <c r="P327" i="2"/>
  <c r="P339" i="2" s="1"/>
  <c r="C34" i="1" s="1"/>
  <c r="R346" i="2"/>
  <c r="T346" i="2" s="1"/>
  <c r="Q392" i="2"/>
  <c r="Q397" i="2" s="1"/>
  <c r="R432" i="2"/>
  <c r="T432" i="2" s="1"/>
  <c r="R487" i="2"/>
  <c r="T487" i="2" s="1"/>
  <c r="X487" i="2" s="1"/>
  <c r="Y487" i="2" s="1"/>
  <c r="AA487" i="2" s="1"/>
  <c r="R491" i="2"/>
  <c r="V491" i="2" s="1"/>
  <c r="R488" i="2"/>
  <c r="V488" i="2" s="1"/>
  <c r="R492" i="2"/>
  <c r="V492" i="2" s="1"/>
  <c r="X489" i="2"/>
  <c r="Y489" i="2" s="1"/>
  <c r="AA489" i="2" s="1"/>
  <c r="X492" i="2"/>
  <c r="Y492" i="2" s="1"/>
  <c r="AA492" i="2" s="1"/>
  <c r="X12" i="2"/>
  <c r="Y12" i="2" s="1"/>
  <c r="AA12" i="2" s="1"/>
  <c r="R12" i="2"/>
  <c r="R72" i="2"/>
  <c r="R76" i="2"/>
  <c r="R45" i="2"/>
  <c r="R532" i="2"/>
  <c r="R13" i="2"/>
  <c r="R73" i="2"/>
  <c r="R77" i="2"/>
  <c r="R14" i="2"/>
  <c r="R22" i="2"/>
  <c r="R79" i="2"/>
  <c r="R91" i="2"/>
  <c r="R74" i="2"/>
  <c r="P37" i="2"/>
  <c r="R19" i="2"/>
  <c r="R11" i="2"/>
  <c r="R75" i="2"/>
  <c r="R20" i="2"/>
  <c r="R190" i="2"/>
  <c r="X196" i="2"/>
  <c r="Y196" i="2" s="1"/>
  <c r="AA196" i="2" s="1"/>
  <c r="X201" i="2"/>
  <c r="Y201" i="2" s="1"/>
  <c r="AA201" i="2" s="1"/>
  <c r="X256" i="2"/>
  <c r="Y256" i="2" s="1"/>
  <c r="AA256" i="2" s="1"/>
  <c r="P324" i="2"/>
  <c r="Q281" i="2"/>
  <c r="Q324" i="2" s="1"/>
  <c r="R290" i="2"/>
  <c r="R449" i="2"/>
  <c r="X449" i="2"/>
  <c r="Y449" i="2" s="1"/>
  <c r="AA449" i="2" s="1"/>
  <c r="R453" i="2"/>
  <c r="X453" i="2"/>
  <c r="Y453" i="2" s="1"/>
  <c r="AA453" i="2" s="1"/>
  <c r="R457" i="2"/>
  <c r="X457" i="2"/>
  <c r="Y457" i="2" s="1"/>
  <c r="AA457" i="2" s="1"/>
  <c r="R461" i="2"/>
  <c r="X461" i="2"/>
  <c r="Y461" i="2" s="1"/>
  <c r="AA461" i="2" s="1"/>
  <c r="R465" i="2"/>
  <c r="R469" i="2"/>
  <c r="X165" i="2"/>
  <c r="Y165" i="2" s="1"/>
  <c r="AA165" i="2" s="1"/>
  <c r="R169" i="2"/>
  <c r="Q252" i="2"/>
  <c r="X264" i="2"/>
  <c r="Y264" i="2" s="1"/>
  <c r="AA264" i="2" s="1"/>
  <c r="R296" i="2"/>
  <c r="X346" i="2"/>
  <c r="Y346" i="2" s="1"/>
  <c r="AA346" i="2" s="1"/>
  <c r="X432" i="2"/>
  <c r="Y432" i="2" s="1"/>
  <c r="AA432" i="2" s="1"/>
  <c r="R490" i="2"/>
  <c r="R485" i="2"/>
  <c r="X485" i="2"/>
  <c r="X25" i="2"/>
  <c r="Y25" i="2" s="1"/>
  <c r="AA25" i="2" s="1"/>
  <c r="P78" i="2"/>
  <c r="X537" i="2"/>
  <c r="Y537" i="2" s="1"/>
  <c r="AA537" i="2" s="1"/>
  <c r="X170" i="2"/>
  <c r="Y170" i="2" s="1"/>
  <c r="AA170" i="2" s="1"/>
  <c r="R181" i="2"/>
  <c r="R200" i="2"/>
  <c r="N324" i="2"/>
  <c r="R287" i="2"/>
  <c r="R330" i="2"/>
  <c r="R189" i="2"/>
  <c r="R450" i="2"/>
  <c r="X450" i="2"/>
  <c r="Y450" i="2" s="1"/>
  <c r="AA450" i="2" s="1"/>
  <c r="R454" i="2"/>
  <c r="X454" i="2"/>
  <c r="Y454" i="2" s="1"/>
  <c r="AA454" i="2" s="1"/>
  <c r="R458" i="2"/>
  <c r="X458" i="2"/>
  <c r="Y458" i="2" s="1"/>
  <c r="AA458" i="2" s="1"/>
  <c r="R462" i="2"/>
  <c r="X462" i="2"/>
  <c r="Y462" i="2" s="1"/>
  <c r="AA462" i="2" s="1"/>
  <c r="R466" i="2"/>
  <c r="R470" i="2"/>
  <c r="X24" i="2"/>
  <c r="Y24" i="2" s="1"/>
  <c r="AA24" i="2" s="1"/>
  <c r="N88" i="2"/>
  <c r="P88" i="2" s="1"/>
  <c r="P95" i="2"/>
  <c r="X517" i="2"/>
  <c r="X518" i="2"/>
  <c r="Y518" i="2" s="1"/>
  <c r="AA518" i="2" s="1"/>
  <c r="X519" i="2"/>
  <c r="Y519" i="2" s="1"/>
  <c r="AA519" i="2" s="1"/>
  <c r="X520" i="2"/>
  <c r="Y520" i="2" s="1"/>
  <c r="AA520" i="2" s="1"/>
  <c r="X122" i="2"/>
  <c r="Y122" i="2" s="1"/>
  <c r="AA122" i="2" s="1"/>
  <c r="X123" i="2"/>
  <c r="Y123" i="2" s="1"/>
  <c r="AA123" i="2" s="1"/>
  <c r="X124" i="2"/>
  <c r="Y124" i="2" s="1"/>
  <c r="AA124" i="2" s="1"/>
  <c r="X125" i="2"/>
  <c r="Y125" i="2" s="1"/>
  <c r="AA125" i="2" s="1"/>
  <c r="X126" i="2"/>
  <c r="Y126" i="2" s="1"/>
  <c r="AA126" i="2" s="1"/>
  <c r="X127" i="2"/>
  <c r="Y127" i="2" s="1"/>
  <c r="AA127" i="2" s="1"/>
  <c r="X128" i="2"/>
  <c r="Y128" i="2" s="1"/>
  <c r="AA128" i="2" s="1"/>
  <c r="X129" i="2"/>
  <c r="Y129" i="2" s="1"/>
  <c r="AA129" i="2" s="1"/>
  <c r="X130" i="2"/>
  <c r="Y130" i="2" s="1"/>
  <c r="AA130" i="2" s="1"/>
  <c r="X131" i="2"/>
  <c r="Y131" i="2" s="1"/>
  <c r="AA131" i="2" s="1"/>
  <c r="X132" i="2"/>
  <c r="Y132" i="2" s="1"/>
  <c r="AA132" i="2" s="1"/>
  <c r="X133" i="2"/>
  <c r="Y133" i="2" s="1"/>
  <c r="AA133" i="2" s="1"/>
  <c r="X134" i="2"/>
  <c r="Y134" i="2" s="1"/>
  <c r="AA134" i="2" s="1"/>
  <c r="X135" i="2"/>
  <c r="Y135" i="2" s="1"/>
  <c r="AA135" i="2" s="1"/>
  <c r="X136" i="2"/>
  <c r="Y136" i="2" s="1"/>
  <c r="AA136" i="2" s="1"/>
  <c r="X137" i="2"/>
  <c r="Y137" i="2" s="1"/>
  <c r="AA137" i="2" s="1"/>
  <c r="X138" i="2"/>
  <c r="Y138" i="2" s="1"/>
  <c r="AA138" i="2" s="1"/>
  <c r="X139" i="2"/>
  <c r="Y139" i="2" s="1"/>
  <c r="AA139" i="2" s="1"/>
  <c r="X140" i="2"/>
  <c r="Y140" i="2" s="1"/>
  <c r="AA140" i="2" s="1"/>
  <c r="X141" i="2"/>
  <c r="Y141" i="2" s="1"/>
  <c r="AA141" i="2" s="1"/>
  <c r="X142" i="2"/>
  <c r="Y142" i="2" s="1"/>
  <c r="AA142" i="2" s="1"/>
  <c r="X143" i="2"/>
  <c r="Y143" i="2" s="1"/>
  <c r="AA143" i="2" s="1"/>
  <c r="X144" i="2"/>
  <c r="Y144" i="2" s="1"/>
  <c r="AA144" i="2" s="1"/>
  <c r="X145" i="2"/>
  <c r="Y145" i="2" s="1"/>
  <c r="AA145" i="2" s="1"/>
  <c r="X146" i="2"/>
  <c r="Y146" i="2" s="1"/>
  <c r="AA146" i="2" s="1"/>
  <c r="X147" i="2"/>
  <c r="Y147" i="2" s="1"/>
  <c r="AA147" i="2" s="1"/>
  <c r="X148" i="2"/>
  <c r="Y148" i="2" s="1"/>
  <c r="AA148" i="2" s="1"/>
  <c r="X149" i="2"/>
  <c r="Y149" i="2" s="1"/>
  <c r="AA149" i="2" s="1"/>
  <c r="X150" i="2"/>
  <c r="Y150" i="2" s="1"/>
  <c r="AA150" i="2" s="1"/>
  <c r="X151" i="2"/>
  <c r="Y151" i="2" s="1"/>
  <c r="AA151" i="2" s="1"/>
  <c r="X152" i="2"/>
  <c r="Y152" i="2" s="1"/>
  <c r="AA152" i="2" s="1"/>
  <c r="X153" i="2"/>
  <c r="Y153" i="2" s="1"/>
  <c r="AA153" i="2" s="1"/>
  <c r="X154" i="2"/>
  <c r="Y154" i="2" s="1"/>
  <c r="AA154" i="2" s="1"/>
  <c r="X155" i="2"/>
  <c r="Y155" i="2" s="1"/>
  <c r="AA155" i="2" s="1"/>
  <c r="X156" i="2"/>
  <c r="Y156" i="2" s="1"/>
  <c r="AA156" i="2" s="1"/>
  <c r="X157" i="2"/>
  <c r="Y157" i="2" s="1"/>
  <c r="AA157" i="2" s="1"/>
  <c r="X158" i="2"/>
  <c r="Y158" i="2" s="1"/>
  <c r="AA158" i="2" s="1"/>
  <c r="X159" i="2"/>
  <c r="Y159" i="2" s="1"/>
  <c r="AA159" i="2" s="1"/>
  <c r="X160" i="2"/>
  <c r="Y160" i="2" s="1"/>
  <c r="AA160" i="2" s="1"/>
  <c r="X161" i="2"/>
  <c r="Y161" i="2" s="1"/>
  <c r="AA161" i="2" s="1"/>
  <c r="X162" i="2"/>
  <c r="Y162" i="2" s="1"/>
  <c r="AA162" i="2" s="1"/>
  <c r="X163" i="2"/>
  <c r="Y163" i="2" s="1"/>
  <c r="AA163" i="2" s="1"/>
  <c r="X164" i="2"/>
  <c r="Y164" i="2" s="1"/>
  <c r="AA164" i="2" s="1"/>
  <c r="R187" i="2"/>
  <c r="R205" i="2"/>
  <c r="R207" i="2"/>
  <c r="R208" i="2"/>
  <c r="R209" i="2"/>
  <c r="X178" i="2"/>
  <c r="Y178" i="2" s="1"/>
  <c r="AA178" i="2" s="1"/>
  <c r="R204" i="2"/>
  <c r="X204" i="2"/>
  <c r="Y204" i="2" s="1"/>
  <c r="AA204" i="2" s="1"/>
  <c r="R486" i="2"/>
  <c r="Q527" i="2"/>
  <c r="S504" i="2"/>
  <c r="X490" i="2"/>
  <c r="Y490" i="2" s="1"/>
  <c r="AA490" i="2" s="1"/>
  <c r="X177" i="2"/>
  <c r="Y177" i="2" s="1"/>
  <c r="AA177" i="2" s="1"/>
  <c r="R188" i="2"/>
  <c r="R451" i="2"/>
  <c r="X451" i="2"/>
  <c r="Y451" i="2" s="1"/>
  <c r="AA451" i="2" s="1"/>
  <c r="R455" i="2"/>
  <c r="X455" i="2"/>
  <c r="Y455" i="2" s="1"/>
  <c r="AA455" i="2" s="1"/>
  <c r="R459" i="2"/>
  <c r="X459" i="2"/>
  <c r="Y459" i="2" s="1"/>
  <c r="AA459" i="2" s="1"/>
  <c r="R463" i="2"/>
  <c r="X463" i="2"/>
  <c r="Y463" i="2" s="1"/>
  <c r="AA463" i="2" s="1"/>
  <c r="R467" i="2"/>
  <c r="R471" i="2"/>
  <c r="R202" i="2"/>
  <c r="X176" i="2"/>
  <c r="Y176" i="2" s="1"/>
  <c r="AA176" i="2" s="1"/>
  <c r="R165" i="2"/>
  <c r="X166" i="2"/>
  <c r="Y166" i="2" s="1"/>
  <c r="AA166" i="2" s="1"/>
  <c r="R521" i="2"/>
  <c r="R197" i="2"/>
  <c r="R211" i="2"/>
  <c r="R247" i="2"/>
  <c r="R253" i="2"/>
  <c r="R254" i="2"/>
  <c r="R264" i="2"/>
  <c r="R285" i="2"/>
  <c r="R286" i="2"/>
  <c r="R292" i="2"/>
  <c r="R328" i="2"/>
  <c r="Q482" i="2"/>
  <c r="X491" i="2"/>
  <c r="Y491" i="2" s="1"/>
  <c r="AA491" i="2" s="1"/>
  <c r="X175" i="2"/>
  <c r="Y175" i="2" s="1"/>
  <c r="AA175" i="2" s="1"/>
  <c r="Q419" i="2"/>
  <c r="R419" i="2" s="1"/>
  <c r="R448" i="2"/>
  <c r="X448" i="2"/>
  <c r="R452" i="2"/>
  <c r="X452" i="2"/>
  <c r="Y452" i="2" s="1"/>
  <c r="AA452" i="2" s="1"/>
  <c r="R456" i="2"/>
  <c r="X456" i="2"/>
  <c r="Y456" i="2" s="1"/>
  <c r="AA456" i="2" s="1"/>
  <c r="R460" i="2"/>
  <c r="X460" i="2"/>
  <c r="Y460" i="2" s="1"/>
  <c r="AA460" i="2" s="1"/>
  <c r="R464" i="2"/>
  <c r="X464" i="2"/>
  <c r="Y464" i="2" s="1"/>
  <c r="AA464" i="2" s="1"/>
  <c r="R468" i="2"/>
  <c r="R167" i="2"/>
  <c r="X171" i="2"/>
  <c r="Y171" i="2" s="1"/>
  <c r="AA171" i="2" s="1"/>
  <c r="R178" i="2"/>
  <c r="R183" i="2"/>
  <c r="R234" i="2"/>
  <c r="X235" i="2"/>
  <c r="Y235" i="2" s="1"/>
  <c r="AA235" i="2" s="1"/>
  <c r="R239" i="2"/>
  <c r="R246" i="2"/>
  <c r="R260" i="2"/>
  <c r="R263" i="2"/>
  <c r="X266" i="2"/>
  <c r="Y266" i="2" s="1"/>
  <c r="AA266" i="2" s="1"/>
  <c r="R282" i="2"/>
  <c r="R284" i="2"/>
  <c r="R294" i="2"/>
  <c r="X344" i="2"/>
  <c r="Y344" i="2" s="1"/>
  <c r="AA344" i="2" s="1"/>
  <c r="X431" i="2"/>
  <c r="Y431" i="2" s="1"/>
  <c r="AA431" i="2" s="1"/>
  <c r="R434" i="2"/>
  <c r="R489" i="2"/>
  <c r="P261" i="2"/>
  <c r="Q261" i="2" s="1"/>
  <c r="R261" i="2" s="1"/>
  <c r="X168" i="2"/>
  <c r="Y168" i="2" s="1"/>
  <c r="AA168" i="2" s="1"/>
  <c r="R172" i="2"/>
  <c r="R177" i="2"/>
  <c r="P181" i="2"/>
  <c r="Q181" i="2" s="1"/>
  <c r="Q230" i="2" s="1"/>
  <c r="R191" i="2"/>
  <c r="R245" i="2"/>
  <c r="R259" i="2"/>
  <c r="R262" i="2"/>
  <c r="X265" i="2"/>
  <c r="Y265" i="2" s="1"/>
  <c r="AA265" i="2" s="1"/>
  <c r="R281" i="2"/>
  <c r="R283" i="2"/>
  <c r="R295" i="2"/>
  <c r="R329" i="2"/>
  <c r="X330" i="2"/>
  <c r="Y330" i="2" s="1"/>
  <c r="AA330" i="2" s="1"/>
  <c r="R430" i="2"/>
  <c r="X293" i="2"/>
  <c r="Y293" i="2" s="1"/>
  <c r="AA293" i="2" s="1"/>
  <c r="X294" i="2"/>
  <c r="Y294" i="2" s="1"/>
  <c r="AA294" i="2" s="1"/>
  <c r="X295" i="2"/>
  <c r="Y295" i="2" s="1"/>
  <c r="AA295" i="2" s="1"/>
  <c r="X296" i="2"/>
  <c r="Y296" i="2" s="1"/>
  <c r="AA296" i="2" s="1"/>
  <c r="X393" i="2"/>
  <c r="Y393" i="2" s="1"/>
  <c r="AA393" i="2" s="1"/>
  <c r="P482" i="2"/>
  <c r="C58" i="1" s="1"/>
  <c r="Q485" i="2"/>
  <c r="Q343" i="2"/>
  <c r="R343" i="2" s="1"/>
  <c r="P347" i="2"/>
  <c r="Q347" i="2" s="1"/>
  <c r="Q78" i="2" l="1"/>
  <c r="R78" i="2" s="1"/>
  <c r="M164" i="4"/>
  <c r="M105" i="4"/>
  <c r="N105" i="4" s="1"/>
  <c r="O105" i="4" s="1"/>
  <c r="P105" i="4" s="1"/>
  <c r="Q105" i="4" s="1"/>
  <c r="S105" i="4" s="1"/>
  <c r="T105" i="4" s="1"/>
  <c r="U105" i="4" s="1"/>
  <c r="N104" i="4"/>
  <c r="O104" i="4" s="1"/>
  <c r="P104" i="4" s="1"/>
  <c r="S104" i="4"/>
  <c r="T104" i="4" s="1"/>
  <c r="U104" i="4" s="1"/>
  <c r="M144" i="4"/>
  <c r="N144" i="4" s="1"/>
  <c r="O144" i="4" s="1"/>
  <c r="P144" i="4" s="1"/>
  <c r="Q144" i="4" s="1"/>
  <c r="S144" i="4" s="1"/>
  <c r="T144" i="4" s="1"/>
  <c r="U144" i="4" s="1"/>
  <c r="N143" i="4"/>
  <c r="O143" i="4" s="1"/>
  <c r="P143" i="4" s="1"/>
  <c r="S143" i="4"/>
  <c r="T143" i="4" s="1"/>
  <c r="U143" i="4" s="1"/>
  <c r="N557" i="4"/>
  <c r="O557" i="4" s="1"/>
  <c r="P557" i="4" s="1"/>
  <c r="S557" i="4"/>
  <c r="T557" i="4" s="1"/>
  <c r="U557" i="4" s="1"/>
  <c r="M161" i="4"/>
  <c r="N161" i="4" s="1"/>
  <c r="O161" i="4" s="1"/>
  <c r="P161" i="4" s="1"/>
  <c r="Q161" i="4" s="1"/>
  <c r="S161" i="4" s="1"/>
  <c r="T161" i="4" s="1"/>
  <c r="U161" i="4" s="1"/>
  <c r="N160" i="4"/>
  <c r="O160" i="4" s="1"/>
  <c r="P160" i="4" s="1"/>
  <c r="S160" i="4"/>
  <c r="T160" i="4" s="1"/>
  <c r="U160" i="4" s="1"/>
  <c r="M66" i="4"/>
  <c r="N66" i="4" s="1"/>
  <c r="O66" i="4" s="1"/>
  <c r="P66" i="4" s="1"/>
  <c r="Q66" i="4" s="1"/>
  <c r="N65" i="4"/>
  <c r="O65" i="4" s="1"/>
  <c r="P65" i="4" s="1"/>
  <c r="S65" i="4"/>
  <c r="T65" i="4" s="1"/>
  <c r="U65" i="4" s="1"/>
  <c r="M475" i="4"/>
  <c r="N475" i="4" s="1"/>
  <c r="O475" i="4" s="1"/>
  <c r="P475" i="4" s="1"/>
  <c r="Q475" i="4" s="1"/>
  <c r="S475" i="4" s="1"/>
  <c r="T475" i="4" s="1"/>
  <c r="U475" i="4" s="1"/>
  <c r="N474" i="4"/>
  <c r="O474" i="4" s="1"/>
  <c r="P474" i="4" s="1"/>
  <c r="S474" i="4"/>
  <c r="T474" i="4" s="1"/>
  <c r="U474" i="4" s="1"/>
  <c r="M155" i="4"/>
  <c r="N155" i="4" s="1"/>
  <c r="O155" i="4" s="1"/>
  <c r="P155" i="4" s="1"/>
  <c r="Q155" i="4" s="1"/>
  <c r="N154" i="4"/>
  <c r="S154" i="4"/>
  <c r="M89" i="4"/>
  <c r="N89" i="4" s="1"/>
  <c r="O89" i="4" s="1"/>
  <c r="P89" i="4" s="1"/>
  <c r="Q89" i="4" s="1"/>
  <c r="N88" i="4"/>
  <c r="S88" i="4"/>
  <c r="M103" i="4"/>
  <c r="N103" i="4" s="1"/>
  <c r="O103" i="4" s="1"/>
  <c r="P103" i="4" s="1"/>
  <c r="Q103" i="4" s="1"/>
  <c r="S103" i="4" s="1"/>
  <c r="T103" i="4" s="1"/>
  <c r="U103" i="4" s="1"/>
  <c r="N102" i="4"/>
  <c r="O102" i="4" s="1"/>
  <c r="P102" i="4" s="1"/>
  <c r="S102" i="4"/>
  <c r="T102" i="4" s="1"/>
  <c r="U102" i="4" s="1"/>
  <c r="M125" i="4"/>
  <c r="N125" i="4" s="1"/>
  <c r="O125" i="4" s="1"/>
  <c r="P125" i="4" s="1"/>
  <c r="Q125" i="4" s="1"/>
  <c r="S125" i="4" s="1"/>
  <c r="T125" i="4" s="1"/>
  <c r="U125" i="4" s="1"/>
  <c r="N124" i="4"/>
  <c r="O124" i="4" s="1"/>
  <c r="P124" i="4" s="1"/>
  <c r="S124" i="4"/>
  <c r="T124" i="4" s="1"/>
  <c r="U124" i="4" s="1"/>
  <c r="M20" i="4"/>
  <c r="N20" i="4" s="1"/>
  <c r="O20" i="4" s="1"/>
  <c r="P20" i="4" s="1"/>
  <c r="Q20" i="4" s="1"/>
  <c r="N19" i="4"/>
  <c r="O19" i="4" s="1"/>
  <c r="P19" i="4" s="1"/>
  <c r="S19" i="4"/>
  <c r="T19" i="4" s="1"/>
  <c r="U19" i="4" s="1"/>
  <c r="M64" i="4"/>
  <c r="N64" i="4" s="1"/>
  <c r="O64" i="4" s="1"/>
  <c r="P64" i="4" s="1"/>
  <c r="Q64" i="4" s="1"/>
  <c r="N63" i="4"/>
  <c r="O63" i="4" s="1"/>
  <c r="P63" i="4" s="1"/>
  <c r="S63" i="4"/>
  <c r="T63" i="4" s="1"/>
  <c r="U63" i="4" s="1"/>
  <c r="Q92" i="2"/>
  <c r="M141" i="4"/>
  <c r="M152" i="4"/>
  <c r="N152" i="4" s="1"/>
  <c r="O152" i="4" s="1"/>
  <c r="P152" i="4" s="1"/>
  <c r="Q152" i="4" s="1"/>
  <c r="N151" i="4"/>
  <c r="S151" i="4"/>
  <c r="M101" i="4"/>
  <c r="N101" i="4" s="1"/>
  <c r="O101" i="4" s="1"/>
  <c r="P101" i="4" s="1"/>
  <c r="Q101" i="4" s="1"/>
  <c r="N100" i="4"/>
  <c r="S100" i="4"/>
  <c r="M123" i="4"/>
  <c r="N123" i="4" s="1"/>
  <c r="O123" i="4" s="1"/>
  <c r="P123" i="4" s="1"/>
  <c r="Q123" i="4" s="1"/>
  <c r="S123" i="4" s="1"/>
  <c r="T123" i="4" s="1"/>
  <c r="U123" i="4" s="1"/>
  <c r="M558" i="4"/>
  <c r="N558" i="4" s="1"/>
  <c r="O558" i="4" s="1"/>
  <c r="P558" i="4" s="1"/>
  <c r="Q558" i="4" s="1"/>
  <c r="S558" i="4" s="1"/>
  <c r="T558" i="4" s="1"/>
  <c r="U558" i="4" s="1"/>
  <c r="N122" i="4"/>
  <c r="O122" i="4" s="1"/>
  <c r="P122" i="4" s="1"/>
  <c r="S122" i="4"/>
  <c r="T122" i="4" s="1"/>
  <c r="U122" i="4" s="1"/>
  <c r="M570" i="4"/>
  <c r="N570" i="4" s="1"/>
  <c r="O570" i="4" s="1"/>
  <c r="P570" i="4" s="1"/>
  <c r="Q570" i="4" s="1"/>
  <c r="S570" i="4" s="1"/>
  <c r="T570" i="4" s="1"/>
  <c r="U570" i="4" s="1"/>
  <c r="N569" i="4"/>
  <c r="O569" i="4" s="1"/>
  <c r="P569" i="4" s="1"/>
  <c r="S569" i="4"/>
  <c r="T569" i="4" s="1"/>
  <c r="U569" i="4" s="1"/>
  <c r="N119" i="4"/>
  <c r="M62" i="4"/>
  <c r="N62" i="4" s="1"/>
  <c r="O62" i="4" s="1"/>
  <c r="P62" i="4" s="1"/>
  <c r="Q62" i="4" s="1"/>
  <c r="N61" i="4"/>
  <c r="O61" i="4" s="1"/>
  <c r="P61" i="4" s="1"/>
  <c r="S61" i="4"/>
  <c r="T61" i="4" s="1"/>
  <c r="U61" i="4" s="1"/>
  <c r="Q95" i="2"/>
  <c r="R95" i="2" s="1"/>
  <c r="M128" i="4"/>
  <c r="Q40" i="2"/>
  <c r="Q52" i="2" s="1"/>
  <c r="M54" i="4"/>
  <c r="Q11" i="2"/>
  <c r="M162" i="4"/>
  <c r="M460" i="4"/>
  <c r="N460" i="4" s="1"/>
  <c r="O460" i="4" s="1"/>
  <c r="P460" i="4" s="1"/>
  <c r="Q460" i="4" s="1"/>
  <c r="N459" i="4"/>
  <c r="S459" i="4"/>
  <c r="M159" i="4"/>
  <c r="N159" i="4" s="1"/>
  <c r="O159" i="4" s="1"/>
  <c r="P159" i="4" s="1"/>
  <c r="Q159" i="4" s="1"/>
  <c r="S159" i="4" s="1"/>
  <c r="T159" i="4" s="1"/>
  <c r="U159" i="4" s="1"/>
  <c r="N158" i="4"/>
  <c r="O158" i="4" s="1"/>
  <c r="P158" i="4" s="1"/>
  <c r="S158" i="4"/>
  <c r="T158" i="4" s="1"/>
  <c r="U158" i="4" s="1"/>
  <c r="M157" i="4"/>
  <c r="N157" i="4" s="1"/>
  <c r="O157" i="4" s="1"/>
  <c r="P157" i="4" s="1"/>
  <c r="Q157" i="4" s="1"/>
  <c r="S157" i="4" s="1"/>
  <c r="T157" i="4" s="1"/>
  <c r="U157" i="4" s="1"/>
  <c r="N156" i="4"/>
  <c r="O156" i="4" s="1"/>
  <c r="P156" i="4" s="1"/>
  <c r="S156" i="4"/>
  <c r="T156" i="4" s="1"/>
  <c r="U156" i="4" s="1"/>
  <c r="M22" i="4"/>
  <c r="N22" i="4" s="1"/>
  <c r="O22" i="4" s="1"/>
  <c r="P22" i="4" s="1"/>
  <c r="Q22" i="4" s="1"/>
  <c r="S22" i="4" s="1"/>
  <c r="T22" i="4" s="1"/>
  <c r="U22" i="4" s="1"/>
  <c r="N21" i="4"/>
  <c r="O21" i="4" s="1"/>
  <c r="P21" i="4" s="1"/>
  <c r="S21" i="4"/>
  <c r="T21" i="4" s="1"/>
  <c r="U21" i="4" s="1"/>
  <c r="M555" i="4"/>
  <c r="N555" i="4" s="1"/>
  <c r="O555" i="4" s="1"/>
  <c r="P555" i="4" s="1"/>
  <c r="Q555" i="4" s="1"/>
  <c r="N554" i="4"/>
  <c r="O554" i="4" s="1"/>
  <c r="P554" i="4" s="1"/>
  <c r="S554" i="4"/>
  <c r="T554" i="4" s="1"/>
  <c r="U554" i="4" s="1"/>
  <c r="M121" i="4"/>
  <c r="N121" i="4" s="1"/>
  <c r="O121" i="4" s="1"/>
  <c r="P121" i="4" s="1"/>
  <c r="Q121" i="4" s="1"/>
  <c r="S121" i="4" s="1"/>
  <c r="T121" i="4" s="1"/>
  <c r="U121" i="4" s="1"/>
  <c r="N120" i="4"/>
  <c r="O120" i="4" s="1"/>
  <c r="P120" i="4" s="1"/>
  <c r="S120" i="4"/>
  <c r="T120" i="4" s="1"/>
  <c r="U120" i="4" s="1"/>
  <c r="M57" i="4"/>
  <c r="N57" i="4" s="1"/>
  <c r="O57" i="4" s="1"/>
  <c r="P57" i="4" s="1"/>
  <c r="Q57" i="4" s="1"/>
  <c r="N56" i="4"/>
  <c r="O56" i="4" s="1"/>
  <c r="P56" i="4" s="1"/>
  <c r="S56" i="4"/>
  <c r="T56" i="4" s="1"/>
  <c r="U56" i="4" s="1"/>
  <c r="Q94" i="2"/>
  <c r="M126" i="4"/>
  <c r="N119" i="2"/>
  <c r="AR195" i="2"/>
  <c r="N504" i="2"/>
  <c r="T123" i="2"/>
  <c r="AR182" i="2"/>
  <c r="AL343" i="2"/>
  <c r="AP343" i="2"/>
  <c r="AJ493" i="2"/>
  <c r="AR186" i="2"/>
  <c r="AL174" i="2"/>
  <c r="AP201" i="2"/>
  <c r="AL201" i="2"/>
  <c r="AL94" i="2"/>
  <c r="AJ419" i="2"/>
  <c r="AJ445" i="2" s="1"/>
  <c r="AJ243" i="2"/>
  <c r="AL243" i="2" s="1"/>
  <c r="AP213" i="2"/>
  <c r="AL213" i="2"/>
  <c r="AP205" i="2"/>
  <c r="AL205" i="2"/>
  <c r="AL344" i="2"/>
  <c r="AL199" i="2"/>
  <c r="AL177" i="2"/>
  <c r="AJ181" i="2"/>
  <c r="AJ230" i="2" s="1"/>
  <c r="AL211" i="2"/>
  <c r="AL208" i="2"/>
  <c r="AL197" i="2"/>
  <c r="AP392" i="2"/>
  <c r="AJ397" i="2"/>
  <c r="AL178" i="2"/>
  <c r="AL342" i="2"/>
  <c r="AL215" i="2"/>
  <c r="AL212" i="2"/>
  <c r="AL207" i="2"/>
  <c r="AL204" i="2"/>
  <c r="AL196" i="2"/>
  <c r="AL92" i="2"/>
  <c r="AL193" i="2"/>
  <c r="AL175" i="2"/>
  <c r="AJ95" i="2"/>
  <c r="AJ102" i="2" s="1"/>
  <c r="AJ261" i="2"/>
  <c r="AJ78" i="2"/>
  <c r="AJ347" i="2"/>
  <c r="AJ327" i="2"/>
  <c r="AJ339" i="2" s="1"/>
  <c r="AJ40" i="2"/>
  <c r="AL202" i="2"/>
  <c r="AL200" i="2"/>
  <c r="AL93" i="2"/>
  <c r="AL194" i="2"/>
  <c r="AL176" i="2"/>
  <c r="AP344" i="2"/>
  <c r="AP209" i="2"/>
  <c r="AL209" i="2"/>
  <c r="AP199" i="2"/>
  <c r="AL393" i="2"/>
  <c r="AL458" i="2"/>
  <c r="AL450" i="2"/>
  <c r="AP482" i="2"/>
  <c r="AP432" i="2"/>
  <c r="AL432" i="2"/>
  <c r="AL430" i="2"/>
  <c r="AL423" i="2"/>
  <c r="AL415" i="2"/>
  <c r="AL407" i="2"/>
  <c r="AP291" i="2"/>
  <c r="AL291" i="2"/>
  <c r="AL287" i="2"/>
  <c r="AL283" i="2"/>
  <c r="AL168" i="2"/>
  <c r="AL73" i="2"/>
  <c r="AL25" i="2"/>
  <c r="AL19" i="2"/>
  <c r="AP330" i="2"/>
  <c r="AL330" i="2"/>
  <c r="AL246" i="2"/>
  <c r="AL244" i="2"/>
  <c r="AL190" i="2"/>
  <c r="AL183" i="2"/>
  <c r="AL12" i="2"/>
  <c r="AL457" i="2"/>
  <c r="AL449" i="2"/>
  <c r="AL422" i="2"/>
  <c r="AL420" i="2"/>
  <c r="AL412" i="2"/>
  <c r="AL404" i="2"/>
  <c r="AL292" i="2"/>
  <c r="AL284" i="2"/>
  <c r="AL171" i="2"/>
  <c r="AL163" i="2"/>
  <c r="AL155" i="2"/>
  <c r="AL147" i="2"/>
  <c r="AL139" i="2"/>
  <c r="AL131" i="2"/>
  <c r="AL123" i="2"/>
  <c r="AR121" i="2"/>
  <c r="AL74" i="2"/>
  <c r="AL21" i="2"/>
  <c r="AL14" i="2"/>
  <c r="AJ11" i="2"/>
  <c r="AP11" i="2"/>
  <c r="AL487" i="2"/>
  <c r="AL349" i="2"/>
  <c r="AP260" i="2"/>
  <c r="AL260" i="2"/>
  <c r="AL249" i="2"/>
  <c r="AL247" i="2"/>
  <c r="AL191" i="2"/>
  <c r="AJ52" i="2"/>
  <c r="AL40" i="2"/>
  <c r="AP493" i="2"/>
  <c r="AL493" i="2"/>
  <c r="AL426" i="2"/>
  <c r="AL417" i="2"/>
  <c r="AL409" i="2"/>
  <c r="AL402" i="2"/>
  <c r="AL289" i="2"/>
  <c r="AL166" i="2"/>
  <c r="AL75" i="2"/>
  <c r="AL23" i="2"/>
  <c r="AL488" i="2"/>
  <c r="AP269" i="2"/>
  <c r="AL269" i="2"/>
  <c r="AL267" i="2"/>
  <c r="AL250" i="2"/>
  <c r="AL248" i="2"/>
  <c r="AL233" i="2"/>
  <c r="AL188" i="2"/>
  <c r="AL180" i="2"/>
  <c r="AL431" i="2"/>
  <c r="AL414" i="2"/>
  <c r="AL406" i="2"/>
  <c r="AL290" i="2"/>
  <c r="AL288" i="2"/>
  <c r="AL169" i="2"/>
  <c r="AL22" i="2"/>
  <c r="AL491" i="2"/>
  <c r="AP329" i="2"/>
  <c r="AP339" i="2" s="1"/>
  <c r="AL329" i="2"/>
  <c r="AL266" i="2"/>
  <c r="AL255" i="2"/>
  <c r="AL251" i="2"/>
  <c r="AL239" i="2"/>
  <c r="AL234" i="2"/>
  <c r="AL189" i="2"/>
  <c r="AR497" i="2"/>
  <c r="AL470" i="2"/>
  <c r="AL468" i="2"/>
  <c r="AL464" i="2"/>
  <c r="AL462" i="2"/>
  <c r="AL460" i="2"/>
  <c r="AL456" i="2"/>
  <c r="AL454" i="2"/>
  <c r="AL452" i="2"/>
  <c r="AJ482" i="2"/>
  <c r="AL448" i="2"/>
  <c r="AP428" i="2"/>
  <c r="AL428" i="2"/>
  <c r="AL411" i="2"/>
  <c r="AL403" i="2"/>
  <c r="AP295" i="2"/>
  <c r="AP324" i="2" s="1"/>
  <c r="AL295" i="2"/>
  <c r="AL293" i="2"/>
  <c r="AL172" i="2"/>
  <c r="AL164" i="2"/>
  <c r="AL160" i="2"/>
  <c r="AL158" i="2"/>
  <c r="AL156" i="2"/>
  <c r="AL152" i="2"/>
  <c r="AL150" i="2"/>
  <c r="AL148" i="2"/>
  <c r="AL144" i="2"/>
  <c r="AL142" i="2"/>
  <c r="AL140" i="2"/>
  <c r="AL136" i="2"/>
  <c r="AL134" i="2"/>
  <c r="AL132" i="2"/>
  <c r="AL128" i="2"/>
  <c r="AL126" i="2"/>
  <c r="AL124" i="2"/>
  <c r="AL18" i="2"/>
  <c r="AL91" i="2"/>
  <c r="AP490" i="2"/>
  <c r="AL490" i="2"/>
  <c r="AL348" i="2"/>
  <c r="AL346" i="2"/>
  <c r="AP265" i="2"/>
  <c r="AL265" i="2"/>
  <c r="AL263" i="2"/>
  <c r="AL257" i="2"/>
  <c r="AL240" i="2"/>
  <c r="AL235" i="2"/>
  <c r="AL45" i="2"/>
  <c r="AL43" i="2"/>
  <c r="AL471" i="2"/>
  <c r="AL469" i="2"/>
  <c r="AL467" i="2"/>
  <c r="AL463" i="2"/>
  <c r="AL461" i="2"/>
  <c r="AL459" i="2"/>
  <c r="AL455" i="2"/>
  <c r="AL453" i="2"/>
  <c r="AL451" i="2"/>
  <c r="AP433" i="2"/>
  <c r="AL433" i="2"/>
  <c r="AL425" i="2"/>
  <c r="AL416" i="2"/>
  <c r="AL408" i="2"/>
  <c r="AL296" i="2"/>
  <c r="AL167" i="2"/>
  <c r="AL76" i="2"/>
  <c r="AP489" i="2"/>
  <c r="AL489" i="2"/>
  <c r="AP349" i="2"/>
  <c r="AP268" i="2"/>
  <c r="AL268" i="2"/>
  <c r="AL262" i="2"/>
  <c r="AL256" i="2"/>
  <c r="AL253" i="2"/>
  <c r="AL241" i="2"/>
  <c r="AL236" i="2"/>
  <c r="AL187" i="2"/>
  <c r="AL492" i="2"/>
  <c r="AP494" i="2"/>
  <c r="AL494" i="2"/>
  <c r="AL466" i="2"/>
  <c r="AL434" i="2"/>
  <c r="AL421" i="2"/>
  <c r="AL413" i="2"/>
  <c r="AL405" i="2"/>
  <c r="AL285" i="2"/>
  <c r="AL281" i="2"/>
  <c r="AJ324" i="2"/>
  <c r="AL170" i="2"/>
  <c r="AL162" i="2"/>
  <c r="AL154" i="2"/>
  <c r="AL146" i="2"/>
  <c r="AL138" i="2"/>
  <c r="AL130" i="2"/>
  <c r="AL122" i="2"/>
  <c r="AL79" i="2"/>
  <c r="AL77" i="2"/>
  <c r="AL486" i="2"/>
  <c r="AL328" i="2"/>
  <c r="AP261" i="2"/>
  <c r="AL261" i="2"/>
  <c r="AL259" i="2"/>
  <c r="AL254" i="2"/>
  <c r="AL242" i="2"/>
  <c r="AL238" i="2"/>
  <c r="AL185" i="2"/>
  <c r="AL41" i="2"/>
  <c r="AL465" i="2"/>
  <c r="AP429" i="2"/>
  <c r="AL429" i="2"/>
  <c r="AL427" i="2"/>
  <c r="AL418" i="2"/>
  <c r="AL410" i="2"/>
  <c r="AL401" i="2"/>
  <c r="AL294" i="2"/>
  <c r="AL286" i="2"/>
  <c r="AL282" i="2"/>
  <c r="AL165" i="2"/>
  <c r="AL161" i="2"/>
  <c r="AL159" i="2"/>
  <c r="AL157" i="2"/>
  <c r="AL153" i="2"/>
  <c r="AL151" i="2"/>
  <c r="AL149" i="2"/>
  <c r="AL145" i="2"/>
  <c r="AL143" i="2"/>
  <c r="AL141" i="2"/>
  <c r="AL137" i="2"/>
  <c r="AL135" i="2"/>
  <c r="AL133" i="2"/>
  <c r="AL129" i="2"/>
  <c r="AL127" i="2"/>
  <c r="AL125" i="2"/>
  <c r="AL78" i="2"/>
  <c r="AL72" i="2"/>
  <c r="AJ86" i="2"/>
  <c r="AL24" i="2"/>
  <c r="AL20" i="2"/>
  <c r="AL13" i="2"/>
  <c r="AP491" i="2"/>
  <c r="AJ502" i="2"/>
  <c r="AL485" i="2"/>
  <c r="AP264" i="2"/>
  <c r="AL264" i="2"/>
  <c r="AL258" i="2"/>
  <c r="AL245" i="2"/>
  <c r="AL184" i="2"/>
  <c r="AL44" i="2"/>
  <c r="AL42" i="2"/>
  <c r="AP46" i="2"/>
  <c r="AR46" i="2" s="1"/>
  <c r="AB472" i="2"/>
  <c r="AC472" i="2" s="1"/>
  <c r="AR472" i="2" s="1"/>
  <c r="N389" i="2"/>
  <c r="C32" i="1"/>
  <c r="T193" i="2"/>
  <c r="X193" i="2" s="1"/>
  <c r="Y193" i="2" s="1"/>
  <c r="AA193" i="2" s="1"/>
  <c r="V40" i="2"/>
  <c r="X243" i="2"/>
  <c r="Y243" i="2" s="1"/>
  <c r="AA243" i="2" s="1"/>
  <c r="Q37" i="2"/>
  <c r="X40" i="2"/>
  <c r="Y40" i="2" s="1"/>
  <c r="AB404" i="2"/>
  <c r="AC404" i="2" s="1"/>
  <c r="AN404" i="2" s="1"/>
  <c r="AR404" i="2" s="1"/>
  <c r="T154" i="2"/>
  <c r="AB174" i="2"/>
  <c r="AC174" i="2" s="1"/>
  <c r="T174" i="2"/>
  <c r="P230" i="2"/>
  <c r="T414" i="2"/>
  <c r="V150" i="2"/>
  <c r="AB150" i="2" s="1"/>
  <c r="AC150" i="2" s="1"/>
  <c r="AB408" i="2"/>
  <c r="AC408" i="2" s="1"/>
  <c r="AN408" i="2" s="1"/>
  <c r="AR408" i="2" s="1"/>
  <c r="P102" i="2"/>
  <c r="T427" i="2"/>
  <c r="X427" i="2" s="1"/>
  <c r="Y427" i="2" s="1"/>
  <c r="AA427" i="2" s="1"/>
  <c r="V164" i="2"/>
  <c r="AB164" i="2" s="1"/>
  <c r="AC164" i="2" s="1"/>
  <c r="AN164" i="2" s="1"/>
  <c r="AR164" i="2" s="1"/>
  <c r="V134" i="2"/>
  <c r="AB134" i="2" s="1"/>
  <c r="AC134" i="2" s="1"/>
  <c r="AB418" i="2"/>
  <c r="AC418" i="2" s="1"/>
  <c r="V160" i="2"/>
  <c r="AB160" i="2" s="1"/>
  <c r="AC160" i="2" s="1"/>
  <c r="AN160" i="2" s="1"/>
  <c r="AR160" i="2" s="1"/>
  <c r="V170" i="2"/>
  <c r="AB170" i="2" s="1"/>
  <c r="AC170" i="2" s="1"/>
  <c r="P52" i="2"/>
  <c r="AB409" i="2"/>
  <c r="AC409" i="2" s="1"/>
  <c r="T159" i="2"/>
  <c r="Q327" i="2"/>
  <c r="Q339" i="2" s="1"/>
  <c r="T411" i="2"/>
  <c r="V136" i="2"/>
  <c r="AB136" i="2" s="1"/>
  <c r="AC136" i="2" s="1"/>
  <c r="AN136" i="2" s="1"/>
  <c r="AR136" i="2" s="1"/>
  <c r="V420" i="2"/>
  <c r="AB420" i="2" s="1"/>
  <c r="AC420" i="2" s="1"/>
  <c r="AN420" i="2" s="1"/>
  <c r="AR420" i="2" s="1"/>
  <c r="V243" i="2"/>
  <c r="V129" i="2"/>
  <c r="AB129" i="2" s="1"/>
  <c r="AC129" i="2" s="1"/>
  <c r="AN129" i="2" s="1"/>
  <c r="AR129" i="2" s="1"/>
  <c r="T138" i="2"/>
  <c r="V393" i="2"/>
  <c r="AB393" i="2" s="1"/>
  <c r="AC393" i="2" s="1"/>
  <c r="T93" i="2"/>
  <c r="X93" i="2" s="1"/>
  <c r="Y93" i="2" s="1"/>
  <c r="AA93" i="2" s="1"/>
  <c r="AB93" i="2" s="1"/>
  <c r="AC93" i="2" s="1"/>
  <c r="V249" i="2"/>
  <c r="AB249" i="2" s="1"/>
  <c r="AC249" i="2" s="1"/>
  <c r="T429" i="2"/>
  <c r="X429" i="2" s="1"/>
  <c r="Y429" i="2" s="1"/>
  <c r="AA429" i="2" s="1"/>
  <c r="AB429" i="2" s="1"/>
  <c r="AC429" i="2" s="1"/>
  <c r="T92" i="2"/>
  <c r="X92" i="2" s="1"/>
  <c r="Y92" i="2" s="1"/>
  <c r="AA92" i="2" s="1"/>
  <c r="AB92" i="2" s="1"/>
  <c r="AC92" i="2" s="1"/>
  <c r="AB417" i="2"/>
  <c r="AC417" i="2" s="1"/>
  <c r="AB526" i="2"/>
  <c r="AC526" i="2" s="1"/>
  <c r="V423" i="2"/>
  <c r="AB423" i="2" s="1"/>
  <c r="AC423" i="2" s="1"/>
  <c r="AN423" i="2" s="1"/>
  <c r="AR423" i="2" s="1"/>
  <c r="V487" i="2"/>
  <c r="AB487" i="2" s="1"/>
  <c r="AC487" i="2" s="1"/>
  <c r="T149" i="2"/>
  <c r="V131" i="2"/>
  <c r="AB131" i="2" s="1"/>
  <c r="AC131" i="2" s="1"/>
  <c r="AN131" i="2" s="1"/>
  <c r="T199" i="2"/>
  <c r="X199" i="2" s="1"/>
  <c r="Y199" i="2" s="1"/>
  <c r="AA199" i="2" s="1"/>
  <c r="AB199" i="2" s="1"/>
  <c r="AC199" i="2" s="1"/>
  <c r="AR199" i="2" s="1"/>
  <c r="V426" i="2"/>
  <c r="AB426" i="2" s="1"/>
  <c r="AC426" i="2" s="1"/>
  <c r="V402" i="2"/>
  <c r="AB402" i="2" s="1"/>
  <c r="AC402" i="2" s="1"/>
  <c r="T156" i="2"/>
  <c r="V148" i="2"/>
  <c r="AB148" i="2" s="1"/>
  <c r="AC148" i="2" s="1"/>
  <c r="AN148" i="2" s="1"/>
  <c r="AR148" i="2" s="1"/>
  <c r="V537" i="2"/>
  <c r="AB537" i="2" s="1"/>
  <c r="AC537" i="2" s="1"/>
  <c r="V125" i="2"/>
  <c r="AB125" i="2" s="1"/>
  <c r="AC125" i="2" s="1"/>
  <c r="AN125" i="2" s="1"/>
  <c r="AR125" i="2" s="1"/>
  <c r="AB411" i="2"/>
  <c r="AC411" i="2" s="1"/>
  <c r="AN411" i="2" s="1"/>
  <c r="AR411" i="2" s="1"/>
  <c r="V248" i="2"/>
  <c r="AB248" i="2" s="1"/>
  <c r="AC248" i="2" s="1"/>
  <c r="AN248" i="2" s="1"/>
  <c r="AR248" i="2" s="1"/>
  <c r="T171" i="2"/>
  <c r="V166" i="2"/>
  <c r="AB166" i="2" s="1"/>
  <c r="AC166" i="2" s="1"/>
  <c r="X493" i="2"/>
  <c r="Y493" i="2" s="1"/>
  <c r="AA493" i="2" s="1"/>
  <c r="AB493" i="2" s="1"/>
  <c r="AC493" i="2" s="1"/>
  <c r="AR493" i="2" s="1"/>
  <c r="P502" i="2"/>
  <c r="Q502" i="2"/>
  <c r="AB171" i="2"/>
  <c r="AC171" i="2" s="1"/>
  <c r="AN171" i="2" s="1"/>
  <c r="AR171" i="2" s="1"/>
  <c r="AB414" i="2"/>
  <c r="AC414" i="2" s="1"/>
  <c r="V413" i="2"/>
  <c r="AB413" i="2" s="1"/>
  <c r="AC413" i="2" s="1"/>
  <c r="V406" i="2"/>
  <c r="AB406" i="2" s="1"/>
  <c r="AC406" i="2" s="1"/>
  <c r="V244" i="2"/>
  <c r="AB244" i="2" s="1"/>
  <c r="AC244" i="2" s="1"/>
  <c r="AN244" i="2" s="1"/>
  <c r="AR244" i="2" s="1"/>
  <c r="V44" i="2"/>
  <c r="AB44" i="2" s="1"/>
  <c r="AC44" i="2" s="1"/>
  <c r="V161" i="2"/>
  <c r="AB161" i="2" s="1"/>
  <c r="AC161" i="2" s="1"/>
  <c r="AN161" i="2" s="1"/>
  <c r="AR161" i="2" s="1"/>
  <c r="V158" i="2"/>
  <c r="AB158" i="2" s="1"/>
  <c r="AC158" i="2" s="1"/>
  <c r="V255" i="2"/>
  <c r="AB255" i="2" s="1"/>
  <c r="AC255" i="2" s="1"/>
  <c r="AN255" i="2" s="1"/>
  <c r="AR255" i="2" s="1"/>
  <c r="T404" i="2"/>
  <c r="T168" i="2"/>
  <c r="V267" i="2"/>
  <c r="AB267" i="2" s="1"/>
  <c r="AC267" i="2" s="1"/>
  <c r="AR267" i="2" s="1"/>
  <c r="AB427" i="2"/>
  <c r="AC427" i="2" s="1"/>
  <c r="AR427" i="2" s="1"/>
  <c r="V140" i="2"/>
  <c r="AB140" i="2" s="1"/>
  <c r="AC140" i="2" s="1"/>
  <c r="AN140" i="2" s="1"/>
  <c r="AR140" i="2" s="1"/>
  <c r="V126" i="2"/>
  <c r="AB126" i="2" s="1"/>
  <c r="AC126" i="2" s="1"/>
  <c r="AB180" i="2"/>
  <c r="AC180" i="2" s="1"/>
  <c r="AN180" i="2" s="1"/>
  <c r="AR180" i="2" s="1"/>
  <c r="R502" i="2"/>
  <c r="T488" i="2"/>
  <c r="X488" i="2" s="1"/>
  <c r="Y488" i="2" s="1"/>
  <c r="AA488" i="2" s="1"/>
  <c r="AB488" i="2" s="1"/>
  <c r="AC488" i="2" s="1"/>
  <c r="AN488" i="2" s="1"/>
  <c r="AR488" i="2" s="1"/>
  <c r="T18" i="2"/>
  <c r="X18" i="2" s="1"/>
  <c r="Y18" i="2" s="1"/>
  <c r="AA18" i="2" s="1"/>
  <c r="AB18" i="2" s="1"/>
  <c r="AC18" i="2" s="1"/>
  <c r="V431" i="2"/>
  <c r="AB431" i="2" s="1"/>
  <c r="AC431" i="2" s="1"/>
  <c r="AR431" i="2" s="1"/>
  <c r="T527" i="2"/>
  <c r="T415" i="2"/>
  <c r="AB401" i="2"/>
  <c r="AC401" i="2" s="1"/>
  <c r="V257" i="2"/>
  <c r="AB257" i="2" s="1"/>
  <c r="AC257" i="2" s="1"/>
  <c r="T288" i="2"/>
  <c r="X288" i="2" s="1"/>
  <c r="Y288" i="2" s="1"/>
  <c r="AA288" i="2" s="1"/>
  <c r="AB288" i="2" s="1"/>
  <c r="AC288" i="2" s="1"/>
  <c r="AN288" i="2" s="1"/>
  <c r="V269" i="2"/>
  <c r="AB269" i="2" s="1"/>
  <c r="AC269" i="2" s="1"/>
  <c r="AB235" i="2"/>
  <c r="AC235" i="2" s="1"/>
  <c r="AN235" i="2" s="1"/>
  <c r="AR235" i="2" s="1"/>
  <c r="V256" i="2"/>
  <c r="AB256" i="2" s="1"/>
  <c r="AC256" i="2" s="1"/>
  <c r="AN256" i="2" s="1"/>
  <c r="AR256" i="2" s="1"/>
  <c r="V348" i="2"/>
  <c r="AB348" i="2" s="1"/>
  <c r="AC348" i="2" s="1"/>
  <c r="AN348" i="2" s="1"/>
  <c r="AR348" i="2" s="1"/>
  <c r="V410" i="2"/>
  <c r="AB410" i="2" s="1"/>
  <c r="AC410" i="2" s="1"/>
  <c r="V342" i="2"/>
  <c r="T409" i="2"/>
  <c r="T235" i="2"/>
  <c r="V433" i="2"/>
  <c r="AB433" i="2" s="1"/>
  <c r="AC433" i="2" s="1"/>
  <c r="T422" i="2"/>
  <c r="X422" i="2" s="1"/>
  <c r="Y422" i="2" s="1"/>
  <c r="AA422" i="2" s="1"/>
  <c r="AB422" i="2" s="1"/>
  <c r="AC422" i="2" s="1"/>
  <c r="V201" i="2"/>
  <c r="AB201" i="2" s="1"/>
  <c r="AC201" i="2" s="1"/>
  <c r="T130" i="2"/>
  <c r="V124" i="2"/>
  <c r="AB124" i="2" s="1"/>
  <c r="AC124" i="2" s="1"/>
  <c r="AN124" i="2" s="1"/>
  <c r="AR124" i="2" s="1"/>
  <c r="T240" i="2"/>
  <c r="X240" i="2" s="1"/>
  <c r="Y240" i="2" s="1"/>
  <c r="AA240" i="2" s="1"/>
  <c r="AB240" i="2" s="1"/>
  <c r="V215" i="2"/>
  <c r="AB215" i="2" s="1"/>
  <c r="AC215" i="2" s="1"/>
  <c r="AR215" i="2" s="1"/>
  <c r="T175" i="2"/>
  <c r="AB416" i="2"/>
  <c r="AC416" i="2" s="1"/>
  <c r="AN416" i="2" s="1"/>
  <c r="AR416" i="2" s="1"/>
  <c r="T526" i="2"/>
  <c r="V25" i="2"/>
  <c r="AB25" i="2" s="1"/>
  <c r="AC25" i="2" s="1"/>
  <c r="V163" i="2"/>
  <c r="AB163" i="2" s="1"/>
  <c r="AC163" i="2" s="1"/>
  <c r="AN163" i="2" s="1"/>
  <c r="AR163" i="2" s="1"/>
  <c r="T139" i="2"/>
  <c r="T417" i="2"/>
  <c r="T403" i="2"/>
  <c r="V213" i="2"/>
  <c r="AB213" i="2" s="1"/>
  <c r="AC213" i="2" s="1"/>
  <c r="T412" i="2"/>
  <c r="T266" i="2"/>
  <c r="V196" i="2"/>
  <c r="AB196" i="2" s="1"/>
  <c r="AC196" i="2" s="1"/>
  <c r="AN196" i="2" s="1"/>
  <c r="AR196" i="2" s="1"/>
  <c r="T152" i="2"/>
  <c r="T142" i="2"/>
  <c r="T519" i="2"/>
  <c r="V212" i="2"/>
  <c r="AB212" i="2" s="1"/>
  <c r="AC212" i="2" s="1"/>
  <c r="AR212" i="2" s="1"/>
  <c r="T251" i="2"/>
  <c r="X251" i="2" s="1"/>
  <c r="Y251" i="2" s="1"/>
  <c r="AA251" i="2" s="1"/>
  <c r="AB251" i="2" s="1"/>
  <c r="AC251" i="2" s="1"/>
  <c r="AN251" i="2" s="1"/>
  <c r="AR251" i="2" s="1"/>
  <c r="AB349" i="2"/>
  <c r="AC349" i="2" s="1"/>
  <c r="V291" i="2"/>
  <c r="AB291" i="2" s="1"/>
  <c r="AC291" i="2" s="1"/>
  <c r="AR291" i="2" s="1"/>
  <c r="T289" i="2"/>
  <c r="X289" i="2" s="1"/>
  <c r="Y289" i="2" s="1"/>
  <c r="AA289" i="2" s="1"/>
  <c r="AB289" i="2" s="1"/>
  <c r="AC289" i="2" s="1"/>
  <c r="AB412" i="2"/>
  <c r="AC412" i="2" s="1"/>
  <c r="AN412" i="2" s="1"/>
  <c r="AR412" i="2" s="1"/>
  <c r="T41" i="2"/>
  <c r="X41" i="2" s="1"/>
  <c r="Y41" i="2" s="1"/>
  <c r="AA41" i="2" s="1"/>
  <c r="AB41" i="2" s="1"/>
  <c r="AC41" i="2" s="1"/>
  <c r="AN41" i="2" s="1"/>
  <c r="AR41" i="2" s="1"/>
  <c r="T494" i="2"/>
  <c r="T42" i="2"/>
  <c r="X42" i="2" s="1"/>
  <c r="Y42" i="2" s="1"/>
  <c r="AA42" i="2" s="1"/>
  <c r="AB42" i="2" s="1"/>
  <c r="AC42" i="2" s="1"/>
  <c r="AN42" i="2" s="1"/>
  <c r="AR42" i="2" s="1"/>
  <c r="V346" i="2"/>
  <c r="AB346" i="2" s="1"/>
  <c r="AC346" i="2" s="1"/>
  <c r="AN346" i="2" s="1"/>
  <c r="AR346" i="2" s="1"/>
  <c r="R52" i="2"/>
  <c r="AB139" i="2"/>
  <c r="AC139" i="2" s="1"/>
  <c r="AN139" i="2" s="1"/>
  <c r="AR139" i="2" s="1"/>
  <c r="AB403" i="2"/>
  <c r="AC403" i="2" s="1"/>
  <c r="AN403" i="2" s="1"/>
  <c r="AR403" i="2" s="1"/>
  <c r="AB175" i="2"/>
  <c r="AC175" i="2" s="1"/>
  <c r="AN175" i="2" s="1"/>
  <c r="AR175" i="2" s="1"/>
  <c r="AB415" i="2"/>
  <c r="AC415" i="2" s="1"/>
  <c r="AN415" i="2" s="1"/>
  <c r="AR415" i="2" s="1"/>
  <c r="V432" i="2"/>
  <c r="AB432" i="2" s="1"/>
  <c r="AC432" i="2" s="1"/>
  <c r="AB159" i="2"/>
  <c r="AC159" i="2" s="1"/>
  <c r="AN159" i="2" s="1"/>
  <c r="AR159" i="2" s="1"/>
  <c r="T23" i="2"/>
  <c r="X23" i="2" s="1"/>
  <c r="Y23" i="2" s="1"/>
  <c r="AA23" i="2" s="1"/>
  <c r="AB23" i="2" s="1"/>
  <c r="AC23" i="2" s="1"/>
  <c r="AN23" i="2" s="1"/>
  <c r="T185" i="2"/>
  <c r="X185" i="2" s="1"/>
  <c r="Y185" i="2" s="1"/>
  <c r="AA185" i="2" s="1"/>
  <c r="AB185" i="2" s="1"/>
  <c r="AC185" i="2" s="1"/>
  <c r="V428" i="2"/>
  <c r="AB428" i="2" s="1"/>
  <c r="AC428" i="2" s="1"/>
  <c r="V517" i="2"/>
  <c r="T176" i="2"/>
  <c r="V541" i="2"/>
  <c r="AB541" i="2" s="1"/>
  <c r="AC541" i="2" s="1"/>
  <c r="AB494" i="2"/>
  <c r="AC494" i="2" s="1"/>
  <c r="Q356" i="2"/>
  <c r="T418" i="2"/>
  <c r="V405" i="2"/>
  <c r="AB405" i="2" s="1"/>
  <c r="AC405" i="2" s="1"/>
  <c r="V153" i="2"/>
  <c r="AB153" i="2" s="1"/>
  <c r="AC153" i="2" s="1"/>
  <c r="AN153" i="2" s="1"/>
  <c r="AR153" i="2" s="1"/>
  <c r="T94" i="2"/>
  <c r="X94" i="2" s="1"/>
  <c r="Y94" i="2" s="1"/>
  <c r="AA94" i="2" s="1"/>
  <c r="AB94" i="2" s="1"/>
  <c r="AC94" i="2" s="1"/>
  <c r="AN94" i="2" s="1"/>
  <c r="AR94" i="2" s="1"/>
  <c r="AB123" i="2"/>
  <c r="AC123" i="2" s="1"/>
  <c r="AN123" i="2" s="1"/>
  <c r="AR123" i="2" s="1"/>
  <c r="V194" i="2"/>
  <c r="AB194" i="2" s="1"/>
  <c r="AC194" i="2" s="1"/>
  <c r="V258" i="2"/>
  <c r="AB258" i="2" s="1"/>
  <c r="AC258" i="2" s="1"/>
  <c r="AN258" i="2" s="1"/>
  <c r="T43" i="2"/>
  <c r="X43" i="2" s="1"/>
  <c r="Y43" i="2" s="1"/>
  <c r="AA43" i="2" s="1"/>
  <c r="AB43" i="2" s="1"/>
  <c r="AC43" i="2" s="1"/>
  <c r="AN43" i="2" s="1"/>
  <c r="AB149" i="2"/>
  <c r="AC149" i="2" s="1"/>
  <c r="AN149" i="2" s="1"/>
  <c r="AR149" i="2" s="1"/>
  <c r="V24" i="2"/>
  <c r="AB24" i="2" s="1"/>
  <c r="AC24" i="2" s="1"/>
  <c r="T143" i="2"/>
  <c r="T293" i="2"/>
  <c r="T421" i="2"/>
  <c r="X421" i="2" s="1"/>
  <c r="Y421" i="2" s="1"/>
  <c r="AA421" i="2" s="1"/>
  <c r="AB421" i="2" s="1"/>
  <c r="AC421" i="2" s="1"/>
  <c r="R252" i="2"/>
  <c r="AL252" i="2" s="1"/>
  <c r="AB143" i="2"/>
  <c r="AC143" i="2" s="1"/>
  <c r="AN143" i="2" s="1"/>
  <c r="AR143" i="2" s="1"/>
  <c r="T144" i="2"/>
  <c r="T132" i="2"/>
  <c r="T122" i="2"/>
  <c r="V128" i="2"/>
  <c r="AB128" i="2" s="1"/>
  <c r="AC128" i="2" s="1"/>
  <c r="AN128" i="2" s="1"/>
  <c r="AR128" i="2" s="1"/>
  <c r="AB268" i="2"/>
  <c r="AC268" i="2" s="1"/>
  <c r="AR268" i="2" s="1"/>
  <c r="AB236" i="2"/>
  <c r="AC236" i="2" s="1"/>
  <c r="AN236" i="2" s="1"/>
  <c r="AR236" i="2" s="1"/>
  <c r="T236" i="2"/>
  <c r="T21" i="2"/>
  <c r="X21" i="2" s="1"/>
  <c r="Y21" i="2" s="1"/>
  <c r="AA21" i="2" s="1"/>
  <c r="T493" i="2"/>
  <c r="R37" i="2"/>
  <c r="AB407" i="2"/>
  <c r="AC407" i="2" s="1"/>
  <c r="AN407" i="2" s="1"/>
  <c r="AR407" i="2" s="1"/>
  <c r="V238" i="2"/>
  <c r="AB238" i="2" s="1"/>
  <c r="AC238" i="2" s="1"/>
  <c r="AN238" i="2" s="1"/>
  <c r="T238" i="2"/>
  <c r="AB193" i="2"/>
  <c r="AC193" i="2" s="1"/>
  <c r="T180" i="2"/>
  <c r="AB142" i="2"/>
  <c r="AC142" i="2" s="1"/>
  <c r="T157" i="2"/>
  <c r="T145" i="2"/>
  <c r="T141" i="2"/>
  <c r="T137" i="2"/>
  <c r="T133" i="2"/>
  <c r="T520" i="2"/>
  <c r="V531" i="2"/>
  <c r="AB531" i="2" s="1"/>
  <c r="AC531" i="2" s="1"/>
  <c r="R392" i="2"/>
  <c r="R397" i="2" s="1"/>
  <c r="AB157" i="2"/>
  <c r="AC157" i="2" s="1"/>
  <c r="AN157" i="2" s="1"/>
  <c r="AR157" i="2" s="1"/>
  <c r="AB141" i="2"/>
  <c r="AC141" i="2" s="1"/>
  <c r="AN141" i="2" s="1"/>
  <c r="AR141" i="2" s="1"/>
  <c r="AB133" i="2"/>
  <c r="AC133" i="2" s="1"/>
  <c r="AN133" i="2" s="1"/>
  <c r="AR133" i="2" s="1"/>
  <c r="AB176" i="2"/>
  <c r="AC176" i="2" s="1"/>
  <c r="AN176" i="2" s="1"/>
  <c r="AR176" i="2" s="1"/>
  <c r="AB151" i="2"/>
  <c r="AC151" i="2" s="1"/>
  <c r="AN151" i="2" s="1"/>
  <c r="AR151" i="2" s="1"/>
  <c r="AB135" i="2"/>
  <c r="AC135" i="2" s="1"/>
  <c r="AN135" i="2" s="1"/>
  <c r="AR135" i="2" s="1"/>
  <c r="AB127" i="2"/>
  <c r="AC127" i="2" s="1"/>
  <c r="AN127" i="2" s="1"/>
  <c r="AB518" i="2"/>
  <c r="AC518" i="2" s="1"/>
  <c r="T250" i="2"/>
  <c r="X250" i="2" s="1"/>
  <c r="Y250" i="2" s="1"/>
  <c r="AA250" i="2" s="1"/>
  <c r="AB250" i="2" s="1"/>
  <c r="AC250" i="2" s="1"/>
  <c r="AN250" i="2" s="1"/>
  <c r="T349" i="2"/>
  <c r="AB152" i="2"/>
  <c r="AC152" i="2" s="1"/>
  <c r="AN152" i="2" s="1"/>
  <c r="AR152" i="2" s="1"/>
  <c r="AB144" i="2"/>
  <c r="AC144" i="2" s="1"/>
  <c r="AN144" i="2" s="1"/>
  <c r="AR144" i="2" s="1"/>
  <c r="AB519" i="2"/>
  <c r="AC519" i="2" s="1"/>
  <c r="T162" i="2"/>
  <c r="T146" i="2"/>
  <c r="T425" i="2"/>
  <c r="X425" i="2" s="1"/>
  <c r="Y425" i="2" s="1"/>
  <c r="AA425" i="2" s="1"/>
  <c r="T407" i="2"/>
  <c r="AB145" i="2"/>
  <c r="AC145" i="2" s="1"/>
  <c r="AN145" i="2" s="1"/>
  <c r="AR145" i="2" s="1"/>
  <c r="AB137" i="2"/>
  <c r="AC137" i="2" s="1"/>
  <c r="AN137" i="2" s="1"/>
  <c r="AR137" i="2" s="1"/>
  <c r="AB520" i="2"/>
  <c r="AC520" i="2" s="1"/>
  <c r="T536" i="2"/>
  <c r="X536" i="2" s="1"/>
  <c r="Y536" i="2" s="1"/>
  <c r="AA536" i="2" s="1"/>
  <c r="AB536" i="2" s="1"/>
  <c r="AC536" i="2" s="1"/>
  <c r="T184" i="2"/>
  <c r="X184" i="2" s="1"/>
  <c r="Y184" i="2" s="1"/>
  <c r="AA184" i="2" s="1"/>
  <c r="AB184" i="2" s="1"/>
  <c r="AC184" i="2" s="1"/>
  <c r="AN184" i="2" s="1"/>
  <c r="AR184" i="2" s="1"/>
  <c r="AB293" i="2"/>
  <c r="AC293" i="2" s="1"/>
  <c r="AR293" i="2" s="1"/>
  <c r="T241" i="2"/>
  <c r="X241" i="2" s="1"/>
  <c r="Y241" i="2" s="1"/>
  <c r="AA241" i="2" s="1"/>
  <c r="AB241" i="2" s="1"/>
  <c r="AC241" i="2" s="1"/>
  <c r="AB162" i="2"/>
  <c r="AC162" i="2" s="1"/>
  <c r="AB154" i="2"/>
  <c r="AC154" i="2" s="1"/>
  <c r="AB146" i="2"/>
  <c r="AC146" i="2" s="1"/>
  <c r="AB138" i="2"/>
  <c r="AC138" i="2" s="1"/>
  <c r="AB130" i="2"/>
  <c r="AC130" i="2" s="1"/>
  <c r="AB122" i="2"/>
  <c r="AC122" i="2" s="1"/>
  <c r="T491" i="2"/>
  <c r="T268" i="2"/>
  <c r="V344" i="2"/>
  <c r="AB344" i="2" s="1"/>
  <c r="AC344" i="2" s="1"/>
  <c r="T155" i="2"/>
  <c r="T151" i="2"/>
  <c r="T147" i="2"/>
  <c r="T135" i="2"/>
  <c r="T127" i="2"/>
  <c r="T518" i="2"/>
  <c r="V242" i="2"/>
  <c r="T242" i="2"/>
  <c r="X242" i="2" s="1"/>
  <c r="Y242" i="2" s="1"/>
  <c r="AA242" i="2" s="1"/>
  <c r="V233" i="2"/>
  <c r="AB233" i="2" s="1"/>
  <c r="AC233" i="2" s="1"/>
  <c r="T233" i="2"/>
  <c r="T265" i="2"/>
  <c r="T416" i="2"/>
  <c r="T408" i="2"/>
  <c r="T401" i="2"/>
  <c r="AB155" i="2"/>
  <c r="AC155" i="2" s="1"/>
  <c r="AN155" i="2" s="1"/>
  <c r="AR155" i="2" s="1"/>
  <c r="AB147" i="2"/>
  <c r="AC147" i="2" s="1"/>
  <c r="AN147" i="2" s="1"/>
  <c r="AR147" i="2" s="1"/>
  <c r="AB156" i="2"/>
  <c r="AC156" i="2" s="1"/>
  <c r="AN156" i="2" s="1"/>
  <c r="AR156" i="2" s="1"/>
  <c r="AB132" i="2"/>
  <c r="AC132" i="2" s="1"/>
  <c r="AN132" i="2" s="1"/>
  <c r="AR132" i="2" s="1"/>
  <c r="T492" i="2"/>
  <c r="AB492" i="2"/>
  <c r="AC492" i="2" s="1"/>
  <c r="AR492" i="2" s="1"/>
  <c r="T95" i="2"/>
  <c r="X95" i="2" s="1"/>
  <c r="Y95" i="2" s="1"/>
  <c r="AA95" i="2" s="1"/>
  <c r="V95" i="2"/>
  <c r="R102" i="2"/>
  <c r="T261" i="2"/>
  <c r="V261" i="2"/>
  <c r="T419" i="2"/>
  <c r="X419" i="2" s="1"/>
  <c r="Y419" i="2" s="1"/>
  <c r="AA419" i="2" s="1"/>
  <c r="V419" i="2"/>
  <c r="R445" i="2"/>
  <c r="V343" i="2"/>
  <c r="T343" i="2"/>
  <c r="T78" i="2"/>
  <c r="X78" i="2" s="1"/>
  <c r="Y78" i="2" s="1"/>
  <c r="AA78" i="2" s="1"/>
  <c r="V78" i="2"/>
  <c r="T283" i="2"/>
  <c r="X283" i="2" s="1"/>
  <c r="Y283" i="2" s="1"/>
  <c r="AA283" i="2" s="1"/>
  <c r="V283" i="2"/>
  <c r="V177" i="2"/>
  <c r="AB177" i="2" s="1"/>
  <c r="AC177" i="2" s="1"/>
  <c r="T177" i="2"/>
  <c r="T263" i="2"/>
  <c r="X263" i="2" s="1"/>
  <c r="Y263" i="2" s="1"/>
  <c r="AA263" i="2" s="1"/>
  <c r="V263" i="2"/>
  <c r="V234" i="2"/>
  <c r="AB234" i="2" s="1"/>
  <c r="AC234" i="2" s="1"/>
  <c r="AN234" i="2" s="1"/>
  <c r="T234" i="2"/>
  <c r="V183" i="2"/>
  <c r="T183" i="2"/>
  <c r="X183" i="2" s="1"/>
  <c r="Y183" i="2" s="1"/>
  <c r="AA183" i="2" s="1"/>
  <c r="T247" i="2"/>
  <c r="X247" i="2" s="1"/>
  <c r="Y247" i="2" s="1"/>
  <c r="AA247" i="2" s="1"/>
  <c r="V247" i="2"/>
  <c r="V197" i="2"/>
  <c r="T197" i="2"/>
  <c r="X197" i="2" s="1"/>
  <c r="Y197" i="2" s="1"/>
  <c r="AA197" i="2" s="1"/>
  <c r="T287" i="2"/>
  <c r="X287" i="2" s="1"/>
  <c r="Y287" i="2" s="1"/>
  <c r="AA287" i="2" s="1"/>
  <c r="V287" i="2"/>
  <c r="T181" i="2"/>
  <c r="V181" i="2"/>
  <c r="T19" i="2"/>
  <c r="X19" i="2" s="1"/>
  <c r="Y19" i="2" s="1"/>
  <c r="AA19" i="2" s="1"/>
  <c r="V19" i="2"/>
  <c r="T77" i="2"/>
  <c r="X77" i="2" s="1"/>
  <c r="Y77" i="2" s="1"/>
  <c r="AA77" i="2" s="1"/>
  <c r="V77" i="2"/>
  <c r="T12" i="2"/>
  <c r="V12" i="2"/>
  <c r="AB12" i="2" s="1"/>
  <c r="AC12" i="2" s="1"/>
  <c r="Q445" i="2"/>
  <c r="X343" i="2"/>
  <c r="T489" i="2"/>
  <c r="V489" i="2"/>
  <c r="AB489" i="2" s="1"/>
  <c r="AC489" i="2" s="1"/>
  <c r="AB266" i="2"/>
  <c r="AC266" i="2" s="1"/>
  <c r="AR266" i="2" s="1"/>
  <c r="T456" i="2"/>
  <c r="V456" i="2"/>
  <c r="AB456" i="2" s="1"/>
  <c r="AC456" i="2" s="1"/>
  <c r="AN456" i="2" s="1"/>
  <c r="AR456" i="2" s="1"/>
  <c r="T292" i="2"/>
  <c r="V292" i="2"/>
  <c r="AB292" i="2" s="1"/>
  <c r="AC292" i="2" s="1"/>
  <c r="AR292" i="2" s="1"/>
  <c r="T459" i="2"/>
  <c r="V459" i="2"/>
  <c r="AB459" i="2" s="1"/>
  <c r="AC459" i="2" s="1"/>
  <c r="AN459" i="2" s="1"/>
  <c r="AR459" i="2" s="1"/>
  <c r="Y517" i="2"/>
  <c r="T470" i="2"/>
  <c r="X470" i="2" s="1"/>
  <c r="Y470" i="2" s="1"/>
  <c r="AA470" i="2" s="1"/>
  <c r="V470" i="2"/>
  <c r="T454" i="2"/>
  <c r="V454" i="2"/>
  <c r="AB454" i="2" s="1"/>
  <c r="AC454" i="2" s="1"/>
  <c r="AN454" i="2" s="1"/>
  <c r="AR454" i="2" s="1"/>
  <c r="T469" i="2"/>
  <c r="X469" i="2" s="1"/>
  <c r="Y469" i="2" s="1"/>
  <c r="AA469" i="2" s="1"/>
  <c r="V469" i="2"/>
  <c r="T453" i="2"/>
  <c r="V453" i="2"/>
  <c r="AB453" i="2" s="1"/>
  <c r="AC453" i="2" s="1"/>
  <c r="T290" i="2"/>
  <c r="X290" i="2" s="1"/>
  <c r="Y290" i="2" s="1"/>
  <c r="AA290" i="2" s="1"/>
  <c r="V290" i="2"/>
  <c r="T190" i="2"/>
  <c r="X190" i="2" s="1"/>
  <c r="Y190" i="2" s="1"/>
  <c r="AA190" i="2" s="1"/>
  <c r="V190" i="2"/>
  <c r="R347" i="2"/>
  <c r="V434" i="2"/>
  <c r="AB434" i="2" s="1"/>
  <c r="AC434" i="2" s="1"/>
  <c r="T434" i="2"/>
  <c r="V282" i="2"/>
  <c r="T282" i="2"/>
  <c r="X282" i="2" s="1"/>
  <c r="Y282" i="2" s="1"/>
  <c r="AA282" i="2" s="1"/>
  <c r="V328" i="2"/>
  <c r="T328" i="2"/>
  <c r="X328" i="2" s="1"/>
  <c r="Y328" i="2" s="1"/>
  <c r="AA328" i="2" s="1"/>
  <c r="V253" i="2"/>
  <c r="T253" i="2"/>
  <c r="X253" i="2" s="1"/>
  <c r="Y253" i="2" s="1"/>
  <c r="AA253" i="2" s="1"/>
  <c r="T211" i="2"/>
  <c r="V211" i="2"/>
  <c r="AB211" i="2" s="1"/>
  <c r="AC211" i="2" s="1"/>
  <c r="AR211" i="2" s="1"/>
  <c r="T165" i="2"/>
  <c r="V165" i="2"/>
  <c r="AB165" i="2" s="1"/>
  <c r="AC165" i="2" s="1"/>
  <c r="T187" i="2"/>
  <c r="X187" i="2" s="1"/>
  <c r="Y187" i="2" s="1"/>
  <c r="AA187" i="2" s="1"/>
  <c r="V187" i="2"/>
  <c r="V200" i="2"/>
  <c r="T200" i="2"/>
  <c r="X200" i="2" s="1"/>
  <c r="Y200" i="2" s="1"/>
  <c r="AA200" i="2" s="1"/>
  <c r="T485" i="2"/>
  <c r="V485" i="2"/>
  <c r="T296" i="2"/>
  <c r="V296" i="2"/>
  <c r="AB296" i="2" s="1"/>
  <c r="AC296" i="2" s="1"/>
  <c r="AR296" i="2" s="1"/>
  <c r="T22" i="2"/>
  <c r="X22" i="2" s="1"/>
  <c r="Y22" i="2" s="1"/>
  <c r="AA22" i="2" s="1"/>
  <c r="V22" i="2"/>
  <c r="AA527" i="2"/>
  <c r="Q278" i="2"/>
  <c r="Q86" i="2"/>
  <c r="T295" i="2"/>
  <c r="V295" i="2"/>
  <c r="AB295" i="2" s="1"/>
  <c r="AC295" i="2" s="1"/>
  <c r="T245" i="2"/>
  <c r="X245" i="2" s="1"/>
  <c r="Y245" i="2" s="1"/>
  <c r="AA245" i="2" s="1"/>
  <c r="V245" i="2"/>
  <c r="T284" i="2"/>
  <c r="X284" i="2" s="1"/>
  <c r="Y284" i="2" s="1"/>
  <c r="AA284" i="2" s="1"/>
  <c r="V284" i="2"/>
  <c r="V239" i="2"/>
  <c r="T239" i="2"/>
  <c r="X239" i="2" s="1"/>
  <c r="Y239" i="2" s="1"/>
  <c r="AA239" i="2" s="1"/>
  <c r="T460" i="2"/>
  <c r="V460" i="2"/>
  <c r="AB460" i="2" s="1"/>
  <c r="AC460" i="2" s="1"/>
  <c r="AN460" i="2" s="1"/>
  <c r="AR460" i="2" s="1"/>
  <c r="V254" i="2"/>
  <c r="T254" i="2"/>
  <c r="X254" i="2" s="1"/>
  <c r="Y254" i="2" s="1"/>
  <c r="AA254" i="2" s="1"/>
  <c r="T202" i="2"/>
  <c r="X202" i="2" s="1"/>
  <c r="Y202" i="2" s="1"/>
  <c r="AA202" i="2" s="1"/>
  <c r="V202" i="2"/>
  <c r="T463" i="2"/>
  <c r="V463" i="2"/>
  <c r="AB463" i="2" s="1"/>
  <c r="AC463" i="2" s="1"/>
  <c r="AN463" i="2" s="1"/>
  <c r="AR463" i="2" s="1"/>
  <c r="AA342" i="2"/>
  <c r="T188" i="2"/>
  <c r="X188" i="2" s="1"/>
  <c r="Y188" i="2" s="1"/>
  <c r="AA188" i="2" s="1"/>
  <c r="V188" i="2"/>
  <c r="T204" i="2"/>
  <c r="V204" i="2"/>
  <c r="AB204" i="2" s="1"/>
  <c r="AC204" i="2" s="1"/>
  <c r="AR204" i="2" s="1"/>
  <c r="T458" i="2"/>
  <c r="V458" i="2"/>
  <c r="AB458" i="2" s="1"/>
  <c r="AC458" i="2" s="1"/>
  <c r="AN458" i="2" s="1"/>
  <c r="AR458" i="2" s="1"/>
  <c r="Y485" i="2"/>
  <c r="T490" i="2"/>
  <c r="V490" i="2"/>
  <c r="AB490" i="2" s="1"/>
  <c r="AC490" i="2" s="1"/>
  <c r="T457" i="2"/>
  <c r="V457" i="2"/>
  <c r="AB457" i="2" s="1"/>
  <c r="AC457" i="2" s="1"/>
  <c r="T75" i="2"/>
  <c r="X75" i="2" s="1"/>
  <c r="Y75" i="2" s="1"/>
  <c r="AA75" i="2" s="1"/>
  <c r="V75" i="2"/>
  <c r="T74" i="2"/>
  <c r="X74" i="2" s="1"/>
  <c r="Y74" i="2" s="1"/>
  <c r="AA74" i="2" s="1"/>
  <c r="V74" i="2"/>
  <c r="Q102" i="2"/>
  <c r="V329" i="2"/>
  <c r="AB329" i="2" s="1"/>
  <c r="AC329" i="2" s="1"/>
  <c r="T329" i="2"/>
  <c r="V259" i="2"/>
  <c r="T259" i="2"/>
  <c r="X259" i="2" s="1"/>
  <c r="Y259" i="2" s="1"/>
  <c r="AA259" i="2" s="1"/>
  <c r="V167" i="2"/>
  <c r="AB167" i="2" s="1"/>
  <c r="AC167" i="2" s="1"/>
  <c r="AN167" i="2" s="1"/>
  <c r="AR167" i="2" s="1"/>
  <c r="T167" i="2"/>
  <c r="T264" i="2"/>
  <c r="V264" i="2"/>
  <c r="AB264" i="2" s="1"/>
  <c r="AC264" i="2" s="1"/>
  <c r="T205" i="2"/>
  <c r="V205" i="2"/>
  <c r="AB205" i="2" s="1"/>
  <c r="AC205" i="2" s="1"/>
  <c r="V330" i="2"/>
  <c r="AB330" i="2" s="1"/>
  <c r="AC330" i="2" s="1"/>
  <c r="AR330" i="2" s="1"/>
  <c r="T330" i="2"/>
  <c r="T91" i="2"/>
  <c r="X91" i="2" s="1"/>
  <c r="Y91" i="2" s="1"/>
  <c r="AA91" i="2" s="1"/>
  <c r="V91" i="2"/>
  <c r="T13" i="2"/>
  <c r="X13" i="2" s="1"/>
  <c r="Y13" i="2" s="1"/>
  <c r="AA13" i="2" s="1"/>
  <c r="V13" i="2"/>
  <c r="T72" i="2"/>
  <c r="X72" i="2" s="1"/>
  <c r="Y72" i="2" s="1"/>
  <c r="R86" i="2"/>
  <c r="V72" i="2"/>
  <c r="P86" i="2"/>
  <c r="T262" i="2"/>
  <c r="X262" i="2" s="1"/>
  <c r="Y262" i="2" s="1"/>
  <c r="AA262" i="2" s="1"/>
  <c r="V262" i="2"/>
  <c r="AB168" i="2"/>
  <c r="AC168" i="2" s="1"/>
  <c r="AN168" i="2" s="1"/>
  <c r="AR168" i="2" s="1"/>
  <c r="T464" i="2"/>
  <c r="V464" i="2"/>
  <c r="AB464" i="2" s="1"/>
  <c r="AC464" i="2" s="1"/>
  <c r="AN464" i="2" s="1"/>
  <c r="AR464" i="2" s="1"/>
  <c r="R482" i="2"/>
  <c r="T448" i="2"/>
  <c r="V448" i="2"/>
  <c r="T285" i="2"/>
  <c r="X285" i="2" s="1"/>
  <c r="Y285" i="2" s="1"/>
  <c r="AA285" i="2" s="1"/>
  <c r="V285" i="2"/>
  <c r="T521" i="2"/>
  <c r="X521" i="2" s="1"/>
  <c r="Y521" i="2" s="1"/>
  <c r="AA521" i="2" s="1"/>
  <c r="V521" i="2"/>
  <c r="T467" i="2"/>
  <c r="X467" i="2" s="1"/>
  <c r="Y467" i="2" s="1"/>
  <c r="AA467" i="2" s="1"/>
  <c r="V467" i="2"/>
  <c r="T451" i="2"/>
  <c r="V451" i="2"/>
  <c r="AB451" i="2" s="1"/>
  <c r="AC451" i="2" s="1"/>
  <c r="AN451" i="2" s="1"/>
  <c r="AR451" i="2" s="1"/>
  <c r="T486" i="2"/>
  <c r="X486" i="2" s="1"/>
  <c r="Y486" i="2" s="1"/>
  <c r="AA486" i="2" s="1"/>
  <c r="V486" i="2"/>
  <c r="T207" i="2"/>
  <c r="V207" i="2"/>
  <c r="AB207" i="2" s="1"/>
  <c r="AC207" i="2" s="1"/>
  <c r="AR207" i="2" s="1"/>
  <c r="T462" i="2"/>
  <c r="V462" i="2"/>
  <c r="AB462" i="2" s="1"/>
  <c r="AC462" i="2" s="1"/>
  <c r="AN462" i="2" s="1"/>
  <c r="AR462" i="2" s="1"/>
  <c r="T461" i="2"/>
  <c r="V461" i="2"/>
  <c r="AB461" i="2" s="1"/>
  <c r="AC461" i="2" s="1"/>
  <c r="T79" i="2"/>
  <c r="V79" i="2"/>
  <c r="AB79" i="2" s="1"/>
  <c r="AC79" i="2" s="1"/>
  <c r="T532" i="2"/>
  <c r="X532" i="2" s="1"/>
  <c r="Y532" i="2" s="1"/>
  <c r="AA532" i="2" s="1"/>
  <c r="V532" i="2"/>
  <c r="P356" i="2"/>
  <c r="C40" i="1" s="1"/>
  <c r="X261" i="2"/>
  <c r="Y261" i="2" s="1"/>
  <c r="AA261" i="2" s="1"/>
  <c r="AB265" i="2"/>
  <c r="AC265" i="2" s="1"/>
  <c r="V191" i="2"/>
  <c r="T191" i="2"/>
  <c r="X191" i="2" s="1"/>
  <c r="Y191" i="2" s="1"/>
  <c r="AA191" i="2" s="1"/>
  <c r="T294" i="2"/>
  <c r="V294" i="2"/>
  <c r="AB294" i="2" s="1"/>
  <c r="AC294" i="2" s="1"/>
  <c r="AR294" i="2" s="1"/>
  <c r="T246" i="2"/>
  <c r="X246" i="2" s="1"/>
  <c r="Y246" i="2" s="1"/>
  <c r="AA246" i="2" s="1"/>
  <c r="V246" i="2"/>
  <c r="V178" i="2"/>
  <c r="AB178" i="2" s="1"/>
  <c r="AC178" i="2" s="1"/>
  <c r="T178" i="2"/>
  <c r="Y448" i="2"/>
  <c r="AB491" i="2"/>
  <c r="AC491" i="2" s="1"/>
  <c r="T286" i="2"/>
  <c r="X286" i="2" s="1"/>
  <c r="Y286" i="2" s="1"/>
  <c r="AA286" i="2" s="1"/>
  <c r="V286" i="2"/>
  <c r="T208" i="2"/>
  <c r="V208" i="2"/>
  <c r="AB208" i="2" s="1"/>
  <c r="AC208" i="2" s="1"/>
  <c r="AR208" i="2" s="1"/>
  <c r="T20" i="2"/>
  <c r="V20" i="2"/>
  <c r="T73" i="2"/>
  <c r="X73" i="2" s="1"/>
  <c r="Y73" i="2" s="1"/>
  <c r="AA73" i="2" s="1"/>
  <c r="V73" i="2"/>
  <c r="T76" i="2"/>
  <c r="X76" i="2" s="1"/>
  <c r="Y76" i="2" s="1"/>
  <c r="AA76" i="2" s="1"/>
  <c r="V76" i="2"/>
  <c r="R230" i="2"/>
  <c r="V430" i="2"/>
  <c r="AB430" i="2" s="1"/>
  <c r="AC430" i="2" s="1"/>
  <c r="AR430" i="2" s="1"/>
  <c r="T430" i="2"/>
  <c r="X430" i="2" s="1"/>
  <c r="Y430" i="2" s="1"/>
  <c r="AA430" i="2" s="1"/>
  <c r="V281" i="2"/>
  <c r="R324" i="2"/>
  <c r="T281" i="2"/>
  <c r="X281" i="2" s="1"/>
  <c r="Y281" i="2" s="1"/>
  <c r="AA281" i="2" s="1"/>
  <c r="V172" i="2"/>
  <c r="AB172" i="2" s="1"/>
  <c r="AC172" i="2" s="1"/>
  <c r="AN172" i="2" s="1"/>
  <c r="AR172" i="2" s="1"/>
  <c r="T172" i="2"/>
  <c r="V260" i="2"/>
  <c r="T260" i="2"/>
  <c r="X260" i="2" s="1"/>
  <c r="Y260" i="2" s="1"/>
  <c r="AA260" i="2" s="1"/>
  <c r="T468" i="2"/>
  <c r="X468" i="2" s="1"/>
  <c r="Y468" i="2" s="1"/>
  <c r="AA468" i="2" s="1"/>
  <c r="V468" i="2"/>
  <c r="T452" i="2"/>
  <c r="V452" i="2"/>
  <c r="AB452" i="2" s="1"/>
  <c r="AC452" i="2" s="1"/>
  <c r="AN452" i="2" s="1"/>
  <c r="AR452" i="2" s="1"/>
  <c r="T471" i="2"/>
  <c r="X471" i="2" s="1"/>
  <c r="Y471" i="2" s="1"/>
  <c r="AA471" i="2" s="1"/>
  <c r="V471" i="2"/>
  <c r="T455" i="2"/>
  <c r="V455" i="2"/>
  <c r="AB455" i="2" s="1"/>
  <c r="AC455" i="2" s="1"/>
  <c r="AN455" i="2" s="1"/>
  <c r="AR455" i="2" s="1"/>
  <c r="T209" i="2"/>
  <c r="V209" i="2"/>
  <c r="AB209" i="2" s="1"/>
  <c r="AC209" i="2" s="1"/>
  <c r="T466" i="2"/>
  <c r="X466" i="2" s="1"/>
  <c r="Y466" i="2" s="1"/>
  <c r="AA466" i="2" s="1"/>
  <c r="V466" i="2"/>
  <c r="T450" i="2"/>
  <c r="V450" i="2"/>
  <c r="AB450" i="2" s="1"/>
  <c r="AC450" i="2" s="1"/>
  <c r="AN450" i="2" s="1"/>
  <c r="AR450" i="2" s="1"/>
  <c r="T189" i="2"/>
  <c r="X189" i="2" s="1"/>
  <c r="Y189" i="2" s="1"/>
  <c r="AA189" i="2" s="1"/>
  <c r="V189" i="2"/>
  <c r="V169" i="2"/>
  <c r="AB169" i="2" s="1"/>
  <c r="AC169" i="2" s="1"/>
  <c r="T169" i="2"/>
  <c r="T465" i="2"/>
  <c r="X465" i="2" s="1"/>
  <c r="Y465" i="2" s="1"/>
  <c r="AA465" i="2" s="1"/>
  <c r="V465" i="2"/>
  <c r="T449" i="2"/>
  <c r="V449" i="2"/>
  <c r="AB449" i="2" s="1"/>
  <c r="AC449" i="2" s="1"/>
  <c r="T11" i="2"/>
  <c r="X11" i="2" s="1"/>
  <c r="Y11" i="2" s="1"/>
  <c r="AA11" i="2" s="1"/>
  <c r="V11" i="2"/>
  <c r="T14" i="2"/>
  <c r="X14" i="2" s="1"/>
  <c r="Y14" i="2" s="1"/>
  <c r="AA14" i="2" s="1"/>
  <c r="V14" i="2"/>
  <c r="T45" i="2"/>
  <c r="X45" i="2" s="1"/>
  <c r="Y45" i="2" s="1"/>
  <c r="AA45" i="2" s="1"/>
  <c r="V45" i="2"/>
  <c r="X181" i="2"/>
  <c r="Y181" i="2" s="1"/>
  <c r="AA181" i="2" s="1"/>
  <c r="R327" i="2"/>
  <c r="R339" i="2" s="1"/>
  <c r="P278" i="2"/>
  <c r="C30" i="1" s="1"/>
  <c r="M39" i="4" l="1"/>
  <c r="M114" i="4"/>
  <c r="T151" i="4"/>
  <c r="O151" i="4"/>
  <c r="T88" i="4"/>
  <c r="S152" i="4"/>
  <c r="T152" i="4" s="1"/>
  <c r="U152" i="4" s="1"/>
  <c r="O88" i="4"/>
  <c r="N97" i="4"/>
  <c r="D14" i="1" s="1"/>
  <c r="M97" i="4"/>
  <c r="B14" i="1" s="1"/>
  <c r="S89" i="4"/>
  <c r="T89" i="4" s="1"/>
  <c r="U89" i="4" s="1"/>
  <c r="Q97" i="4"/>
  <c r="E14" i="1" s="1"/>
  <c r="M491" i="4"/>
  <c r="B56" i="1" s="1"/>
  <c r="AB202" i="2"/>
  <c r="AC202" i="2" s="1"/>
  <c r="AR202" i="2" s="1"/>
  <c r="S101" i="4"/>
  <c r="T101" i="4" s="1"/>
  <c r="U101" i="4" s="1"/>
  <c r="N141" i="4"/>
  <c r="S141" i="4"/>
  <c r="M142" i="4"/>
  <c r="M148" i="4" s="1"/>
  <c r="S64" i="4"/>
  <c r="T64" i="4" s="1"/>
  <c r="U64" i="4" s="1"/>
  <c r="S155" i="4"/>
  <c r="T155" i="4" s="1"/>
  <c r="U155" i="4" s="1"/>
  <c r="S555" i="4"/>
  <c r="T555" i="4" s="1"/>
  <c r="U555" i="4" s="1"/>
  <c r="O459" i="4"/>
  <c r="N491" i="4"/>
  <c r="D56" i="1" s="1"/>
  <c r="M55" i="4"/>
  <c r="N55" i="4" s="1"/>
  <c r="O55" i="4" s="1"/>
  <c r="P55" i="4" s="1"/>
  <c r="Q55" i="4" s="1"/>
  <c r="N54" i="4"/>
  <c r="S54" i="4"/>
  <c r="O119" i="4"/>
  <c r="T100" i="4"/>
  <c r="T154" i="4"/>
  <c r="S460" i="4"/>
  <c r="T460" i="4" s="1"/>
  <c r="U460" i="4" s="1"/>
  <c r="Q491" i="4"/>
  <c r="E56" i="1" s="1"/>
  <c r="S66" i="4"/>
  <c r="T66" i="4" s="1"/>
  <c r="U66" i="4" s="1"/>
  <c r="M165" i="4"/>
  <c r="N164" i="4"/>
  <c r="O164" i="4" s="1"/>
  <c r="P164" i="4" s="1"/>
  <c r="S164" i="4"/>
  <c r="T164" i="4" s="1"/>
  <c r="U164" i="4" s="1"/>
  <c r="N126" i="4"/>
  <c r="O126" i="4" s="1"/>
  <c r="P126" i="4" s="1"/>
  <c r="S126" i="4"/>
  <c r="T126" i="4" s="1"/>
  <c r="U126" i="4" s="1"/>
  <c r="M127" i="4"/>
  <c r="N127" i="4" s="1"/>
  <c r="O127" i="4" s="1"/>
  <c r="P127" i="4" s="1"/>
  <c r="Q127" i="4" s="1"/>
  <c r="S127" i="4" s="1"/>
  <c r="T127" i="4" s="1"/>
  <c r="U127" i="4" s="1"/>
  <c r="S57" i="4"/>
  <c r="T57" i="4" s="1"/>
  <c r="U57" i="4" s="1"/>
  <c r="T459" i="4"/>
  <c r="M163" i="4"/>
  <c r="N163" i="4" s="1"/>
  <c r="O163" i="4" s="1"/>
  <c r="P163" i="4" s="1"/>
  <c r="Q163" i="4" s="1"/>
  <c r="Q39" i="4" s="1"/>
  <c r="S162" i="4"/>
  <c r="N162" i="4"/>
  <c r="M129" i="4"/>
  <c r="N129" i="4" s="1"/>
  <c r="O129" i="4" s="1"/>
  <c r="P129" i="4" s="1"/>
  <c r="Q129" i="4" s="1"/>
  <c r="N128" i="4"/>
  <c r="O128" i="4" s="1"/>
  <c r="P128" i="4" s="1"/>
  <c r="S128" i="4"/>
  <c r="T128" i="4" s="1"/>
  <c r="U128" i="4" s="1"/>
  <c r="S62" i="4"/>
  <c r="T62" i="4" s="1"/>
  <c r="U62" i="4" s="1"/>
  <c r="O100" i="4"/>
  <c r="S20" i="4"/>
  <c r="T20" i="4" s="1"/>
  <c r="U20" i="4" s="1"/>
  <c r="O154" i="4"/>
  <c r="P504" i="2"/>
  <c r="P119" i="2"/>
  <c r="AR489" i="2"/>
  <c r="AR264" i="2"/>
  <c r="AP76" i="2"/>
  <c r="AB425" i="2"/>
  <c r="AC425" i="2" s="1"/>
  <c r="AN425" i="2" s="1"/>
  <c r="AP77" i="2"/>
  <c r="AP230" i="2"/>
  <c r="Q119" i="2"/>
  <c r="Q504" i="2"/>
  <c r="R119" i="2"/>
  <c r="AR295" i="2"/>
  <c r="AR428" i="2"/>
  <c r="AJ278" i="2"/>
  <c r="AR329" i="2"/>
  <c r="AL347" i="2"/>
  <c r="AL419" i="2"/>
  <c r="AR432" i="2"/>
  <c r="AL181" i="2"/>
  <c r="AL230" i="2" s="1"/>
  <c r="Q389" i="2"/>
  <c r="AP278" i="2"/>
  <c r="AN177" i="2"/>
  <c r="AR177" i="2" s="1"/>
  <c r="C508" i="2"/>
  <c r="AN194" i="2"/>
  <c r="AR194" i="2" s="1"/>
  <c r="AL95" i="2"/>
  <c r="AL102" i="2" s="1"/>
  <c r="AL392" i="2"/>
  <c r="AL397" i="2" s="1"/>
  <c r="AN193" i="2"/>
  <c r="AR193" i="2" s="1"/>
  <c r="AR209" i="2"/>
  <c r="AR205" i="2"/>
  <c r="AR201" i="2"/>
  <c r="AP393" i="2"/>
  <c r="AR393" i="2" s="1"/>
  <c r="AN93" i="2"/>
  <c r="AR93" i="2" s="1"/>
  <c r="AN174" i="2"/>
  <c r="AR174" i="2" s="1"/>
  <c r="AN178" i="2"/>
  <c r="AR178" i="2" s="1"/>
  <c r="AN92" i="2"/>
  <c r="AR92" i="2" s="1"/>
  <c r="AL86" i="2"/>
  <c r="AR344" i="2"/>
  <c r="AR213" i="2"/>
  <c r="AN449" i="2"/>
  <c r="AR449" i="2" s="1"/>
  <c r="AN461" i="2"/>
  <c r="AR461" i="2" s="1"/>
  <c r="AN453" i="2"/>
  <c r="AR453" i="2" s="1"/>
  <c r="AN12" i="2"/>
  <c r="AR12" i="2" s="1"/>
  <c r="AN122" i="2"/>
  <c r="AN154" i="2"/>
  <c r="AR154" i="2" s="1"/>
  <c r="AN421" i="2"/>
  <c r="AR421" i="2" s="1"/>
  <c r="AN414" i="2"/>
  <c r="AR414" i="2" s="1"/>
  <c r="AN249" i="2"/>
  <c r="AR249" i="2" s="1"/>
  <c r="AN134" i="2"/>
  <c r="AR134" i="2" s="1"/>
  <c r="AR491" i="2"/>
  <c r="AR250" i="2"/>
  <c r="AR349" i="2"/>
  <c r="AR433" i="2"/>
  <c r="AR265" i="2"/>
  <c r="AR490" i="2"/>
  <c r="AL278" i="2"/>
  <c r="AP24" i="2"/>
  <c r="AR24" i="2" s="1"/>
  <c r="AP434" i="2"/>
  <c r="AR434" i="2" s="1"/>
  <c r="AN130" i="2"/>
  <c r="AR130" i="2" s="1"/>
  <c r="AN162" i="2"/>
  <c r="AR162" i="2" s="1"/>
  <c r="AN289" i="2"/>
  <c r="AR289" i="2" s="1"/>
  <c r="AN257" i="2"/>
  <c r="AR257" i="2" s="1"/>
  <c r="AN166" i="2"/>
  <c r="AR166" i="2" s="1"/>
  <c r="AN402" i="2"/>
  <c r="AR402" i="2" s="1"/>
  <c r="AN417" i="2"/>
  <c r="AR417" i="2" s="1"/>
  <c r="AN170" i="2"/>
  <c r="AR170" i="2" s="1"/>
  <c r="AN150" i="2"/>
  <c r="AR150" i="2" s="1"/>
  <c r="AR234" i="2"/>
  <c r="AL327" i="2"/>
  <c r="AL339" i="2" s="1"/>
  <c r="AL445" i="2"/>
  <c r="AR127" i="2"/>
  <c r="AP502" i="2"/>
  <c r="AR238" i="2"/>
  <c r="AL52" i="2"/>
  <c r="AL11" i="2"/>
  <c r="AL37" i="2" s="1"/>
  <c r="AJ37" i="2"/>
  <c r="X20" i="2"/>
  <c r="Y20" i="2" s="1"/>
  <c r="AA20" i="2" s="1"/>
  <c r="AN457" i="2"/>
  <c r="AR457" i="2" s="1"/>
  <c r="AN138" i="2"/>
  <c r="AR138" i="2" s="1"/>
  <c r="AN241" i="2"/>
  <c r="AR241" i="2" s="1"/>
  <c r="AN142" i="2"/>
  <c r="AR142" i="2" s="1"/>
  <c r="AB21" i="2"/>
  <c r="AC21" i="2" s="1"/>
  <c r="AN21" i="2" s="1"/>
  <c r="AN422" i="2"/>
  <c r="AR422" i="2" s="1"/>
  <c r="AN401" i="2"/>
  <c r="AN18" i="2"/>
  <c r="AR18" i="2" s="1"/>
  <c r="AN158" i="2"/>
  <c r="AR158" i="2" s="1"/>
  <c r="AN406" i="2"/>
  <c r="AR406" i="2" s="1"/>
  <c r="AN426" i="2"/>
  <c r="AR426" i="2" s="1"/>
  <c r="AN487" i="2"/>
  <c r="AR487" i="2" s="1"/>
  <c r="AL502" i="2"/>
  <c r="AJ389" i="2"/>
  <c r="AR131" i="2"/>
  <c r="AL482" i="2"/>
  <c r="AP23" i="2"/>
  <c r="AR23" i="2" s="1"/>
  <c r="AP79" i="2"/>
  <c r="AR79" i="2" s="1"/>
  <c r="AN169" i="2"/>
  <c r="AR169" i="2" s="1"/>
  <c r="AN165" i="2"/>
  <c r="AR165" i="2" s="1"/>
  <c r="AN233" i="2"/>
  <c r="AR233" i="2" s="1"/>
  <c r="AN146" i="2"/>
  <c r="AR146" i="2" s="1"/>
  <c r="AN405" i="2"/>
  <c r="AR405" i="2" s="1"/>
  <c r="AN185" i="2"/>
  <c r="AR185" i="2" s="1"/>
  <c r="AN410" i="2"/>
  <c r="AR410" i="2" s="1"/>
  <c r="AN126" i="2"/>
  <c r="AR126" i="2" s="1"/>
  <c r="AN413" i="2"/>
  <c r="AR413" i="2" s="1"/>
  <c r="AN409" i="2"/>
  <c r="AR409" i="2" s="1"/>
  <c r="AN418" i="2"/>
  <c r="AR418" i="2" s="1"/>
  <c r="AR429" i="2"/>
  <c r="AL324" i="2"/>
  <c r="AR494" i="2"/>
  <c r="AR258" i="2"/>
  <c r="AP43" i="2"/>
  <c r="AR269" i="2"/>
  <c r="AR288" i="2"/>
  <c r="AP44" i="2"/>
  <c r="AR44" i="2" s="1"/>
  <c r="AP25" i="2"/>
  <c r="AR25" i="2" s="1"/>
  <c r="AB262" i="2"/>
  <c r="AC262" i="2" s="1"/>
  <c r="AR262" i="2" s="1"/>
  <c r="AB263" i="2"/>
  <c r="AC263" i="2" s="1"/>
  <c r="AR263" i="2" s="1"/>
  <c r="AB200" i="2"/>
  <c r="AC200" i="2" s="1"/>
  <c r="AR200" i="2" s="1"/>
  <c r="P389" i="2"/>
  <c r="D50" i="1"/>
  <c r="AB243" i="2"/>
  <c r="AC243" i="2" s="1"/>
  <c r="AN243" i="2" s="1"/>
  <c r="AR243" i="2" s="1"/>
  <c r="AB22" i="2"/>
  <c r="AC22" i="2" s="1"/>
  <c r="AN22" i="2" s="1"/>
  <c r="AB260" i="2"/>
  <c r="AC260" i="2" s="1"/>
  <c r="AB471" i="2"/>
  <c r="AC471" i="2" s="1"/>
  <c r="AR471" i="2" s="1"/>
  <c r="AB20" i="2"/>
  <c r="AC20" i="2" s="1"/>
  <c r="AN20" i="2" s="1"/>
  <c r="AB532" i="2"/>
  <c r="AC532" i="2" s="1"/>
  <c r="AB470" i="2"/>
  <c r="AC470" i="2" s="1"/>
  <c r="AB253" i="2"/>
  <c r="AC253" i="2" s="1"/>
  <c r="AB76" i="2"/>
  <c r="AC76" i="2" s="1"/>
  <c r="AN76" i="2" s="1"/>
  <c r="AB467" i="2"/>
  <c r="AC467" i="2" s="1"/>
  <c r="AN467" i="2" s="1"/>
  <c r="AR467" i="2" s="1"/>
  <c r="AB74" i="2"/>
  <c r="AC74" i="2" s="1"/>
  <c r="AB259" i="2"/>
  <c r="AC259" i="2" s="1"/>
  <c r="AN259" i="2" s="1"/>
  <c r="AR259" i="2" s="1"/>
  <c r="AB254" i="2"/>
  <c r="AC254" i="2" s="1"/>
  <c r="AB197" i="2"/>
  <c r="AC197" i="2" s="1"/>
  <c r="AB73" i="2"/>
  <c r="AC73" i="2" s="1"/>
  <c r="AN73" i="2" s="1"/>
  <c r="AB75" i="2"/>
  <c r="AC75" i="2" s="1"/>
  <c r="AB77" i="2"/>
  <c r="AC77" i="2" s="1"/>
  <c r="AN77" i="2" s="1"/>
  <c r="R278" i="2"/>
  <c r="AB287" i="2"/>
  <c r="AC287" i="2" s="1"/>
  <c r="AN287" i="2" s="1"/>
  <c r="AR287" i="2" s="1"/>
  <c r="AB290" i="2"/>
  <c r="AC290" i="2" s="1"/>
  <c r="AN290" i="2" s="1"/>
  <c r="AR290" i="2" s="1"/>
  <c r="AB469" i="2"/>
  <c r="AC469" i="2" s="1"/>
  <c r="AB328" i="2"/>
  <c r="AC328" i="2" s="1"/>
  <c r="AN328" i="2" s="1"/>
  <c r="AR328" i="2" s="1"/>
  <c r="AB285" i="2"/>
  <c r="AC285" i="2" s="1"/>
  <c r="AB286" i="2"/>
  <c r="AC286" i="2" s="1"/>
  <c r="AN286" i="2" s="1"/>
  <c r="AR286" i="2" s="1"/>
  <c r="AB14" i="2"/>
  <c r="AC14" i="2" s="1"/>
  <c r="AB468" i="2"/>
  <c r="AC468" i="2" s="1"/>
  <c r="AN468" i="2" s="1"/>
  <c r="AR468" i="2" s="1"/>
  <c r="AB19" i="2"/>
  <c r="AC19" i="2" s="1"/>
  <c r="AB183" i="2"/>
  <c r="AC183" i="2" s="1"/>
  <c r="AN183" i="2" s="1"/>
  <c r="AR183" i="2" s="1"/>
  <c r="AB283" i="2"/>
  <c r="AC283" i="2" s="1"/>
  <c r="AN283" i="2" s="1"/>
  <c r="AR283" i="2" s="1"/>
  <c r="V102" i="2"/>
  <c r="AB246" i="2"/>
  <c r="AC246" i="2" s="1"/>
  <c r="AA324" i="2"/>
  <c r="AB91" i="2"/>
  <c r="AC91" i="2" s="1"/>
  <c r="AN91" i="2" s="1"/>
  <c r="X482" i="2"/>
  <c r="AB282" i="2"/>
  <c r="AC282" i="2" s="1"/>
  <c r="AN282" i="2" s="1"/>
  <c r="AR282" i="2" s="1"/>
  <c r="AB284" i="2"/>
  <c r="AC284" i="2" s="1"/>
  <c r="AB189" i="2"/>
  <c r="AC189" i="2" s="1"/>
  <c r="AB190" i="2"/>
  <c r="AC190" i="2" s="1"/>
  <c r="AB247" i="2"/>
  <c r="AC247" i="2" s="1"/>
  <c r="AN247" i="2" s="1"/>
  <c r="AR247" i="2" s="1"/>
  <c r="AB13" i="2"/>
  <c r="AC13" i="2" s="1"/>
  <c r="Y52" i="2"/>
  <c r="X52" i="2"/>
  <c r="AB45" i="2"/>
  <c r="AC45" i="2" s="1"/>
  <c r="AN45" i="2" s="1"/>
  <c r="AR45" i="2" s="1"/>
  <c r="AB465" i="2"/>
  <c r="AC465" i="2" s="1"/>
  <c r="AB466" i="2"/>
  <c r="AC466" i="2" s="1"/>
  <c r="V252" i="2"/>
  <c r="X502" i="2"/>
  <c r="T502" i="2"/>
  <c r="Y502" i="2"/>
  <c r="V502" i="2"/>
  <c r="AB239" i="2"/>
  <c r="AC239" i="2" s="1"/>
  <c r="AN239" i="2" s="1"/>
  <c r="AR239" i="2" s="1"/>
  <c r="T252" i="2"/>
  <c r="C507" i="2" s="1"/>
  <c r="AB521" i="2"/>
  <c r="AC521" i="2" s="1"/>
  <c r="AC240" i="2"/>
  <c r="AN240" i="2" s="1"/>
  <c r="AR240" i="2" s="1"/>
  <c r="AB486" i="2"/>
  <c r="AC486" i="2" s="1"/>
  <c r="AB242" i="2"/>
  <c r="AC242" i="2" s="1"/>
  <c r="AB245" i="2"/>
  <c r="AC245" i="2" s="1"/>
  <c r="Y37" i="2"/>
  <c r="X37" i="2"/>
  <c r="AB11" i="2"/>
  <c r="AC11" i="2" s="1"/>
  <c r="AB188" i="2"/>
  <c r="AC188" i="2" s="1"/>
  <c r="AN188" i="2" s="1"/>
  <c r="AR188" i="2" s="1"/>
  <c r="AB187" i="2"/>
  <c r="AC187" i="2" s="1"/>
  <c r="AN187" i="2" s="1"/>
  <c r="AR187" i="2" s="1"/>
  <c r="AB191" i="2"/>
  <c r="AC191" i="2" s="1"/>
  <c r="AN191" i="2" s="1"/>
  <c r="AR191" i="2" s="1"/>
  <c r="T102" i="2"/>
  <c r="T52" i="2"/>
  <c r="T230" i="2"/>
  <c r="T445" i="2"/>
  <c r="V324" i="2"/>
  <c r="V52" i="2"/>
  <c r="T37" i="2"/>
  <c r="V230" i="2"/>
  <c r="V392" i="2"/>
  <c r="V397" i="2" s="1"/>
  <c r="T392" i="2"/>
  <c r="T397" i="2" s="1"/>
  <c r="AB261" i="2"/>
  <c r="AC261" i="2" s="1"/>
  <c r="AR261" i="2" s="1"/>
  <c r="AA485" i="2"/>
  <c r="AA502" i="2" s="1"/>
  <c r="T347" i="2"/>
  <c r="V347" i="2"/>
  <c r="V445" i="2"/>
  <c r="AB78" i="2"/>
  <c r="AC78" i="2" s="1"/>
  <c r="Y482" i="2"/>
  <c r="AA448" i="2"/>
  <c r="AB342" i="2"/>
  <c r="AA37" i="2"/>
  <c r="AB527" i="2"/>
  <c r="AA40" i="2"/>
  <c r="AA52" i="2" s="1"/>
  <c r="V327" i="2"/>
  <c r="V339" i="2" s="1"/>
  <c r="T327" i="2"/>
  <c r="AB95" i="2"/>
  <c r="AC95" i="2" s="1"/>
  <c r="T482" i="2"/>
  <c r="T86" i="2"/>
  <c r="V37" i="2"/>
  <c r="X230" i="2"/>
  <c r="R356" i="2"/>
  <c r="Y86" i="2"/>
  <c r="AA72" i="2"/>
  <c r="Y230" i="2"/>
  <c r="AA517" i="2"/>
  <c r="V482" i="2"/>
  <c r="Y343" i="2"/>
  <c r="B50" i="1"/>
  <c r="AB419" i="2"/>
  <c r="AA445" i="2"/>
  <c r="V86" i="2"/>
  <c r="X86" i="2"/>
  <c r="AB281" i="2"/>
  <c r="AB181" i="2"/>
  <c r="AC181" i="2" s="1"/>
  <c r="AA102" i="2"/>
  <c r="C14" i="1" l="1"/>
  <c r="P151" i="4"/>
  <c r="M168" i="4"/>
  <c r="B22" i="1" s="1"/>
  <c r="S97" i="4"/>
  <c r="F14" i="1" s="1"/>
  <c r="P88" i="4"/>
  <c r="P97" i="4" s="1"/>
  <c r="O97" i="4"/>
  <c r="U88" i="4"/>
  <c r="U97" i="4" s="1"/>
  <c r="H14" i="1" s="1"/>
  <c r="T97" i="4"/>
  <c r="G14" i="1" s="1"/>
  <c r="U151" i="4"/>
  <c r="M138" i="4"/>
  <c r="C56" i="1"/>
  <c r="O162" i="4"/>
  <c r="S491" i="4"/>
  <c r="F56" i="1" s="1"/>
  <c r="M79" i="4"/>
  <c r="T162" i="4"/>
  <c r="S129" i="4"/>
  <c r="T129" i="4" s="1"/>
  <c r="U129" i="4" s="1"/>
  <c r="N165" i="4"/>
  <c r="N168" i="4" s="1"/>
  <c r="D22" i="1" s="1"/>
  <c r="B16" i="1"/>
  <c r="U100" i="4"/>
  <c r="P459" i="4"/>
  <c r="P491" i="4" s="1"/>
  <c r="O491" i="4"/>
  <c r="U459" i="4"/>
  <c r="T491" i="4"/>
  <c r="G56" i="1" s="1"/>
  <c r="N138" i="4"/>
  <c r="D18" i="1" s="1"/>
  <c r="O54" i="4"/>
  <c r="N79" i="4"/>
  <c r="D12" i="1" s="1"/>
  <c r="T141" i="4"/>
  <c r="B18" i="1"/>
  <c r="U154" i="4"/>
  <c r="P119" i="4"/>
  <c r="O138" i="4"/>
  <c r="S55" i="4"/>
  <c r="T55" i="4" s="1"/>
  <c r="U55" i="4" s="1"/>
  <c r="Q79" i="4"/>
  <c r="E12" i="1" s="1"/>
  <c r="O141" i="4"/>
  <c r="P154" i="4"/>
  <c r="P100" i="4"/>
  <c r="S163" i="4"/>
  <c r="T163" i="4" s="1"/>
  <c r="U163" i="4" s="1"/>
  <c r="T54" i="4"/>
  <c r="N142" i="4"/>
  <c r="O142" i="4" s="1"/>
  <c r="P142" i="4" s="1"/>
  <c r="Q142" i="4" s="1"/>
  <c r="AP389" i="2"/>
  <c r="AB445" i="2"/>
  <c r="AN470" i="2"/>
  <c r="AR470" i="2" s="1"/>
  <c r="AN260" i="2"/>
  <c r="AR260" i="2" s="1"/>
  <c r="R504" i="2"/>
  <c r="AP74" i="2"/>
  <c r="AR77" i="2"/>
  <c r="AR76" i="2"/>
  <c r="AP425" i="2"/>
  <c r="AP445" i="2" s="1"/>
  <c r="AP73" i="2"/>
  <c r="AR73" i="2" s="1"/>
  <c r="AP75" i="2"/>
  <c r="V119" i="2"/>
  <c r="AJ119" i="2"/>
  <c r="AJ504" i="2"/>
  <c r="AL504" i="2"/>
  <c r="AL119" i="2"/>
  <c r="X119" i="2"/>
  <c r="T119" i="2"/>
  <c r="Y119" i="2"/>
  <c r="AP21" i="2"/>
  <c r="AR21" i="2" s="1"/>
  <c r="AP397" i="2"/>
  <c r="AN197" i="2"/>
  <c r="AR197" i="2" s="1"/>
  <c r="AP95" i="2"/>
  <c r="C509" i="2"/>
  <c r="AN466" i="2"/>
  <c r="AR466" i="2" s="1"/>
  <c r="AN465" i="2"/>
  <c r="AR465" i="2" s="1"/>
  <c r="AN284" i="2"/>
  <c r="AR284" i="2" s="1"/>
  <c r="AN75" i="2"/>
  <c r="AR75" i="2" s="1"/>
  <c r="AN253" i="2"/>
  <c r="AR253" i="2" s="1"/>
  <c r="AN245" i="2"/>
  <c r="AR245" i="2" s="1"/>
  <c r="AN246" i="2"/>
  <c r="AR246" i="2" s="1"/>
  <c r="AN19" i="2"/>
  <c r="AR19" i="2" s="1"/>
  <c r="AN285" i="2"/>
  <c r="AR285" i="2" s="1"/>
  <c r="AN74" i="2"/>
  <c r="AR401" i="2"/>
  <c r="AP20" i="2"/>
  <c r="AR20" i="2" s="1"/>
  <c r="AP22" i="2"/>
  <c r="AR22" i="2" s="1"/>
  <c r="AN181" i="2"/>
  <c r="AR181" i="2" s="1"/>
  <c r="AN13" i="2"/>
  <c r="AR13" i="2" s="1"/>
  <c r="AN11" i="2"/>
  <c r="AR11" i="2" s="1"/>
  <c r="AN242" i="2"/>
  <c r="AR242" i="2" s="1"/>
  <c r="AN190" i="2"/>
  <c r="AR190" i="2" s="1"/>
  <c r="AP78" i="2"/>
  <c r="AN486" i="2"/>
  <c r="AR486" i="2" s="1"/>
  <c r="AN189" i="2"/>
  <c r="AR189" i="2" s="1"/>
  <c r="AR91" i="2"/>
  <c r="AN102" i="2"/>
  <c r="AN14" i="2"/>
  <c r="AR14" i="2" s="1"/>
  <c r="AN469" i="2"/>
  <c r="AR469" i="2" s="1"/>
  <c r="AN254" i="2"/>
  <c r="AR254" i="2" s="1"/>
  <c r="AP52" i="2"/>
  <c r="E50" i="1"/>
  <c r="AL389" i="2"/>
  <c r="AR122" i="2"/>
  <c r="AR43" i="2"/>
  <c r="C28" i="1"/>
  <c r="R389" i="2"/>
  <c r="X392" i="2"/>
  <c r="X397" i="2" s="1"/>
  <c r="T278" i="2"/>
  <c r="X252" i="2"/>
  <c r="AC102" i="2"/>
  <c r="AC37" i="2"/>
  <c r="T339" i="2"/>
  <c r="X327" i="2"/>
  <c r="V278" i="2"/>
  <c r="T356" i="2"/>
  <c r="X347" i="2"/>
  <c r="AB37" i="2"/>
  <c r="AC527" i="2"/>
  <c r="AB102" i="2"/>
  <c r="AC419" i="2"/>
  <c r="AN419" i="2" s="1"/>
  <c r="AR419" i="2" s="1"/>
  <c r="AA343" i="2"/>
  <c r="AB40" i="2"/>
  <c r="AA86" i="2"/>
  <c r="AB72" i="2"/>
  <c r="AB86" i="2" s="1"/>
  <c r="AA482" i="2"/>
  <c r="AB448" i="2"/>
  <c r="AB482" i="2" s="1"/>
  <c r="V356" i="2"/>
  <c r="AB324" i="2"/>
  <c r="AC281" i="2"/>
  <c r="AA230" i="2"/>
  <c r="AB517" i="2"/>
  <c r="AB230" i="2" s="1"/>
  <c r="AC342" i="2"/>
  <c r="AN342" i="2" s="1"/>
  <c r="AR342" i="2" s="1"/>
  <c r="AB485" i="2"/>
  <c r="U491" i="4" l="1"/>
  <c r="H56" i="1" s="1"/>
  <c r="C22" i="1"/>
  <c r="B12" i="1"/>
  <c r="M532" i="4"/>
  <c r="M170" i="4"/>
  <c r="C18" i="1"/>
  <c r="P162" i="4"/>
  <c r="U162" i="4"/>
  <c r="N148" i="4"/>
  <c r="S79" i="4"/>
  <c r="F12" i="1" s="1"/>
  <c r="U141" i="4"/>
  <c r="O165" i="4"/>
  <c r="O168" i="4" s="1"/>
  <c r="N114" i="4"/>
  <c r="D16" i="1" s="1"/>
  <c r="U54" i="4"/>
  <c r="U79" i="4" s="1"/>
  <c r="H12" i="1" s="1"/>
  <c r="T79" i="4"/>
  <c r="G12" i="1" s="1"/>
  <c r="S142" i="4"/>
  <c r="Q148" i="4"/>
  <c r="P141" i="4"/>
  <c r="P148" i="4" s="1"/>
  <c r="O148" i="4"/>
  <c r="P54" i="4"/>
  <c r="P79" i="4" s="1"/>
  <c r="O79" i="4"/>
  <c r="Q119" i="4"/>
  <c r="P138" i="4"/>
  <c r="C50" i="1"/>
  <c r="AR74" i="2"/>
  <c r="T504" i="2"/>
  <c r="AR425" i="2"/>
  <c r="AR445" i="2" s="1"/>
  <c r="V504" i="2"/>
  <c r="AP72" i="2"/>
  <c r="AA119" i="2"/>
  <c r="AL120" i="2"/>
  <c r="AR95" i="2"/>
  <c r="AR102" i="2" s="1"/>
  <c r="AP102" i="2"/>
  <c r="AP37" i="2"/>
  <c r="AR230" i="2"/>
  <c r="AN230" i="2"/>
  <c r="AR37" i="2"/>
  <c r="AR78" i="2"/>
  <c r="AP86" i="2"/>
  <c r="AC324" i="2"/>
  <c r="AN281" i="2"/>
  <c r="AN324" i="2" s="1"/>
  <c r="AN37" i="2"/>
  <c r="AN445" i="2"/>
  <c r="T389" i="2"/>
  <c r="V389" i="2"/>
  <c r="Y392" i="2"/>
  <c r="Y397" i="2" s="1"/>
  <c r="Y252" i="2"/>
  <c r="X278" i="2"/>
  <c r="AC445" i="2"/>
  <c r="X339" i="2"/>
  <c r="Y327" i="2"/>
  <c r="AB502" i="2"/>
  <c r="Y347" i="2"/>
  <c r="X356" i="2"/>
  <c r="AB52" i="2"/>
  <c r="AC448" i="2"/>
  <c r="AC485" i="2"/>
  <c r="AN485" i="2" s="1"/>
  <c r="AC40" i="2"/>
  <c r="AC517" i="2"/>
  <c r="AC230" i="2" s="1"/>
  <c r="AC72" i="2"/>
  <c r="AB343" i="2"/>
  <c r="C12" i="1" l="1"/>
  <c r="C16" i="1"/>
  <c r="T142" i="4"/>
  <c r="S148" i="4"/>
  <c r="S119" i="4"/>
  <c r="Q138" i="4"/>
  <c r="E18" i="1" s="1"/>
  <c r="P165" i="4"/>
  <c r="P168" i="4" s="1"/>
  <c r="O114" i="4"/>
  <c r="X504" i="2"/>
  <c r="AB119" i="2"/>
  <c r="AP504" i="2"/>
  <c r="AP119" i="2"/>
  <c r="AC86" i="2"/>
  <c r="AN72" i="2"/>
  <c r="AC482" i="2"/>
  <c r="AN448" i="2"/>
  <c r="AC52" i="2"/>
  <c r="AN40" i="2"/>
  <c r="AR281" i="2"/>
  <c r="AR324" i="2" s="1"/>
  <c r="AR485" i="2"/>
  <c r="AR502" i="2" s="1"/>
  <c r="AN502" i="2"/>
  <c r="X389" i="2"/>
  <c r="AA392" i="2"/>
  <c r="AA397" i="2" s="1"/>
  <c r="AA252" i="2"/>
  <c r="Y278" i="2"/>
  <c r="Y339" i="2"/>
  <c r="AA327" i="2"/>
  <c r="AC502" i="2"/>
  <c r="AA347" i="2"/>
  <c r="Y356" i="2"/>
  <c r="AC343" i="2"/>
  <c r="AR343" i="2" s="1"/>
  <c r="T119" i="4" l="1"/>
  <c r="S138" i="4"/>
  <c r="F18" i="1" s="1"/>
  <c r="Q165" i="4"/>
  <c r="Q168" i="4" s="1"/>
  <c r="E22" i="1" s="1"/>
  <c r="P114" i="4"/>
  <c r="U142" i="4"/>
  <c r="U148" i="4" s="1"/>
  <c r="T148" i="4"/>
  <c r="Y504" i="2"/>
  <c r="AC119" i="2"/>
  <c r="AR448" i="2"/>
  <c r="AR482" i="2" s="1"/>
  <c r="AN482" i="2"/>
  <c r="AR72" i="2"/>
  <c r="AR86" i="2" s="1"/>
  <c r="AN86" i="2"/>
  <c r="AR40" i="2"/>
  <c r="AR52" i="2" s="1"/>
  <c r="AN52" i="2"/>
  <c r="Y389" i="2"/>
  <c r="AB392" i="2"/>
  <c r="AA278" i="2"/>
  <c r="AB252" i="2"/>
  <c r="AA339" i="2"/>
  <c r="AB327" i="2"/>
  <c r="AB347" i="2"/>
  <c r="AA356" i="2"/>
  <c r="S165" i="4" l="1"/>
  <c r="Q114" i="4"/>
  <c r="Q170" i="4" s="1"/>
  <c r="U119" i="4"/>
  <c r="U138" i="4" s="1"/>
  <c r="H18" i="1" s="1"/>
  <c r="T138" i="4"/>
  <c r="G18" i="1" s="1"/>
  <c r="AA504" i="2"/>
  <c r="AN119" i="2"/>
  <c r="AR119" i="2"/>
  <c r="AR120" i="2" s="1"/>
  <c r="AA389" i="2"/>
  <c r="AB397" i="2"/>
  <c r="AC392" i="2"/>
  <c r="AC252" i="2"/>
  <c r="AB278" i="2"/>
  <c r="AB339" i="2"/>
  <c r="AC327" i="2"/>
  <c r="AC347" i="2"/>
  <c r="AB356" i="2"/>
  <c r="S114" i="4" l="1"/>
  <c r="F16" i="1" s="1"/>
  <c r="S168" i="4"/>
  <c r="F22" i="1" s="1"/>
  <c r="E16" i="1"/>
  <c r="T165" i="4"/>
  <c r="AN392" i="2"/>
  <c r="AN397" i="2" s="1"/>
  <c r="AB504" i="2"/>
  <c r="AC278" i="2"/>
  <c r="AN252" i="2"/>
  <c r="AC356" i="2"/>
  <c r="AN347" i="2"/>
  <c r="AR347" i="2" s="1"/>
  <c r="AC339" i="2"/>
  <c r="AN327" i="2"/>
  <c r="AN339" i="2" s="1"/>
  <c r="F50" i="1"/>
  <c r="AB389" i="2"/>
  <c r="AC397" i="2"/>
  <c r="U165" i="4" l="1"/>
  <c r="T168" i="4"/>
  <c r="G22" i="1" s="1"/>
  <c r="T114" i="4"/>
  <c r="G16" i="1" s="1"/>
  <c r="AR392" i="2"/>
  <c r="AR397" i="2" s="1"/>
  <c r="AC504" i="2"/>
  <c r="AC389" i="2"/>
  <c r="AR327" i="2"/>
  <c r="AR339" i="2" s="1"/>
  <c r="AR252" i="2"/>
  <c r="AR278" i="2" s="1"/>
  <c r="AN278" i="2"/>
  <c r="AN504" i="2" s="1"/>
  <c r="G50" i="1"/>
  <c r="U114" i="4" l="1"/>
  <c r="H16" i="1" s="1"/>
  <c r="U168" i="4"/>
  <c r="H22" i="1" s="1"/>
  <c r="AR504" i="2"/>
  <c r="AN389" i="2"/>
  <c r="H50" i="1"/>
  <c r="AR389" i="2"/>
  <c r="N12" i="4"/>
  <c r="S12" i="4"/>
  <c r="O12" i="4" l="1"/>
  <c r="N39" i="4"/>
  <c r="N170" i="4" s="1"/>
  <c r="T12" i="4"/>
  <c r="S39" i="4"/>
  <c r="S170" i="4" s="1"/>
  <c r="B8" i="1"/>
  <c r="B20" i="1"/>
  <c r="D20" i="1"/>
  <c r="P12" i="4" l="1"/>
  <c r="P39" i="4" s="1"/>
  <c r="P170" i="4" s="1"/>
  <c r="O39" i="4"/>
  <c r="O170" i="4" s="1"/>
  <c r="U12" i="4"/>
  <c r="U39" i="4" s="1"/>
  <c r="U170" i="4" s="1"/>
  <c r="T39" i="4"/>
  <c r="T170" i="4" s="1"/>
  <c r="C20" i="1"/>
  <c r="B24" i="1"/>
  <c r="E8" i="1"/>
  <c r="E20" i="1"/>
  <c r="G20" i="1"/>
  <c r="D8" i="1"/>
  <c r="D54" i="1"/>
  <c r="E24" i="1" l="1"/>
  <c r="D24" i="1"/>
  <c r="D62" i="1"/>
  <c r="B54" i="1"/>
  <c r="N532" i="4"/>
  <c r="P532" i="4"/>
  <c r="G8" i="1"/>
  <c r="O532" i="4"/>
  <c r="F20" i="1"/>
  <c r="H8" i="1"/>
  <c r="H20" i="1"/>
  <c r="G54" i="1"/>
  <c r="E25" i="1"/>
  <c r="C8" i="1"/>
  <c r="C24" i="1" s="1"/>
  <c r="F8" i="1"/>
  <c r="D64" i="1" l="1"/>
  <c r="H24" i="1"/>
  <c r="H25" i="1" s="1"/>
  <c r="F24" i="1"/>
  <c r="G24" i="1"/>
  <c r="G62" i="1"/>
  <c r="C54" i="1"/>
  <c r="C62" i="1" s="1"/>
  <c r="C64" i="1" s="1"/>
  <c r="B62" i="1"/>
  <c r="B64" i="1" s="1"/>
  <c r="B65" i="1" s="1"/>
  <c r="F54" i="1"/>
  <c r="S532" i="4"/>
  <c r="T532" i="4"/>
  <c r="E54" i="1"/>
  <c r="Q532" i="4"/>
  <c r="G64" i="1" l="1"/>
  <c r="E62" i="1"/>
  <c r="E64" i="1" s="1"/>
  <c r="F62" i="1"/>
  <c r="F64" i="1" s="1"/>
  <c r="H54" i="1"/>
  <c r="U532" i="4"/>
  <c r="H62" i="1" l="1"/>
  <c r="H64" i="1" s="1"/>
</calcChain>
</file>

<file path=xl/comments1.xml><?xml version="1.0" encoding="utf-8"?>
<comments xmlns="http://schemas.openxmlformats.org/spreadsheetml/2006/main">
  <authors>
    <author>Heather Garland</author>
    <author>Lindsay Waldram</author>
    <author>WCNX</author>
    <author>Information Services</author>
    <author>heatherg</author>
  </authors>
  <commentList>
    <comment ref="E42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REL trucks are only used in UTC area. City of Shelton is carts only.</t>
        </r>
      </text>
    </comment>
    <comment ref="E59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was transferred from 2183 (Pacific).  It had amortization of salvage value there as well.  Updated date to be the beginning of the amortization at Pacific.</t>
        </r>
      </text>
    </comment>
    <comment ref="C82" authorId="1" shapeId="0">
      <text>
        <r>
          <rPr>
            <sz val="9"/>
            <color indexed="81"/>
            <rFont val="Tahoma"/>
            <family val="2"/>
          </rPr>
          <t xml:space="preserve">
Hauls regulated &amp; non-regulated commingle to market.</t>
        </r>
      </text>
    </comment>
    <comment ref="D162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Converted to container delivery in 2014.</t>
        </r>
      </text>
    </comment>
    <comment ref="E397" authorId="3" shapeId="0">
      <text>
        <r>
          <rPr>
            <b/>
            <sz val="8"/>
            <color indexed="81"/>
            <rFont val="Tahoma"/>
            <family val="2"/>
          </rPr>
          <t>Information Services:</t>
        </r>
        <r>
          <rPr>
            <sz val="8"/>
            <color indexed="81"/>
            <rFont val="Tahoma"/>
            <family val="2"/>
          </rPr>
          <t xml:space="preserve">
I assume these relate to recy or the contract</t>
        </r>
      </text>
    </comment>
    <comment ref="M537" authorId="3" shapeId="0">
      <text>
        <r>
          <rPr>
            <b/>
            <sz val="8"/>
            <color indexed="81"/>
            <rFont val="Tahoma"/>
            <family val="2"/>
          </rPr>
          <t>Information Services:</t>
        </r>
        <r>
          <rPr>
            <sz val="8"/>
            <color indexed="81"/>
            <rFont val="Tahoma"/>
            <family val="2"/>
          </rPr>
          <t xml:space="preserve"> Stf # is more than co to provide for addl eq/ motel/tvl/meals
for transfer costs</t>
        </r>
      </text>
    </comment>
    <comment ref="E541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2160 1/1/2014.</t>
        </r>
      </text>
    </comment>
    <comment ref="D547" authorId="4" shapeId="0">
      <text>
        <r>
          <rPr>
            <b/>
            <sz val="9"/>
            <color indexed="81"/>
            <rFont val="Tahoma"/>
            <family val="2"/>
          </rPr>
          <t>heatherg:</t>
        </r>
        <r>
          <rPr>
            <sz val="9"/>
            <color indexed="81"/>
            <rFont val="Tahoma"/>
            <family val="2"/>
          </rPr>
          <t xml:space="preserve">
Transferred to 2188 9/2015.</t>
        </r>
      </text>
    </comment>
    <comment ref="B565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Moved from Shelton area per controller.  We were informed only the trucks 11 &amp; 41 run in Shelton</t>
        </r>
      </text>
    </comment>
    <comment ref="B566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On FAR parent account showed 183682 however that already had TT&amp;L.  Assumed it's related to 183685 since it iddn't have TT&amp;L.</t>
        </r>
      </text>
    </comment>
    <comment ref="E569" authorId="0" shapeId="0">
      <text>
        <r>
          <rPr>
            <b/>
            <sz val="9"/>
            <color indexed="81"/>
            <rFont val="Tahoma"/>
            <family val="2"/>
          </rPr>
          <t>Heather Garland:
Retired?</t>
        </r>
      </text>
    </comment>
  </commentList>
</comments>
</file>

<file path=xl/comments2.xml><?xml version="1.0" encoding="utf-8"?>
<comments xmlns="http://schemas.openxmlformats.org/spreadsheetml/2006/main">
  <authors>
    <author>WCNX</author>
    <author>Lindsay Waldram</author>
    <author>Information Services</author>
    <author>heatherg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Converted to container delivery in 2014.</t>
        </r>
      </text>
    </comment>
    <comment ref="B57" authorId="1" shapeId="0">
      <text>
        <r>
          <rPr>
            <sz val="9"/>
            <color indexed="81"/>
            <rFont val="Tahoma"/>
            <family val="2"/>
          </rPr>
          <t xml:space="preserve">
Hauls regulated &amp; non-regulated per field</t>
        </r>
      </text>
    </comment>
    <comment ref="A114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On FAR parent account showed 183682 however that already had TT&amp;L.  Assumed it's related to 183685 since it iddn't have TT&amp;L.</t>
        </r>
      </text>
    </comment>
    <comment ref="D342" authorId="2" shapeId="0">
      <text>
        <r>
          <rPr>
            <b/>
            <sz val="8"/>
            <color indexed="81"/>
            <rFont val="Tahoma"/>
            <family val="2"/>
          </rPr>
          <t>Information Services:</t>
        </r>
        <r>
          <rPr>
            <sz val="8"/>
            <color indexed="81"/>
            <rFont val="Tahoma"/>
            <family val="2"/>
          </rPr>
          <t xml:space="preserve">
I assume these relate to recy or the contract</t>
        </r>
      </text>
    </comment>
    <comment ref="N527" authorId="2" shapeId="0">
      <text>
        <r>
          <rPr>
            <b/>
            <sz val="8"/>
            <color indexed="81"/>
            <rFont val="Tahoma"/>
            <family val="2"/>
          </rPr>
          <t>Information Services:</t>
        </r>
        <r>
          <rPr>
            <sz val="8"/>
            <color indexed="81"/>
            <rFont val="Tahoma"/>
            <family val="2"/>
          </rPr>
          <t xml:space="preserve"> Stf # is more than co to provide for addl eq/ motel/tvl/meals
for transfer costs</t>
        </r>
      </text>
    </comment>
    <comment ref="D53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2160 1/1/2014.</t>
        </r>
      </text>
    </comment>
    <comment ref="C537" authorId="3" shapeId="0">
      <text>
        <r>
          <rPr>
            <b/>
            <sz val="9"/>
            <color indexed="81"/>
            <rFont val="Tahoma"/>
            <family val="2"/>
          </rPr>
          <t>heatherg:</t>
        </r>
        <r>
          <rPr>
            <sz val="9"/>
            <color indexed="81"/>
            <rFont val="Tahoma"/>
            <family val="2"/>
          </rPr>
          <t xml:space="preserve">
Transferred to 2188 9/2015.</t>
        </r>
      </text>
    </comment>
    <comment ref="N550" authorId="2" shapeId="0">
      <text>
        <r>
          <rPr>
            <b/>
            <sz val="8"/>
            <color indexed="81"/>
            <rFont val="Tahoma"/>
            <family val="2"/>
          </rPr>
          <t>Information Services:</t>
        </r>
        <r>
          <rPr>
            <sz val="8"/>
            <color indexed="81"/>
            <rFont val="Tahoma"/>
            <family val="2"/>
          </rPr>
          <t xml:space="preserve"> Stf # is more than co to provide for addl eq/ motel/tvl/meals
for transfer costs</t>
        </r>
      </text>
    </comment>
  </commentList>
</comments>
</file>

<file path=xl/sharedStrings.xml><?xml version="1.0" encoding="utf-8"?>
<sst xmlns="http://schemas.openxmlformats.org/spreadsheetml/2006/main" count="2230" uniqueCount="620">
  <si>
    <t>Depreciation Summary</t>
  </si>
  <si>
    <t>Mason County Garbage</t>
  </si>
  <si>
    <t xml:space="preserve"> </t>
  </si>
  <si>
    <t xml:space="preserve">Beginng  </t>
  </si>
  <si>
    <t>Ending</t>
  </si>
  <si>
    <t>Average</t>
  </si>
  <si>
    <t>Acc Depr</t>
  </si>
  <si>
    <t>Investment</t>
  </si>
  <si>
    <t>Cost</t>
  </si>
  <si>
    <t>Salvage</t>
  </si>
  <si>
    <t>Depr Costs</t>
  </si>
  <si>
    <t>Depr</t>
  </si>
  <si>
    <t>Roll-off</t>
  </si>
  <si>
    <t>TF Truck</t>
  </si>
  <si>
    <t>Total Trucks</t>
  </si>
  <si>
    <t>Containers:</t>
  </si>
  <si>
    <t>Containers</t>
  </si>
  <si>
    <t>Drop Box</t>
  </si>
  <si>
    <t>Carts - Recycling</t>
  </si>
  <si>
    <t>Comm Recyl Non-Reg</t>
  </si>
  <si>
    <t>Total Cont, Carts</t>
  </si>
  <si>
    <t>Service Equipment</t>
  </si>
  <si>
    <t>Shop Equipment</t>
  </si>
  <si>
    <t>Office Equipment</t>
  </si>
  <si>
    <t>Leasehold Improvement</t>
  </si>
  <si>
    <t>Total</t>
  </si>
  <si>
    <t>Total Equipment</t>
  </si>
  <si>
    <t>Mason County Garbage Company</t>
  </si>
  <si>
    <t>Depreciation Schedule</t>
  </si>
  <si>
    <t>Months in first year</t>
  </si>
  <si>
    <t>CONVENTIONS</t>
  </si>
  <si>
    <t>Months in second year</t>
  </si>
  <si>
    <t>A.</t>
  </si>
  <si>
    <t>Purchase date</t>
  </si>
  <si>
    <t>First year</t>
  </si>
  <si>
    <t>B.</t>
  </si>
  <si>
    <t>End of Test Period</t>
  </si>
  <si>
    <t xml:space="preserve">Calendar year test period: </t>
  </si>
  <si>
    <t>mos in first year</t>
  </si>
  <si>
    <t>C</t>
  </si>
  <si>
    <t>Date fully Depr</t>
  </si>
  <si>
    <t>mos in 2nd year</t>
  </si>
  <si>
    <t>D.</t>
  </si>
  <si>
    <t>Beg of Test Period</t>
  </si>
  <si>
    <t>E.</t>
  </si>
  <si>
    <t>Disposition Date</t>
  </si>
  <si>
    <t>Second Year</t>
  </si>
  <si>
    <t>Disposal</t>
  </si>
  <si>
    <t>Beginning</t>
  </si>
  <si>
    <t>Allocated</t>
  </si>
  <si>
    <t>GARBAGE</t>
  </si>
  <si>
    <t>Date in</t>
  </si>
  <si>
    <t>Year</t>
  </si>
  <si>
    <t>Asset</t>
  </si>
  <si>
    <t>Test</t>
  </si>
  <si>
    <t>%</t>
  </si>
  <si>
    <t>Accumulated</t>
  </si>
  <si>
    <t>Branch</t>
  </si>
  <si>
    <t>Accum.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</si>
  <si>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</si>
  <si>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</si>
  <si>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</si>
  <si>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</si>
  <si>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</si>
  <si>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</si>
  <si>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 xml:space="preserve"> Mo.</t>
  </si>
  <si>
    <t xml:space="preserve">Monthly </t>
  </si>
  <si>
    <t>Depn</t>
  </si>
  <si>
    <t>Test yr.</t>
  </si>
  <si>
    <t>Allo.</t>
  </si>
  <si>
    <t>Test year</t>
  </si>
  <si>
    <t>Depreciation</t>
  </si>
  <si>
    <t>Depr.</t>
  </si>
  <si>
    <t>B</t>
  </si>
  <si>
    <t>C.</t>
  </si>
  <si>
    <t>Dispositions must be in test period</t>
  </si>
  <si>
    <t>Codes</t>
  </si>
  <si>
    <t>No</t>
  </si>
  <si>
    <t>Asset Classification</t>
  </si>
  <si>
    <t>Mo</t>
  </si>
  <si>
    <t>-</t>
  </si>
  <si>
    <t>M</t>
  </si>
  <si>
    <t>Years</t>
  </si>
  <si>
    <t>Depn.</t>
  </si>
  <si>
    <t>Cont Del</t>
  </si>
  <si>
    <t>94 Freightliner, conv to cont del truck</t>
  </si>
  <si>
    <t>S/L</t>
  </si>
  <si>
    <t>but 1/2 of net assets for average investment</t>
  </si>
  <si>
    <t>RL P</t>
  </si>
  <si>
    <t>Fleet Upgrade</t>
  </si>
  <si>
    <t>Carts-G</t>
  </si>
  <si>
    <t>C1</t>
  </si>
  <si>
    <t>Container Delivery 1GTHK23113F156563</t>
  </si>
  <si>
    <t>2007 Int'l w/25 yd RL, HTWGAZR97J46127</t>
  </si>
  <si>
    <t>Autom G</t>
  </si>
  <si>
    <t>Automated Truck, Labrie Pckr 100%</t>
  </si>
  <si>
    <t>8 Cameras 2,6,8,12,15,19,2,3</t>
  </si>
  <si>
    <t>1999 Ptrblt 24yd Autom (U) A43327E  (Lemay)</t>
  </si>
  <si>
    <t xml:space="preserve">1999 Ptrblt 24yd Autom (U) A43431D </t>
  </si>
  <si>
    <t xml:space="preserve">RL </t>
  </si>
  <si>
    <t>2009 Int'l w 20yd Heil Pckr 09-0036 (N)</t>
  </si>
  <si>
    <t>2009 Int'l w 20yd Heil Pckr 09-0037 (N)</t>
  </si>
  <si>
    <t>2009 Int'l w 20yd Heil Pckr 09-0038 (N)</t>
  </si>
  <si>
    <t>2009 Int'l w 20yd Heil Pckr 09-0039 (N)</t>
  </si>
  <si>
    <t>2009 Int'l w 20yd Heil Pckr 09-0040 (N)</t>
  </si>
  <si>
    <t>2009 Int'l w 20yd Heil Pckr 09-0035 (N)</t>
  </si>
  <si>
    <t>Drive Cams,3,4,10,16,23,31,32,33,34,35,36,</t>
  </si>
  <si>
    <t>Drive Cams</t>
  </si>
  <si>
    <t>Total Regulated Packer Trucks</t>
  </si>
  <si>
    <t>RO-SP</t>
  </si>
  <si>
    <t>2003 Peterbuilt 378 RO Trk</t>
  </si>
  <si>
    <t>RO</t>
  </si>
  <si>
    <t>2006 Peterbuilt, Cascon Chain Drive  100%</t>
  </si>
  <si>
    <t xml:space="preserve">Volvo (U) </t>
  </si>
  <si>
    <t>2010 Peterbuilt  w/Roll-Off Boom Hoist (N)</t>
  </si>
  <si>
    <t>Drive Cams,7,24,25</t>
  </si>
  <si>
    <t>New Transmission</t>
  </si>
  <si>
    <t>Total Roll-off</t>
  </si>
  <si>
    <t>Trctr</t>
  </si>
  <si>
    <t>2000 Peterbuilt, Drop Axle Trctr (U) TF</t>
  </si>
  <si>
    <t>Recycling Equipment  Regulated</t>
  </si>
  <si>
    <t>Autom R</t>
  </si>
  <si>
    <t>2009 ASL Tnd Axle</t>
  </si>
  <si>
    <t>2009 ASL Single Axle</t>
  </si>
  <si>
    <t>O-1</t>
  </si>
  <si>
    <t>Delivery Trk</t>
  </si>
  <si>
    <t>Cart Delivery Trl (N)</t>
  </si>
  <si>
    <t>WF</t>
  </si>
  <si>
    <t>WF Trl (N)</t>
  </si>
  <si>
    <t>Drive Cams,17,27,28,29</t>
  </si>
  <si>
    <t>Total Regulated Recycling</t>
  </si>
  <si>
    <t>Recycling Equipment  Non-Regulated</t>
  </si>
  <si>
    <t>R</t>
  </si>
  <si>
    <t>Stellar Shuttle - Hook Lift on (2-days a wk)</t>
  </si>
  <si>
    <t>2006 Int'l w/20 yd RL, HTWCAZR76J312556 OCC</t>
  </si>
  <si>
    <t xml:space="preserve">Automated Truck, Labrie Pckr   </t>
  </si>
  <si>
    <t xml:space="preserve">2001 IHC Hooklift (U) </t>
  </si>
  <si>
    <t>Trf Trl</t>
  </si>
  <si>
    <t>1992 53' Transfer Trailer  1 day a week for G</t>
  </si>
  <si>
    <t>matter what day of month put on</t>
  </si>
  <si>
    <t>Drive Cams,5,11,26</t>
  </si>
  <si>
    <t>Non-Regulated Equipment</t>
  </si>
  <si>
    <t>1224 CONTAINERS AND TOTERS:</t>
  </si>
  <si>
    <t>2 Yard</t>
  </si>
  <si>
    <t>1.5 Yard</t>
  </si>
  <si>
    <t>Container (from landfill) CONT</t>
  </si>
  <si>
    <t>2 Yard  w/Lids</t>
  </si>
  <si>
    <t>1.5 Yard  w/Lids</t>
  </si>
  <si>
    <t>1 Yard  w/Lids</t>
  </si>
  <si>
    <t xml:space="preserve">20 - 1.5 Yard </t>
  </si>
  <si>
    <t>Steel containers</t>
  </si>
  <si>
    <t>Container lids</t>
  </si>
  <si>
    <t>Referbish containers</t>
  </si>
  <si>
    <t>Container Modification</t>
  </si>
  <si>
    <t>2 Yard  container (N)</t>
  </si>
  <si>
    <t>1.5 Yard container (N)</t>
  </si>
  <si>
    <t>2 Yard  container (U)</t>
  </si>
  <si>
    <t>Container Repair</t>
  </si>
  <si>
    <t>2 Yard  container  w/lids(N)</t>
  </si>
  <si>
    <t>1.5 Yard  container  w/lids(N)</t>
  </si>
  <si>
    <t>2 Yard  container  w/lids(N)  07-2149-08</t>
  </si>
  <si>
    <t>1.5 Yard  container  w/lids(N) 07-2149-009</t>
  </si>
  <si>
    <t>2 Yard  container  w/lids(N)  07-2149-015</t>
  </si>
  <si>
    <t>1.5 Yard  container  w/lids(N) 07-2149-015</t>
  </si>
  <si>
    <t>1.5 Yard  container  w/lids(N) 08-2149-010</t>
  </si>
  <si>
    <t>2 Yard  container  w/lids(N)  08-2149-11</t>
  </si>
  <si>
    <t>1.5 Yard  container  w/lids(N) 2149-10-0011</t>
  </si>
  <si>
    <t>2 Yard  container  w/lids(N)    2149-10-0012</t>
  </si>
  <si>
    <t>1 Yard  container  w/lids(N)    2149-10-0012</t>
  </si>
  <si>
    <t xml:space="preserve">1.5 Yard  container  (U) LeMay </t>
  </si>
  <si>
    <t>1 Yard  container  w/lids(N)    2149-11-0020</t>
  </si>
  <si>
    <t>2 Yard  container  w/lids(N)    2149-11-0003</t>
  </si>
  <si>
    <t>1.5 Yard  container w/lids(N) 2149-12-0008-1</t>
  </si>
  <si>
    <t>TOTAL CONTAINERS</t>
  </si>
  <si>
    <t>DROP BOXES:</t>
  </si>
  <si>
    <t>20 Yard</t>
  </si>
  <si>
    <t>40yd  (from Lfl)Contract.</t>
  </si>
  <si>
    <t>40 yd (from lfl)Contract</t>
  </si>
  <si>
    <t>40 Yard</t>
  </si>
  <si>
    <t>20 Yard Drop Box</t>
  </si>
  <si>
    <t>40 Yard Drop Box</t>
  </si>
  <si>
    <t>10 Yard Drop Box open top</t>
  </si>
  <si>
    <t>20 Yard Drop Box open top  (5,5)</t>
  </si>
  <si>
    <t>3-Model 12 Drop Box</t>
  </si>
  <si>
    <t>Refurbish 30 yd</t>
  </si>
  <si>
    <t>20 Yard Drop Box w/Lids (Per Rik)</t>
  </si>
  <si>
    <t>Model r-39U Drop Box</t>
  </si>
  <si>
    <t>20 Yard Drop Box open top</t>
  </si>
  <si>
    <t>20 Yard Drop Box w/Lids 06-2149-007</t>
  </si>
  <si>
    <t>20 Yard Drop Box w/Lids 06-2149-008</t>
  </si>
  <si>
    <t>10 Yard Drop Box w/Lids 06-2149-009</t>
  </si>
  <si>
    <t>40 Yard Drop Box w/Lids 06-2149-005</t>
  </si>
  <si>
    <t>10 Yard Hook Lift  w/Lids 06-2149-004</t>
  </si>
  <si>
    <t>20 Yard Drop Box solid top 06-2149-002</t>
  </si>
  <si>
    <t>20 Yard Drop Box sreen top 06-2149-003</t>
  </si>
  <si>
    <t>20 Yard Drop Box open top 06-2149-001</t>
  </si>
  <si>
    <t>40 Yard Drop Box solid top 07-2149-003</t>
  </si>
  <si>
    <t>20 Yard Drop Box open top 07-2149-002</t>
  </si>
  <si>
    <t>20 Yard Drop Box open top 07-2149-001</t>
  </si>
  <si>
    <t>20 Yard Drop Box open top 08-2149-007</t>
  </si>
  <si>
    <t>40 Yard Drop Box solid top 00-2010-009</t>
  </si>
  <si>
    <t>20 Yard Drop Box open top 2149-11-0008</t>
  </si>
  <si>
    <t>20 Yard Drop Box Solid Lid 2149-12-0002-1</t>
  </si>
  <si>
    <t>20 Yard Drop Box Solid Lid (U) 2149-12-0017-1</t>
  </si>
  <si>
    <t>TOTALS DROP BOX/ROLLOFF EQUIP.</t>
  </si>
  <si>
    <t>Automated Carts Garbage</t>
  </si>
  <si>
    <t>35-gal automated carts</t>
  </si>
  <si>
    <t>48-gal automated carts</t>
  </si>
  <si>
    <t>64-gal automated carts</t>
  </si>
  <si>
    <t>96-gal automated carts</t>
  </si>
  <si>
    <t>64-gal automated carts 2149-12-00</t>
  </si>
  <si>
    <t>98-gal automated carts 2149-12-00</t>
  </si>
  <si>
    <t>48-gal automated carts 2149-12-0014-3</t>
  </si>
  <si>
    <t>35-gal automated carts 2149-12-0014-2</t>
  </si>
  <si>
    <t xml:space="preserve">Automated Carts Recycling </t>
  </si>
  <si>
    <t>65-gal automated carts</t>
  </si>
  <si>
    <t>Commercial Recycling Equipment;</t>
  </si>
  <si>
    <t xml:space="preserve">90 Gal Toters </t>
  </si>
  <si>
    <t>90-gal automated carts,96</t>
  </si>
  <si>
    <t>20 Yard Drop Box endl chain</t>
  </si>
  <si>
    <t>20 Yard Drop Box open top 08-2149-009</t>
  </si>
  <si>
    <t>Total Container, DB, Carts</t>
  </si>
  <si>
    <t>Service Equipment:</t>
  </si>
  <si>
    <t>M-1</t>
  </si>
  <si>
    <t>1999 PU Supervisor PU (U)</t>
  </si>
  <si>
    <t>Drive Cam</t>
  </si>
  <si>
    <t>Total Serivce Equipment</t>
  </si>
  <si>
    <t>1240 SHOP &amp; GARAGE EQUIP:</t>
  </si>
  <si>
    <t>Welder</t>
  </si>
  <si>
    <t>Plasma Cutter</t>
  </si>
  <si>
    <t>TruckTech Trailer   (Burch)</t>
  </si>
  <si>
    <t>Air Compressor</t>
  </si>
  <si>
    <t>Equipment</t>
  </si>
  <si>
    <t>Backhoe</t>
  </si>
  <si>
    <t>Lincoln Welder</t>
  </si>
  <si>
    <t xml:space="preserve">Cason Pull Trailer     </t>
  </si>
  <si>
    <t>Shop Trans Jack</t>
  </si>
  <si>
    <t>Spring Tester for Shop</t>
  </si>
  <si>
    <t>Shop Imprvmt door/shelf/rail</t>
  </si>
  <si>
    <t>Laptop for Engine Analysis</t>
  </si>
  <si>
    <t>Prazair Wire Feed Welder</t>
  </si>
  <si>
    <t>Software for Engine Analysis</t>
  </si>
  <si>
    <t>Service</t>
  </si>
  <si>
    <t>S-1</t>
  </si>
  <si>
    <t>Service Truck</t>
  </si>
  <si>
    <t>Praxair Welder, Ingersoll Rand Air Compressor</t>
  </si>
  <si>
    <t>Cummins Engine Test Software</t>
  </si>
  <si>
    <t>Cart Washer</t>
  </si>
  <si>
    <t>Shop Lighting</t>
  </si>
  <si>
    <t>Shop Electronic Marling Board</t>
  </si>
  <si>
    <t>Shop Diagnostic Laptop</t>
  </si>
  <si>
    <t>7.5 HP 80 Gal Air Compressor</t>
  </si>
  <si>
    <t>Tire Torque Tood (N) 2149-12-0013-1</t>
  </si>
  <si>
    <t>Shop Computer RTA Equipment</t>
  </si>
  <si>
    <t>TOTAL SHOP &amp; GARAGE EQUIP</t>
  </si>
  <si>
    <t>1250 OFFICE EQUIP:</t>
  </si>
  <si>
    <t>Furniture</t>
  </si>
  <si>
    <t>Computer Table</t>
  </si>
  <si>
    <t>Computer</t>
  </si>
  <si>
    <t>Micro Wave</t>
  </si>
  <si>
    <t>CS40 Computer</t>
  </si>
  <si>
    <t>Computers</t>
  </si>
  <si>
    <t>Pentium Computer</t>
  </si>
  <si>
    <t>2 Pentuim Computers</t>
  </si>
  <si>
    <t>Office Furniture</t>
  </si>
  <si>
    <t>Computer File Server</t>
  </si>
  <si>
    <t>Phone System</t>
  </si>
  <si>
    <t>Compac Evo D310V</t>
  </si>
  <si>
    <t xml:space="preserve">Laptop &amp; Port Replicator  </t>
  </si>
  <si>
    <t>Digital Imaging Copier</t>
  </si>
  <si>
    <t>Voicemail System Upgrades</t>
  </si>
  <si>
    <t>Computer for DM</t>
  </si>
  <si>
    <t>Panasonic Toughbood</t>
  </si>
  <si>
    <t xml:space="preserve">  </t>
  </si>
  <si>
    <t>Sony Internet TV</t>
  </si>
  <si>
    <t>TOTAL OFFICE EQUIPMENT</t>
  </si>
  <si>
    <t>Building</t>
  </si>
  <si>
    <t>Fence at back of property</t>
  </si>
  <si>
    <t>Door, low head room track, installation</t>
  </si>
  <si>
    <t>Tipping Wall</t>
  </si>
  <si>
    <t>Office Improvement</t>
  </si>
  <si>
    <t>Counter Top for Office Improvement</t>
  </si>
  <si>
    <t>Stormwater Retention</t>
  </si>
  <si>
    <t>Grading, Paving, Fencing, Parking Lot</t>
  </si>
  <si>
    <t>Update Alam for Office, Shop</t>
  </si>
  <si>
    <t>TOTAL STRUCTURES</t>
  </si>
  <si>
    <t>Grand Total</t>
  </si>
  <si>
    <t>FAR #</t>
  </si>
  <si>
    <t>20-gal automated carts &amp; Lids</t>
  </si>
  <si>
    <t>HP Proboko 6460b</t>
  </si>
  <si>
    <t>(2) Drive Cams C-4, 13</t>
  </si>
  <si>
    <t>Work on Bioretention Swale &amp; Filtration</t>
  </si>
  <si>
    <t>Shop Improvement - Paint</t>
  </si>
  <si>
    <t>Landscaping for Storm Water Improve</t>
  </si>
  <si>
    <t>Transferred/Retired in 2012</t>
  </si>
  <si>
    <t>20 Yard RO Lids</t>
  </si>
  <si>
    <t>1.5 Yard Metal Containers</t>
  </si>
  <si>
    <t xml:space="preserve">48-gal automated carts </t>
  </si>
  <si>
    <t>10 Yard RO Boxes</t>
  </si>
  <si>
    <t>1 Yard Metal Containers</t>
  </si>
  <si>
    <t>1965 TYPE HT TANK TRAILER</t>
  </si>
  <si>
    <t>Site</t>
  </si>
  <si>
    <t>Transferred/Retired in 2013</t>
  </si>
  <si>
    <t>DL</t>
  </si>
  <si>
    <t>Wash Pad</t>
  </si>
  <si>
    <t>BUILDING/STRUCTURES/IMPROVEMENTS:</t>
  </si>
  <si>
    <t>Delivery Truck Conversion</t>
  </si>
  <si>
    <t>109513, 110075, 110199</t>
  </si>
  <si>
    <t>95-gal automated carts (Grey)</t>
  </si>
  <si>
    <t>35-gal automated carts (Grey)</t>
  </si>
  <si>
    <t>95-gal automated carts (Green Lid)</t>
  </si>
  <si>
    <t>40 Yard RO Boxes</t>
  </si>
  <si>
    <t>Decals for Recycling Carts</t>
  </si>
  <si>
    <t>Wyse Winterms D10D</t>
  </si>
  <si>
    <t>1.5 Yd REL Container</t>
  </si>
  <si>
    <t>2 Yd REL Containers</t>
  </si>
  <si>
    <t>DEL</t>
  </si>
  <si>
    <t>2005 Int'l 7400 w/20 yd RL,Rad Cont. Del</t>
  </si>
  <si>
    <t>RL</t>
  </si>
  <si>
    <t>2015 REL Int'l Truck (N)</t>
  </si>
  <si>
    <t>RO Box Winch Upgrades</t>
  </si>
  <si>
    <t>Transferred/Retired in 2014</t>
  </si>
  <si>
    <t>Recycle Tip Wall Lighting</t>
  </si>
  <si>
    <t>Fall Protection</t>
  </si>
  <si>
    <t>Pressure Washer</t>
  </si>
  <si>
    <t>Winterms</t>
  </si>
  <si>
    <t>Transferred/Retired in 2015</t>
  </si>
  <si>
    <t>123449/123450</t>
  </si>
  <si>
    <t>24-gal automated carts</t>
  </si>
  <si>
    <t>A/C Recharging Machine</t>
  </si>
  <si>
    <t>123341/124223</t>
  </si>
  <si>
    <t>ASL</t>
  </si>
  <si>
    <t>2016 ASL Peterbilt (N)</t>
  </si>
  <si>
    <t>125549/125904</t>
  </si>
  <si>
    <t>2000 ASL Spare (U)</t>
  </si>
  <si>
    <t>20 Yard Recycle Boxes (Blue Box Program)</t>
  </si>
  <si>
    <t>130993, 131090, 131669, 131670, 132006</t>
  </si>
  <si>
    <t>Transmission Rebuild Trk #7</t>
  </si>
  <si>
    <t>(4) Samsung Tablets</t>
  </si>
  <si>
    <t>(3) Samsung Tablets</t>
  </si>
  <si>
    <t>(14) Samsung Tablets</t>
  </si>
  <si>
    <t>131753 131752</t>
  </si>
  <si>
    <t>131774 131754</t>
  </si>
  <si>
    <t>1 Yd REL Container</t>
  </si>
  <si>
    <t>10 Yard RO Box</t>
  </si>
  <si>
    <t>2007 Forklift (U)</t>
  </si>
  <si>
    <t>(3) Toughsleeves for Tablets</t>
  </si>
  <si>
    <t>(4) Toughsleeves for Tablets</t>
  </si>
  <si>
    <t>(20) Toughsleeves for Tablets</t>
  </si>
  <si>
    <t xml:space="preserve">Panasonic Toughbook </t>
  </si>
  <si>
    <t>21-gal automated carts</t>
  </si>
  <si>
    <t>169619/20</t>
  </si>
  <si>
    <t>Zamboni Tennant Scrubber</t>
  </si>
  <si>
    <t>Software for Diagnostic Laptop</t>
  </si>
  <si>
    <t>Shop Laptop Software</t>
  </si>
  <si>
    <t xml:space="preserve"> Radio System (14)</t>
  </si>
  <si>
    <t xml:space="preserve"> Radio System (4)</t>
  </si>
  <si>
    <t>2006 Walking Floor Trailer (U)</t>
  </si>
  <si>
    <t>Scales for County Blue Box Program</t>
  </si>
  <si>
    <t>2017 Chevy Silverado</t>
  </si>
  <si>
    <t>185585/ 185174</t>
  </si>
  <si>
    <t>Downpayment</t>
  </si>
  <si>
    <t>65 Gallon Green Recycle Carts - Shelton</t>
  </si>
  <si>
    <t>65 Gallon Blue Recycle Carts - Shelton</t>
  </si>
  <si>
    <t>Shelton - Garbage Carts</t>
  </si>
  <si>
    <t>Shelton - Commercial Recycling Carts</t>
  </si>
  <si>
    <t>65 Gallon MSW Carts-Shelton</t>
  </si>
  <si>
    <t>95 Gallon Recycle Carts Green - Shelton</t>
  </si>
  <si>
    <t>95 Gallon MSW Carts - Shelton</t>
  </si>
  <si>
    <t>35 gallon solid waste carts - Shelton</t>
  </si>
  <si>
    <t>Shelton - Yard Debris</t>
  </si>
  <si>
    <t>95 Gallon YW Carts - Shelton</t>
  </si>
  <si>
    <t>Shelton - Commercial Containers</t>
  </si>
  <si>
    <t>40yd lidded roll off containers - Shelton</t>
  </si>
  <si>
    <t>95 Gallon Recycle Carts Blue - Shelton</t>
  </si>
  <si>
    <t>35 Gallon MSW Carts (UTC)</t>
  </si>
  <si>
    <t>Laptop and Docking Station</t>
  </si>
  <si>
    <t>48 Gallon MSW Carts (UTC)</t>
  </si>
  <si>
    <t>96 Gallon MSW Totes (UTC)</t>
  </si>
  <si>
    <t>64 Gallon MSW Totes (UTC)</t>
  </si>
  <si>
    <t>Dark Grey MSW 96 gal Totes with green lids</t>
  </si>
  <si>
    <t>2YD REL Containers</t>
  </si>
  <si>
    <t>1YD REL Containers</t>
  </si>
  <si>
    <t>1.5YD Commercial REL Containers</t>
  </si>
  <si>
    <t>174341/ 56939</t>
  </si>
  <si>
    <t>20 yd roll off box</t>
  </si>
  <si>
    <t>40yd boxes</t>
  </si>
  <si>
    <t>172613/ 171238</t>
  </si>
  <si>
    <t>Final Scale Installation</t>
  </si>
  <si>
    <t>300 gallon solid waste containers - Shelton</t>
  </si>
  <si>
    <t>HP ProBook 640 G2 (Ops Mgr)</t>
  </si>
  <si>
    <t>HP ProBook 640 G2</t>
  </si>
  <si>
    <t>Laptop for MM</t>
  </si>
  <si>
    <t>Dark Gray Recy 96 gal Tote with blue lids</t>
  </si>
  <si>
    <t>M2</t>
  </si>
  <si>
    <t>2017 ASL Truck</t>
  </si>
  <si>
    <t>2018 REL Truck</t>
  </si>
  <si>
    <t>2008 ASL Truck VIN #718428</t>
  </si>
  <si>
    <t>174775 / 174774</t>
  </si>
  <si>
    <t>BodyRebuild</t>
  </si>
  <si>
    <t>174777 / 174774</t>
  </si>
  <si>
    <t>Lincensing for VIN 718428</t>
  </si>
  <si>
    <t>2004 Peterbilt 320 ASL - Shelton</t>
  </si>
  <si>
    <t>2007 Peterbilt 320 ASL- Shelton</t>
  </si>
  <si>
    <t>2014 Peterbilt 320 ASL - Shelton</t>
  </si>
  <si>
    <t>2006 Peterbilt 320 ASL - Shelton</t>
  </si>
  <si>
    <t>2013 Peterbilt 320 ASL - Shelton</t>
  </si>
  <si>
    <t>183138 / 183682</t>
  </si>
  <si>
    <t>TT&amp;L</t>
  </si>
  <si>
    <t>183137 / 183684</t>
  </si>
  <si>
    <t>183136 / 183685</t>
  </si>
  <si>
    <t>183135 / 183683</t>
  </si>
  <si>
    <t>Engine Overhaul Kit for FAS #80334</t>
  </si>
  <si>
    <t>180523 / 80334</t>
  </si>
  <si>
    <t>185431 / 80334</t>
  </si>
  <si>
    <t>In-House Engine overhaul Labor</t>
  </si>
  <si>
    <t>Model 378 Road Tractor</t>
  </si>
  <si>
    <t>174658 / 174656</t>
  </si>
  <si>
    <t>Engine Rebuild - Truck 355 - Final Payment</t>
  </si>
  <si>
    <t>174659 / 174656</t>
  </si>
  <si>
    <t>Engine Rebuild - Truck 355 - Partial Payment</t>
  </si>
  <si>
    <t>174660 / 174656</t>
  </si>
  <si>
    <t>Repairs to Long Haul Truck # 349</t>
  </si>
  <si>
    <t>174661 / 174656</t>
  </si>
  <si>
    <t>Sales Tax on Repairs to Long Haul Truck # 349</t>
  </si>
  <si>
    <t>174662 / 174656</t>
  </si>
  <si>
    <t>174663 / 174656</t>
  </si>
  <si>
    <t>183134 / 183686</t>
  </si>
  <si>
    <t>174776 / 174774</t>
  </si>
  <si>
    <t>2008 Peterbilt ASL</t>
  </si>
  <si>
    <t>Transferred/Retired in 2017</t>
  </si>
  <si>
    <t>Shelton - Recycling Carts - Residential</t>
  </si>
  <si>
    <t>Service Truck Crane Installation (includes Crante)</t>
  </si>
  <si>
    <t>P</t>
  </si>
  <si>
    <t>Salvage Value Calculations</t>
  </si>
  <si>
    <t>Adjustment to</t>
  </si>
  <si>
    <t>Amort of</t>
  </si>
  <si>
    <t>Total Depreciation</t>
  </si>
  <si>
    <t>Avg. Investment</t>
  </si>
  <si>
    <t>Adjusted Avg.</t>
  </si>
  <si>
    <t>Salvage Value</t>
  </si>
  <si>
    <t>For Test Period</t>
  </si>
  <si>
    <t>Fully Depr Assets</t>
  </si>
  <si>
    <t>Assets w/ Depr Life</t>
  </si>
  <si>
    <t>Fully Depreciated 2016</t>
  </si>
  <si>
    <t>Fully Depreciated 2017</t>
  </si>
  <si>
    <t>Potential excluded</t>
  </si>
  <si>
    <t>Shelton Trucks</t>
  </si>
  <si>
    <t>Trks Shelton</t>
  </si>
  <si>
    <t>183283/185859/188168</t>
  </si>
  <si>
    <t>Year/Mo</t>
  </si>
  <si>
    <t>Fully Depr</t>
  </si>
  <si>
    <t>Annual</t>
  </si>
  <si>
    <t>Effective Rate Month</t>
  </si>
  <si>
    <t>First Year</t>
  </si>
  <si>
    <t>Second YEar</t>
  </si>
  <si>
    <t>Rate Effective Year</t>
  </si>
  <si>
    <t>48gal MSW Carts</t>
  </si>
  <si>
    <t>95gal MSW Carts</t>
  </si>
  <si>
    <t>64gal MSW Carts</t>
  </si>
  <si>
    <t>96gal MSW Carts</t>
  </si>
  <si>
    <t>96 Gallon Garbage Carts</t>
  </si>
  <si>
    <t>64 Gallon Garbage Carts</t>
  </si>
  <si>
    <t>35 Gallon Garbage Carts</t>
  </si>
  <si>
    <t>96 Gallon Recycle Carts</t>
  </si>
  <si>
    <t>96gal Recycle Carts</t>
  </si>
  <si>
    <t>95gal Recycle Carts</t>
  </si>
  <si>
    <t>64gal Recycle Carts</t>
  </si>
  <si>
    <t>2 Yard REL Containers</t>
  </si>
  <si>
    <t>2 YD Container</t>
  </si>
  <si>
    <t>2yd Metal REL Containers</t>
  </si>
  <si>
    <t>1.5yd Metal REL Containers</t>
  </si>
  <si>
    <t>MSW 300 Gallon Tubs</t>
  </si>
  <si>
    <t>MSW 300gal Tubs</t>
  </si>
  <si>
    <t>96 Gallon Yard Waste Carts</t>
  </si>
  <si>
    <t>Drivecam</t>
  </si>
  <si>
    <t>Licensing</t>
  </si>
  <si>
    <t>2019 ASL Truck</t>
  </si>
  <si>
    <t>40 Yard Rolloff Boxes</t>
  </si>
  <si>
    <t>30 Yard Rolloff Box</t>
  </si>
  <si>
    <t>20yd Rolloff Box</t>
  </si>
  <si>
    <t>20yd Rolloff Boxes</t>
  </si>
  <si>
    <t>40yd Rolloff Box</t>
  </si>
  <si>
    <t>Fire Alarm System for Office Building</t>
  </si>
  <si>
    <t>Kitchen/Conference Room/Bathroom addition</t>
  </si>
  <si>
    <t>Tip Wall Improvement</t>
  </si>
  <si>
    <t>1996 Type M Curb</t>
  </si>
  <si>
    <t>2000 Type HT W-F Trailer</t>
  </si>
  <si>
    <t>Used 2011 Scissor Lift</t>
  </si>
  <si>
    <t>Last General: 4/1/2013</t>
  </si>
  <si>
    <t>Amort of SV - 2005 Int'l 7400 w/20 yd RL,Rad Cont. Del</t>
  </si>
  <si>
    <t>Amort of SV - Container Delivery 1GTHK23113F156563</t>
  </si>
  <si>
    <t>Amort of SV - 8 Cameras 2,6,8,12,15,19,2,3</t>
  </si>
  <si>
    <t xml:space="preserve">Amort of SV - 1999 Ptrblt 24yd Autom (U) A43431D </t>
  </si>
  <si>
    <t>Amort of SV - 2009 Int'l w 20yd Heil Pckr 09-0036 (N)</t>
  </si>
  <si>
    <t>Amort of SV - 2009 Int'l w 20yd Heil Pckr 09-0038 (N)</t>
  </si>
  <si>
    <t>Amort of SV - 2009 Int'l w 20yd Heil Pckr 09-0040 (N)</t>
  </si>
  <si>
    <t>Amort of SV - 2009 Int'l w 20yd Heil Pckr 09-0035 (N)</t>
  </si>
  <si>
    <t>Amort of SV - Drive Cams,3,4,10,16,23,31,32,33,34,35,36,</t>
  </si>
  <si>
    <t>Amort of SV - (2) Drive Cams C-4, 13</t>
  </si>
  <si>
    <t>Amort of SV - 2003 Peterbuilt 378 RO Trk</t>
  </si>
  <si>
    <t>Amort of SV - 2006 Peterbuilt, Cascon Chain Drive  100%</t>
  </si>
  <si>
    <t xml:space="preserve">Amort of SV - Volvo (U) </t>
  </si>
  <si>
    <t>Amort of SV - 2010 Peterbuilt  w/Roll-Off Boom Hoist (N)</t>
  </si>
  <si>
    <t>Amort of SV - Drive Cams,7,24,25</t>
  </si>
  <si>
    <t>Amort of SV - 2000 Peterbuilt, Drop Axle Trctr (U) TF</t>
  </si>
  <si>
    <t>Amort of SV - 2009 ASL Tnd Axle</t>
  </si>
  <si>
    <t>Amort of SV - 2009 ASL Single Axle</t>
  </si>
  <si>
    <t>Amort of SV - Delivery Trk</t>
  </si>
  <si>
    <t>Amort of SV - Cart Delivery Trl (N)</t>
  </si>
  <si>
    <t>Amort of SV - WF Trl (N)</t>
  </si>
  <si>
    <t>Amort of SV - Drive Cams,17,27,28,29</t>
  </si>
  <si>
    <t>Amort of SV - Drive Cams</t>
  </si>
  <si>
    <t>Amort of SV - Stellar Shuttle - Hook Lift on (2-days a wk)</t>
  </si>
  <si>
    <t xml:space="preserve">Amort of SV - Automated Truck, Labrie Pckr   </t>
  </si>
  <si>
    <t xml:space="preserve">Amort of SV - 2001 IHC Hooklift (U) </t>
  </si>
  <si>
    <t>Amort of SV - 1992 53' Transfer Trailer  1 day a week for G</t>
  </si>
  <si>
    <t>Amort of SV - Drive Cams,5,11,26</t>
  </si>
  <si>
    <t>Transferred/Retired in 2018</t>
  </si>
  <si>
    <t>Other:</t>
  </si>
  <si>
    <t>Trucks:</t>
  </si>
  <si>
    <t>Total Other</t>
  </si>
  <si>
    <t>Amort of SV - Drive Cam</t>
  </si>
  <si>
    <t>Amort of SV - Service Truck</t>
  </si>
  <si>
    <t>Amort of SV - 1965 TYPE HT TANK TRAILER</t>
  </si>
  <si>
    <t>48 Gal MSW Totes</t>
  </si>
  <si>
    <t>64 Gal MSW Totes</t>
  </si>
  <si>
    <t>96 Gal MSW Totes</t>
  </si>
  <si>
    <t>48 gal, 65 gal, 95 gal Totes</t>
  </si>
  <si>
    <t>48 gal MSW Carts</t>
  </si>
  <si>
    <t>64 Gal MSW Carts</t>
  </si>
  <si>
    <t>96 Gal Recycle Carts</t>
  </si>
  <si>
    <t>2yd Metal Containers</t>
  </si>
  <si>
    <t>1.5yd Metal Containers</t>
  </si>
  <si>
    <t>DM Pickup Truck - Dodge Ram 1500</t>
  </si>
  <si>
    <t>22 Ft Storage Unit</t>
  </si>
  <si>
    <t>225230/ 225949</t>
  </si>
  <si>
    <t>2020 Peterbilt ASL Truck</t>
  </si>
  <si>
    <t>219750/ 222159</t>
  </si>
  <si>
    <t>2019 Peterbilt ASL</t>
  </si>
  <si>
    <t>40 yd RO Containers</t>
  </si>
  <si>
    <t>22 Yd RO Containers</t>
  </si>
  <si>
    <t>20 Yd RO Containers</t>
  </si>
  <si>
    <t>10 Yd RO Containers</t>
  </si>
  <si>
    <t>40 Yd Metal Containers</t>
  </si>
  <si>
    <t>20 Yd Metal Containers</t>
  </si>
  <si>
    <t>40 Yd RO Boxes</t>
  </si>
  <si>
    <t>20 Yd RO Boxes</t>
  </si>
  <si>
    <t>64 gal MSW Carts</t>
  </si>
  <si>
    <t>300 Gal MSW Containers</t>
  </si>
  <si>
    <t>64 Gal Recycle Carts</t>
  </si>
  <si>
    <t>1990 Type S Scoode Other</t>
  </si>
  <si>
    <t>2020 Peterbilt REL Truck</t>
  </si>
  <si>
    <t>2 Yd REL Metal Containers</t>
  </si>
  <si>
    <t>96 gal MSW Carts</t>
  </si>
  <si>
    <t>PROFORMA</t>
  </si>
  <si>
    <t>Transferred/Retired in 2020</t>
  </si>
  <si>
    <t>2009 Type H Drop R/O Unit 4068</t>
  </si>
  <si>
    <t>24077/240081</t>
  </si>
  <si>
    <t>Cap Repair - Engine</t>
  </si>
  <si>
    <t>24077/240080</t>
  </si>
  <si>
    <t>Truck 4068 Engine Replcement</t>
  </si>
  <si>
    <t>24077/240079</t>
  </si>
  <si>
    <t>Install AA Welding Auto Tarper</t>
  </si>
  <si>
    <t>Autogreaser</t>
  </si>
  <si>
    <t>(35) SF300 DriveCam Event Recorders</t>
  </si>
  <si>
    <t>236165/239453</t>
  </si>
  <si>
    <t>Radio</t>
  </si>
  <si>
    <t>65 Gal MSW Carts</t>
  </si>
  <si>
    <t>95 Gal MSW Carts</t>
  </si>
  <si>
    <t>95 Gal Recycle Carts</t>
  </si>
  <si>
    <t>30 Yd R/O Containers</t>
  </si>
  <si>
    <t>10 Yd R/O Containers</t>
  </si>
  <si>
    <t>20 Yd R/O Containers</t>
  </si>
  <si>
    <t>1.5 Yd Commercial Containers</t>
  </si>
  <si>
    <t>1 Yd Containers</t>
  </si>
  <si>
    <t>Transferred from Lemay</t>
  </si>
  <si>
    <t>Shared Garbage Carts</t>
  </si>
  <si>
    <t>Shared Recycle Carts</t>
  </si>
  <si>
    <t>Land Improvement - Storage Yard</t>
  </si>
  <si>
    <t>240077/240078</t>
  </si>
  <si>
    <t>Amort of SV - 2009 Type H Drop R/O Unit 4068</t>
  </si>
  <si>
    <t>Tractor</t>
  </si>
  <si>
    <t>Total Tractor</t>
  </si>
  <si>
    <t>New ROL Peterbilt 567/AA Welding</t>
  </si>
  <si>
    <t>Delivery</t>
  </si>
  <si>
    <t>Delivery Trucks</t>
  </si>
  <si>
    <t>GARBAGE - ASL (Shared)</t>
  </si>
  <si>
    <t>Regulated Commerical REL Garbage</t>
  </si>
  <si>
    <t>Garbage ASL</t>
  </si>
  <si>
    <t xml:space="preserve">Garbage REL </t>
  </si>
  <si>
    <t>Commercial Recycling Equipment  Non-Regulated</t>
  </si>
  <si>
    <t>Total Delivery</t>
  </si>
  <si>
    <t>Non-Reg Commercial Recycling</t>
  </si>
  <si>
    <t>2007 Peterbilt 320 ASL</t>
  </si>
  <si>
    <t>Garbage ASL -Shared</t>
  </si>
  <si>
    <t>Regulated REL Comm MSW</t>
  </si>
  <si>
    <t>Curbside Recycling - Reg</t>
  </si>
  <si>
    <t>Commercial Recycling</t>
  </si>
  <si>
    <t>Amort of SV -Automated Truck, Labrie Pckr 100%</t>
  </si>
  <si>
    <t>Amort of SV -2008 ASL Truck VIN #718428</t>
  </si>
  <si>
    <t>Amort of SV - 2007 Int'l w/25 yd RL, HTWGAZR97J46127</t>
  </si>
  <si>
    <t>Amort of SV - Backhoe</t>
  </si>
  <si>
    <t>Amort of SV - Prazair Wire Feed Welder</t>
  </si>
  <si>
    <t>Amort of SV - Praxair Welder, Ingersoll Rand Air Compressor</t>
  </si>
  <si>
    <t>2021 Peterbilt ASL Truck</t>
  </si>
  <si>
    <t>Automated Carts Garbage (Pre-Shelton Contract)</t>
  </si>
  <si>
    <t>Carts - Garbage (Pre Shelton)</t>
  </si>
  <si>
    <t>CONTAINERS</t>
  </si>
  <si>
    <t>Total Garbage Carts (Pre Shelton)</t>
  </si>
  <si>
    <t>Total Recycling Carts (Pre Shelton)</t>
  </si>
  <si>
    <t>Total Shared Garbage Carts</t>
  </si>
  <si>
    <t>Total Shared Recycle Carts</t>
  </si>
  <si>
    <t>Total Commercial Recycling Carts/Containers</t>
  </si>
  <si>
    <t>Total Shelton Recycling Carts</t>
  </si>
  <si>
    <t>Total Shelton Garbage Carts</t>
  </si>
  <si>
    <t>Total Shelton Containers</t>
  </si>
  <si>
    <t>SHOP &amp; GARAGE EQUIP:</t>
  </si>
  <si>
    <t>OFFICE EQUIP:</t>
  </si>
  <si>
    <t>GRAND 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</si>
</sst>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[$-409]mmmm\ d\,\ yyyy;@"/>
    <numFmt numFmtId="167" formatCode="mm/dd/yy"/>
    <numFmt numFmtId="168" formatCode="m/d/yy"/>
    <numFmt numFmtId="169" formatCode="#,##0.000"/>
    <numFmt numFmtId="170" formatCode="0.0%"/>
    <numFmt numFmtId="171" formatCode="0.0"/>
    <numFmt numFmtId="172" formatCode="_-* #,##0.00_-;\-* #,##0.00_-;_-* &quot;-&quot;??_-;_-@_-"/>
    <numFmt numFmtId="173" formatCode="&quot;$&quot;#,##0\ ;\(&quot;$&quot;#,##0\)"/>
    <numFmt numFmtId="174" formatCode="_([$€-2]* #,##0.00_);_([$€-2]* \(#,##0.00\);_([$€-2]* &quot;-&quot;??_)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8.8000000000000007"/>
      <color theme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2"/>
      <color indexed="8"/>
      <name val="Calibri"/>
      <family val="2"/>
    </font>
    <font>
      <b/>
      <sz val="12"/>
      <color indexed="12"/>
      <name val="Times New Roman"/>
      <family val="1"/>
    </font>
    <font>
      <b/>
      <sz val="10"/>
      <color indexed="10"/>
      <name val="Arial"/>
      <family val="2"/>
    </font>
    <font>
      <b/>
      <sz val="11"/>
      <color indexed="51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1"/>
      <name val="Bookman Old Style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0"/>
      <name val="Arial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u/>
      <sz val="11"/>
      <color indexed="12"/>
      <name val="Arial"/>
      <family val="2"/>
    </font>
    <font>
      <b/>
      <sz val="14"/>
      <name val="Helv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9"/>
      <color indexed="12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3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01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41" fontId="7" fillId="0" borderId="0"/>
    <xf numFmtId="0" fontId="8" fillId="12" borderId="0" applyNumberFormat="0" applyBorder="0" applyAlignment="0" applyProtection="0"/>
    <xf numFmtId="3" fontId="7" fillId="0" borderId="0"/>
    <xf numFmtId="0" fontId="9" fillId="13" borderId="1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/>
    <xf numFmtId="0" fontId="11" fillId="0" borderId="0"/>
    <xf numFmtId="0" fontId="11" fillId="0" borderId="0"/>
    <xf numFmtId="0" fontId="12" fillId="14" borderId="2" applyAlignment="0">
      <alignment horizontal="right"/>
      <protection locked="0"/>
    </xf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15" borderId="0">
      <alignment horizontal="right"/>
      <protection locked="0"/>
    </xf>
    <xf numFmtId="2" fontId="15" fillId="15" borderId="0">
      <alignment horizontal="right"/>
      <protection locked="0"/>
    </xf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3" fontId="22" fillId="17" borderId="0">
      <protection locked="0"/>
    </xf>
    <xf numFmtId="4" fontId="22" fillId="17" borderId="0">
      <protection locked="0"/>
    </xf>
    <xf numFmtId="0" fontId="23" fillId="0" borderId="6" applyNumberFormat="0" applyFill="0" applyAlignment="0" applyProtection="0"/>
    <xf numFmtId="0" fontId="24" fillId="6" borderId="0" applyNumberFormat="0" applyBorder="0" applyAlignment="0" applyProtection="0"/>
    <xf numFmtId="43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8" borderId="7" applyNumberFormat="0" applyFont="0" applyAlignment="0" applyProtection="0"/>
    <xf numFmtId="170" fontId="25" fillId="0" borderId="0" applyNumberFormat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0" fontId="26" fillId="0" borderId="0" applyNumberFormat="0" applyFont="0" applyFill="0" applyBorder="0" applyAlignment="0" applyProtection="0">
      <alignment horizontal="left"/>
    </xf>
    <xf numFmtId="0" fontId="27" fillId="0" borderId="8">
      <alignment horizontal="center"/>
    </xf>
    <xf numFmtId="0" fontId="10" fillId="0" borderId="0">
      <alignment vertical="top"/>
    </xf>
    <xf numFmtId="0" fontId="10" fillId="0" borderId="0" applyNumberFormat="0" applyBorder="0" applyAlignment="0"/>
    <xf numFmtId="0" fontId="28" fillId="0" borderId="9" applyNumberFormat="0" applyFill="0" applyAlignment="0" applyProtection="0"/>
    <xf numFmtId="43" fontId="1" fillId="0" borderId="0" applyFont="0" applyFill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1" fillId="29" borderId="11" applyNumberFormat="0" applyAlignment="0" applyProtection="0"/>
    <xf numFmtId="0" fontId="41" fillId="29" borderId="11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6" borderId="1" applyNumberFormat="0" applyAlignment="0" applyProtection="0"/>
    <xf numFmtId="0" fontId="44" fillId="6" borderId="1" applyNumberFormat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18" borderId="7" applyNumberFormat="0" applyFont="0" applyAlignment="0" applyProtection="0"/>
    <xf numFmtId="0" fontId="2" fillId="18" borderId="7" applyNumberFormat="0" applyFont="0" applyAlignment="0" applyProtection="0"/>
    <xf numFmtId="0" fontId="47" fillId="13" borderId="16" applyNumberFormat="0" applyAlignment="0" applyProtection="0"/>
    <xf numFmtId="0" fontId="47" fillId="13" borderId="16" applyNumberFormat="0" applyAlignment="0" applyProtection="0"/>
    <xf numFmtId="0" fontId="10" fillId="0" borderId="0" applyNumberFormat="0" applyBorder="0" applyAlignment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54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21" applyNumberFormat="0" applyAlignment="0" applyProtection="0"/>
    <xf numFmtId="0" fontId="59" fillId="35" borderId="21" applyNumberFormat="0" applyAlignment="0" applyProtection="0"/>
    <xf numFmtId="0" fontId="60" fillId="0" borderId="22" applyNumberFormat="0" applyFill="0" applyAlignment="0" applyProtection="0"/>
    <xf numFmtId="0" fontId="61" fillId="36" borderId="23" applyNumberFormat="0" applyAlignment="0" applyProtection="0"/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1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1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9" borderId="0" applyNumberFormat="0" applyBorder="0" applyAlignment="0" applyProtection="0"/>
    <xf numFmtId="0" fontId="1" fillId="51" borderId="0" applyNumberFormat="0" applyBorder="0" applyAlignment="0" applyProtection="0"/>
    <xf numFmtId="0" fontId="63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23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" fillId="5" borderId="0" applyNumberFormat="0" applyBorder="0" applyAlignment="0" applyProtection="0"/>
    <xf numFmtId="0" fontId="1" fillId="38" borderId="0" applyNumberFormat="0" applyBorder="0" applyAlignment="0" applyProtection="0"/>
    <xf numFmtId="0" fontId="3" fillId="61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3" fillId="12" borderId="0" applyNumberFormat="0" applyBorder="0" applyAlignment="0" applyProtection="0"/>
    <xf numFmtId="0" fontId="1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23" borderId="0" applyNumberFormat="0" applyBorder="0" applyAlignment="0" applyProtection="0"/>
    <xf numFmtId="0" fontId="1" fillId="50" borderId="0" applyNumberFormat="0" applyBorder="0" applyAlignment="0" applyProtection="0"/>
    <xf numFmtId="0" fontId="3" fillId="2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2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4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" fillId="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2" borderId="0" applyNumberFormat="0" applyBorder="0" applyAlignment="0" applyProtection="0"/>
    <xf numFmtId="0" fontId="3" fillId="6" borderId="0" applyNumberFormat="0" applyBorder="0" applyAlignment="0" applyProtection="0"/>
    <xf numFmtId="0" fontId="3" fillId="62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3" fillId="62" borderId="0" applyNumberFormat="0" applyBorder="0" applyAlignment="0" applyProtection="0"/>
    <xf numFmtId="0" fontId="2" fillId="0" borderId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4" borderId="0" applyNumberFormat="0" applyBorder="0" applyAlignment="0" applyProtection="0"/>
    <xf numFmtId="0" fontId="6" fillId="2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3" fillId="4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3" fillId="44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25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1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4" borderId="0" applyNumberFormat="0" applyBorder="0" applyAlignment="0" applyProtection="0"/>
    <xf numFmtId="0" fontId="6" fillId="24" borderId="0" applyNumberFormat="0" applyBorder="0" applyAlignment="0" applyProtection="0"/>
    <xf numFmtId="0" fontId="6" fillId="7" borderId="0" applyNumberFormat="0" applyBorder="0" applyAlignment="0" applyProtection="0"/>
    <xf numFmtId="0" fontId="6" fillId="24" borderId="0" applyNumberFormat="0" applyBorder="0" applyAlignment="0" applyProtection="0"/>
    <xf numFmtId="0" fontId="63" fillId="56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0" applyNumberFormat="0" applyBorder="0" applyAlignment="0" applyProtection="0"/>
    <xf numFmtId="0" fontId="6" fillId="66" borderId="0" applyNumberFormat="0" applyBorder="0" applyAlignment="0" applyProtection="0"/>
    <xf numFmtId="0" fontId="6" fillId="8" borderId="0" applyNumberFormat="0" applyBorder="0" applyAlignment="0" applyProtection="0"/>
    <xf numFmtId="0" fontId="63" fillId="6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4" borderId="0" applyNumberFormat="0" applyBorder="0" applyAlignment="0" applyProtection="0"/>
    <xf numFmtId="0" fontId="6" fillId="26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3" fillId="3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3" fillId="41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25" borderId="0" applyNumberFormat="0" applyBorder="0" applyAlignment="0" applyProtection="0"/>
    <xf numFmtId="0" fontId="63" fillId="4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5" borderId="0" applyNumberFormat="0" applyBorder="0" applyAlignment="0" applyProtection="0"/>
    <xf numFmtId="0" fontId="6" fillId="27" borderId="0" applyNumberFormat="0" applyBorder="0" applyAlignment="0" applyProtection="0"/>
    <xf numFmtId="0" fontId="63" fillId="49" borderId="0" applyNumberFormat="0" applyBorder="0" applyAlignment="0" applyProtection="0"/>
    <xf numFmtId="0" fontId="6" fillId="64" borderId="0" applyNumberFormat="0" applyBorder="0" applyAlignment="0" applyProtection="0"/>
    <xf numFmtId="0" fontId="63" fillId="53" borderId="0" applyNumberFormat="0" applyBorder="0" applyAlignment="0" applyProtection="0"/>
    <xf numFmtId="0" fontId="6" fillId="6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4" borderId="0" applyNumberFormat="0" applyBorder="0" applyAlignment="0" applyProtection="0"/>
    <xf numFmtId="0" fontId="63" fillId="53" borderId="0" applyNumberFormat="0" applyBorder="0" applyAlignment="0" applyProtection="0"/>
    <xf numFmtId="0" fontId="6" fillId="11" borderId="0" applyNumberFormat="0" applyBorder="0" applyAlignment="0" applyProtection="0"/>
    <xf numFmtId="0" fontId="6" fillId="6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3" fillId="57" borderId="0" applyNumberFormat="0" applyBorder="0" applyAlignment="0" applyProtection="0"/>
    <xf numFmtId="41" fontId="7" fillId="0" borderId="0"/>
    <xf numFmtId="41" fontId="7" fillId="0" borderId="0"/>
    <xf numFmtId="41" fontId="7" fillId="0" borderId="0"/>
    <xf numFmtId="41" fontId="7" fillId="0" borderId="0"/>
    <xf numFmtId="41" fontId="7" fillId="0" borderId="0"/>
    <xf numFmtId="41" fontId="7" fillId="0" borderId="0"/>
    <xf numFmtId="49" fontId="73" fillId="0" borderId="0" applyFill="0" applyBorder="0" applyAlignment="0" applyProtection="0"/>
    <xf numFmtId="0" fontId="72" fillId="0" borderId="24" applyBorder="0">
      <alignment horizontal="center" vertical="center" wrapText="1"/>
    </xf>
    <xf numFmtId="0" fontId="72" fillId="0" borderId="24" applyBorder="0">
      <alignment horizontal="center" vertical="center" wrapText="1"/>
    </xf>
    <xf numFmtId="0" fontId="72" fillId="0" borderId="24" applyBorder="0">
      <alignment horizontal="center" vertical="center" wrapText="1"/>
    </xf>
    <xf numFmtId="0" fontId="72" fillId="0" borderId="24" applyBorder="0">
      <alignment horizontal="center" vertical="center" wrapText="1"/>
    </xf>
    <xf numFmtId="0" fontId="72" fillId="0" borderId="24" applyBorder="0">
      <alignment horizontal="center" vertical="center" wrapText="1"/>
    </xf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56" fillId="32" borderId="0" applyNumberFormat="0" applyBorder="0" applyAlignment="0" applyProtection="0"/>
    <xf numFmtId="3" fontId="7" fillId="0" borderId="0"/>
    <xf numFmtId="3" fontId="7" fillId="0" borderId="0"/>
    <xf numFmtId="3" fontId="7" fillId="0" borderId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74" fillId="13" borderId="1" applyNumberFormat="0" applyAlignment="0" applyProtection="0"/>
    <xf numFmtId="0" fontId="74" fillId="13" borderId="1" applyNumberFormat="0" applyAlignment="0" applyProtection="0"/>
    <xf numFmtId="0" fontId="74" fillId="13" borderId="1" applyNumberFormat="0" applyAlignment="0" applyProtection="0"/>
    <xf numFmtId="0" fontId="74" fillId="13" borderId="1" applyNumberFormat="0" applyAlignment="0" applyProtection="0"/>
    <xf numFmtId="0" fontId="74" fillId="13" borderId="1" applyNumberFormat="0" applyAlignment="0" applyProtection="0"/>
    <xf numFmtId="0" fontId="74" fillId="13" borderId="1" applyNumberFormat="0" applyAlignment="0" applyProtection="0"/>
    <xf numFmtId="0" fontId="74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40" fillId="13" borderId="1" applyNumberFormat="0" applyAlignment="0" applyProtection="0"/>
    <xf numFmtId="0" fontId="59" fillId="35" borderId="2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1" fillId="68" borderId="25" applyNumberFormat="0" applyAlignment="0" applyProtection="0"/>
    <xf numFmtId="0" fontId="41" fillId="68" borderId="25" applyNumberFormat="0" applyAlignment="0" applyProtection="0"/>
    <xf numFmtId="0" fontId="41" fillId="68" borderId="25" applyNumberFormat="0" applyAlignment="0" applyProtection="0"/>
    <xf numFmtId="0" fontId="41" fillId="29" borderId="11" applyNumberFormat="0" applyAlignment="0" applyProtection="0"/>
    <xf numFmtId="0" fontId="41" fillId="68" borderId="25" applyNumberFormat="0" applyAlignment="0" applyProtection="0"/>
    <xf numFmtId="0" fontId="61" fillId="36" borderId="23" applyNumberFormat="0" applyAlignment="0" applyProtection="0"/>
    <xf numFmtId="0" fontId="75" fillId="69" borderId="0" applyNumberFormat="0" applyBorder="0" applyAlignment="0" applyProtection="0">
      <alignment horizontal="center"/>
      <protection hidden="1"/>
    </xf>
    <xf numFmtId="0" fontId="7" fillId="70" borderId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3" fillId="71" borderId="0">
      <alignment horizontal="left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>
      <alignment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26"/>
    <xf numFmtId="0" fontId="2" fillId="0" borderId="26"/>
    <xf numFmtId="0" fontId="2" fillId="0" borderId="26"/>
    <xf numFmtId="0" fontId="2" fillId="0" borderId="26"/>
    <xf numFmtId="0" fontId="2" fillId="0" borderId="26"/>
    <xf numFmtId="14" fontId="7" fillId="0" borderId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/>
    <xf numFmtId="1" fontId="7" fillId="0" borderId="0">
      <alignment horizontal="center"/>
    </xf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5" fillId="31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78" fillId="0" borderId="28" applyNumberFormat="0" applyFill="0" applyAlignment="0" applyProtection="0"/>
    <xf numFmtId="0" fontId="17" fillId="0" borderId="12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2" fillId="0" borderId="18" applyNumberFormat="0" applyFill="0" applyAlignment="0" applyProtection="0"/>
    <xf numFmtId="0" fontId="18" fillId="0" borderId="4" applyNumberFormat="0" applyFill="0" applyAlignment="0" applyProtection="0"/>
    <xf numFmtId="0" fontId="79" fillId="0" borderId="4" applyNumberFormat="0" applyFill="0" applyAlignment="0" applyProtection="0"/>
    <xf numFmtId="0" fontId="18" fillId="0" borderId="13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53" fillId="0" borderId="19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69" fillId="0" borderId="30" applyNumberFormat="0" applyFill="0" applyAlignment="0" applyProtection="0"/>
    <xf numFmtId="0" fontId="19" fillId="0" borderId="14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54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70" fillId="6" borderId="1" applyNumberFormat="0" applyAlignment="0" applyProtection="0"/>
    <xf numFmtId="0" fontId="70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70" fillId="6" borderId="1" applyNumberFormat="0" applyAlignment="0" applyProtection="0"/>
    <xf numFmtId="0" fontId="70" fillId="6" borderId="1" applyNumberFormat="0" applyAlignment="0" applyProtection="0"/>
    <xf numFmtId="0" fontId="70" fillId="6" borderId="1" applyNumberFormat="0" applyAlignment="0" applyProtection="0"/>
    <xf numFmtId="0" fontId="70" fillId="6" borderId="1" applyNumberFormat="0" applyAlignment="0" applyProtection="0"/>
    <xf numFmtId="0" fontId="70" fillId="6" borderId="1" applyNumberFormat="0" applyAlignment="0" applyProtection="0"/>
    <xf numFmtId="0" fontId="70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70" fillId="6" borderId="1" applyNumberFormat="0" applyAlignment="0" applyProtection="0"/>
    <xf numFmtId="0" fontId="70" fillId="6" borderId="1" applyNumberFormat="0" applyAlignment="0" applyProtection="0"/>
    <xf numFmtId="0" fontId="70" fillId="6" borderId="1" applyNumberFormat="0" applyAlignment="0" applyProtection="0"/>
    <xf numFmtId="0" fontId="70" fillId="6" borderId="1" applyNumberFormat="0" applyAlignment="0" applyProtection="0"/>
    <xf numFmtId="0" fontId="70" fillId="6" borderId="1" applyNumberFormat="0" applyAlignment="0" applyProtection="0"/>
    <xf numFmtId="0" fontId="70" fillId="6" borderId="1" applyNumberFormat="0" applyAlignment="0" applyProtection="0"/>
    <xf numFmtId="0" fontId="44" fillId="23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6" borderId="1" applyNumberFormat="0" applyAlignment="0" applyProtection="0"/>
    <xf numFmtId="0" fontId="44" fillId="23" borderId="1" applyNumberFormat="0" applyAlignment="0" applyProtection="0"/>
    <xf numFmtId="0" fontId="44" fillId="23" borderId="1" applyNumberFormat="0" applyAlignment="0" applyProtection="0"/>
    <xf numFmtId="0" fontId="44" fillId="23" borderId="1" applyNumberFormat="0" applyAlignment="0" applyProtection="0"/>
    <xf numFmtId="0" fontId="44" fillId="23" borderId="1" applyNumberFormat="0" applyAlignment="0" applyProtection="0"/>
    <xf numFmtId="0" fontId="44" fillId="23" borderId="1" applyNumberFormat="0" applyAlignment="0" applyProtection="0"/>
    <xf numFmtId="0" fontId="44" fillId="23" borderId="1" applyNumberFormat="0" applyAlignment="0" applyProtection="0"/>
    <xf numFmtId="0" fontId="44" fillId="23" borderId="1" applyNumberFormat="0" applyAlignment="0" applyProtection="0"/>
    <xf numFmtId="0" fontId="44" fillId="23" borderId="1" applyNumberFormat="0" applyAlignment="0" applyProtection="0"/>
    <xf numFmtId="0" fontId="44" fillId="23" borderId="1" applyNumberFormat="0" applyAlignment="0" applyProtection="0"/>
    <xf numFmtId="0" fontId="44" fillId="23" borderId="1" applyNumberFormat="0" applyAlignment="0" applyProtection="0"/>
    <xf numFmtId="0" fontId="58" fillId="34" borderId="21" applyNumberFormat="0" applyAlignment="0" applyProtection="0"/>
    <xf numFmtId="0" fontId="72" fillId="0" borderId="24" applyBorder="0">
      <alignment horizontal="center" vertical="center" wrapText="1"/>
    </xf>
    <xf numFmtId="0" fontId="84" fillId="72" borderId="26"/>
    <xf numFmtId="0" fontId="84" fillId="72" borderId="26"/>
    <xf numFmtId="0" fontId="84" fillId="72" borderId="26"/>
    <xf numFmtId="0" fontId="84" fillId="72" borderId="26"/>
    <xf numFmtId="0" fontId="84" fillId="72" borderId="26"/>
    <xf numFmtId="0" fontId="72" fillId="0" borderId="24" applyBorder="0">
      <alignment horizontal="center" vertical="center" wrapText="1"/>
    </xf>
    <xf numFmtId="0" fontId="72" fillId="0" borderId="24" applyBorder="0">
      <alignment horizontal="center" vertical="center" wrapText="1"/>
    </xf>
    <xf numFmtId="0" fontId="72" fillId="0" borderId="24" applyBorder="0">
      <alignment horizontal="center" vertical="center" wrapText="1"/>
    </xf>
    <xf numFmtId="0" fontId="72" fillId="0" borderId="24" applyBorder="0">
      <alignment horizontal="center" vertical="center" wrapText="1"/>
    </xf>
    <xf numFmtId="0" fontId="72" fillId="0" borderId="24" applyBorder="0">
      <alignment horizontal="center" vertical="center" wrapText="1"/>
    </xf>
    <xf numFmtId="0" fontId="72" fillId="0" borderId="24" applyBorder="0">
      <alignment horizontal="center" vertical="center" wrapText="1"/>
    </xf>
    <xf numFmtId="0" fontId="72" fillId="0" borderId="24" applyBorder="0">
      <alignment horizontal="center" vertical="center" wrapText="1"/>
    </xf>
    <xf numFmtId="0" fontId="23" fillId="0" borderId="6" applyNumberFormat="0" applyFill="0" applyAlignment="0" applyProtection="0"/>
    <xf numFmtId="0" fontId="81" fillId="0" borderId="31" applyNumberFormat="0" applyFill="0" applyAlignment="0" applyProtection="0"/>
    <xf numFmtId="0" fontId="45" fillId="0" borderId="15" applyNumberFormat="0" applyFill="0" applyAlignment="0" applyProtection="0"/>
    <xf numFmtId="0" fontId="23" fillId="0" borderId="6" applyNumberFormat="0" applyFill="0" applyAlignment="0" applyProtection="0"/>
    <xf numFmtId="0" fontId="45" fillId="0" borderId="15" applyNumberFormat="0" applyFill="0" applyAlignment="0" applyProtection="0"/>
    <xf numFmtId="0" fontId="60" fillId="0" borderId="22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2" fillId="6" borderId="0" applyNumberFormat="0" applyBorder="0" applyAlignment="0" applyProtection="0"/>
    <xf numFmtId="0" fontId="46" fillId="6" borderId="0" applyNumberFormat="0" applyBorder="0" applyAlignment="0" applyProtection="0"/>
    <xf numFmtId="0" fontId="24" fillId="6" borderId="0" applyNumberFormat="0" applyBorder="0" applyAlignment="0" applyProtection="0"/>
    <xf numFmtId="0" fontId="46" fillId="6" borderId="0" applyNumberFormat="0" applyBorder="0" applyAlignment="0" applyProtection="0"/>
    <xf numFmtId="0" fontId="57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wrapText="1"/>
    </xf>
    <xf numFmtId="0" fontId="1" fillId="0" borderId="0"/>
    <xf numFmtId="0" fontId="1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>
      <alignment vertical="top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3" fillId="0" borderId="0"/>
  </cellStyleXfs>
  <cellXfs count="333">
    <xf numFmtId="0" fontId="0" fillId="0" borderId="0" xfId="0"/>
    <xf numFmtId="0" fontId="29" fillId="0" borderId="0" xfId="2" applyFont="1" applyFill="1" applyBorder="1"/>
    <xf numFmtId="4" fontId="31" fillId="0" borderId="0" xfId="2" applyNumberFormat="1" applyFont="1" applyFill="1" applyBorder="1" applyAlignment="1">
      <alignment horizontal="left"/>
    </xf>
    <xf numFmtId="0" fontId="29" fillId="0" borderId="0" xfId="2" applyNumberFormat="1" applyFont="1" applyFill="1" applyBorder="1"/>
    <xf numFmtId="0" fontId="29" fillId="0" borderId="0" xfId="2" applyFont="1" applyFill="1" applyBorder="1" applyAlignment="1">
      <alignment horizontal="center"/>
    </xf>
    <xf numFmtId="0" fontId="29" fillId="0" borderId="0" xfId="2" applyNumberFormat="1" applyFont="1" applyFill="1" applyBorder="1" applyAlignment="1">
      <alignment horizontal="center"/>
    </xf>
    <xf numFmtId="3" fontId="29" fillId="0" borderId="0" xfId="2" applyNumberFormat="1" applyFont="1" applyFill="1" applyBorder="1"/>
    <xf numFmtId="4" fontId="29" fillId="0" borderId="0" xfId="2" applyNumberFormat="1" applyFont="1" applyFill="1" applyBorder="1" applyAlignment="1">
      <alignment horizontal="right"/>
    </xf>
    <xf numFmtId="14" fontId="32" fillId="0" borderId="0" xfId="2" applyNumberFormat="1" applyFont="1" applyFill="1" applyBorder="1"/>
    <xf numFmtId="3" fontId="31" fillId="0" borderId="0" xfId="2" applyNumberFormat="1" applyFont="1" applyFill="1" applyBorder="1" applyAlignment="1">
      <alignment horizontal="right"/>
    </xf>
    <xf numFmtId="4" fontId="29" fillId="0" borderId="0" xfId="2" applyNumberFormat="1" applyFont="1" applyFill="1" applyBorder="1" applyAlignment="1">
      <alignment horizontal="left"/>
    </xf>
    <xf numFmtId="166" fontId="31" fillId="0" borderId="0" xfId="1" applyNumberFormat="1" applyFont="1" applyFill="1" applyBorder="1" applyAlignment="1">
      <alignment horizontal="left"/>
    </xf>
    <xf numFmtId="0" fontId="31" fillId="0" borderId="0" xfId="2" applyNumberFormat="1" applyFont="1" applyFill="1" applyBorder="1" applyAlignment="1">
      <alignment horizontal="right"/>
    </xf>
    <xf numFmtId="0" fontId="29" fillId="0" borderId="0" xfId="2" applyNumberFormat="1" applyFont="1" applyFill="1" applyBorder="1" applyAlignment="1">
      <alignment horizontal="right"/>
    </xf>
    <xf numFmtId="4" fontId="29" fillId="0" borderId="0" xfId="2" applyNumberFormat="1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left"/>
    </xf>
    <xf numFmtId="0" fontId="31" fillId="0" borderId="0" xfId="2" applyNumberFormat="1" applyFont="1" applyFill="1" applyBorder="1" applyAlignment="1">
      <alignment horizontal="center"/>
    </xf>
    <xf numFmtId="9" fontId="31" fillId="0" borderId="0" xfId="2" applyNumberFormat="1" applyFont="1" applyFill="1" applyBorder="1" applyAlignment="1">
      <alignment horizontal="center"/>
    </xf>
    <xf numFmtId="3" fontId="31" fillId="0" borderId="0" xfId="2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left"/>
    </xf>
    <xf numFmtId="0" fontId="33" fillId="0" borderId="0" xfId="2" applyNumberFormat="1" applyFont="1" applyFill="1" applyBorder="1" applyAlignment="1">
      <alignment horizontal="center"/>
    </xf>
    <xf numFmtId="9" fontId="33" fillId="0" borderId="0" xfId="2" applyNumberFormat="1" applyFont="1" applyFill="1" applyBorder="1" applyAlignment="1">
      <alignment horizontal="center"/>
    </xf>
    <xf numFmtId="0" fontId="29" fillId="0" borderId="0" xfId="2" applyFont="1" applyFill="1" applyBorder="1" applyAlignment="1">
      <alignment horizontal="fill"/>
    </xf>
    <xf numFmtId="3" fontId="33" fillId="0" borderId="0" xfId="2" applyNumberFormat="1" applyFont="1" applyFill="1" applyBorder="1" applyAlignment="1">
      <alignment horizontal="center"/>
    </xf>
    <xf numFmtId="167" fontId="31" fillId="0" borderId="0" xfId="2" applyNumberFormat="1" applyFont="1" applyFill="1" applyBorder="1" applyAlignment="1">
      <alignment horizontal="center"/>
    </xf>
    <xf numFmtId="168" fontId="31" fillId="0" borderId="0" xfId="2" applyNumberFormat="1" applyFont="1" applyFill="1" applyBorder="1" applyAlignment="1">
      <alignment horizontal="center"/>
    </xf>
    <xf numFmtId="164" fontId="31" fillId="0" borderId="0" xfId="2" applyNumberFormat="1" applyFont="1" applyFill="1" applyBorder="1" applyAlignment="1">
      <alignment horizontal="center"/>
    </xf>
    <xf numFmtId="0" fontId="29" fillId="0" borderId="0" xfId="2" applyFont="1" applyFill="1" applyBorder="1" applyAlignment="1" applyProtection="1">
      <alignment horizontal="left"/>
    </xf>
    <xf numFmtId="9" fontId="29" fillId="0" borderId="0" xfId="2" applyNumberFormat="1" applyFont="1" applyFill="1" applyBorder="1" applyAlignment="1" applyProtection="1">
      <alignment horizontal="center"/>
    </xf>
    <xf numFmtId="37" fontId="29" fillId="0" borderId="0" xfId="2" applyNumberFormat="1" applyFont="1" applyFill="1" applyBorder="1" applyProtection="1"/>
    <xf numFmtId="0" fontId="29" fillId="0" borderId="0" xfId="2" applyFont="1" applyFill="1" applyBorder="1" applyAlignment="1">
      <alignment horizontal="right"/>
    </xf>
    <xf numFmtId="3" fontId="29" fillId="20" borderId="0" xfId="2" applyNumberFormat="1" applyFont="1" applyFill="1" applyBorder="1"/>
    <xf numFmtId="3" fontId="29" fillId="19" borderId="0" xfId="2" applyNumberFormat="1" applyFont="1" applyFill="1" applyBorder="1"/>
    <xf numFmtId="0" fontId="31" fillId="0" borderId="0" xfId="2" applyFont="1" applyFill="1" applyBorder="1"/>
    <xf numFmtId="4" fontId="31" fillId="0" borderId="0" xfId="2" applyNumberFormat="1" applyFont="1" applyFill="1" applyBorder="1" applyAlignment="1">
      <alignment horizontal="center"/>
    </xf>
    <xf numFmtId="4" fontId="31" fillId="0" borderId="0" xfId="2" applyNumberFormat="1" applyFont="1" applyFill="1" applyBorder="1" applyAlignment="1">
      <alignment horizontal="right"/>
    </xf>
    <xf numFmtId="37" fontId="31" fillId="0" borderId="0" xfId="2" applyNumberFormat="1" applyFont="1" applyFill="1" applyBorder="1" applyProtection="1"/>
    <xf numFmtId="0" fontId="29" fillId="0" borderId="0" xfId="2" quotePrefix="1" applyFont="1" applyFill="1" applyBorder="1" applyAlignment="1" applyProtection="1">
      <alignment horizontal="left"/>
    </xf>
    <xf numFmtId="0" fontId="31" fillId="0" borderId="0" xfId="2" applyFont="1" applyFill="1" applyBorder="1" applyAlignment="1" applyProtection="1">
      <alignment horizontal="left"/>
    </xf>
    <xf numFmtId="0" fontId="31" fillId="0" borderId="0" xfId="2" applyNumberFormat="1" applyFont="1" applyFill="1" applyBorder="1"/>
    <xf numFmtId="9" fontId="31" fillId="0" borderId="0" xfId="2" applyNumberFormat="1" applyFont="1" applyFill="1" applyBorder="1" applyAlignment="1" applyProtection="1">
      <alignment horizontal="center"/>
    </xf>
    <xf numFmtId="3" fontId="31" fillId="0" borderId="0" xfId="2" applyNumberFormat="1" applyFont="1" applyFill="1" applyBorder="1"/>
    <xf numFmtId="0" fontId="29" fillId="0" borderId="0" xfId="2" quotePrefix="1" applyFont="1" applyFill="1" applyBorder="1" applyAlignment="1">
      <alignment horizontal="right"/>
    </xf>
    <xf numFmtId="0" fontId="29" fillId="0" borderId="0" xfId="2" applyFont="1" applyFill="1" applyBorder="1" applyAlignment="1">
      <alignment horizontal="left"/>
    </xf>
    <xf numFmtId="169" fontId="29" fillId="0" borderId="0" xfId="2" applyNumberFormat="1" applyFont="1" applyFill="1" applyBorder="1" applyAlignment="1">
      <alignment horizontal="center"/>
    </xf>
    <xf numFmtId="3" fontId="29" fillId="0" borderId="0" xfId="2" applyNumberFormat="1" applyFont="1" applyFill="1" applyBorder="1" applyAlignment="1">
      <alignment horizontal="right"/>
    </xf>
    <xf numFmtId="3" fontId="29" fillId="0" borderId="0" xfId="2" applyNumberFormat="1" applyFont="1" applyFill="1" applyBorder="1" applyProtection="1"/>
    <xf numFmtId="39" fontId="29" fillId="0" borderId="0" xfId="2" applyNumberFormat="1" applyFont="1" applyFill="1" applyBorder="1" applyAlignment="1" applyProtection="1">
      <alignment horizontal="fill"/>
    </xf>
    <xf numFmtId="0" fontId="29" fillId="2" borderId="0" xfId="2" applyFont="1" applyFill="1" applyBorder="1" applyAlignment="1" applyProtection="1">
      <alignment horizontal="left"/>
    </xf>
    <xf numFmtId="0" fontId="29" fillId="0" borderId="0" xfId="2" applyNumberFormat="1" applyFont="1" applyFill="1" applyBorder="1" applyAlignment="1" applyProtection="1">
      <alignment horizontal="center"/>
    </xf>
    <xf numFmtId="3" fontId="29" fillId="0" borderId="0" xfId="1" applyNumberFormat="1" applyFont="1" applyFill="1" applyBorder="1" applyAlignment="1" applyProtection="1">
      <alignment horizontal="right"/>
    </xf>
    <xf numFmtId="0" fontId="31" fillId="0" borderId="0" xfId="2" applyFont="1" applyFill="1" applyBorder="1" applyProtection="1"/>
    <xf numFmtId="0" fontId="29" fillId="0" borderId="0" xfId="2" applyFont="1" applyFill="1" applyBorder="1" applyProtection="1"/>
    <xf numFmtId="3" fontId="29" fillId="20" borderId="0" xfId="2" applyNumberFormat="1" applyFont="1" applyFill="1" applyBorder="1" applyProtection="1"/>
    <xf numFmtId="39" fontId="29" fillId="0" borderId="0" xfId="2" applyNumberFormat="1" applyFont="1" applyFill="1" applyBorder="1" applyProtection="1"/>
    <xf numFmtId="0" fontId="29" fillId="3" borderId="0" xfId="2" applyFont="1" applyFill="1" applyBorder="1"/>
    <xf numFmtId="39" fontId="29" fillId="3" borderId="0" xfId="2" applyNumberFormat="1" applyFont="1" applyFill="1" applyBorder="1" applyProtection="1"/>
    <xf numFmtId="3" fontId="31" fillId="0" borderId="0" xfId="2" applyNumberFormat="1" applyFont="1" applyFill="1" applyBorder="1" applyProtection="1"/>
    <xf numFmtId="3" fontId="29" fillId="19" borderId="0" xfId="2" applyNumberFormat="1" applyFont="1" applyFill="1" applyBorder="1" applyProtection="1"/>
    <xf numFmtId="0" fontId="30" fillId="0" borderId="0" xfId="2" applyFont="1" applyFill="1" applyBorder="1" applyProtection="1"/>
    <xf numFmtId="39" fontId="29" fillId="0" borderId="0" xfId="2" applyNumberFormat="1" applyFont="1" applyFill="1" applyBorder="1" applyAlignment="1" applyProtection="1">
      <alignment horizontal="left"/>
    </xf>
    <xf numFmtId="0" fontId="29" fillId="0" borderId="0" xfId="2" applyFont="1" applyFill="1" applyBorder="1" applyAlignment="1" applyProtection="1">
      <alignment horizontal="center"/>
    </xf>
    <xf numFmtId="3" fontId="29" fillId="0" borderId="0" xfId="2" applyNumberFormat="1" applyFont="1" applyFill="1" applyBorder="1" applyAlignment="1" applyProtection="1">
      <alignment horizontal="fill"/>
    </xf>
    <xf numFmtId="9" fontId="31" fillId="0" borderId="0" xfId="2" applyNumberFormat="1" applyFont="1" applyFill="1" applyBorder="1" applyProtection="1"/>
    <xf numFmtId="9" fontId="29" fillId="0" borderId="0" xfId="2" applyNumberFormat="1" applyFont="1" applyFill="1" applyBorder="1" applyProtection="1"/>
    <xf numFmtId="37" fontId="29" fillId="0" borderId="0" xfId="2" applyNumberFormat="1" applyFont="1" applyFill="1" applyBorder="1" applyAlignment="1" applyProtection="1">
      <alignment horizontal="center"/>
    </xf>
    <xf numFmtId="14" fontId="29" fillId="0" borderId="0" xfId="2" applyNumberFormat="1" applyFont="1" applyFill="1" applyBorder="1"/>
    <xf numFmtId="9" fontId="29" fillId="0" borderId="0" xfId="2" applyNumberFormat="1" applyFont="1" applyFill="1" applyBorder="1"/>
    <xf numFmtId="39" fontId="29" fillId="0" borderId="0" xfId="2" quotePrefix="1" applyNumberFormat="1" applyFont="1" applyFill="1" applyBorder="1" applyAlignment="1" applyProtection="1">
      <alignment horizontal="left"/>
    </xf>
    <xf numFmtId="0" fontId="34" fillId="0" borderId="0" xfId="2" applyFont="1" applyFill="1" applyBorder="1" applyProtection="1"/>
    <xf numFmtId="4" fontId="35" fillId="0" borderId="0" xfId="2" applyNumberFormat="1" applyFont="1" applyFill="1" applyBorder="1" applyAlignment="1">
      <alignment horizontal="right"/>
    </xf>
    <xf numFmtId="0" fontId="35" fillId="0" borderId="0" xfId="2" applyFont="1" applyFill="1" applyBorder="1"/>
    <xf numFmtId="0" fontId="35" fillId="0" borderId="0" xfId="2" applyNumberFormat="1" applyFont="1" applyFill="1" applyBorder="1"/>
    <xf numFmtId="0" fontId="35" fillId="0" borderId="0" xfId="2" applyFont="1" applyFill="1" applyBorder="1" applyAlignment="1">
      <alignment horizontal="center"/>
    </xf>
    <xf numFmtId="9" fontId="35" fillId="0" borderId="0" xfId="2" applyNumberFormat="1" applyFont="1" applyFill="1" applyBorder="1" applyAlignment="1" applyProtection="1">
      <alignment horizontal="center"/>
    </xf>
    <xf numFmtId="4" fontId="35" fillId="0" borderId="0" xfId="2" applyNumberFormat="1" applyFont="1" applyFill="1" applyBorder="1" applyAlignment="1">
      <alignment horizontal="center"/>
    </xf>
    <xf numFmtId="0" fontId="35" fillId="0" borderId="0" xfId="2" applyNumberFormat="1" applyFont="1" applyFill="1" applyBorder="1" applyAlignment="1">
      <alignment horizontal="center"/>
    </xf>
    <xf numFmtId="0" fontId="35" fillId="0" borderId="0" xfId="2" applyNumberFormat="1" applyFont="1" applyFill="1" applyBorder="1" applyAlignment="1">
      <alignment horizontal="right"/>
    </xf>
    <xf numFmtId="3" fontId="35" fillId="0" borderId="0" xfId="2" applyNumberFormat="1" applyFont="1" applyFill="1" applyBorder="1" applyProtection="1"/>
    <xf numFmtId="4" fontId="34" fillId="0" borderId="0" xfId="2" applyNumberFormat="1" applyFont="1" applyFill="1" applyBorder="1" applyAlignment="1">
      <alignment horizontal="right"/>
    </xf>
    <xf numFmtId="0" fontId="35" fillId="0" borderId="0" xfId="2" applyFont="1" applyFill="1" applyBorder="1" applyAlignment="1" applyProtection="1">
      <alignment horizontal="left"/>
    </xf>
    <xf numFmtId="0" fontId="30" fillId="0" borderId="0" xfId="2" applyFont="1" applyFill="1" applyBorder="1" applyAlignment="1">
      <alignment horizontal="center"/>
    </xf>
    <xf numFmtId="0" fontId="30" fillId="0" borderId="0" xfId="2" applyFont="1" applyFill="1" applyBorder="1"/>
    <xf numFmtId="0" fontId="30" fillId="0" borderId="0" xfId="2" quotePrefix="1" applyFont="1" applyFill="1" applyBorder="1" applyAlignment="1" applyProtection="1">
      <alignment horizontal="left"/>
    </xf>
    <xf numFmtId="0" fontId="30" fillId="0" borderId="0" xfId="2" applyNumberFormat="1" applyFont="1" applyFill="1" applyBorder="1"/>
    <xf numFmtId="9" fontId="30" fillId="0" borderId="0" xfId="2" applyNumberFormat="1" applyFont="1" applyFill="1" applyBorder="1" applyAlignment="1" applyProtection="1">
      <alignment horizontal="center"/>
    </xf>
    <xf numFmtId="4" fontId="30" fillId="0" borderId="0" xfId="2" applyNumberFormat="1" applyFont="1" applyFill="1" applyBorder="1" applyAlignment="1">
      <alignment horizontal="right"/>
    </xf>
    <xf numFmtId="4" fontId="30" fillId="0" borderId="0" xfId="2" applyNumberFormat="1" applyFont="1" applyFill="1" applyBorder="1" applyAlignment="1">
      <alignment horizontal="center"/>
    </xf>
    <xf numFmtId="0" fontId="30" fillId="0" borderId="0" xfId="2" applyNumberFormat="1" applyFont="1" applyFill="1" applyBorder="1" applyAlignment="1">
      <alignment horizontal="center"/>
    </xf>
    <xf numFmtId="0" fontId="30" fillId="0" borderId="0" xfId="2" applyNumberFormat="1" applyFont="1" applyFill="1" applyBorder="1" applyAlignment="1">
      <alignment horizontal="right"/>
    </xf>
    <xf numFmtId="3" fontId="30" fillId="0" borderId="0" xfId="2" applyNumberFormat="1" applyFont="1" applyFill="1" applyBorder="1"/>
    <xf numFmtId="37" fontId="30" fillId="0" borderId="0" xfId="2" applyNumberFormat="1" applyFont="1" applyFill="1" applyBorder="1" applyProtection="1"/>
    <xf numFmtId="0" fontId="35" fillId="0" borderId="0" xfId="2" applyFont="1" applyFill="1" applyBorder="1" applyProtection="1"/>
    <xf numFmtId="37" fontId="35" fillId="0" borderId="0" xfId="2" applyNumberFormat="1" applyFont="1" applyFill="1" applyBorder="1" applyProtection="1"/>
    <xf numFmtId="37" fontId="29" fillId="0" borderId="0" xfId="2" applyNumberFormat="1" applyFont="1" applyFill="1" applyBorder="1" applyAlignment="1" applyProtection="1">
      <alignment horizontal="fill"/>
    </xf>
    <xf numFmtId="9" fontId="29" fillId="0" borderId="0" xfId="2" applyNumberFormat="1" applyFont="1" applyFill="1" applyBorder="1" applyAlignment="1" applyProtection="1">
      <alignment horizontal="fill"/>
    </xf>
    <xf numFmtId="4" fontId="29" fillId="0" borderId="0" xfId="2" applyNumberFormat="1" applyFont="1" applyFill="1" applyBorder="1"/>
    <xf numFmtId="3" fontId="31" fillId="0" borderId="10" xfId="2" applyNumberFormat="1" applyFont="1" applyFill="1" applyBorder="1" applyAlignment="1">
      <alignment horizontal="right"/>
    </xf>
    <xf numFmtId="37" fontId="31" fillId="0" borderId="10" xfId="2" applyNumberFormat="1" applyFont="1" applyFill="1" applyBorder="1" applyProtection="1"/>
    <xf numFmtId="4" fontId="31" fillId="0" borderId="10" xfId="2" applyNumberFormat="1" applyFont="1" applyFill="1" applyBorder="1" applyAlignment="1">
      <alignment horizontal="right"/>
    </xf>
    <xf numFmtId="3" fontId="31" fillId="0" borderId="10" xfId="2" applyNumberFormat="1" applyFont="1" applyFill="1" applyBorder="1"/>
    <xf numFmtId="4" fontId="31" fillId="0" borderId="10" xfId="2" applyNumberFormat="1" applyFont="1" applyFill="1" applyBorder="1"/>
    <xf numFmtId="37" fontId="29" fillId="0" borderId="10" xfId="2" applyNumberFormat="1" applyFont="1" applyFill="1" applyBorder="1" applyProtection="1"/>
    <xf numFmtId="4" fontId="29" fillId="0" borderId="10" xfId="2" applyNumberFormat="1" applyFont="1" applyFill="1" applyBorder="1" applyAlignment="1">
      <alignment horizontal="right"/>
    </xf>
    <xf numFmtId="0" fontId="29" fillId="0" borderId="10" xfId="2" applyFont="1" applyFill="1" applyBorder="1"/>
    <xf numFmtId="0" fontId="31" fillId="0" borderId="10" xfId="2" applyFont="1" applyFill="1" applyBorder="1"/>
    <xf numFmtId="3" fontId="31" fillId="0" borderId="10" xfId="2" applyNumberFormat="1" applyFont="1" applyFill="1" applyBorder="1" applyProtection="1"/>
    <xf numFmtId="0" fontId="29" fillId="21" borderId="0" xfId="2" applyFont="1" applyFill="1" applyBorder="1"/>
    <xf numFmtId="0" fontId="29" fillId="21" borderId="0" xfId="2" applyFont="1" applyFill="1" applyBorder="1" applyAlignment="1">
      <alignment horizontal="center"/>
    </xf>
    <xf numFmtId="0" fontId="29" fillId="21" borderId="0" xfId="2" applyFont="1" applyFill="1" applyBorder="1" applyAlignment="1">
      <alignment horizontal="right"/>
    </xf>
    <xf numFmtId="0" fontId="29" fillId="21" borderId="0" xfId="2" applyFont="1" applyFill="1" applyBorder="1" applyAlignment="1" applyProtection="1">
      <alignment horizontal="left"/>
    </xf>
    <xf numFmtId="0" fontId="29" fillId="21" borderId="0" xfId="2" applyNumberFormat="1" applyFont="1" applyFill="1" applyBorder="1"/>
    <xf numFmtId="9" fontId="29" fillId="21" borderId="0" xfId="2" applyNumberFormat="1" applyFont="1" applyFill="1" applyBorder="1" applyAlignment="1" applyProtection="1">
      <alignment horizontal="center"/>
    </xf>
    <xf numFmtId="4" fontId="29" fillId="21" borderId="0" xfId="2" applyNumberFormat="1" applyFont="1" applyFill="1" applyBorder="1" applyAlignment="1">
      <alignment horizontal="right"/>
    </xf>
    <xf numFmtId="4" fontId="29" fillId="21" borderId="0" xfId="2" applyNumberFormat="1" applyFont="1" applyFill="1" applyBorder="1" applyAlignment="1">
      <alignment horizontal="center"/>
    </xf>
    <xf numFmtId="0" fontId="29" fillId="21" borderId="0" xfId="2" applyNumberFormat="1" applyFont="1" applyFill="1" applyBorder="1" applyAlignment="1">
      <alignment horizontal="center"/>
    </xf>
    <xf numFmtId="0" fontId="29" fillId="21" borderId="0" xfId="2" applyNumberFormat="1" applyFont="1" applyFill="1" applyBorder="1" applyAlignment="1">
      <alignment horizontal="right"/>
    </xf>
    <xf numFmtId="3" fontId="29" fillId="21" borderId="0" xfId="2" applyNumberFormat="1" applyFont="1" applyFill="1" applyBorder="1"/>
    <xf numFmtId="37" fontId="29" fillId="21" borderId="0" xfId="2" applyNumberFormat="1" applyFont="1" applyFill="1" applyBorder="1" applyProtection="1"/>
    <xf numFmtId="0" fontId="29" fillId="22" borderId="0" xfId="2" applyFont="1" applyFill="1" applyBorder="1"/>
    <xf numFmtId="0" fontId="29" fillId="22" borderId="0" xfId="2" applyFont="1" applyFill="1" applyBorder="1" applyProtection="1"/>
    <xf numFmtId="0" fontId="29" fillId="22" borderId="0" xfId="2" applyNumberFormat="1" applyFont="1" applyFill="1" applyBorder="1"/>
    <xf numFmtId="0" fontId="29" fillId="22" borderId="0" xfId="2" applyFont="1" applyFill="1" applyBorder="1" applyAlignment="1">
      <alignment horizontal="center"/>
    </xf>
    <xf numFmtId="4" fontId="29" fillId="22" borderId="0" xfId="2" applyNumberFormat="1" applyFont="1" applyFill="1" applyBorder="1" applyAlignment="1">
      <alignment horizontal="right"/>
    </xf>
    <xf numFmtId="4" fontId="29" fillId="22" borderId="0" xfId="2" applyNumberFormat="1" applyFont="1" applyFill="1" applyBorder="1" applyAlignment="1">
      <alignment horizontal="center"/>
    </xf>
    <xf numFmtId="0" fontId="29" fillId="22" borderId="0" xfId="2" applyNumberFormat="1" applyFont="1" applyFill="1" applyBorder="1" applyAlignment="1">
      <alignment horizontal="center"/>
    </xf>
    <xf numFmtId="0" fontId="29" fillId="22" borderId="0" xfId="2" applyNumberFormat="1" applyFont="1" applyFill="1" applyBorder="1" applyAlignment="1">
      <alignment horizontal="right"/>
    </xf>
    <xf numFmtId="3" fontId="29" fillId="22" borderId="0" xfId="2" applyNumberFormat="1" applyFont="1" applyFill="1" applyBorder="1" applyProtection="1"/>
    <xf numFmtId="0" fontId="29" fillId="21" borderId="0" xfId="2" applyFont="1" applyFill="1" applyBorder="1" applyProtection="1"/>
    <xf numFmtId="3" fontId="29" fillId="21" borderId="0" xfId="2" applyNumberFormat="1" applyFont="1" applyFill="1" applyBorder="1" applyProtection="1"/>
    <xf numFmtId="39" fontId="29" fillId="21" borderId="0" xfId="2" applyNumberFormat="1" applyFont="1" applyFill="1" applyBorder="1" applyProtection="1"/>
    <xf numFmtId="0" fontId="29" fillId="21" borderId="0" xfId="2" applyFont="1" applyFill="1" applyBorder="1" applyAlignment="1" applyProtection="1">
      <alignment horizontal="center"/>
    </xf>
    <xf numFmtId="0" fontId="31" fillId="21" borderId="0" xfId="2" applyFont="1" applyFill="1" applyBorder="1"/>
    <xf numFmtId="3" fontId="29" fillId="21" borderId="0" xfId="2" applyNumberFormat="1" applyFont="1" applyFill="1" applyBorder="1" applyAlignment="1">
      <alignment horizontal="right"/>
    </xf>
    <xf numFmtId="37" fontId="31" fillId="21" borderId="0" xfId="2" applyNumberFormat="1" applyFont="1" applyFill="1" applyBorder="1" applyProtection="1"/>
    <xf numFmtId="43" fontId="30" fillId="0" borderId="0" xfId="1" applyFont="1" applyFill="1" applyBorder="1"/>
    <xf numFmtId="43" fontId="35" fillId="0" borderId="0" xfId="1" applyFont="1" applyFill="1" applyBorder="1"/>
    <xf numFmtId="43" fontId="29" fillId="22" borderId="0" xfId="1" applyFont="1" applyFill="1" applyBorder="1"/>
    <xf numFmtId="43" fontId="31" fillId="0" borderId="10" xfId="1" applyFont="1" applyFill="1" applyBorder="1" applyProtection="1"/>
    <xf numFmtId="43" fontId="31" fillId="0" borderId="10" xfId="1" applyFont="1" applyFill="1" applyBorder="1"/>
    <xf numFmtId="43" fontId="31" fillId="0" borderId="0" xfId="1" applyFont="1" applyFill="1" applyBorder="1"/>
    <xf numFmtId="43" fontId="31" fillId="0" borderId="10" xfId="1" applyFont="1" applyFill="1" applyBorder="1" applyAlignment="1">
      <alignment horizontal="right"/>
    </xf>
    <xf numFmtId="43" fontId="29" fillId="0" borderId="0" xfId="1" applyFont="1" applyFill="1" applyBorder="1"/>
    <xf numFmtId="0" fontId="50" fillId="22" borderId="0" xfId="239" applyFont="1" applyFill="1" applyBorder="1" applyAlignment="1">
      <alignment horizontal="center"/>
    </xf>
    <xf numFmtId="0" fontId="7" fillId="0" borderId="0" xfId="123" applyAlignment="1">
      <alignment horizontal="center"/>
    </xf>
    <xf numFmtId="0" fontId="49" fillId="0" borderId="0" xfId="239" applyFont="1" applyBorder="1" applyAlignment="1">
      <alignment horizontal="center"/>
    </xf>
    <xf numFmtId="0" fontId="49" fillId="22" borderId="0" xfId="239" applyFont="1" applyFill="1" applyBorder="1" applyAlignment="1">
      <alignment horizontal="center"/>
    </xf>
    <xf numFmtId="43" fontId="29" fillId="21" borderId="0" xfId="1" applyFont="1" applyFill="1" applyBorder="1"/>
    <xf numFmtId="43" fontId="29" fillId="21" borderId="2" xfId="1" applyFont="1" applyFill="1" applyBorder="1"/>
    <xf numFmtId="43" fontId="29" fillId="21" borderId="0" xfId="2" applyNumberFormat="1" applyFont="1" applyFill="1" applyBorder="1"/>
    <xf numFmtId="43" fontId="31" fillId="0" borderId="0" xfId="1" applyFont="1" applyFill="1" applyBorder="1" applyAlignment="1">
      <alignment horizontal="right"/>
    </xf>
    <xf numFmtId="4" fontId="92" fillId="0" borderId="0" xfId="2" applyNumberFormat="1" applyFont="1" applyFill="1" applyBorder="1"/>
    <xf numFmtId="37" fontId="92" fillId="0" borderId="0" xfId="2" applyNumberFormat="1" applyFont="1" applyFill="1" applyBorder="1" applyAlignment="1" applyProtection="1">
      <alignment horizontal="fill"/>
    </xf>
    <xf numFmtId="0" fontId="96" fillId="0" borderId="0" xfId="2" applyFont="1" applyFill="1" applyBorder="1" applyProtection="1"/>
    <xf numFmtId="0" fontId="96" fillId="0" borderId="0" xfId="2" applyFont="1" applyFill="1" applyBorder="1" applyAlignment="1" applyProtection="1">
      <alignment horizontal="left"/>
    </xf>
    <xf numFmtId="3" fontId="96" fillId="0" borderId="0" xfId="2" applyNumberFormat="1" applyFont="1" applyFill="1" applyBorder="1" applyProtection="1"/>
    <xf numFmtId="0" fontId="96" fillId="0" borderId="0" xfId="2" applyNumberFormat="1" applyFont="1" applyFill="1" applyBorder="1" applyAlignment="1">
      <alignment horizontal="right"/>
    </xf>
    <xf numFmtId="0" fontId="96" fillId="0" borderId="0" xfId="2" applyNumberFormat="1" applyFont="1" applyFill="1" applyBorder="1" applyAlignment="1">
      <alignment horizontal="center"/>
    </xf>
    <xf numFmtId="4" fontId="96" fillId="0" borderId="0" xfId="2" applyNumberFormat="1" applyFont="1" applyFill="1" applyBorder="1" applyAlignment="1">
      <alignment horizontal="center"/>
    </xf>
    <xf numFmtId="9" fontId="96" fillId="0" borderId="0" xfId="2" applyNumberFormat="1" applyFont="1" applyFill="1" applyBorder="1" applyAlignment="1" applyProtection="1">
      <alignment horizontal="center"/>
    </xf>
    <xf numFmtId="0" fontId="96" fillId="0" borderId="0" xfId="2" applyFont="1" applyFill="1" applyBorder="1" applyAlignment="1">
      <alignment horizontal="center"/>
    </xf>
    <xf numFmtId="0" fontId="96" fillId="0" borderId="0" xfId="2" applyNumberFormat="1" applyFont="1" applyFill="1" applyBorder="1"/>
    <xf numFmtId="0" fontId="96" fillId="0" borderId="0" xfId="2" applyFont="1" applyFill="1" applyBorder="1"/>
    <xf numFmtId="4" fontId="96" fillId="0" borderId="0" xfId="2" applyNumberFormat="1" applyFont="1" applyFill="1" applyBorder="1" applyAlignment="1">
      <alignment horizontal="right"/>
    </xf>
    <xf numFmtId="0" fontId="95" fillId="0" borderId="0" xfId="2" applyFont="1" applyFill="1" applyBorder="1" applyProtection="1"/>
    <xf numFmtId="37" fontId="92" fillId="0" borderId="0" xfId="2" applyNumberFormat="1" applyFont="1" applyFill="1" applyBorder="1" applyProtection="1"/>
    <xf numFmtId="3" fontId="92" fillId="0" borderId="0" xfId="2" applyNumberFormat="1" applyFont="1" applyFill="1" applyBorder="1" applyAlignment="1" applyProtection="1">
      <alignment horizontal="fill"/>
    </xf>
    <xf numFmtId="37" fontId="91" fillId="0" borderId="10" xfId="2" applyNumberFormat="1" applyFont="1" applyFill="1" applyBorder="1" applyProtection="1"/>
    <xf numFmtId="4" fontId="92" fillId="22" borderId="0" xfId="2" applyNumberFormat="1" applyFont="1" applyFill="1" applyBorder="1" applyAlignment="1">
      <alignment horizontal="right"/>
    </xf>
    <xf numFmtId="3" fontId="92" fillId="22" borderId="0" xfId="2" applyNumberFormat="1" applyFont="1" applyFill="1" applyBorder="1" applyProtection="1"/>
    <xf numFmtId="0" fontId="92" fillId="22" borderId="0" xfId="2" applyNumberFormat="1" applyFont="1" applyFill="1" applyBorder="1" applyAlignment="1">
      <alignment horizontal="right"/>
    </xf>
    <xf numFmtId="0" fontId="92" fillId="22" borderId="0" xfId="2" applyNumberFormat="1" applyFont="1" applyFill="1" applyBorder="1" applyAlignment="1">
      <alignment horizontal="center"/>
    </xf>
    <xf numFmtId="4" fontId="92" fillId="22" borderId="0" xfId="2" applyNumberFormat="1" applyFont="1" applyFill="1" applyBorder="1" applyAlignment="1">
      <alignment horizontal="center"/>
    </xf>
    <xf numFmtId="0" fontId="92" fillId="22" borderId="0" xfId="2" applyFont="1" applyFill="1" applyBorder="1" applyAlignment="1">
      <alignment horizontal="center"/>
    </xf>
    <xf numFmtId="0" fontId="92" fillId="22" borderId="0" xfId="2" applyNumberFormat="1" applyFont="1" applyFill="1" applyBorder="1"/>
    <xf numFmtId="0" fontId="92" fillId="22" borderId="0" xfId="2" applyFont="1" applyFill="1" applyBorder="1" applyProtection="1"/>
    <xf numFmtId="0" fontId="92" fillId="22" borderId="0" xfId="2" applyFont="1" applyFill="1" applyBorder="1"/>
    <xf numFmtId="39" fontId="92" fillId="0" borderId="0" xfId="2" applyNumberFormat="1" applyFont="1" applyFill="1" applyBorder="1" applyAlignment="1" applyProtection="1">
      <alignment horizontal="left"/>
    </xf>
    <xf numFmtId="0" fontId="94" fillId="0" borderId="0" xfId="2" applyFont="1" applyFill="1" applyBorder="1" applyProtection="1"/>
    <xf numFmtId="37" fontId="91" fillId="0" borderId="0" xfId="2" applyNumberFormat="1" applyFont="1" applyFill="1" applyBorder="1" applyProtection="1"/>
    <xf numFmtId="3" fontId="91" fillId="0" borderId="0" xfId="2" applyNumberFormat="1" applyFont="1" applyFill="1" applyBorder="1" applyProtection="1"/>
    <xf numFmtId="3" fontId="91" fillId="0" borderId="10" xfId="2" applyNumberFormat="1" applyFont="1" applyFill="1" applyBorder="1" applyProtection="1"/>
    <xf numFmtId="39" fontId="92" fillId="0" borderId="0" xfId="2" applyNumberFormat="1" applyFont="1" applyFill="1" applyBorder="1" applyProtection="1"/>
    <xf numFmtId="0" fontId="92" fillId="0" borderId="0" xfId="2" applyFont="1" applyFill="1" applyBorder="1" applyProtection="1"/>
    <xf numFmtId="0" fontId="91" fillId="0" borderId="0" xfId="2" applyFont="1" applyFill="1" applyBorder="1" applyProtection="1"/>
    <xf numFmtId="3" fontId="91" fillId="0" borderId="10" xfId="2" applyNumberFormat="1" applyFont="1" applyFill="1" applyBorder="1" applyAlignment="1">
      <alignment horizontal="right"/>
    </xf>
    <xf numFmtId="3" fontId="92" fillId="0" borderId="0" xfId="1" applyNumberFormat="1" applyFont="1" applyFill="1" applyBorder="1" applyAlignment="1" applyProtection="1">
      <alignment horizontal="right"/>
    </xf>
    <xf numFmtId="0" fontId="92" fillId="0" borderId="0" xfId="2" applyNumberFormat="1" applyFont="1" applyFill="1" applyBorder="1" applyAlignment="1" applyProtection="1">
      <alignment horizontal="center"/>
    </xf>
    <xf numFmtId="3" fontId="92" fillId="0" borderId="0" xfId="2" applyNumberFormat="1" applyFont="1" applyFill="1" applyBorder="1" applyProtection="1"/>
    <xf numFmtId="169" fontId="92" fillId="0" borderId="0" xfId="2" applyNumberFormat="1" applyFont="1" applyFill="1" applyBorder="1" applyAlignment="1">
      <alignment horizontal="center"/>
    </xf>
    <xf numFmtId="0" fontId="92" fillId="0" borderId="0" xfId="2" applyFont="1" applyFill="1" applyBorder="1" applyAlignment="1">
      <alignment horizontal="left"/>
    </xf>
    <xf numFmtId="0" fontId="92" fillId="0" borderId="0" xfId="2" quotePrefix="1" applyFont="1" applyFill="1" applyBorder="1" applyAlignment="1">
      <alignment horizontal="right"/>
    </xf>
    <xf numFmtId="3" fontId="92" fillId="0" borderId="0" xfId="2" applyNumberFormat="1" applyFont="1" applyFill="1" applyBorder="1" applyAlignment="1">
      <alignment horizontal="right"/>
    </xf>
    <xf numFmtId="3" fontId="91" fillId="0" borderId="10" xfId="2" applyNumberFormat="1" applyFont="1" applyFill="1" applyBorder="1"/>
    <xf numFmtId="0" fontId="91" fillId="0" borderId="0" xfId="2" applyNumberFormat="1" applyFont="1" applyFill="1" applyBorder="1"/>
    <xf numFmtId="0" fontId="91" fillId="0" borderId="0" xfId="2" applyFont="1" applyFill="1" applyBorder="1" applyAlignment="1" applyProtection="1">
      <alignment horizontal="left"/>
    </xf>
    <xf numFmtId="0" fontId="92" fillId="0" borderId="0" xfId="2" quotePrefix="1" applyFont="1" applyFill="1" applyBorder="1" applyAlignment="1" applyProtection="1">
      <alignment horizontal="left"/>
    </xf>
    <xf numFmtId="4" fontId="91" fillId="0" borderId="0" xfId="2" applyNumberFormat="1" applyFont="1" applyFill="1" applyBorder="1" applyAlignment="1">
      <alignment horizontal="right"/>
    </xf>
    <xf numFmtId="165" fontId="91" fillId="0" borderId="10" xfId="1" applyNumberFormat="1" applyFont="1" applyFill="1" applyBorder="1" applyAlignment="1">
      <alignment horizontal="right"/>
    </xf>
    <xf numFmtId="4" fontId="91" fillId="0" borderId="0" xfId="2" applyNumberFormat="1" applyFont="1" applyFill="1" applyBorder="1" applyAlignment="1">
      <alignment horizontal="center"/>
    </xf>
    <xf numFmtId="0" fontId="91" fillId="0" borderId="0" xfId="2" applyFont="1" applyFill="1" applyBorder="1"/>
    <xf numFmtId="0" fontId="92" fillId="0" borderId="0" xfId="2" applyFont="1" applyFill="1" applyBorder="1" applyAlignment="1">
      <alignment horizontal="right"/>
    </xf>
    <xf numFmtId="165" fontId="92" fillId="0" borderId="0" xfId="1" applyNumberFormat="1" applyFont="1" applyFill="1" applyBorder="1" applyAlignment="1">
      <alignment horizontal="right"/>
    </xf>
    <xf numFmtId="165" fontId="92" fillId="0" borderId="0" xfId="1" applyNumberFormat="1" applyFont="1" applyFill="1" applyBorder="1"/>
    <xf numFmtId="171" fontId="92" fillId="0" borderId="0" xfId="1" applyNumberFormat="1" applyFont="1" applyFill="1" applyBorder="1"/>
    <xf numFmtId="0" fontId="92" fillId="0" borderId="0" xfId="2" applyNumberFormat="1" applyFont="1" applyFill="1" applyBorder="1" applyAlignment="1">
      <alignment horizontal="right"/>
    </xf>
    <xf numFmtId="4" fontId="92" fillId="0" borderId="0" xfId="2" applyNumberFormat="1" applyFont="1" applyFill="1" applyBorder="1" applyAlignment="1">
      <alignment horizontal="center"/>
    </xf>
    <xf numFmtId="9" fontId="92" fillId="0" borderId="0" xfId="2" applyNumberFormat="1" applyFont="1" applyFill="1" applyBorder="1" applyAlignment="1" applyProtection="1">
      <alignment horizontal="center"/>
    </xf>
    <xf numFmtId="0" fontId="92" fillId="0" borderId="0" xfId="2" applyFont="1" applyFill="1" applyBorder="1" applyAlignment="1" applyProtection="1">
      <alignment horizontal="left"/>
    </xf>
    <xf numFmtId="168" fontId="91" fillId="0" borderId="0" xfId="2" applyNumberFormat="1" applyFont="1" applyFill="1" applyBorder="1" applyAlignment="1">
      <alignment horizontal="center"/>
    </xf>
    <xf numFmtId="167" fontId="91" fillId="0" borderId="0" xfId="2" applyNumberFormat="1" applyFont="1" applyFill="1" applyBorder="1" applyAlignment="1">
      <alignment horizontal="center"/>
    </xf>
    <xf numFmtId="3" fontId="93" fillId="0" borderId="0" xfId="2" applyNumberFormat="1" applyFont="1" applyFill="1" applyBorder="1" applyAlignment="1">
      <alignment horizontal="center"/>
    </xf>
    <xf numFmtId="9" fontId="93" fillId="0" borderId="0" xfId="2" applyNumberFormat="1" applyFont="1" applyFill="1" applyBorder="1" applyAlignment="1">
      <alignment horizontal="center"/>
    </xf>
    <xf numFmtId="0" fontId="93" fillId="0" borderId="0" xfId="2" applyNumberFormat="1" applyFont="1" applyFill="1" applyBorder="1" applyAlignment="1">
      <alignment horizontal="center"/>
    </xf>
    <xf numFmtId="0" fontId="93" fillId="0" borderId="0" xfId="2" applyFont="1" applyFill="1" applyBorder="1" applyAlignment="1">
      <alignment horizontal="left"/>
    </xf>
    <xf numFmtId="0" fontId="93" fillId="0" borderId="0" xfId="2" applyFont="1" applyFill="1" applyBorder="1" applyAlignment="1">
      <alignment horizontal="center"/>
    </xf>
    <xf numFmtId="3" fontId="91" fillId="0" borderId="0" xfId="2" applyNumberFormat="1" applyFont="1" applyFill="1" applyBorder="1" applyAlignment="1">
      <alignment horizontal="center"/>
    </xf>
    <xf numFmtId="9" fontId="91" fillId="0" borderId="0" xfId="2" applyNumberFormat="1" applyFont="1" applyFill="1" applyBorder="1" applyAlignment="1">
      <alignment horizontal="center"/>
    </xf>
    <xf numFmtId="0" fontId="91" fillId="0" borderId="0" xfId="2" applyNumberFormat="1" applyFont="1" applyFill="1" applyBorder="1" applyAlignment="1">
      <alignment horizontal="center"/>
    </xf>
    <xf numFmtId="0" fontId="91" fillId="0" borderId="0" xfId="2" applyFont="1" applyFill="1" applyBorder="1" applyAlignment="1">
      <alignment horizontal="left"/>
    </xf>
    <xf numFmtId="0" fontId="91" fillId="0" borderId="0" xfId="2" applyFont="1" applyFill="1" applyBorder="1" applyAlignment="1">
      <alignment horizontal="center"/>
    </xf>
    <xf numFmtId="0" fontId="91" fillId="0" borderId="0" xfId="2" applyNumberFormat="1" applyFont="1" applyFill="1" applyBorder="1" applyAlignment="1">
      <alignment horizontal="right"/>
    </xf>
    <xf numFmtId="3" fontId="91" fillId="0" borderId="0" xfId="2" applyNumberFormat="1" applyFont="1" applyFill="1" applyBorder="1" applyAlignment="1">
      <alignment horizontal="right"/>
    </xf>
    <xf numFmtId="4" fontId="92" fillId="0" borderId="0" xfId="2" applyNumberFormat="1" applyFont="1" applyFill="1" applyBorder="1" applyAlignment="1">
      <alignment horizontal="right"/>
    </xf>
    <xf numFmtId="3" fontId="92" fillId="0" borderId="0" xfId="2" applyNumberFormat="1" applyFont="1" applyFill="1" applyBorder="1"/>
    <xf numFmtId="0" fontId="92" fillId="0" borderId="0" xfId="2" applyNumberFormat="1" applyFont="1" applyFill="1" applyBorder="1" applyAlignment="1">
      <alignment horizontal="center"/>
    </xf>
    <xf numFmtId="0" fontId="92" fillId="0" borderId="0" xfId="2" applyFont="1" applyFill="1" applyBorder="1" applyAlignment="1">
      <alignment horizontal="center"/>
    </xf>
    <xf numFmtId="0" fontId="92" fillId="0" borderId="0" xfId="2" applyNumberFormat="1" applyFont="1" applyFill="1" applyBorder="1"/>
    <xf numFmtId="0" fontId="92" fillId="0" borderId="0" xfId="2" applyFont="1" applyFill="1" applyBorder="1"/>
    <xf numFmtId="4" fontId="91" fillId="0" borderId="0" xfId="2" applyNumberFormat="1" applyFont="1" applyFill="1" applyBorder="1" applyAlignment="1">
      <alignment horizontal="left"/>
    </xf>
    <xf numFmtId="0" fontId="39" fillId="0" borderId="0" xfId="362" applyFont="1"/>
    <xf numFmtId="9" fontId="92" fillId="0" borderId="0" xfId="9017" applyFont="1" applyFill="1" applyBorder="1" applyAlignment="1">
      <alignment horizontal="center"/>
    </xf>
    <xf numFmtId="9" fontId="92" fillId="22" borderId="0" xfId="9017" applyFont="1" applyFill="1" applyBorder="1" applyAlignment="1">
      <alignment horizontal="center"/>
    </xf>
    <xf numFmtId="165" fontId="92" fillId="0" borderId="0" xfId="1" applyNumberFormat="1" applyFont="1" applyFill="1" applyBorder="1" applyProtection="1"/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43" fontId="38" fillId="0" borderId="0" xfId="122" applyFont="1" applyFill="1"/>
    <xf numFmtId="0" fontId="38" fillId="0" borderId="0" xfId="0" applyFont="1" applyFill="1"/>
    <xf numFmtId="165" fontId="91" fillId="0" borderId="10" xfId="1" applyNumberFormat="1" applyFont="1" applyFill="1" applyBorder="1" applyProtection="1"/>
    <xf numFmtId="0" fontId="95" fillId="0" borderId="0" xfId="2" applyFont="1" applyFill="1" applyBorder="1" applyAlignment="1">
      <alignment horizontal="center"/>
    </xf>
    <xf numFmtId="0" fontId="92" fillId="21" borderId="0" xfId="2" applyFont="1" applyFill="1" applyBorder="1" applyAlignment="1" applyProtection="1">
      <alignment horizontal="left"/>
    </xf>
    <xf numFmtId="165" fontId="91" fillId="0" borderId="10" xfId="1" applyNumberFormat="1" applyFont="1" applyFill="1" applyBorder="1"/>
    <xf numFmtId="1" fontId="92" fillId="0" borderId="0" xfId="2" applyNumberFormat="1" applyFont="1" applyFill="1" applyBorder="1" applyAlignment="1">
      <alignment horizontal="right"/>
    </xf>
    <xf numFmtId="0" fontId="98" fillId="0" borderId="0" xfId="2" applyFont="1" applyFill="1" applyBorder="1" applyAlignment="1">
      <alignment horizontal="left"/>
    </xf>
    <xf numFmtId="165" fontId="91" fillId="0" borderId="0" xfId="1" applyNumberFormat="1" applyFont="1" applyFill="1" applyBorder="1" applyAlignment="1">
      <alignment horizontal="right"/>
    </xf>
    <xf numFmtId="0" fontId="91" fillId="0" borderId="0" xfId="2" applyFont="1" applyBorder="1"/>
    <xf numFmtId="0" fontId="92" fillId="0" borderId="0" xfId="2" applyFont="1" applyBorder="1"/>
    <xf numFmtId="0" fontId="97" fillId="30" borderId="33" xfId="2" applyFont="1" applyFill="1" applyBorder="1"/>
    <xf numFmtId="0" fontId="97" fillId="30" borderId="33" xfId="2" applyFont="1" applyFill="1" applyBorder="1" applyAlignment="1">
      <alignment horizontal="center"/>
    </xf>
    <xf numFmtId="0" fontId="97" fillId="30" borderId="34" xfId="2" applyFont="1" applyFill="1" applyBorder="1" applyAlignment="1">
      <alignment horizontal="center"/>
    </xf>
    <xf numFmtId="0" fontId="92" fillId="30" borderId="35" xfId="2" applyFont="1" applyFill="1" applyBorder="1"/>
    <xf numFmtId="164" fontId="97" fillId="30" borderId="35" xfId="2" quotePrefix="1" applyNumberFormat="1" applyFont="1" applyFill="1" applyBorder="1" applyAlignment="1">
      <alignment horizontal="center"/>
    </xf>
    <xf numFmtId="0" fontId="91" fillId="0" borderId="0" xfId="2" applyFont="1" applyBorder="1" applyAlignment="1">
      <alignment horizontal="center"/>
    </xf>
    <xf numFmtId="0" fontId="91" fillId="0" borderId="0" xfId="2" quotePrefix="1" applyFont="1" applyBorder="1" applyAlignment="1">
      <alignment horizontal="center"/>
    </xf>
    <xf numFmtId="165" fontId="92" fillId="73" borderId="0" xfId="1" applyNumberFormat="1" applyFont="1" applyFill="1" applyBorder="1"/>
    <xf numFmtId="165" fontId="92" fillId="0" borderId="0" xfId="1" applyNumberFormat="1" applyFont="1" applyBorder="1"/>
    <xf numFmtId="0" fontId="91" fillId="0" borderId="10" xfId="2" applyFont="1" applyBorder="1"/>
    <xf numFmtId="165" fontId="91" fillId="0" borderId="10" xfId="1" applyNumberFormat="1" applyFont="1" applyBorder="1"/>
    <xf numFmtId="0" fontId="97" fillId="30" borderId="32" xfId="2" applyFont="1" applyFill="1" applyBorder="1" applyAlignment="1">
      <alignment horizontal="center"/>
    </xf>
    <xf numFmtId="0" fontId="97" fillId="0" borderId="0" xfId="2" applyFont="1" applyFill="1" applyBorder="1" applyAlignment="1">
      <alignment horizontal="center"/>
    </xf>
    <xf numFmtId="165" fontId="91" fillId="0" borderId="0" xfId="1" applyNumberFormat="1" applyFont="1" applyBorder="1"/>
    <xf numFmtId="0" fontId="91" fillId="0" borderId="36" xfId="2" applyFont="1" applyBorder="1"/>
    <xf numFmtId="165" fontId="91" fillId="0" borderId="36" xfId="1" applyNumberFormat="1" applyFont="1" applyBorder="1"/>
    <xf numFmtId="165" fontId="92" fillId="0" borderId="0" xfId="2" applyNumberFormat="1" applyFont="1" applyBorder="1"/>
    <xf numFmtId="3" fontId="99" fillId="0" borderId="0" xfId="2" applyNumberFormat="1" applyFont="1" applyBorder="1"/>
    <xf numFmtId="0" fontId="99" fillId="0" borderId="0" xfId="2" applyFont="1" applyBorder="1"/>
    <xf numFmtId="10" fontId="99" fillId="0" borderId="0" xfId="2" applyNumberFormat="1" applyFont="1" applyBorder="1"/>
    <xf numFmtId="43" fontId="92" fillId="0" borderId="0" xfId="2" applyNumberFormat="1" applyFont="1" applyBorder="1"/>
    <xf numFmtId="0" fontId="96" fillId="74" borderId="0" xfId="2" applyFont="1" applyFill="1" applyBorder="1"/>
    <xf numFmtId="0" fontId="96" fillId="74" borderId="0" xfId="2" applyFont="1" applyFill="1" applyBorder="1" applyAlignment="1">
      <alignment horizontal="center"/>
    </xf>
    <xf numFmtId="0" fontId="96" fillId="74" borderId="0" xfId="2" applyFont="1" applyFill="1" applyBorder="1" applyAlignment="1" applyProtection="1">
      <alignment horizontal="left"/>
    </xf>
    <xf numFmtId="0" fontId="96" fillId="74" borderId="0" xfId="2" applyNumberFormat="1" applyFont="1" applyFill="1" applyBorder="1"/>
    <xf numFmtId="9" fontId="96" fillId="74" borderId="0" xfId="2" applyNumberFormat="1" applyFont="1" applyFill="1" applyBorder="1" applyAlignment="1" applyProtection="1">
      <alignment horizontal="center"/>
    </xf>
    <xf numFmtId="4" fontId="96" fillId="74" borderId="0" xfId="2" applyNumberFormat="1" applyFont="1" applyFill="1" applyBorder="1" applyAlignment="1">
      <alignment horizontal="center"/>
    </xf>
    <xf numFmtId="0" fontId="96" fillId="74" borderId="0" xfId="2" applyNumberFormat="1" applyFont="1" applyFill="1" applyBorder="1" applyAlignment="1">
      <alignment horizontal="center"/>
    </xf>
    <xf numFmtId="0" fontId="96" fillId="74" borderId="0" xfId="2" applyNumberFormat="1" applyFont="1" applyFill="1" applyBorder="1" applyAlignment="1">
      <alignment horizontal="right"/>
    </xf>
    <xf numFmtId="171" fontId="96" fillId="74" borderId="0" xfId="1" applyNumberFormat="1" applyFont="1" applyFill="1" applyBorder="1"/>
    <xf numFmtId="165" fontId="96" fillId="74" borderId="0" xfId="1" applyNumberFormat="1" applyFont="1" applyFill="1" applyBorder="1"/>
    <xf numFmtId="165" fontId="96" fillId="74" borderId="0" xfId="1" applyNumberFormat="1" applyFont="1" applyFill="1" applyBorder="1" applyAlignment="1">
      <alignment horizontal="right"/>
    </xf>
    <xf numFmtId="165" fontId="92" fillId="0" borderId="0" xfId="1" applyNumberFormat="1" applyFont="1" applyFill="1" applyBorder="1" applyAlignment="1">
      <alignment horizontal="left"/>
    </xf>
    <xf numFmtId="165" fontId="91" fillId="0" borderId="0" xfId="1" applyNumberFormat="1" applyFont="1" applyFill="1" applyBorder="1" applyAlignment="1">
      <alignment horizontal="left"/>
    </xf>
    <xf numFmtId="165" fontId="91" fillId="0" borderId="0" xfId="1" applyNumberFormat="1" applyFont="1" applyFill="1" applyBorder="1" applyAlignment="1">
      <alignment horizontal="center"/>
    </xf>
    <xf numFmtId="165" fontId="93" fillId="0" borderId="0" xfId="1" applyNumberFormat="1" applyFont="1" applyFill="1" applyBorder="1" applyAlignment="1">
      <alignment horizontal="center"/>
    </xf>
    <xf numFmtId="165" fontId="91" fillId="0" borderId="0" xfId="1" applyNumberFormat="1" applyFont="1" applyFill="1" applyBorder="1" applyProtection="1"/>
    <xf numFmtId="165" fontId="92" fillId="22" borderId="0" xfId="1" applyNumberFormat="1" applyFont="1" applyFill="1" applyBorder="1" applyAlignment="1">
      <alignment horizontal="right"/>
    </xf>
    <xf numFmtId="165" fontId="92" fillId="0" borderId="0" xfId="1" applyNumberFormat="1" applyFont="1" applyFill="1" applyBorder="1" applyAlignment="1" applyProtection="1">
      <alignment horizontal="fill"/>
    </xf>
    <xf numFmtId="0" fontId="96" fillId="0" borderId="0" xfId="2" applyFont="1" applyFill="1" applyBorder="1" applyAlignment="1">
      <alignment horizontal="right"/>
    </xf>
    <xf numFmtId="171" fontId="96" fillId="0" borderId="0" xfId="1" applyNumberFormat="1" applyFont="1" applyFill="1" applyBorder="1"/>
    <xf numFmtId="165" fontId="96" fillId="0" borderId="0" xfId="1" applyNumberFormat="1" applyFont="1" applyFill="1" applyBorder="1"/>
    <xf numFmtId="165" fontId="96" fillId="0" borderId="0" xfId="1" applyNumberFormat="1" applyFont="1" applyFill="1" applyBorder="1" applyAlignment="1">
      <alignment horizontal="right"/>
    </xf>
    <xf numFmtId="43" fontId="92" fillId="0" borderId="0" xfId="1" applyFont="1" applyBorder="1"/>
    <xf numFmtId="165" fontId="91" fillId="0" borderId="0" xfId="2" applyNumberFormat="1" applyFont="1" applyBorder="1"/>
    <xf numFmtId="0" fontId="92" fillId="20" borderId="0" xfId="2" applyFont="1" applyFill="1" applyBorder="1"/>
    <xf numFmtId="0" fontId="92" fillId="20" borderId="0" xfId="2" applyNumberFormat="1" applyFont="1" applyFill="1" applyBorder="1"/>
    <xf numFmtId="0" fontId="92" fillId="20" borderId="0" xfId="2" applyFont="1" applyFill="1" applyBorder="1" applyAlignment="1">
      <alignment horizontal="center"/>
    </xf>
    <xf numFmtId="4" fontId="91" fillId="0" borderId="10" xfId="2" applyNumberFormat="1" applyFont="1" applyFill="1" applyBorder="1" applyAlignment="1">
      <alignment horizontal="left"/>
    </xf>
    <xf numFmtId="0" fontId="91" fillId="0" borderId="10" xfId="2" applyNumberFormat="1" applyFont="1" applyFill="1" applyBorder="1" applyAlignment="1">
      <alignment horizontal="right"/>
    </xf>
    <xf numFmtId="4" fontId="91" fillId="0" borderId="10" xfId="2" applyNumberFormat="1" applyFont="1" applyFill="1" applyBorder="1" applyAlignment="1">
      <alignment horizontal="center"/>
    </xf>
    <xf numFmtId="0" fontId="91" fillId="0" borderId="10" xfId="2" applyNumberFormat="1" applyFont="1" applyFill="1" applyBorder="1" applyAlignment="1">
      <alignment horizontal="center"/>
    </xf>
    <xf numFmtId="0" fontId="91" fillId="0" borderId="10" xfId="2" applyFont="1" applyFill="1" applyBorder="1"/>
    <xf numFmtId="0" fontId="93" fillId="0" borderId="0" xfId="2" applyFont="1" applyFill="1" applyBorder="1" applyAlignment="1" applyProtection="1">
      <alignment horizontal="left"/>
    </xf>
    <xf numFmtId="4" fontId="93" fillId="0" borderId="0" xfId="2" applyNumberFormat="1" applyFont="1" applyFill="1" applyBorder="1" applyAlignment="1">
      <alignment horizontal="left"/>
    </xf>
    <xf numFmtId="0" fontId="91" fillId="0" borderId="10" xfId="2" applyFont="1" applyFill="1" applyBorder="1" applyAlignment="1" applyProtection="1">
      <alignment horizontal="left"/>
    </xf>
    <xf numFmtId="0" fontId="92" fillId="0" borderId="10" xfId="2" applyNumberFormat="1" applyFont="1" applyFill="1" applyBorder="1"/>
    <xf numFmtId="0" fontId="92" fillId="0" borderId="10" xfId="2" applyFont="1" applyFill="1" applyBorder="1" applyAlignment="1">
      <alignment horizontal="center"/>
    </xf>
    <xf numFmtId="9" fontId="92" fillId="0" borderId="10" xfId="2" applyNumberFormat="1" applyFont="1" applyFill="1" applyBorder="1" applyAlignment="1" applyProtection="1">
      <alignment horizontal="center"/>
    </xf>
    <xf numFmtId="4" fontId="92" fillId="0" borderId="10" xfId="2" applyNumberFormat="1" applyFont="1" applyFill="1" applyBorder="1" applyAlignment="1">
      <alignment horizontal="center"/>
    </xf>
    <xf numFmtId="0" fontId="92" fillId="0" borderId="10" xfId="2" applyNumberFormat="1" applyFont="1" applyFill="1" applyBorder="1" applyAlignment="1">
      <alignment horizontal="center"/>
    </xf>
    <xf numFmtId="0" fontId="92" fillId="0" borderId="10" xfId="2" applyNumberFormat="1" applyFont="1" applyFill="1" applyBorder="1" applyAlignment="1">
      <alignment horizontal="right"/>
    </xf>
    <xf numFmtId="0" fontId="92" fillId="0" borderId="10" xfId="2" applyFont="1" applyFill="1" applyBorder="1"/>
    <xf numFmtId="0" fontId="91" fillId="0" borderId="10" xfId="2" applyNumberFormat="1" applyFont="1" applyFill="1" applyBorder="1"/>
    <xf numFmtId="0" fontId="91" fillId="0" borderId="10" xfId="2" applyFont="1" applyFill="1" applyBorder="1" applyAlignment="1">
      <alignment horizontal="center"/>
    </xf>
    <xf numFmtId="9" fontId="91" fillId="0" borderId="10" xfId="2" applyNumberFormat="1" applyFont="1" applyFill="1" applyBorder="1" applyAlignment="1" applyProtection="1">
      <alignment horizontal="center"/>
    </xf>
    <xf numFmtId="0" fontId="92" fillId="20" borderId="0" xfId="2" applyFont="1" applyFill="1" applyBorder="1" applyAlignment="1" applyProtection="1">
      <alignment horizontal="left"/>
    </xf>
    <xf numFmtId="0" fontId="96" fillId="75" borderId="0" xfId="2" applyNumberFormat="1" applyFont="1" applyFill="1" applyBorder="1"/>
    <xf numFmtId="0" fontId="96" fillId="75" borderId="0" xfId="2" applyFont="1" applyFill="1" applyBorder="1" applyAlignment="1">
      <alignment horizontal="center"/>
    </xf>
    <xf numFmtId="0" fontId="39" fillId="73" borderId="0" xfId="362" applyFont="1" applyFill="1"/>
    <xf numFmtId="171" fontId="39" fillId="73" borderId="0" xfId="362" applyNumberFormat="1" applyFont="1" applyFill="1"/>
    <xf numFmtId="0" fontId="91" fillId="0" borderId="0" xfId="2" applyFont="1" applyFill="1" applyBorder="1" applyAlignment="1">
      <alignment horizontal="center" vertical="center"/>
    </xf>
    <xf numFmtId="0" fontId="93" fillId="0" borderId="0" xfId="2" applyFont="1" applyFill="1" applyBorder="1" applyProtection="1"/>
    <xf numFmtId="0" fontId="91" fillId="0" borderId="10" xfId="2" applyFont="1" applyFill="1" applyBorder="1" applyProtection="1"/>
    <xf numFmtId="171" fontId="92" fillId="0" borderId="10" xfId="1" applyNumberFormat="1" applyFont="1" applyFill="1" applyBorder="1"/>
    <xf numFmtId="0" fontId="92" fillId="0" borderId="37" xfId="2" applyFont="1" applyFill="1" applyBorder="1"/>
    <xf numFmtId="3" fontId="92" fillId="0" borderId="37" xfId="2" applyNumberFormat="1" applyFont="1" applyFill="1" applyBorder="1"/>
    <xf numFmtId="0" fontId="91" fillId="0" borderId="2" xfId="2" applyFont="1" applyFill="1" applyBorder="1"/>
    <xf numFmtId="0" fontId="91" fillId="0" borderId="2" xfId="2" applyNumberFormat="1" applyFont="1" applyFill="1" applyBorder="1"/>
    <xf numFmtId="0" fontId="91" fillId="0" borderId="2" xfId="2" applyFont="1" applyFill="1" applyBorder="1" applyAlignment="1">
      <alignment horizontal="center"/>
    </xf>
    <xf numFmtId="0" fontId="91" fillId="0" borderId="2" xfId="2" applyNumberFormat="1" applyFont="1" applyFill="1" applyBorder="1" applyAlignment="1">
      <alignment horizontal="center"/>
    </xf>
    <xf numFmtId="171" fontId="92" fillId="0" borderId="2" xfId="1" applyNumberFormat="1" applyFont="1" applyFill="1" applyBorder="1"/>
    <xf numFmtId="166" fontId="91" fillId="0" borderId="0" xfId="2" applyNumberFormat="1" applyFont="1" applyFill="1" applyBorder="1" applyAlignment="1">
      <alignment horizontal="left"/>
    </xf>
    <xf numFmtId="0" fontId="49" fillId="30" borderId="0" xfId="239" applyFont="1" applyFill="1" applyBorder="1" applyAlignment="1">
      <alignment horizontal="center" wrapText="1"/>
    </xf>
  </cellXfs>
  <cellStyles count="9019">
    <cellStyle name="20% - Accent1 2" xfId="3"/>
    <cellStyle name="20% - Accent1 2 2" xfId="125"/>
    <cellStyle name="20% - Accent1 2 2 2" xfId="281"/>
    <cellStyle name="20% - Accent1 2 2 3" xfId="280"/>
    <cellStyle name="20% - Accent1 2 3" xfId="282"/>
    <cellStyle name="20% - Accent1 2 4" xfId="283"/>
    <cellStyle name="20% - Accent1 2 5" xfId="284"/>
    <cellStyle name="20% - Accent1 3" xfId="124"/>
    <cellStyle name="20% - Accent1 3 2" xfId="286"/>
    <cellStyle name="20% - Accent1 3 2 2" xfId="287"/>
    <cellStyle name="20% - Accent1 3 3" xfId="288"/>
    <cellStyle name="20% - Accent1 3 4" xfId="285"/>
    <cellStyle name="20% - Accent1 4" xfId="289"/>
    <cellStyle name="20% - Accent1 4 2" xfId="290"/>
    <cellStyle name="20% - Accent1 4 3" xfId="291"/>
    <cellStyle name="20% - Accent1 5" xfId="292"/>
    <cellStyle name="20% - Accent1 6" xfId="293"/>
    <cellStyle name="20% - Accent2 2" xfId="127"/>
    <cellStyle name="20% - Accent2 2 2" xfId="294"/>
    <cellStyle name="20% - Accent2 2 3" xfId="295"/>
    <cellStyle name="20% - Accent2 3" xfId="126"/>
    <cellStyle name="20% - Accent2 3 2" xfId="297"/>
    <cellStyle name="20% - Accent2 3 3" xfId="298"/>
    <cellStyle name="20% - Accent2 3 4" xfId="296"/>
    <cellStyle name="20% - Accent2 4" xfId="299"/>
    <cellStyle name="20% - Accent2 4 2" xfId="300"/>
    <cellStyle name="20% - Accent2 5" xfId="301"/>
    <cellStyle name="20% - Accent2 6" xfId="302"/>
    <cellStyle name="20% - Accent3 2" xfId="129"/>
    <cellStyle name="20% - Accent3 2 2" xfId="303"/>
    <cellStyle name="20% - Accent3 3" xfId="128"/>
    <cellStyle name="20% - Accent3 3 2" xfId="305"/>
    <cellStyle name="20% - Accent3 3 3" xfId="306"/>
    <cellStyle name="20% - Accent3 3 4" xfId="304"/>
    <cellStyle name="20% - Accent3 4" xfId="307"/>
    <cellStyle name="20% - Accent3 4 2" xfId="308"/>
    <cellStyle name="20% - Accent3 5" xfId="309"/>
    <cellStyle name="20% - Accent3 6" xfId="310"/>
    <cellStyle name="20% - Accent4 2" xfId="4"/>
    <cellStyle name="20% - Accent4 2 2" xfId="131"/>
    <cellStyle name="20% - Accent4 2 2 2" xfId="312"/>
    <cellStyle name="20% - Accent4 2 2 3" xfId="311"/>
    <cellStyle name="20% - Accent4 2 3" xfId="313"/>
    <cellStyle name="20% - Accent4 3" xfId="130"/>
    <cellStyle name="20% - Accent4 3 2" xfId="315"/>
    <cellStyle name="20% - Accent4 3 2 2" xfId="316"/>
    <cellStyle name="20% - Accent4 3 3" xfId="317"/>
    <cellStyle name="20% - Accent4 3 4" xfId="314"/>
    <cellStyle name="20% - Accent4 4" xfId="318"/>
    <cellStyle name="20% - Accent4 4 2" xfId="319"/>
    <cellStyle name="20% - Accent4 4 3" xfId="320"/>
    <cellStyle name="20% - Accent4 5" xfId="321"/>
    <cellStyle name="20% - Accent4 6" xfId="322"/>
    <cellStyle name="20% - Accent5" xfId="273" builtinId="46" customBuiltin="1"/>
    <cellStyle name="20% - Accent5 2" xfId="133"/>
    <cellStyle name="20% - Accent5 2 2" xfId="323"/>
    <cellStyle name="20% - Accent5 3" xfId="132"/>
    <cellStyle name="20% - Accent5 3 2" xfId="324"/>
    <cellStyle name="20% - Accent5 3 3" xfId="325"/>
    <cellStyle name="20% - Accent5 4" xfId="326"/>
    <cellStyle name="20% - Accent5 4 2" xfId="327"/>
    <cellStyle name="20% - Accent5 5" xfId="328"/>
    <cellStyle name="20% - Accent6" xfId="277" builtinId="50" customBuiltin="1"/>
    <cellStyle name="20% - Accent6 2" xfId="135"/>
    <cellStyle name="20% - Accent6 2 2" xfId="329"/>
    <cellStyle name="20% - Accent6 2 3" xfId="330"/>
    <cellStyle name="20% - Accent6 3" xfId="134"/>
    <cellStyle name="20% - Accent6 3 2" xfId="332"/>
    <cellStyle name="20% - Accent6 3 3" xfId="333"/>
    <cellStyle name="20% - Accent6 3 4" xfId="331"/>
    <cellStyle name="20% - Accent6 4" xfId="334"/>
    <cellStyle name="20% - Accent6 4 2" xfId="335"/>
    <cellStyle name="20% - Accent6 5" xfId="336"/>
    <cellStyle name="40% - Accent1" xfId="264" builtinId="31" customBuiltin="1"/>
    <cellStyle name="40% - Accent1 2" xfId="5"/>
    <cellStyle name="40% - Accent1 2 2" xfId="137"/>
    <cellStyle name="40% - Accent1 2 2 2" xfId="337"/>
    <cellStyle name="40% - Accent1 2 3" xfId="338"/>
    <cellStyle name="40% - Accent1 3" xfId="136"/>
    <cellStyle name="40% - Accent1 3 2" xfId="340"/>
    <cellStyle name="40% - Accent1 3 2 2" xfId="341"/>
    <cellStyle name="40% - Accent1 3 3" xfId="342"/>
    <cellStyle name="40% - Accent1 3 4" xfId="339"/>
    <cellStyle name="40% - Accent1 4" xfId="343"/>
    <cellStyle name="40% - Accent1 4 2" xfId="344"/>
    <cellStyle name="40% - Accent1 5" xfId="345"/>
    <cellStyle name="40% - Accent1 6" xfId="346"/>
    <cellStyle name="40% - Accent2" xfId="267" builtinId="35" customBuiltin="1"/>
    <cellStyle name="40% - Accent2 2" xfId="139"/>
    <cellStyle name="40% - Accent2 2 2" xfId="347"/>
    <cellStyle name="40% - Accent2 3" xfId="138"/>
    <cellStyle name="40% - Accent2 3 2" xfId="348"/>
    <cellStyle name="40% - Accent2 3 3" xfId="349"/>
    <cellStyle name="40% - Accent2 4" xfId="350"/>
    <cellStyle name="40% - Accent2 4 2" xfId="351"/>
    <cellStyle name="40% - Accent2 5" xfId="352"/>
    <cellStyle name="40% - Accent3 2" xfId="141"/>
    <cellStyle name="40% - Accent3 2 2" xfId="353"/>
    <cellStyle name="40% - Accent3 2 3" xfId="354"/>
    <cellStyle name="40% - Accent3 3" xfId="140"/>
    <cellStyle name="40% - Accent3 3 2" xfId="356"/>
    <cellStyle name="40% - Accent3 3 3" xfId="357"/>
    <cellStyle name="40% - Accent3 3 4" xfId="355"/>
    <cellStyle name="40% - Accent3 4" xfId="358"/>
    <cellStyle name="40% - Accent3 4 2" xfId="359"/>
    <cellStyle name="40% - Accent3 5" xfId="360"/>
    <cellStyle name="40% - Accent3 6" xfId="361"/>
    <cellStyle name="40% - Accent4" xfId="271" builtinId="43" customBuiltin="1"/>
    <cellStyle name="40% - Accent4 2" xfId="6"/>
    <cellStyle name="40% - Accent4 2 2" xfId="143"/>
    <cellStyle name="40% - Accent4 2 2 2" xfId="363"/>
    <cellStyle name="40% - Accent4 2 3" xfId="364"/>
    <cellStyle name="40% - Accent4 3" xfId="142"/>
    <cellStyle name="40% - Accent4 3 2" xfId="366"/>
    <cellStyle name="40% - Accent4 3 2 2" xfId="367"/>
    <cellStyle name="40% - Accent4 3 3" xfId="368"/>
    <cellStyle name="40% - Accent4 3 4" xfId="365"/>
    <cellStyle name="40% - Accent4 4" xfId="369"/>
    <cellStyle name="40% - Accent4 4 2" xfId="370"/>
    <cellStyle name="40% - Accent4 5" xfId="371"/>
    <cellStyle name="40% - Accent4 6" xfId="372"/>
    <cellStyle name="40% - Accent5" xfId="274" builtinId="47" customBuiltin="1"/>
    <cellStyle name="40% - Accent5 2" xfId="7"/>
    <cellStyle name="40% - Accent5 2 2" xfId="145"/>
    <cellStyle name="40% - Accent5 2 2 2" xfId="373"/>
    <cellStyle name="40% - Accent5 2 3" xfId="374"/>
    <cellStyle name="40% - Accent5 3" xfId="144"/>
    <cellStyle name="40% - Accent5 3 2" xfId="376"/>
    <cellStyle name="40% - Accent5 3 3" xfId="377"/>
    <cellStyle name="40% - Accent5 3 4" xfId="375"/>
    <cellStyle name="40% - Accent5 4" xfId="378"/>
    <cellStyle name="40% - Accent5 4 2" xfId="379"/>
    <cellStyle name="40% - Accent5 5" xfId="380"/>
    <cellStyle name="40% - Accent6" xfId="278" builtinId="51" customBuiltin="1"/>
    <cellStyle name="40% - Accent6 2" xfId="8"/>
    <cellStyle name="40% - Accent6 2 2" xfId="147"/>
    <cellStyle name="40% - Accent6 2 2 2" xfId="382"/>
    <cellStyle name="40% - Accent6 2 2 3" xfId="381"/>
    <cellStyle name="40% - Accent6 2 3" xfId="383"/>
    <cellStyle name="40% - Accent6 3" xfId="146"/>
    <cellStyle name="40% - Accent6 3 2" xfId="385"/>
    <cellStyle name="40% - Accent6 3 2 2" xfId="386"/>
    <cellStyle name="40% - Accent6 3 3" xfId="387"/>
    <cellStyle name="40% - Accent6 3 4" xfId="384"/>
    <cellStyle name="40% - Accent6 4" xfId="388"/>
    <cellStyle name="40% - Accent6 4 2" xfId="389"/>
    <cellStyle name="40% - Accent6 5" xfId="390"/>
    <cellStyle name="40% - Accent6 6" xfId="391"/>
    <cellStyle name="60% - Accent1" xfId="265" builtinId="32" customBuiltin="1"/>
    <cellStyle name="60% - Accent1 2" xfId="9"/>
    <cellStyle name="60% - Accent1 2 2" xfId="149"/>
    <cellStyle name="60% - Accent1 2 2 2" xfId="393"/>
    <cellStyle name="60% - Accent1 2 2 3" xfId="392"/>
    <cellStyle name="60% - Accent1 2 3" xfId="394"/>
    <cellStyle name="60% - Accent1 2 4" xfId="395"/>
    <cellStyle name="60% - Accent1 3" xfId="148"/>
    <cellStyle name="60% - Accent1 3 2" xfId="397"/>
    <cellStyle name="60% - Accent1 3 3" xfId="398"/>
    <cellStyle name="60% - Accent1 3 4" xfId="396"/>
    <cellStyle name="60% - Accent1 4" xfId="399"/>
    <cellStyle name="60% - Accent1 4 2" xfId="400"/>
    <cellStyle name="60% - Accent2" xfId="268" builtinId="36" customBuiltin="1"/>
    <cellStyle name="60% - Accent2 2" xfId="10"/>
    <cellStyle name="60% - Accent2 2 2" xfId="151"/>
    <cellStyle name="60% - Accent2 2 2 2" xfId="401"/>
    <cellStyle name="60% - Accent2 2 3" xfId="402"/>
    <cellStyle name="60% - Accent2 3" xfId="150"/>
    <cellStyle name="60% - Accent2 3 2" xfId="404"/>
    <cellStyle name="60% - Accent2 3 3" xfId="403"/>
    <cellStyle name="60% - Accent2 4" xfId="405"/>
    <cellStyle name="60% - Accent3 2" xfId="11"/>
    <cellStyle name="60% - Accent3 2 2" xfId="153"/>
    <cellStyle name="60% - Accent3 2 2 2" xfId="406"/>
    <cellStyle name="60% - Accent3 2 3" xfId="407"/>
    <cellStyle name="60% - Accent3 3" xfId="152"/>
    <cellStyle name="60% - Accent3 3 2" xfId="409"/>
    <cellStyle name="60% - Accent3 3 3" xfId="410"/>
    <cellStyle name="60% - Accent3 3 4" xfId="408"/>
    <cellStyle name="60% - Accent3 4" xfId="411"/>
    <cellStyle name="60% - Accent3 4 2" xfId="412"/>
    <cellStyle name="60% - Accent3 4 3" xfId="413"/>
    <cellStyle name="60% - Accent4 2" xfId="12"/>
    <cellStyle name="60% - Accent4 2 2" xfId="155"/>
    <cellStyle name="60% - Accent4 2 2 2" xfId="414"/>
    <cellStyle name="60% - Accent4 2 3" xfId="415"/>
    <cellStyle name="60% - Accent4 3" xfId="154"/>
    <cellStyle name="60% - Accent4 3 2" xfId="417"/>
    <cellStyle name="60% - Accent4 3 3" xfId="418"/>
    <cellStyle name="60% - Accent4 3 4" xfId="416"/>
    <cellStyle name="60% - Accent4 4" xfId="419"/>
    <cellStyle name="60% - Accent4 4 2" xfId="420"/>
    <cellStyle name="60% - Accent4 4 3" xfId="421"/>
    <cellStyle name="60% - Accent5" xfId="275" builtinId="48" customBuiltin="1"/>
    <cellStyle name="60% - Accent5 2" xfId="13"/>
    <cellStyle name="60% - Accent5 2 2" xfId="157"/>
    <cellStyle name="60% - Accent5 2 2 2" xfId="423"/>
    <cellStyle name="60% - Accent5 2 2 3" xfId="422"/>
    <cellStyle name="60% - Accent5 2 3" xfId="424"/>
    <cellStyle name="60% - Accent5 2 4" xfId="425"/>
    <cellStyle name="60% - Accent5 3" xfId="156"/>
    <cellStyle name="60% - Accent5 3 2" xfId="427"/>
    <cellStyle name="60% - Accent5 3 3" xfId="426"/>
    <cellStyle name="60% - Accent5 4" xfId="428"/>
    <cellStyle name="60% - Accent6 2" xfId="159"/>
    <cellStyle name="60% - Accent6 2 2" xfId="429"/>
    <cellStyle name="60% - Accent6 2 3" xfId="430"/>
    <cellStyle name="60% - Accent6 3" xfId="158"/>
    <cellStyle name="60% - Accent6 3 2" xfId="432"/>
    <cellStyle name="60% - Accent6 3 3" xfId="431"/>
    <cellStyle name="60% - Accent6 4" xfId="433"/>
    <cellStyle name="Accent1" xfId="263" builtinId="29" customBuiltin="1"/>
    <cellStyle name="Accent1 2" xfId="14"/>
    <cellStyle name="Accent1 2 2" xfId="161"/>
    <cellStyle name="Accent1 2 2 2" xfId="435"/>
    <cellStyle name="Accent1 2 2 3" xfId="434"/>
    <cellStyle name="Accent1 2 3" xfId="436"/>
    <cellStyle name="Accent1 2 4" xfId="437"/>
    <cellStyle name="Accent1 3" xfId="160"/>
    <cellStyle name="Accent1 3 2" xfId="439"/>
    <cellStyle name="Accent1 3 3" xfId="440"/>
    <cellStyle name="Accent1 3 4" xfId="438"/>
    <cellStyle name="Accent1 4" xfId="441"/>
    <cellStyle name="Accent1 4 2" xfId="442"/>
    <cellStyle name="Accent2" xfId="266" builtinId="33" customBuiltin="1"/>
    <cellStyle name="Accent2 2" xfId="15"/>
    <cellStyle name="Accent2 2 2" xfId="163"/>
    <cellStyle name="Accent2 2 2 2" xfId="443"/>
    <cellStyle name="Accent2 2 3" xfId="444"/>
    <cellStyle name="Accent2 3" xfId="162"/>
    <cellStyle name="Accent2 3 2" xfId="446"/>
    <cellStyle name="Accent2 3 3" xfId="445"/>
    <cellStyle name="Accent2 4" xfId="447"/>
    <cellStyle name="Accent3" xfId="269" builtinId="37" customBuiltin="1"/>
    <cellStyle name="Accent3 2" xfId="16"/>
    <cellStyle name="Accent3 2 2" xfId="165"/>
    <cellStyle name="Accent3 2 2 2" xfId="448"/>
    <cellStyle name="Accent3 2 3" xfId="449"/>
    <cellStyle name="Accent3 2 4" xfId="450"/>
    <cellStyle name="Accent3 3" xfId="164"/>
    <cellStyle name="Accent3 3 2" xfId="452"/>
    <cellStyle name="Accent3 3 3" xfId="451"/>
    <cellStyle name="Accent3 4" xfId="453"/>
    <cellStyle name="Accent4" xfId="270" builtinId="41" customBuiltin="1"/>
    <cellStyle name="Accent4 2" xfId="167"/>
    <cellStyle name="Accent4 2 2" xfId="455"/>
    <cellStyle name="Accent4 2 2 2" xfId="456"/>
    <cellStyle name="Accent4 2 3" xfId="457"/>
    <cellStyle name="Accent4 2 4" xfId="454"/>
    <cellStyle name="Accent4 3" xfId="166"/>
    <cellStyle name="Accent4 3 2" xfId="459"/>
    <cellStyle name="Accent4 3 3" xfId="458"/>
    <cellStyle name="Accent4 4" xfId="460"/>
    <cellStyle name="Accent5" xfId="272" builtinId="45" customBuiltin="1"/>
    <cellStyle name="Accent5 2" xfId="169"/>
    <cellStyle name="Accent5 2 2" xfId="462"/>
    <cellStyle name="Accent5 2 2 2" xfId="463"/>
    <cellStyle name="Accent5 2 3" xfId="464"/>
    <cellStyle name="Accent5 2 3 2" xfId="465"/>
    <cellStyle name="Accent5 2 4" xfId="466"/>
    <cellStyle name="Accent5 2 5" xfId="461"/>
    <cellStyle name="Accent5 3" xfId="168"/>
    <cellStyle name="Accent5 4" xfId="467"/>
    <cellStyle name="Accent6" xfId="276" builtinId="49" customBuiltin="1"/>
    <cellStyle name="Accent6 2" xfId="17"/>
    <cellStyle name="Accent6 2 2" xfId="171"/>
    <cellStyle name="Accent6 2 2 2" xfId="468"/>
    <cellStyle name="Accent6 2 3" xfId="469"/>
    <cellStyle name="Accent6 2 4" xfId="470"/>
    <cellStyle name="Accent6 3" xfId="170"/>
    <cellStyle name="Accent6 3 2" xfId="472"/>
    <cellStyle name="Accent6 3 3" xfId="471"/>
    <cellStyle name="Accent6 4" xfId="473"/>
    <cellStyle name="Accounting" xfId="18"/>
    <cellStyle name="Accounting 2" xfId="474"/>
    <cellStyle name="Accounting 2 2" xfId="475"/>
    <cellStyle name="Accounting 3" xfId="476"/>
    <cellStyle name="Accounting 3 2" xfId="477"/>
    <cellStyle name="Accounting 4" xfId="478"/>
    <cellStyle name="Accounting_2011-11" xfId="479"/>
    <cellStyle name="APS" xfId="480"/>
    <cellStyle name="APSLabels" xfId="481"/>
    <cellStyle name="APSLabels 2" xfId="482"/>
    <cellStyle name="APSLabels 2 2" xfId="483"/>
    <cellStyle name="APSLabels 3" xfId="484"/>
    <cellStyle name="APSLabels 4" xfId="485"/>
    <cellStyle name="Bad" xfId="256" builtinId="27" customBuiltin="1"/>
    <cellStyle name="Bad 2" xfId="19"/>
    <cellStyle name="Bad 2 2" xfId="173"/>
    <cellStyle name="Bad 2 2 2" xfId="486"/>
    <cellStyle name="Bad 2 3" xfId="487"/>
    <cellStyle name="Bad 3" xfId="172"/>
    <cellStyle name="Bad 3 2" xfId="489"/>
    <cellStyle name="Bad 3 3" xfId="488"/>
    <cellStyle name="Bad 4" xfId="490"/>
    <cellStyle name="Budget" xfId="20"/>
    <cellStyle name="Budget 2" xfId="491"/>
    <cellStyle name="Budget 3" xfId="492"/>
    <cellStyle name="Budget_2011-11" xfId="493"/>
    <cellStyle name="Calculation" xfId="259" builtinId="22" customBuiltin="1"/>
    <cellStyle name="Calculation 2" xfId="21"/>
    <cellStyle name="Calculation 2 2" xfId="175"/>
    <cellStyle name="Calculation 2 2 2" xfId="495"/>
    <cellStyle name="Calculation 2 2 2 2" xfId="496"/>
    <cellStyle name="Calculation 2 2 2 3" xfId="497"/>
    <cellStyle name="Calculation 2 2 2 4" xfId="498"/>
    <cellStyle name="Calculation 2 2 2 5" xfId="499"/>
    <cellStyle name="Calculation 2 2 3" xfId="500"/>
    <cellStyle name="Calculation 2 2 3 2" xfId="501"/>
    <cellStyle name="Calculation 2 2 3 3" xfId="502"/>
    <cellStyle name="Calculation 2 2 3 4" xfId="503"/>
    <cellStyle name="Calculation 2 2 3 5" xfId="504"/>
    <cellStyle name="Calculation 2 2 4" xfId="494"/>
    <cellStyle name="Calculation 2 3" xfId="505"/>
    <cellStyle name="Calculation 2 3 2" xfId="506"/>
    <cellStyle name="Calculation 2 3 2 2" xfId="507"/>
    <cellStyle name="Calculation 2 3 2 3" xfId="508"/>
    <cellStyle name="Calculation 2 3 2 4" xfId="509"/>
    <cellStyle name="Calculation 2 3 2 5" xfId="510"/>
    <cellStyle name="Calculation 2 3 3" xfId="511"/>
    <cellStyle name="Calculation 2 4" xfId="512"/>
    <cellStyle name="Calculation 2 4 2" xfId="513"/>
    <cellStyle name="Calculation 2 4 2 2" xfId="514"/>
    <cellStyle name="Calculation 2 4 2 3" xfId="515"/>
    <cellStyle name="Calculation 2 4 2 4" xfId="516"/>
    <cellStyle name="Calculation 2 4 2 5" xfId="517"/>
    <cellStyle name="Calculation 2 4 3" xfId="518"/>
    <cellStyle name="Calculation 2 5" xfId="519"/>
    <cellStyle name="Calculation 2 5 2" xfId="520"/>
    <cellStyle name="Calculation 2 5 3" xfId="521"/>
    <cellStyle name="Calculation 2 5 4" xfId="522"/>
    <cellStyle name="Calculation 2 5 5" xfId="523"/>
    <cellStyle name="Calculation 2 6" xfId="524"/>
    <cellStyle name="Calculation 3" xfId="174"/>
    <cellStyle name="Calculation 3 2" xfId="526"/>
    <cellStyle name="Calculation 3 2 2" xfId="527"/>
    <cellStyle name="Calculation 3 2 2 2" xfId="528"/>
    <cellStyle name="Calculation 3 2 2 3" xfId="529"/>
    <cellStyle name="Calculation 3 2 2 4" xfId="530"/>
    <cellStyle name="Calculation 3 2 2 5" xfId="531"/>
    <cellStyle name="Calculation 3 2 3" xfId="532"/>
    <cellStyle name="Calculation 3 2 3 2" xfId="533"/>
    <cellStyle name="Calculation 3 2 3 3" xfId="534"/>
    <cellStyle name="Calculation 3 2 3 4" xfId="535"/>
    <cellStyle name="Calculation 3 2 3 5" xfId="536"/>
    <cellStyle name="Calculation 3 3" xfId="537"/>
    <cellStyle name="Calculation 3 3 2" xfId="538"/>
    <cellStyle name="Calculation 3 3 2 2" xfId="539"/>
    <cellStyle name="Calculation 3 3 2 3" xfId="540"/>
    <cellStyle name="Calculation 3 3 2 4" xfId="541"/>
    <cellStyle name="Calculation 3 3 2 5" xfId="542"/>
    <cellStyle name="Calculation 3 3 3" xfId="543"/>
    <cellStyle name="Calculation 3 4" xfId="544"/>
    <cellStyle name="Calculation 3 4 2" xfId="545"/>
    <cellStyle name="Calculation 3 4 3" xfId="546"/>
    <cellStyle name="Calculation 3 4 4" xfId="547"/>
    <cellStyle name="Calculation 3 4 5" xfId="548"/>
    <cellStyle name="Calculation 3 5" xfId="549"/>
    <cellStyle name="Calculation 3 5 2" xfId="550"/>
    <cellStyle name="Calculation 3 5 3" xfId="551"/>
    <cellStyle name="Calculation 3 5 4" xfId="552"/>
    <cellStyle name="Calculation 3 5 5" xfId="553"/>
    <cellStyle name="Calculation 3 6" xfId="525"/>
    <cellStyle name="Calculation 4" xfId="554"/>
    <cellStyle name="Calculation 4 2" xfId="555"/>
    <cellStyle name="Calculation 4 3" xfId="556"/>
    <cellStyle name="Calculation 4 3 2" xfId="557"/>
    <cellStyle name="Calculation 4 3 3" xfId="558"/>
    <cellStyle name="Calculation 4 3 4" xfId="559"/>
    <cellStyle name="Calculation 4 3 5" xfId="560"/>
    <cellStyle name="Calculation 4 4" xfId="561"/>
    <cellStyle name="Check Cell" xfId="261" builtinId="23" customBuiltin="1"/>
    <cellStyle name="Check Cell 2" xfId="177"/>
    <cellStyle name="Check Cell 2 2" xfId="563"/>
    <cellStyle name="Check Cell 2 2 2" xfId="564"/>
    <cellStyle name="Check Cell 2 3" xfId="565"/>
    <cellStyle name="Check Cell 2 4" xfId="566"/>
    <cellStyle name="Check Cell 2 5" xfId="562"/>
    <cellStyle name="Check Cell 3" xfId="176"/>
    <cellStyle name="Check Cell 4" xfId="567"/>
    <cellStyle name="Color" xfId="568"/>
    <cellStyle name="combo" xfId="569"/>
    <cellStyle name="Comma" xfId="1" builtinId="3"/>
    <cellStyle name="Comma 10" xfId="22"/>
    <cellStyle name="Comma 10 2" xfId="178"/>
    <cellStyle name="Comma 11" xfId="23"/>
    <cellStyle name="Comma 11 2" xfId="179"/>
    <cellStyle name="Comma 11 2 2" xfId="570"/>
    <cellStyle name="Comma 11 2 2 2" xfId="571"/>
    <cellStyle name="Comma 11 2 2 2 2" xfId="572"/>
    <cellStyle name="Comma 11 2 2 2 2 2" xfId="573"/>
    <cellStyle name="Comma 11 2 2 2 2 2 2" xfId="574"/>
    <cellStyle name="Comma 11 2 2 2 2 3" xfId="575"/>
    <cellStyle name="Comma 11 2 2 2 2 3 2" xfId="576"/>
    <cellStyle name="Comma 11 2 2 2 2 4" xfId="577"/>
    <cellStyle name="Comma 11 2 2 2 3" xfId="578"/>
    <cellStyle name="Comma 11 2 2 2 3 2" xfId="579"/>
    <cellStyle name="Comma 11 2 2 2 4" xfId="580"/>
    <cellStyle name="Comma 11 2 2 2 4 2" xfId="581"/>
    <cellStyle name="Comma 11 2 2 2 5" xfId="582"/>
    <cellStyle name="Comma 11 2 2 3" xfId="583"/>
    <cellStyle name="Comma 11 2 2 3 2" xfId="584"/>
    <cellStyle name="Comma 11 2 2 3 2 2" xfId="585"/>
    <cellStyle name="Comma 11 2 2 3 3" xfId="586"/>
    <cellStyle name="Comma 11 2 2 3 3 2" xfId="587"/>
    <cellStyle name="Comma 11 2 2 3 4" xfId="588"/>
    <cellStyle name="Comma 11 2 2 4" xfId="589"/>
    <cellStyle name="Comma 11 2 2 4 2" xfId="590"/>
    <cellStyle name="Comma 11 2 2 5" xfId="591"/>
    <cellStyle name="Comma 11 2 2 5 2" xfId="592"/>
    <cellStyle name="Comma 11 2 2 6" xfId="593"/>
    <cellStyle name="Comma 11 2 3" xfId="594"/>
    <cellStyle name="Comma 11 2 3 2" xfId="595"/>
    <cellStyle name="Comma 11 2 3 2 2" xfId="596"/>
    <cellStyle name="Comma 11 2 3 2 2 2" xfId="597"/>
    <cellStyle name="Comma 11 2 3 2 3" xfId="598"/>
    <cellStyle name="Comma 11 2 3 2 3 2" xfId="599"/>
    <cellStyle name="Comma 11 2 3 2 4" xfId="600"/>
    <cellStyle name="Comma 11 2 3 3" xfId="601"/>
    <cellStyle name="Comma 11 2 3 3 2" xfId="602"/>
    <cellStyle name="Comma 11 2 3 4" xfId="603"/>
    <cellStyle name="Comma 11 2 3 4 2" xfId="604"/>
    <cellStyle name="Comma 11 2 3 5" xfId="605"/>
    <cellStyle name="Comma 11 2 4" xfId="606"/>
    <cellStyle name="Comma 11 2 4 2" xfId="607"/>
    <cellStyle name="Comma 11 2 4 2 2" xfId="608"/>
    <cellStyle name="Comma 11 2 4 3" xfId="609"/>
    <cellStyle name="Comma 11 2 4 3 2" xfId="610"/>
    <cellStyle name="Comma 11 2 4 4" xfId="611"/>
    <cellStyle name="Comma 11 2 5" xfId="612"/>
    <cellStyle name="Comma 11 2 5 2" xfId="613"/>
    <cellStyle name="Comma 11 2 6" xfId="614"/>
    <cellStyle name="Comma 11 2 6 2" xfId="615"/>
    <cellStyle name="Comma 11 2 7" xfId="616"/>
    <cellStyle name="Comma 11 3" xfId="617"/>
    <cellStyle name="Comma 11 3 2" xfId="618"/>
    <cellStyle name="Comma 11 3 2 2" xfId="619"/>
    <cellStyle name="Comma 11 3 2 2 2" xfId="620"/>
    <cellStyle name="Comma 11 3 2 2 2 2" xfId="621"/>
    <cellStyle name="Comma 11 3 2 2 3" xfId="622"/>
    <cellStyle name="Comma 11 3 2 2 3 2" xfId="623"/>
    <cellStyle name="Comma 11 3 2 2 4" xfId="624"/>
    <cellStyle name="Comma 11 3 2 3" xfId="625"/>
    <cellStyle name="Comma 11 3 2 3 2" xfId="626"/>
    <cellStyle name="Comma 11 3 2 4" xfId="627"/>
    <cellStyle name="Comma 11 3 2 4 2" xfId="628"/>
    <cellStyle name="Comma 11 3 2 5" xfId="629"/>
    <cellStyle name="Comma 11 3 3" xfId="630"/>
    <cellStyle name="Comma 11 3 3 2" xfId="631"/>
    <cellStyle name="Comma 11 3 3 2 2" xfId="632"/>
    <cellStyle name="Comma 11 3 3 3" xfId="633"/>
    <cellStyle name="Comma 11 3 3 3 2" xfId="634"/>
    <cellStyle name="Comma 11 3 3 4" xfId="635"/>
    <cellStyle name="Comma 11 3 4" xfId="636"/>
    <cellStyle name="Comma 11 3 4 2" xfId="637"/>
    <cellStyle name="Comma 11 3 5" xfId="638"/>
    <cellStyle name="Comma 11 3 5 2" xfId="639"/>
    <cellStyle name="Comma 11 3 6" xfId="640"/>
    <cellStyle name="Comma 11 4" xfId="641"/>
    <cellStyle name="Comma 11 4 2" xfId="642"/>
    <cellStyle name="Comma 11 4 2 2" xfId="643"/>
    <cellStyle name="Comma 11 4 2 2 2" xfId="644"/>
    <cellStyle name="Comma 11 4 2 3" xfId="645"/>
    <cellStyle name="Comma 11 4 2 3 2" xfId="646"/>
    <cellStyle name="Comma 11 4 2 4" xfId="647"/>
    <cellStyle name="Comma 11 4 3" xfId="648"/>
    <cellStyle name="Comma 11 4 3 2" xfId="649"/>
    <cellStyle name="Comma 11 4 4" xfId="650"/>
    <cellStyle name="Comma 11 4 4 2" xfId="651"/>
    <cellStyle name="Comma 11 4 5" xfId="652"/>
    <cellStyle name="Comma 11 5" xfId="653"/>
    <cellStyle name="Comma 11 5 2" xfId="654"/>
    <cellStyle name="Comma 11 5 2 2" xfId="655"/>
    <cellStyle name="Comma 11 5 3" xfId="656"/>
    <cellStyle name="Comma 11 5 3 2" xfId="657"/>
    <cellStyle name="Comma 11 5 4" xfId="658"/>
    <cellStyle name="Comma 11 6" xfId="659"/>
    <cellStyle name="Comma 11 6 2" xfId="660"/>
    <cellStyle name="Comma 11 7" xfId="661"/>
    <cellStyle name="Comma 11 7 2" xfId="662"/>
    <cellStyle name="Comma 11 8" xfId="663"/>
    <cellStyle name="Comma 12" xfId="24"/>
    <cellStyle name="Comma 12 2" xfId="180"/>
    <cellStyle name="Comma 12 2 2" xfId="665"/>
    <cellStyle name="Comma 12 2 2 2" xfId="666"/>
    <cellStyle name="Comma 12 2 2 2 2" xfId="667"/>
    <cellStyle name="Comma 12 2 2 2 2 2" xfId="668"/>
    <cellStyle name="Comma 12 2 2 2 3" xfId="669"/>
    <cellStyle name="Comma 12 2 2 2 3 2" xfId="670"/>
    <cellStyle name="Comma 12 2 2 2 4" xfId="671"/>
    <cellStyle name="Comma 12 2 2 3" xfId="672"/>
    <cellStyle name="Comma 12 2 2 3 2" xfId="673"/>
    <cellStyle name="Comma 12 2 2 4" xfId="674"/>
    <cellStyle name="Comma 12 2 2 4 2" xfId="675"/>
    <cellStyle name="Comma 12 2 2 5" xfId="676"/>
    <cellStyle name="Comma 12 2 3" xfId="677"/>
    <cellStyle name="Comma 12 2 3 2" xfId="678"/>
    <cellStyle name="Comma 12 2 3 2 2" xfId="679"/>
    <cellStyle name="Comma 12 2 3 3" xfId="680"/>
    <cellStyle name="Comma 12 2 3 3 2" xfId="681"/>
    <cellStyle name="Comma 12 2 3 4" xfId="682"/>
    <cellStyle name="Comma 12 2 4" xfId="683"/>
    <cellStyle name="Comma 12 2 4 2" xfId="684"/>
    <cellStyle name="Comma 12 2 5" xfId="685"/>
    <cellStyle name="Comma 12 2 5 2" xfId="686"/>
    <cellStyle name="Comma 12 2 6" xfId="687"/>
    <cellStyle name="Comma 12 2 7" xfId="664"/>
    <cellStyle name="Comma 12 3" xfId="688"/>
    <cellStyle name="Comma 12 4" xfId="689"/>
    <cellStyle name="Comma 12 5" xfId="690"/>
    <cellStyle name="Comma 12 6" xfId="691"/>
    <cellStyle name="Comma 13" xfId="25"/>
    <cellStyle name="Comma 13 2" xfId="692"/>
    <cellStyle name="Comma 13 2 2" xfId="693"/>
    <cellStyle name="Comma 13 2 2 2" xfId="694"/>
    <cellStyle name="Comma 13 2 2 2 2" xfId="695"/>
    <cellStyle name="Comma 13 2 2 2 2 2" xfId="696"/>
    <cellStyle name="Comma 13 2 2 2 3" xfId="697"/>
    <cellStyle name="Comma 13 2 2 2 3 2" xfId="698"/>
    <cellStyle name="Comma 13 2 2 2 4" xfId="699"/>
    <cellStyle name="Comma 13 2 2 3" xfId="700"/>
    <cellStyle name="Comma 13 2 2 3 2" xfId="701"/>
    <cellStyle name="Comma 13 2 2 4" xfId="702"/>
    <cellStyle name="Comma 13 2 2 4 2" xfId="703"/>
    <cellStyle name="Comma 13 2 2 5" xfId="704"/>
    <cellStyle name="Comma 13 2 3" xfId="705"/>
    <cellStyle name="Comma 13 2 3 2" xfId="706"/>
    <cellStyle name="Comma 13 2 3 2 2" xfId="707"/>
    <cellStyle name="Comma 13 2 3 3" xfId="708"/>
    <cellStyle name="Comma 13 2 3 3 2" xfId="709"/>
    <cellStyle name="Comma 13 2 3 4" xfId="710"/>
    <cellStyle name="Comma 13 2 4" xfId="711"/>
    <cellStyle name="Comma 13 2 4 2" xfId="712"/>
    <cellStyle name="Comma 13 2 5" xfId="713"/>
    <cellStyle name="Comma 13 2 5 2" xfId="714"/>
    <cellStyle name="Comma 13 2 6" xfId="715"/>
    <cellStyle name="Comma 13 3" xfId="716"/>
    <cellStyle name="Comma 13 3 2" xfId="717"/>
    <cellStyle name="Comma 13 3 2 2" xfId="718"/>
    <cellStyle name="Comma 13 3 2 2 2" xfId="719"/>
    <cellStyle name="Comma 13 3 2 3" xfId="720"/>
    <cellStyle name="Comma 13 3 2 3 2" xfId="721"/>
    <cellStyle name="Comma 13 3 2 4" xfId="722"/>
    <cellStyle name="Comma 13 3 3" xfId="723"/>
    <cellStyle name="Comma 13 3 3 2" xfId="724"/>
    <cellStyle name="Comma 13 3 4" xfId="725"/>
    <cellStyle name="Comma 13 3 4 2" xfId="726"/>
    <cellStyle name="Comma 13 3 5" xfId="727"/>
    <cellStyle name="Comma 13 4" xfId="728"/>
    <cellStyle name="Comma 13 4 2" xfId="729"/>
    <cellStyle name="Comma 13 4 2 2" xfId="730"/>
    <cellStyle name="Comma 13 4 3" xfId="731"/>
    <cellStyle name="Comma 13 4 3 2" xfId="732"/>
    <cellStyle name="Comma 13 4 4" xfId="733"/>
    <cellStyle name="Comma 13 5" xfId="734"/>
    <cellStyle name="Comma 13 5 2" xfId="735"/>
    <cellStyle name="Comma 13 6" xfId="736"/>
    <cellStyle name="Comma 13 6 2" xfId="737"/>
    <cellStyle name="Comma 13 7" xfId="738"/>
    <cellStyle name="Comma 14" xfId="26"/>
    <cellStyle name="Comma 14 2" xfId="739"/>
    <cellStyle name="Comma 15" xfId="27"/>
    <cellStyle name="Comma 15 2" xfId="740"/>
    <cellStyle name="Comma 15 2 2" xfId="741"/>
    <cellStyle name="Comma 15 3" xfId="742"/>
    <cellStyle name="Comma 15 4" xfId="743"/>
    <cellStyle name="Comma 16" xfId="28"/>
    <cellStyle name="Comma 16 2" xfId="744"/>
    <cellStyle name="Comma 16 2 2" xfId="745"/>
    <cellStyle name="Comma 16 2 2 2" xfId="746"/>
    <cellStyle name="Comma 16 2 3" xfId="747"/>
    <cellStyle name="Comma 16 2 3 2" xfId="748"/>
    <cellStyle name="Comma 16 2 4" xfId="749"/>
    <cellStyle name="Comma 16 3" xfId="750"/>
    <cellStyle name="Comma 16 3 2" xfId="751"/>
    <cellStyle name="Comma 16 4" xfId="752"/>
    <cellStyle name="Comma 16 4 2" xfId="753"/>
    <cellStyle name="Comma 16 5" xfId="754"/>
    <cellStyle name="Comma 17" xfId="29"/>
    <cellStyle name="Comma 17 2" xfId="755"/>
    <cellStyle name="Comma 17 2 2" xfId="756"/>
    <cellStyle name="Comma 17 3" xfId="757"/>
    <cellStyle name="Comma 17 4" xfId="758"/>
    <cellStyle name="Comma 17 5" xfId="759"/>
    <cellStyle name="Comma 18" xfId="122"/>
    <cellStyle name="Comma 18 2" xfId="761"/>
    <cellStyle name="Comma 18 2 2" xfId="762"/>
    <cellStyle name="Comma 18 3" xfId="763"/>
    <cellStyle name="Comma 18 4" xfId="764"/>
    <cellStyle name="Comma 18 5" xfId="765"/>
    <cellStyle name="Comma 18 6" xfId="760"/>
    <cellStyle name="Comma 19" xfId="766"/>
    <cellStyle name="Comma 19 2" xfId="767"/>
    <cellStyle name="Comma 19 3" xfId="768"/>
    <cellStyle name="Comma 19 4" xfId="769"/>
    <cellStyle name="Comma 19 5" xfId="770"/>
    <cellStyle name="Comma 2" xfId="30"/>
    <cellStyle name="Comma 2 2" xfId="31"/>
    <cellStyle name="Comma 2 2 2" xfId="772"/>
    <cellStyle name="Comma 2 2 2 2" xfId="773"/>
    <cellStyle name="Comma 2 2 2 2 2" xfId="774"/>
    <cellStyle name="Comma 2 2 2 2 3" xfId="775"/>
    <cellStyle name="Comma 2 2 3" xfId="776"/>
    <cellStyle name="Comma 2 2 3 2" xfId="777"/>
    <cellStyle name="Comma 2 2 3 3" xfId="778"/>
    <cellStyle name="Comma 2 2 4" xfId="771"/>
    <cellStyle name="Comma 2 3" xfId="32"/>
    <cellStyle name="Comma 2 3 2" xfId="779"/>
    <cellStyle name="Comma 2 4" xfId="181"/>
    <cellStyle name="Comma 2 4 2" xfId="182"/>
    <cellStyle name="Comma 2 4 2 2" xfId="782"/>
    <cellStyle name="Comma 2 4 2 3" xfId="781"/>
    <cellStyle name="Comma 2 4 3" xfId="783"/>
    <cellStyle name="Comma 2 4 4" xfId="784"/>
    <cellStyle name="Comma 2 4 5" xfId="785"/>
    <cellStyle name="Comma 2 4 6" xfId="780"/>
    <cellStyle name="Comma 2 5" xfId="183"/>
    <cellStyle name="Comma 2 5 2" xfId="786"/>
    <cellStyle name="Comma 2 5 3" xfId="787"/>
    <cellStyle name="Comma 2 6" xfId="184"/>
    <cellStyle name="Comma 2 6 2" xfId="789"/>
    <cellStyle name="Comma 2 6 2 2" xfId="790"/>
    <cellStyle name="Comma 2 6 3" xfId="791"/>
    <cellStyle name="Comma 2 6 3 2" xfId="792"/>
    <cellStyle name="Comma 2 6 4" xfId="793"/>
    <cellStyle name="Comma 2 6 5" xfId="788"/>
    <cellStyle name="Comma 2 7" xfId="794"/>
    <cellStyle name="Comma 2 7 2" xfId="795"/>
    <cellStyle name="Comma 2 7 3" xfId="796"/>
    <cellStyle name="Comma 2 7 4" xfId="797"/>
    <cellStyle name="Comma 2 8" xfId="798"/>
    <cellStyle name="Comma 2 9" xfId="799"/>
    <cellStyle name="Comma 20" xfId="800"/>
    <cellStyle name="Comma 20 2" xfId="801"/>
    <cellStyle name="Comma 20 3" xfId="802"/>
    <cellStyle name="Comma 21" xfId="803"/>
    <cellStyle name="Comma 21 2" xfId="804"/>
    <cellStyle name="Comma 21 3" xfId="805"/>
    <cellStyle name="Comma 22" xfId="806"/>
    <cellStyle name="Comma 22 2" xfId="807"/>
    <cellStyle name="Comma 23" xfId="808"/>
    <cellStyle name="Comma 24" xfId="809"/>
    <cellStyle name="Comma 25" xfId="810"/>
    <cellStyle name="Comma 25 2" xfId="811"/>
    <cellStyle name="Comma 25 2 2" xfId="812"/>
    <cellStyle name="Comma 26" xfId="813"/>
    <cellStyle name="Comma 27" xfId="814"/>
    <cellStyle name="Comma 28" xfId="815"/>
    <cellStyle name="Comma 29" xfId="816"/>
    <cellStyle name="Comma 29 2" xfId="817"/>
    <cellStyle name="Comma 3" xfId="33"/>
    <cellStyle name="Comma 3 2" xfId="34"/>
    <cellStyle name="Comma 3 2 2" xfId="35"/>
    <cellStyle name="Comma 3 3" xfId="36"/>
    <cellStyle name="Comma 3 4" xfId="818"/>
    <cellStyle name="Comma 30" xfId="819"/>
    <cellStyle name="Comma 31" xfId="9015"/>
    <cellStyle name="Comma 4" xfId="37"/>
    <cellStyle name="Comma 4 10" xfId="820"/>
    <cellStyle name="Comma 4 11" xfId="821"/>
    <cellStyle name="Comma 4 12" xfId="822"/>
    <cellStyle name="Comma 4 2" xfId="38"/>
    <cellStyle name="Comma 4 2 2" xfId="185"/>
    <cellStyle name="Comma 4 2 2 10" xfId="823"/>
    <cellStyle name="Comma 4 2 2 2" xfId="824"/>
    <cellStyle name="Comma 4 2 2 2 2" xfId="825"/>
    <cellStyle name="Comma 4 2 2 2 2 2" xfId="826"/>
    <cellStyle name="Comma 4 2 2 2 2 2 2" xfId="827"/>
    <cellStyle name="Comma 4 2 2 2 2 2 2 2" xfId="828"/>
    <cellStyle name="Comma 4 2 2 2 2 2 3" xfId="829"/>
    <cellStyle name="Comma 4 2 2 2 2 2 3 2" xfId="830"/>
    <cellStyle name="Comma 4 2 2 2 2 2 4" xfId="831"/>
    <cellStyle name="Comma 4 2 2 2 2 3" xfId="832"/>
    <cellStyle name="Comma 4 2 2 2 2 3 2" xfId="833"/>
    <cellStyle name="Comma 4 2 2 2 2 4" xfId="834"/>
    <cellStyle name="Comma 4 2 2 2 2 4 2" xfId="835"/>
    <cellStyle name="Comma 4 2 2 2 2 5" xfId="836"/>
    <cellStyle name="Comma 4 2 2 2 3" xfId="837"/>
    <cellStyle name="Comma 4 2 2 2 3 2" xfId="838"/>
    <cellStyle name="Comma 4 2 2 2 3 2 2" xfId="839"/>
    <cellStyle name="Comma 4 2 2 2 3 3" xfId="840"/>
    <cellStyle name="Comma 4 2 2 2 3 3 2" xfId="841"/>
    <cellStyle name="Comma 4 2 2 2 3 4" xfId="842"/>
    <cellStyle name="Comma 4 2 2 2 4" xfId="843"/>
    <cellStyle name="Comma 4 2 2 2 4 2" xfId="844"/>
    <cellStyle name="Comma 4 2 2 2 5" xfId="845"/>
    <cellStyle name="Comma 4 2 2 2 5 2" xfId="846"/>
    <cellStyle name="Comma 4 2 2 2 6" xfId="847"/>
    <cellStyle name="Comma 4 2 2 3" xfId="848"/>
    <cellStyle name="Comma 4 2 2 3 2" xfId="849"/>
    <cellStyle name="Comma 4 2 2 3 2 2" xfId="850"/>
    <cellStyle name="Comma 4 2 2 3 2 2 2" xfId="851"/>
    <cellStyle name="Comma 4 2 2 3 2 2 2 2" xfId="852"/>
    <cellStyle name="Comma 4 2 2 3 2 2 3" xfId="853"/>
    <cellStyle name="Comma 4 2 2 3 2 2 3 2" xfId="854"/>
    <cellStyle name="Comma 4 2 2 3 2 2 4" xfId="855"/>
    <cellStyle name="Comma 4 2 2 3 2 3" xfId="856"/>
    <cellStyle name="Comma 4 2 2 3 2 3 2" xfId="857"/>
    <cellStyle name="Comma 4 2 2 3 2 4" xfId="858"/>
    <cellStyle name="Comma 4 2 2 3 2 4 2" xfId="859"/>
    <cellStyle name="Comma 4 2 2 3 2 5" xfId="860"/>
    <cellStyle name="Comma 4 2 2 3 3" xfId="861"/>
    <cellStyle name="Comma 4 2 2 3 3 2" xfId="862"/>
    <cellStyle name="Comma 4 2 2 3 3 2 2" xfId="863"/>
    <cellStyle name="Comma 4 2 2 3 3 3" xfId="864"/>
    <cellStyle name="Comma 4 2 2 3 3 3 2" xfId="865"/>
    <cellStyle name="Comma 4 2 2 3 3 4" xfId="866"/>
    <cellStyle name="Comma 4 2 2 3 4" xfId="867"/>
    <cellStyle name="Comma 4 2 2 3 4 2" xfId="868"/>
    <cellStyle name="Comma 4 2 2 3 5" xfId="869"/>
    <cellStyle name="Comma 4 2 2 3 5 2" xfId="870"/>
    <cellStyle name="Comma 4 2 2 3 6" xfId="871"/>
    <cellStyle name="Comma 4 2 2 4" xfId="872"/>
    <cellStyle name="Comma 4 2 2 4 2" xfId="873"/>
    <cellStyle name="Comma 4 2 2 4 2 2" xfId="874"/>
    <cellStyle name="Comma 4 2 2 4 2 2 2" xfId="875"/>
    <cellStyle name="Comma 4 2 2 4 2 3" xfId="876"/>
    <cellStyle name="Comma 4 2 2 4 2 3 2" xfId="877"/>
    <cellStyle name="Comma 4 2 2 4 2 4" xfId="878"/>
    <cellStyle name="Comma 4 2 2 4 3" xfId="879"/>
    <cellStyle name="Comma 4 2 2 4 3 2" xfId="880"/>
    <cellStyle name="Comma 4 2 2 4 4" xfId="881"/>
    <cellStyle name="Comma 4 2 2 4 4 2" xfId="882"/>
    <cellStyle name="Comma 4 2 2 4 5" xfId="883"/>
    <cellStyle name="Comma 4 2 2 5" xfId="884"/>
    <cellStyle name="Comma 4 2 2 5 2" xfId="885"/>
    <cellStyle name="Comma 4 2 2 5 2 2" xfId="886"/>
    <cellStyle name="Comma 4 2 2 5 3" xfId="887"/>
    <cellStyle name="Comma 4 2 2 5 3 2" xfId="888"/>
    <cellStyle name="Comma 4 2 2 5 4" xfId="889"/>
    <cellStyle name="Comma 4 2 2 6" xfId="890"/>
    <cellStyle name="Comma 4 2 2 6 2" xfId="891"/>
    <cellStyle name="Comma 4 2 2 7" xfId="892"/>
    <cellStyle name="Comma 4 2 2 7 2" xfId="893"/>
    <cellStyle name="Comma 4 2 2 8" xfId="894"/>
    <cellStyle name="Comma 4 2 2 9" xfId="895"/>
    <cellStyle name="Comma 4 2 3" xfId="896"/>
    <cellStyle name="Comma 4 2 3 2" xfId="897"/>
    <cellStyle name="Comma 4 2 3 2 2" xfId="898"/>
    <cellStyle name="Comma 4 2 3 2 2 2" xfId="899"/>
    <cellStyle name="Comma 4 2 3 2 2 2 2" xfId="900"/>
    <cellStyle name="Comma 4 2 3 2 2 3" xfId="901"/>
    <cellStyle name="Comma 4 2 3 2 2 3 2" xfId="902"/>
    <cellStyle name="Comma 4 2 3 2 2 4" xfId="903"/>
    <cellStyle name="Comma 4 2 3 2 3" xfId="904"/>
    <cellStyle name="Comma 4 2 3 2 3 2" xfId="905"/>
    <cellStyle name="Comma 4 2 3 2 4" xfId="906"/>
    <cellStyle name="Comma 4 2 3 2 4 2" xfId="907"/>
    <cellStyle name="Comma 4 2 3 2 5" xfId="908"/>
    <cellStyle name="Comma 4 2 3 3" xfId="909"/>
    <cellStyle name="Comma 4 2 3 3 2" xfId="910"/>
    <cellStyle name="Comma 4 2 3 3 2 2" xfId="911"/>
    <cellStyle name="Comma 4 2 3 3 3" xfId="912"/>
    <cellStyle name="Comma 4 2 3 3 3 2" xfId="913"/>
    <cellStyle name="Comma 4 2 3 3 4" xfId="914"/>
    <cellStyle name="Comma 4 2 3 4" xfId="915"/>
    <cellStyle name="Comma 4 2 3 4 2" xfId="916"/>
    <cellStyle name="Comma 4 2 3 5" xfId="917"/>
    <cellStyle name="Comma 4 2 3 5 2" xfId="918"/>
    <cellStyle name="Comma 4 2 3 6" xfId="919"/>
    <cellStyle name="Comma 4 2 4" xfId="920"/>
    <cellStyle name="Comma 4 2 4 2" xfId="921"/>
    <cellStyle name="Comma 4 2 4 2 2" xfId="922"/>
    <cellStyle name="Comma 4 2 4 2 2 2" xfId="923"/>
    <cellStyle name="Comma 4 2 4 2 2 2 2" xfId="924"/>
    <cellStyle name="Comma 4 2 4 2 2 3" xfId="925"/>
    <cellStyle name="Comma 4 2 4 2 2 3 2" xfId="926"/>
    <cellStyle name="Comma 4 2 4 2 2 4" xfId="927"/>
    <cellStyle name="Comma 4 2 4 2 3" xfId="928"/>
    <cellStyle name="Comma 4 2 4 2 3 2" xfId="929"/>
    <cellStyle name="Comma 4 2 4 2 4" xfId="930"/>
    <cellStyle name="Comma 4 2 4 2 4 2" xfId="931"/>
    <cellStyle name="Comma 4 2 4 2 5" xfId="932"/>
    <cellStyle name="Comma 4 2 4 3" xfId="933"/>
    <cellStyle name="Comma 4 2 4 3 2" xfId="934"/>
    <cellStyle name="Comma 4 2 4 3 2 2" xfId="935"/>
    <cellStyle name="Comma 4 2 4 3 3" xfId="936"/>
    <cellStyle name="Comma 4 2 4 3 3 2" xfId="937"/>
    <cellStyle name="Comma 4 2 4 3 4" xfId="938"/>
    <cellStyle name="Comma 4 2 4 4" xfId="939"/>
    <cellStyle name="Comma 4 2 4 4 2" xfId="940"/>
    <cellStyle name="Comma 4 2 4 5" xfId="941"/>
    <cellStyle name="Comma 4 2 4 5 2" xfId="942"/>
    <cellStyle name="Comma 4 2 4 6" xfId="943"/>
    <cellStyle name="Comma 4 2 5" xfId="944"/>
    <cellStyle name="Comma 4 2 5 2" xfId="945"/>
    <cellStyle name="Comma 4 2 5 2 2" xfId="946"/>
    <cellStyle name="Comma 4 2 5 2 2 2" xfId="947"/>
    <cellStyle name="Comma 4 2 5 2 3" xfId="948"/>
    <cellStyle name="Comma 4 2 5 2 3 2" xfId="949"/>
    <cellStyle name="Comma 4 2 5 2 4" xfId="950"/>
    <cellStyle name="Comma 4 2 5 3" xfId="951"/>
    <cellStyle name="Comma 4 2 5 3 2" xfId="952"/>
    <cellStyle name="Comma 4 2 5 4" xfId="953"/>
    <cellStyle name="Comma 4 2 5 4 2" xfId="954"/>
    <cellStyle name="Comma 4 2 5 5" xfId="955"/>
    <cellStyle name="Comma 4 2 6" xfId="956"/>
    <cellStyle name="Comma 4 2 6 2" xfId="957"/>
    <cellStyle name="Comma 4 2 6 2 2" xfId="958"/>
    <cellStyle name="Comma 4 2 6 3" xfId="959"/>
    <cellStyle name="Comma 4 2 6 3 2" xfId="960"/>
    <cellStyle name="Comma 4 2 6 4" xfId="961"/>
    <cellStyle name="Comma 4 2 7" xfId="962"/>
    <cellStyle name="Comma 4 2 7 2" xfId="963"/>
    <cellStyle name="Comma 4 2 8" xfId="964"/>
    <cellStyle name="Comma 4 2 8 2" xfId="965"/>
    <cellStyle name="Comma 4 2 9" xfId="966"/>
    <cellStyle name="Comma 4 3" xfId="39"/>
    <cellStyle name="Comma 4 3 10" xfId="967"/>
    <cellStyle name="Comma 4 3 2" xfId="968"/>
    <cellStyle name="Comma 4 3 2 2" xfId="969"/>
    <cellStyle name="Comma 4 3 2 2 2" xfId="970"/>
    <cellStyle name="Comma 4 3 2 2 2 2" xfId="971"/>
    <cellStyle name="Comma 4 3 2 2 2 2 2" xfId="972"/>
    <cellStyle name="Comma 4 3 2 2 2 3" xfId="973"/>
    <cellStyle name="Comma 4 3 2 2 2 3 2" xfId="974"/>
    <cellStyle name="Comma 4 3 2 2 2 4" xfId="975"/>
    <cellStyle name="Comma 4 3 2 2 3" xfId="976"/>
    <cellStyle name="Comma 4 3 2 2 3 2" xfId="977"/>
    <cellStyle name="Comma 4 3 2 2 4" xfId="978"/>
    <cellStyle name="Comma 4 3 2 2 4 2" xfId="979"/>
    <cellStyle name="Comma 4 3 2 2 5" xfId="980"/>
    <cellStyle name="Comma 4 3 2 3" xfId="981"/>
    <cellStyle name="Comma 4 3 2 3 2" xfId="982"/>
    <cellStyle name="Comma 4 3 2 3 2 2" xfId="983"/>
    <cellStyle name="Comma 4 3 2 3 3" xfId="984"/>
    <cellStyle name="Comma 4 3 2 3 3 2" xfId="985"/>
    <cellStyle name="Comma 4 3 2 3 4" xfId="986"/>
    <cellStyle name="Comma 4 3 2 4" xfId="987"/>
    <cellStyle name="Comma 4 3 2 4 2" xfId="988"/>
    <cellStyle name="Comma 4 3 2 5" xfId="989"/>
    <cellStyle name="Comma 4 3 2 5 2" xfId="990"/>
    <cellStyle name="Comma 4 3 2 6" xfId="991"/>
    <cellStyle name="Comma 4 3 2 7" xfId="992"/>
    <cellStyle name="Comma 4 3 3" xfId="993"/>
    <cellStyle name="Comma 4 3 3 2" xfId="994"/>
    <cellStyle name="Comma 4 3 3 2 2" xfId="995"/>
    <cellStyle name="Comma 4 3 3 2 2 2" xfId="996"/>
    <cellStyle name="Comma 4 3 3 2 2 2 2" xfId="997"/>
    <cellStyle name="Comma 4 3 3 2 2 3" xfId="998"/>
    <cellStyle name="Comma 4 3 3 2 2 3 2" xfId="999"/>
    <cellStyle name="Comma 4 3 3 2 2 4" xfId="1000"/>
    <cellStyle name="Comma 4 3 3 2 3" xfId="1001"/>
    <cellStyle name="Comma 4 3 3 2 3 2" xfId="1002"/>
    <cellStyle name="Comma 4 3 3 2 4" xfId="1003"/>
    <cellStyle name="Comma 4 3 3 2 4 2" xfId="1004"/>
    <cellStyle name="Comma 4 3 3 2 5" xfId="1005"/>
    <cellStyle name="Comma 4 3 3 3" xfId="1006"/>
    <cellStyle name="Comma 4 3 3 3 2" xfId="1007"/>
    <cellStyle name="Comma 4 3 3 3 2 2" xfId="1008"/>
    <cellStyle name="Comma 4 3 3 3 3" xfId="1009"/>
    <cellStyle name="Comma 4 3 3 3 3 2" xfId="1010"/>
    <cellStyle name="Comma 4 3 3 3 4" xfId="1011"/>
    <cellStyle name="Comma 4 3 3 4" xfId="1012"/>
    <cellStyle name="Comma 4 3 3 4 2" xfId="1013"/>
    <cellStyle name="Comma 4 3 3 5" xfId="1014"/>
    <cellStyle name="Comma 4 3 3 5 2" xfId="1015"/>
    <cellStyle name="Comma 4 3 3 6" xfId="1016"/>
    <cellStyle name="Comma 4 3 4" xfId="1017"/>
    <cellStyle name="Comma 4 3 4 2" xfId="1018"/>
    <cellStyle name="Comma 4 3 4 2 2" xfId="1019"/>
    <cellStyle name="Comma 4 3 4 2 2 2" xfId="1020"/>
    <cellStyle name="Comma 4 3 4 2 3" xfId="1021"/>
    <cellStyle name="Comma 4 3 4 2 3 2" xfId="1022"/>
    <cellStyle name="Comma 4 3 4 2 4" xfId="1023"/>
    <cellStyle name="Comma 4 3 4 3" xfId="1024"/>
    <cellStyle name="Comma 4 3 4 3 2" xfId="1025"/>
    <cellStyle name="Comma 4 3 4 4" xfId="1026"/>
    <cellStyle name="Comma 4 3 4 4 2" xfId="1027"/>
    <cellStyle name="Comma 4 3 4 5" xfId="1028"/>
    <cellStyle name="Comma 4 3 5" xfId="1029"/>
    <cellStyle name="Comma 4 3 5 2" xfId="1030"/>
    <cellStyle name="Comma 4 3 5 2 2" xfId="1031"/>
    <cellStyle name="Comma 4 3 5 3" xfId="1032"/>
    <cellStyle name="Comma 4 3 5 3 2" xfId="1033"/>
    <cellStyle name="Comma 4 3 5 4" xfId="1034"/>
    <cellStyle name="Comma 4 3 6" xfId="1035"/>
    <cellStyle name="Comma 4 3 6 2" xfId="1036"/>
    <cellStyle name="Comma 4 3 7" xfId="1037"/>
    <cellStyle name="Comma 4 3 7 2" xfId="1038"/>
    <cellStyle name="Comma 4 3 8" xfId="1039"/>
    <cellStyle name="Comma 4 3 9" xfId="1040"/>
    <cellStyle name="Comma 4 4" xfId="40"/>
    <cellStyle name="Comma 4 4 10" xfId="1041"/>
    <cellStyle name="Comma 4 4 2" xfId="1042"/>
    <cellStyle name="Comma 4 4 2 2" xfId="1043"/>
    <cellStyle name="Comma 4 4 2 2 2" xfId="1044"/>
    <cellStyle name="Comma 4 4 2 2 2 2" xfId="1045"/>
    <cellStyle name="Comma 4 4 2 2 2 2 2" xfId="1046"/>
    <cellStyle name="Comma 4 4 2 2 2 3" xfId="1047"/>
    <cellStyle name="Comma 4 4 2 2 2 3 2" xfId="1048"/>
    <cellStyle name="Comma 4 4 2 2 2 4" xfId="1049"/>
    <cellStyle name="Comma 4 4 2 2 3" xfId="1050"/>
    <cellStyle name="Comma 4 4 2 2 3 2" xfId="1051"/>
    <cellStyle name="Comma 4 4 2 2 4" xfId="1052"/>
    <cellStyle name="Comma 4 4 2 2 4 2" xfId="1053"/>
    <cellStyle name="Comma 4 4 2 2 5" xfId="1054"/>
    <cellStyle name="Comma 4 4 2 3" xfId="1055"/>
    <cellStyle name="Comma 4 4 2 3 2" xfId="1056"/>
    <cellStyle name="Comma 4 4 2 3 2 2" xfId="1057"/>
    <cellStyle name="Comma 4 4 2 3 3" xfId="1058"/>
    <cellStyle name="Comma 4 4 2 3 3 2" xfId="1059"/>
    <cellStyle name="Comma 4 4 2 3 4" xfId="1060"/>
    <cellStyle name="Comma 4 4 2 4" xfId="1061"/>
    <cellStyle name="Comma 4 4 2 4 2" xfId="1062"/>
    <cellStyle name="Comma 4 4 2 5" xfId="1063"/>
    <cellStyle name="Comma 4 4 2 5 2" xfId="1064"/>
    <cellStyle name="Comma 4 4 2 6" xfId="1065"/>
    <cellStyle name="Comma 4 4 3" xfId="1066"/>
    <cellStyle name="Comma 4 4 3 2" xfId="1067"/>
    <cellStyle name="Comma 4 4 3 2 2" xfId="1068"/>
    <cellStyle name="Comma 4 4 3 2 2 2" xfId="1069"/>
    <cellStyle name="Comma 4 4 3 2 3" xfId="1070"/>
    <cellStyle name="Comma 4 4 3 2 3 2" xfId="1071"/>
    <cellStyle name="Comma 4 4 3 2 4" xfId="1072"/>
    <cellStyle name="Comma 4 4 3 3" xfId="1073"/>
    <cellStyle name="Comma 4 4 3 3 2" xfId="1074"/>
    <cellStyle name="Comma 4 4 3 4" xfId="1075"/>
    <cellStyle name="Comma 4 4 3 4 2" xfId="1076"/>
    <cellStyle name="Comma 4 4 3 5" xfId="1077"/>
    <cellStyle name="Comma 4 4 4" xfId="1078"/>
    <cellStyle name="Comma 4 4 4 2" xfId="1079"/>
    <cellStyle name="Comma 4 4 4 2 2" xfId="1080"/>
    <cellStyle name="Comma 4 4 4 3" xfId="1081"/>
    <cellStyle name="Comma 4 4 4 3 2" xfId="1082"/>
    <cellStyle name="Comma 4 4 4 4" xfId="1083"/>
    <cellStyle name="Comma 4 4 5" xfId="1084"/>
    <cellStyle name="Comma 4 4 5 2" xfId="1085"/>
    <cellStyle name="Comma 4 4 5 3" xfId="1086"/>
    <cellStyle name="Comma 4 4 6" xfId="1087"/>
    <cellStyle name="Comma 4 4 6 2" xfId="1088"/>
    <cellStyle name="Comma 4 4 7" xfId="1089"/>
    <cellStyle name="Comma 4 4 8" xfId="1090"/>
    <cellStyle name="Comma 4 4 9" xfId="1091"/>
    <cellStyle name="Comma 4 5" xfId="41"/>
    <cellStyle name="Comma 4 5 2" xfId="1092"/>
    <cellStyle name="Comma 4 5 2 2" xfId="1093"/>
    <cellStyle name="Comma 4 5 2 2 2" xfId="1094"/>
    <cellStyle name="Comma 4 5 2 2 2 2" xfId="1095"/>
    <cellStyle name="Comma 4 5 2 2 3" xfId="1096"/>
    <cellStyle name="Comma 4 5 2 2 3 2" xfId="1097"/>
    <cellStyle name="Comma 4 5 2 2 4" xfId="1098"/>
    <cellStyle name="Comma 4 5 2 3" xfId="1099"/>
    <cellStyle name="Comma 4 5 2 3 2" xfId="1100"/>
    <cellStyle name="Comma 4 5 2 4" xfId="1101"/>
    <cellStyle name="Comma 4 5 2 4 2" xfId="1102"/>
    <cellStyle name="Comma 4 5 2 5" xfId="1103"/>
    <cellStyle name="Comma 4 5 3" xfId="1104"/>
    <cellStyle name="Comma 4 5 3 2" xfId="1105"/>
    <cellStyle name="Comma 4 5 3 2 2" xfId="1106"/>
    <cellStyle name="Comma 4 5 3 3" xfId="1107"/>
    <cellStyle name="Comma 4 5 3 3 2" xfId="1108"/>
    <cellStyle name="Comma 4 5 3 4" xfId="1109"/>
    <cellStyle name="Comma 4 5 4" xfId="1110"/>
    <cellStyle name="Comma 4 5 4 2" xfId="1111"/>
    <cellStyle name="Comma 4 5 5" xfId="1112"/>
    <cellStyle name="Comma 4 5 5 2" xfId="1113"/>
    <cellStyle name="Comma 4 5 6" xfId="1114"/>
    <cellStyle name="Comma 4 6" xfId="1115"/>
    <cellStyle name="Comma 4 6 2" xfId="1116"/>
    <cellStyle name="Comma 4 6 2 2" xfId="1117"/>
    <cellStyle name="Comma 4 6 2 2 2" xfId="1118"/>
    <cellStyle name="Comma 4 6 2 3" xfId="1119"/>
    <cellStyle name="Comma 4 6 2 3 2" xfId="1120"/>
    <cellStyle name="Comma 4 6 2 4" xfId="1121"/>
    <cellStyle name="Comma 4 6 3" xfId="1122"/>
    <cellStyle name="Comma 4 6 3 2" xfId="1123"/>
    <cellStyle name="Comma 4 6 4" xfId="1124"/>
    <cellStyle name="Comma 4 6 4 2" xfId="1125"/>
    <cellStyle name="Comma 4 6 5" xfId="1126"/>
    <cellStyle name="Comma 4 6 6" xfId="1127"/>
    <cellStyle name="Comma 4 7" xfId="1128"/>
    <cellStyle name="Comma 4 7 2" xfId="1129"/>
    <cellStyle name="Comma 4 7 2 2" xfId="1130"/>
    <cellStyle name="Comma 4 7 3" xfId="1131"/>
    <cellStyle name="Comma 4 7 3 2" xfId="1132"/>
    <cellStyle name="Comma 4 7 4" xfId="1133"/>
    <cellStyle name="Comma 4 8" xfId="1134"/>
    <cellStyle name="Comma 4 8 2" xfId="1135"/>
    <cellStyle name="Comma 4 9" xfId="1136"/>
    <cellStyle name="Comma 4 9 2" xfId="1137"/>
    <cellStyle name="Comma 5" xfId="42"/>
    <cellStyle name="Comma 5 10" xfId="1139"/>
    <cellStyle name="Comma 5 11" xfId="1138"/>
    <cellStyle name="Comma 5 2" xfId="186"/>
    <cellStyle name="Comma 5 2 2" xfId="1140"/>
    <cellStyle name="Comma 5 2 2 2" xfId="1141"/>
    <cellStyle name="Comma 5 2 2 2 2" xfId="1142"/>
    <cellStyle name="Comma 5 2 2 2 2 2" xfId="1143"/>
    <cellStyle name="Comma 5 2 2 2 2 2 2" xfId="1144"/>
    <cellStyle name="Comma 5 2 2 2 2 2 2 2" xfId="1145"/>
    <cellStyle name="Comma 5 2 2 2 2 2 3" xfId="1146"/>
    <cellStyle name="Comma 5 2 2 2 2 2 3 2" xfId="1147"/>
    <cellStyle name="Comma 5 2 2 2 2 2 4" xfId="1148"/>
    <cellStyle name="Comma 5 2 2 2 2 3" xfId="1149"/>
    <cellStyle name="Comma 5 2 2 2 2 3 2" xfId="1150"/>
    <cellStyle name="Comma 5 2 2 2 2 4" xfId="1151"/>
    <cellStyle name="Comma 5 2 2 2 2 4 2" xfId="1152"/>
    <cellStyle name="Comma 5 2 2 2 2 5" xfId="1153"/>
    <cellStyle name="Comma 5 2 2 2 3" xfId="1154"/>
    <cellStyle name="Comma 5 2 2 2 3 2" xfId="1155"/>
    <cellStyle name="Comma 5 2 2 2 3 2 2" xfId="1156"/>
    <cellStyle name="Comma 5 2 2 2 3 3" xfId="1157"/>
    <cellStyle name="Comma 5 2 2 2 3 3 2" xfId="1158"/>
    <cellStyle name="Comma 5 2 2 2 3 4" xfId="1159"/>
    <cellStyle name="Comma 5 2 2 2 4" xfId="1160"/>
    <cellStyle name="Comma 5 2 2 2 4 2" xfId="1161"/>
    <cellStyle name="Comma 5 2 2 2 5" xfId="1162"/>
    <cellStyle name="Comma 5 2 2 2 5 2" xfId="1163"/>
    <cellStyle name="Comma 5 2 2 2 6" xfId="1164"/>
    <cellStyle name="Comma 5 2 2 3" xfId="1165"/>
    <cellStyle name="Comma 5 2 2 3 2" xfId="1166"/>
    <cellStyle name="Comma 5 2 2 3 2 2" xfId="1167"/>
    <cellStyle name="Comma 5 2 2 3 2 2 2" xfId="1168"/>
    <cellStyle name="Comma 5 2 2 3 2 3" xfId="1169"/>
    <cellStyle name="Comma 5 2 2 3 2 3 2" xfId="1170"/>
    <cellStyle name="Comma 5 2 2 3 2 4" xfId="1171"/>
    <cellStyle name="Comma 5 2 2 3 3" xfId="1172"/>
    <cellStyle name="Comma 5 2 2 3 3 2" xfId="1173"/>
    <cellStyle name="Comma 5 2 2 3 4" xfId="1174"/>
    <cellStyle name="Comma 5 2 2 3 4 2" xfId="1175"/>
    <cellStyle name="Comma 5 2 2 3 5" xfId="1176"/>
    <cellStyle name="Comma 5 2 2 4" xfId="1177"/>
    <cellStyle name="Comma 5 2 2 4 2" xfId="1178"/>
    <cellStyle name="Comma 5 2 2 4 2 2" xfId="1179"/>
    <cellStyle name="Comma 5 2 2 4 3" xfId="1180"/>
    <cellStyle name="Comma 5 2 2 4 3 2" xfId="1181"/>
    <cellStyle name="Comma 5 2 2 4 4" xfId="1182"/>
    <cellStyle name="Comma 5 2 2 5" xfId="1183"/>
    <cellStyle name="Comma 5 2 2 5 2" xfId="1184"/>
    <cellStyle name="Comma 5 2 2 6" xfId="1185"/>
    <cellStyle name="Comma 5 2 2 6 2" xfId="1186"/>
    <cellStyle name="Comma 5 2 2 7" xfId="1187"/>
    <cellStyle name="Comma 5 2 3" xfId="1188"/>
    <cellStyle name="Comma 5 2 3 2" xfId="1189"/>
    <cellStyle name="Comma 5 2 3 2 2" xfId="1190"/>
    <cellStyle name="Comma 5 2 3 2 2 2" xfId="1191"/>
    <cellStyle name="Comma 5 2 3 2 2 2 2" xfId="1192"/>
    <cellStyle name="Comma 5 2 3 2 2 3" xfId="1193"/>
    <cellStyle name="Comma 5 2 3 2 2 3 2" xfId="1194"/>
    <cellStyle name="Comma 5 2 3 2 2 4" xfId="1195"/>
    <cellStyle name="Comma 5 2 3 2 3" xfId="1196"/>
    <cellStyle name="Comma 5 2 3 2 3 2" xfId="1197"/>
    <cellStyle name="Comma 5 2 3 2 4" xfId="1198"/>
    <cellStyle name="Comma 5 2 3 2 4 2" xfId="1199"/>
    <cellStyle name="Comma 5 2 3 2 5" xfId="1200"/>
    <cellStyle name="Comma 5 2 3 3" xfId="1201"/>
    <cellStyle name="Comma 5 2 3 3 2" xfId="1202"/>
    <cellStyle name="Comma 5 2 3 3 2 2" xfId="1203"/>
    <cellStyle name="Comma 5 2 3 3 3" xfId="1204"/>
    <cellStyle name="Comma 5 2 3 3 3 2" xfId="1205"/>
    <cellStyle name="Comma 5 2 3 3 4" xfId="1206"/>
    <cellStyle name="Comma 5 2 3 4" xfId="1207"/>
    <cellStyle name="Comma 5 2 3 4 2" xfId="1208"/>
    <cellStyle name="Comma 5 2 3 5" xfId="1209"/>
    <cellStyle name="Comma 5 2 3 5 2" xfId="1210"/>
    <cellStyle name="Comma 5 2 3 6" xfId="1211"/>
    <cellStyle name="Comma 5 2 4" xfId="1212"/>
    <cellStyle name="Comma 5 2 4 2" xfId="1213"/>
    <cellStyle name="Comma 5 2 4 2 2" xfId="1214"/>
    <cellStyle name="Comma 5 2 4 2 2 2" xfId="1215"/>
    <cellStyle name="Comma 5 2 4 2 3" xfId="1216"/>
    <cellStyle name="Comma 5 2 4 2 3 2" xfId="1217"/>
    <cellStyle name="Comma 5 2 4 2 4" xfId="1218"/>
    <cellStyle name="Comma 5 2 4 3" xfId="1219"/>
    <cellStyle name="Comma 5 2 4 3 2" xfId="1220"/>
    <cellStyle name="Comma 5 2 4 4" xfId="1221"/>
    <cellStyle name="Comma 5 2 4 4 2" xfId="1222"/>
    <cellStyle name="Comma 5 2 4 5" xfId="1223"/>
    <cellStyle name="Comma 5 2 5" xfId="1224"/>
    <cellStyle name="Comma 5 2 5 2" xfId="1225"/>
    <cellStyle name="Comma 5 2 5 2 2" xfId="1226"/>
    <cellStyle name="Comma 5 2 5 3" xfId="1227"/>
    <cellStyle name="Comma 5 2 5 3 2" xfId="1228"/>
    <cellStyle name="Comma 5 2 5 4" xfId="1229"/>
    <cellStyle name="Comma 5 2 6" xfId="1230"/>
    <cellStyle name="Comma 5 2 6 2" xfId="1231"/>
    <cellStyle name="Comma 5 2 7" xfId="1232"/>
    <cellStyle name="Comma 5 2 7 2" xfId="1233"/>
    <cellStyle name="Comma 5 2 8" xfId="1234"/>
    <cellStyle name="Comma 5 2 9" xfId="1235"/>
    <cellStyle name="Comma 5 3" xfId="1236"/>
    <cellStyle name="Comma 5 3 2" xfId="1237"/>
    <cellStyle name="Comma 5 3 2 2" xfId="1238"/>
    <cellStyle name="Comma 5 3 2 2 2" xfId="1239"/>
    <cellStyle name="Comma 5 3 2 2 2 2" xfId="1240"/>
    <cellStyle name="Comma 5 3 2 2 2 2 2" xfId="1241"/>
    <cellStyle name="Comma 5 3 2 2 2 3" xfId="1242"/>
    <cellStyle name="Comma 5 3 2 2 2 3 2" xfId="1243"/>
    <cellStyle name="Comma 5 3 2 2 2 4" xfId="1244"/>
    <cellStyle name="Comma 5 3 2 2 3" xfId="1245"/>
    <cellStyle name="Comma 5 3 2 2 3 2" xfId="1246"/>
    <cellStyle name="Comma 5 3 2 2 4" xfId="1247"/>
    <cellStyle name="Comma 5 3 2 2 4 2" xfId="1248"/>
    <cellStyle name="Comma 5 3 2 2 5" xfId="1249"/>
    <cellStyle name="Comma 5 3 2 3" xfId="1250"/>
    <cellStyle name="Comma 5 3 2 3 2" xfId="1251"/>
    <cellStyle name="Comma 5 3 2 3 2 2" xfId="1252"/>
    <cellStyle name="Comma 5 3 2 3 3" xfId="1253"/>
    <cellStyle name="Comma 5 3 2 3 3 2" xfId="1254"/>
    <cellStyle name="Comma 5 3 2 3 4" xfId="1255"/>
    <cellStyle name="Comma 5 3 2 4" xfId="1256"/>
    <cellStyle name="Comma 5 3 2 4 2" xfId="1257"/>
    <cellStyle name="Comma 5 3 2 5" xfId="1258"/>
    <cellStyle name="Comma 5 3 2 5 2" xfId="1259"/>
    <cellStyle name="Comma 5 3 2 6" xfId="1260"/>
    <cellStyle name="Comma 5 3 3" xfId="1261"/>
    <cellStyle name="Comma 5 3 3 2" xfId="1262"/>
    <cellStyle name="Comma 5 3 3 2 2" xfId="1263"/>
    <cellStyle name="Comma 5 3 3 2 2 2" xfId="1264"/>
    <cellStyle name="Comma 5 3 3 2 3" xfId="1265"/>
    <cellStyle name="Comma 5 3 3 2 3 2" xfId="1266"/>
    <cellStyle name="Comma 5 3 3 2 4" xfId="1267"/>
    <cellStyle name="Comma 5 3 3 3" xfId="1268"/>
    <cellStyle name="Comma 5 3 3 3 2" xfId="1269"/>
    <cellStyle name="Comma 5 3 3 4" xfId="1270"/>
    <cellStyle name="Comma 5 3 3 4 2" xfId="1271"/>
    <cellStyle name="Comma 5 3 3 5" xfId="1272"/>
    <cellStyle name="Comma 5 3 4" xfId="1273"/>
    <cellStyle name="Comma 5 3 4 2" xfId="1274"/>
    <cellStyle name="Comma 5 3 4 2 2" xfId="1275"/>
    <cellStyle name="Comma 5 3 4 3" xfId="1276"/>
    <cellStyle name="Comma 5 3 4 3 2" xfId="1277"/>
    <cellStyle name="Comma 5 3 4 4" xfId="1278"/>
    <cellStyle name="Comma 5 3 5" xfId="1279"/>
    <cellStyle name="Comma 5 3 5 2" xfId="1280"/>
    <cellStyle name="Comma 5 3 6" xfId="1281"/>
    <cellStyle name="Comma 5 3 6 2" xfId="1282"/>
    <cellStyle name="Comma 5 3 7" xfId="1283"/>
    <cellStyle name="Comma 5 4" xfId="1284"/>
    <cellStyle name="Comma 5 4 2" xfId="1285"/>
    <cellStyle name="Comma 5 4 2 2" xfId="1286"/>
    <cellStyle name="Comma 5 4 2 2 2" xfId="1287"/>
    <cellStyle name="Comma 5 4 2 2 2 2" xfId="1288"/>
    <cellStyle name="Comma 5 4 2 2 2 2 2" xfId="1289"/>
    <cellStyle name="Comma 5 4 2 2 2 3" xfId="1290"/>
    <cellStyle name="Comma 5 4 2 2 2 3 2" xfId="1291"/>
    <cellStyle name="Comma 5 4 2 2 2 4" xfId="1292"/>
    <cellStyle name="Comma 5 4 2 2 3" xfId="1293"/>
    <cellStyle name="Comma 5 4 2 2 3 2" xfId="1294"/>
    <cellStyle name="Comma 5 4 2 2 4" xfId="1295"/>
    <cellStyle name="Comma 5 4 2 2 4 2" xfId="1296"/>
    <cellStyle name="Comma 5 4 2 2 5" xfId="1297"/>
    <cellStyle name="Comma 5 4 2 3" xfId="1298"/>
    <cellStyle name="Comma 5 4 2 3 2" xfId="1299"/>
    <cellStyle name="Comma 5 4 2 3 2 2" xfId="1300"/>
    <cellStyle name="Comma 5 4 2 3 3" xfId="1301"/>
    <cellStyle name="Comma 5 4 2 3 3 2" xfId="1302"/>
    <cellStyle name="Comma 5 4 2 3 4" xfId="1303"/>
    <cellStyle name="Comma 5 4 2 4" xfId="1304"/>
    <cellStyle name="Comma 5 4 2 4 2" xfId="1305"/>
    <cellStyle name="Comma 5 4 2 5" xfId="1306"/>
    <cellStyle name="Comma 5 4 2 5 2" xfId="1307"/>
    <cellStyle name="Comma 5 4 2 6" xfId="1308"/>
    <cellStyle name="Comma 5 4 3" xfId="1309"/>
    <cellStyle name="Comma 5 4 3 2" xfId="1310"/>
    <cellStyle name="Comma 5 4 3 2 2" xfId="1311"/>
    <cellStyle name="Comma 5 4 3 2 2 2" xfId="1312"/>
    <cellStyle name="Comma 5 4 3 2 3" xfId="1313"/>
    <cellStyle name="Comma 5 4 3 2 3 2" xfId="1314"/>
    <cellStyle name="Comma 5 4 3 2 4" xfId="1315"/>
    <cellStyle name="Comma 5 4 3 3" xfId="1316"/>
    <cellStyle name="Comma 5 4 3 3 2" xfId="1317"/>
    <cellStyle name="Comma 5 4 3 4" xfId="1318"/>
    <cellStyle name="Comma 5 4 3 4 2" xfId="1319"/>
    <cellStyle name="Comma 5 4 3 5" xfId="1320"/>
    <cellStyle name="Comma 5 4 4" xfId="1321"/>
    <cellStyle name="Comma 5 4 4 2" xfId="1322"/>
    <cellStyle name="Comma 5 4 4 2 2" xfId="1323"/>
    <cellStyle name="Comma 5 4 4 3" xfId="1324"/>
    <cellStyle name="Comma 5 4 4 3 2" xfId="1325"/>
    <cellStyle name="Comma 5 4 4 4" xfId="1326"/>
    <cellStyle name="Comma 5 4 5" xfId="1327"/>
    <cellStyle name="Comma 5 4 5 2" xfId="1328"/>
    <cellStyle name="Comma 5 4 6" xfId="1329"/>
    <cellStyle name="Comma 5 4 6 2" xfId="1330"/>
    <cellStyle name="Comma 5 4 7" xfId="1331"/>
    <cellStyle name="Comma 5 5" xfId="1332"/>
    <cellStyle name="Comma 5 5 2" xfId="1333"/>
    <cellStyle name="Comma 5 5 2 2" xfId="1334"/>
    <cellStyle name="Comma 5 5 2 2 2" xfId="1335"/>
    <cellStyle name="Comma 5 5 2 2 2 2" xfId="1336"/>
    <cellStyle name="Comma 5 5 2 2 3" xfId="1337"/>
    <cellStyle name="Comma 5 5 2 2 3 2" xfId="1338"/>
    <cellStyle name="Comma 5 5 2 2 4" xfId="1339"/>
    <cellStyle name="Comma 5 5 2 3" xfId="1340"/>
    <cellStyle name="Comma 5 5 2 3 2" xfId="1341"/>
    <cellStyle name="Comma 5 5 2 4" xfId="1342"/>
    <cellStyle name="Comma 5 5 2 4 2" xfId="1343"/>
    <cellStyle name="Comma 5 5 2 5" xfId="1344"/>
    <cellStyle name="Comma 5 5 3" xfId="1345"/>
    <cellStyle name="Comma 5 5 3 2" xfId="1346"/>
    <cellStyle name="Comma 5 5 3 2 2" xfId="1347"/>
    <cellStyle name="Comma 5 5 3 3" xfId="1348"/>
    <cellStyle name="Comma 5 5 3 3 2" xfId="1349"/>
    <cellStyle name="Comma 5 5 3 4" xfId="1350"/>
    <cellStyle name="Comma 5 5 4" xfId="1351"/>
    <cellStyle name="Comma 5 5 4 2" xfId="1352"/>
    <cellStyle name="Comma 5 5 5" xfId="1353"/>
    <cellStyle name="Comma 5 5 5 2" xfId="1354"/>
    <cellStyle name="Comma 5 5 6" xfId="1355"/>
    <cellStyle name="Comma 5 6" xfId="1356"/>
    <cellStyle name="Comma 5 6 2" xfId="1357"/>
    <cellStyle name="Comma 5 6 2 2" xfId="1358"/>
    <cellStyle name="Comma 5 6 2 2 2" xfId="1359"/>
    <cellStyle name="Comma 5 6 2 3" xfId="1360"/>
    <cellStyle name="Comma 5 6 2 3 2" xfId="1361"/>
    <cellStyle name="Comma 5 6 2 4" xfId="1362"/>
    <cellStyle name="Comma 5 6 3" xfId="1363"/>
    <cellStyle name="Comma 5 6 3 2" xfId="1364"/>
    <cellStyle name="Comma 5 6 4" xfId="1365"/>
    <cellStyle name="Comma 5 6 4 2" xfId="1366"/>
    <cellStyle name="Comma 5 6 5" xfId="1367"/>
    <cellStyle name="Comma 5 7" xfId="1368"/>
    <cellStyle name="Comma 5 7 2" xfId="1369"/>
    <cellStyle name="Comma 5 7 2 2" xfId="1370"/>
    <cellStyle name="Comma 5 7 3" xfId="1371"/>
    <cellStyle name="Comma 5 7 3 2" xfId="1372"/>
    <cellStyle name="Comma 5 7 4" xfId="1373"/>
    <cellStyle name="Comma 5 8" xfId="1374"/>
    <cellStyle name="Comma 5 8 2" xfId="1375"/>
    <cellStyle name="Comma 5 9" xfId="1376"/>
    <cellStyle name="Comma 5 9 2" xfId="1377"/>
    <cellStyle name="Comma 6" xfId="43"/>
    <cellStyle name="Comma 6 10" xfId="1378"/>
    <cellStyle name="Comma 6 2" xfId="187"/>
    <cellStyle name="Comma 6 2 2" xfId="1380"/>
    <cellStyle name="Comma 6 2 2 2" xfId="1381"/>
    <cellStyle name="Comma 6 2 2 2 2" xfId="1382"/>
    <cellStyle name="Comma 6 2 2 2 2 2" xfId="1383"/>
    <cellStyle name="Comma 6 2 2 2 2 2 2" xfId="1384"/>
    <cellStyle name="Comma 6 2 2 2 2 2 2 2" xfId="1385"/>
    <cellStyle name="Comma 6 2 2 2 2 2 3" xfId="1386"/>
    <cellStyle name="Comma 6 2 2 2 2 2 3 2" xfId="1387"/>
    <cellStyle name="Comma 6 2 2 2 2 2 4" xfId="1388"/>
    <cellStyle name="Comma 6 2 2 2 2 3" xfId="1389"/>
    <cellStyle name="Comma 6 2 2 2 2 3 2" xfId="1390"/>
    <cellStyle name="Comma 6 2 2 2 2 4" xfId="1391"/>
    <cellStyle name="Comma 6 2 2 2 2 4 2" xfId="1392"/>
    <cellStyle name="Comma 6 2 2 2 2 5" xfId="1393"/>
    <cellStyle name="Comma 6 2 2 2 3" xfId="1394"/>
    <cellStyle name="Comma 6 2 2 2 3 2" xfId="1395"/>
    <cellStyle name="Comma 6 2 2 2 3 2 2" xfId="1396"/>
    <cellStyle name="Comma 6 2 2 2 3 3" xfId="1397"/>
    <cellStyle name="Comma 6 2 2 2 3 3 2" xfId="1398"/>
    <cellStyle name="Comma 6 2 2 2 3 4" xfId="1399"/>
    <cellStyle name="Comma 6 2 2 2 4" xfId="1400"/>
    <cellStyle name="Comma 6 2 2 2 4 2" xfId="1401"/>
    <cellStyle name="Comma 6 2 2 2 5" xfId="1402"/>
    <cellStyle name="Comma 6 2 2 2 5 2" xfId="1403"/>
    <cellStyle name="Comma 6 2 2 2 6" xfId="1404"/>
    <cellStyle name="Comma 6 2 2 3" xfId="1405"/>
    <cellStyle name="Comma 6 2 2 3 2" xfId="1406"/>
    <cellStyle name="Comma 6 2 2 3 2 2" xfId="1407"/>
    <cellStyle name="Comma 6 2 2 3 2 2 2" xfId="1408"/>
    <cellStyle name="Comma 6 2 2 3 2 3" xfId="1409"/>
    <cellStyle name="Comma 6 2 2 3 2 3 2" xfId="1410"/>
    <cellStyle name="Comma 6 2 2 3 2 4" xfId="1411"/>
    <cellStyle name="Comma 6 2 2 3 3" xfId="1412"/>
    <cellStyle name="Comma 6 2 2 3 3 2" xfId="1413"/>
    <cellStyle name="Comma 6 2 2 3 4" xfId="1414"/>
    <cellStyle name="Comma 6 2 2 3 4 2" xfId="1415"/>
    <cellStyle name="Comma 6 2 2 3 5" xfId="1416"/>
    <cellStyle name="Comma 6 2 2 4" xfId="1417"/>
    <cellStyle name="Comma 6 2 2 4 2" xfId="1418"/>
    <cellStyle name="Comma 6 2 2 4 2 2" xfId="1419"/>
    <cellStyle name="Comma 6 2 2 4 3" xfId="1420"/>
    <cellStyle name="Comma 6 2 2 4 3 2" xfId="1421"/>
    <cellStyle name="Comma 6 2 2 4 4" xfId="1422"/>
    <cellStyle name="Comma 6 2 2 5" xfId="1423"/>
    <cellStyle name="Comma 6 2 2 5 2" xfId="1424"/>
    <cellStyle name="Comma 6 2 2 6" xfId="1425"/>
    <cellStyle name="Comma 6 2 2 6 2" xfId="1426"/>
    <cellStyle name="Comma 6 2 2 7" xfId="1427"/>
    <cellStyle name="Comma 6 2 3" xfId="1428"/>
    <cellStyle name="Comma 6 2 3 2" xfId="1429"/>
    <cellStyle name="Comma 6 2 3 2 2" xfId="1430"/>
    <cellStyle name="Comma 6 2 3 2 2 2" xfId="1431"/>
    <cellStyle name="Comma 6 2 3 2 2 2 2" xfId="1432"/>
    <cellStyle name="Comma 6 2 3 2 2 3" xfId="1433"/>
    <cellStyle name="Comma 6 2 3 2 2 3 2" xfId="1434"/>
    <cellStyle name="Comma 6 2 3 2 2 4" xfId="1435"/>
    <cellStyle name="Comma 6 2 3 2 3" xfId="1436"/>
    <cellStyle name="Comma 6 2 3 2 3 2" xfId="1437"/>
    <cellStyle name="Comma 6 2 3 2 4" xfId="1438"/>
    <cellStyle name="Comma 6 2 3 2 4 2" xfId="1439"/>
    <cellStyle name="Comma 6 2 3 2 5" xfId="1440"/>
    <cellStyle name="Comma 6 2 3 3" xfId="1441"/>
    <cellStyle name="Comma 6 2 3 3 2" xfId="1442"/>
    <cellStyle name="Comma 6 2 3 3 2 2" xfId="1443"/>
    <cellStyle name="Comma 6 2 3 3 3" xfId="1444"/>
    <cellStyle name="Comma 6 2 3 3 3 2" xfId="1445"/>
    <cellStyle name="Comma 6 2 3 3 4" xfId="1446"/>
    <cellStyle name="Comma 6 2 3 4" xfId="1447"/>
    <cellStyle name="Comma 6 2 3 4 2" xfId="1448"/>
    <cellStyle name="Comma 6 2 3 5" xfId="1449"/>
    <cellStyle name="Comma 6 2 3 5 2" xfId="1450"/>
    <cellStyle name="Comma 6 2 3 6" xfId="1451"/>
    <cellStyle name="Comma 6 2 4" xfId="1452"/>
    <cellStyle name="Comma 6 2 4 2" xfId="1453"/>
    <cellStyle name="Comma 6 2 4 2 2" xfId="1454"/>
    <cellStyle name="Comma 6 2 4 2 2 2" xfId="1455"/>
    <cellStyle name="Comma 6 2 4 2 3" xfId="1456"/>
    <cellStyle name="Comma 6 2 4 2 3 2" xfId="1457"/>
    <cellStyle name="Comma 6 2 4 2 4" xfId="1458"/>
    <cellStyle name="Comma 6 2 4 3" xfId="1459"/>
    <cellStyle name="Comma 6 2 4 3 2" xfId="1460"/>
    <cellStyle name="Comma 6 2 4 4" xfId="1461"/>
    <cellStyle name="Comma 6 2 4 4 2" xfId="1462"/>
    <cellStyle name="Comma 6 2 4 5" xfId="1463"/>
    <cellStyle name="Comma 6 2 5" xfId="1464"/>
    <cellStyle name="Comma 6 2 5 2" xfId="1465"/>
    <cellStyle name="Comma 6 2 5 2 2" xfId="1466"/>
    <cellStyle name="Comma 6 2 5 3" xfId="1467"/>
    <cellStyle name="Comma 6 2 5 3 2" xfId="1468"/>
    <cellStyle name="Comma 6 2 5 4" xfId="1469"/>
    <cellStyle name="Comma 6 2 6" xfId="1470"/>
    <cellStyle name="Comma 6 2 6 2" xfId="1471"/>
    <cellStyle name="Comma 6 2 7" xfId="1472"/>
    <cellStyle name="Comma 6 2 7 2" xfId="1473"/>
    <cellStyle name="Comma 6 2 8" xfId="1474"/>
    <cellStyle name="Comma 6 2 9" xfId="1379"/>
    <cellStyle name="Comma 6 3" xfId="1475"/>
    <cellStyle name="Comma 6 3 2" xfId="1476"/>
    <cellStyle name="Comma 6 3 2 2" xfId="1477"/>
    <cellStyle name="Comma 6 3 2 2 2" xfId="1478"/>
    <cellStyle name="Comma 6 3 2 2 2 2" xfId="1479"/>
    <cellStyle name="Comma 6 3 2 2 2 2 2" xfId="1480"/>
    <cellStyle name="Comma 6 3 2 2 2 3" xfId="1481"/>
    <cellStyle name="Comma 6 3 2 2 2 3 2" xfId="1482"/>
    <cellStyle name="Comma 6 3 2 2 2 4" xfId="1483"/>
    <cellStyle name="Comma 6 3 2 2 3" xfId="1484"/>
    <cellStyle name="Comma 6 3 2 2 3 2" xfId="1485"/>
    <cellStyle name="Comma 6 3 2 2 4" xfId="1486"/>
    <cellStyle name="Comma 6 3 2 2 4 2" xfId="1487"/>
    <cellStyle name="Comma 6 3 2 2 5" xfId="1488"/>
    <cellStyle name="Comma 6 3 2 3" xfId="1489"/>
    <cellStyle name="Comma 6 3 2 3 2" xfId="1490"/>
    <cellStyle name="Comma 6 3 2 3 2 2" xfId="1491"/>
    <cellStyle name="Comma 6 3 2 3 3" xfId="1492"/>
    <cellStyle name="Comma 6 3 2 3 3 2" xfId="1493"/>
    <cellStyle name="Comma 6 3 2 3 4" xfId="1494"/>
    <cellStyle name="Comma 6 3 2 4" xfId="1495"/>
    <cellStyle name="Comma 6 3 2 4 2" xfId="1496"/>
    <cellStyle name="Comma 6 3 2 5" xfId="1497"/>
    <cellStyle name="Comma 6 3 2 5 2" xfId="1498"/>
    <cellStyle name="Comma 6 3 2 6" xfId="1499"/>
    <cellStyle name="Comma 6 3 3" xfId="1500"/>
    <cellStyle name="Comma 6 3 3 2" xfId="1501"/>
    <cellStyle name="Comma 6 3 3 2 2" xfId="1502"/>
    <cellStyle name="Comma 6 3 3 2 2 2" xfId="1503"/>
    <cellStyle name="Comma 6 3 3 2 3" xfId="1504"/>
    <cellStyle name="Comma 6 3 3 2 3 2" xfId="1505"/>
    <cellStyle name="Comma 6 3 3 2 4" xfId="1506"/>
    <cellStyle name="Comma 6 3 3 3" xfId="1507"/>
    <cellStyle name="Comma 6 3 3 3 2" xfId="1508"/>
    <cellStyle name="Comma 6 3 3 4" xfId="1509"/>
    <cellStyle name="Comma 6 3 3 4 2" xfId="1510"/>
    <cellStyle name="Comma 6 3 3 5" xfId="1511"/>
    <cellStyle name="Comma 6 3 4" xfId="1512"/>
    <cellStyle name="Comma 6 3 4 2" xfId="1513"/>
    <cellStyle name="Comma 6 3 4 2 2" xfId="1514"/>
    <cellStyle name="Comma 6 3 4 3" xfId="1515"/>
    <cellStyle name="Comma 6 3 4 3 2" xfId="1516"/>
    <cellStyle name="Comma 6 3 4 4" xfId="1517"/>
    <cellStyle name="Comma 6 3 5" xfId="1518"/>
    <cellStyle name="Comma 6 3 5 2" xfId="1519"/>
    <cellStyle name="Comma 6 3 6" xfId="1520"/>
    <cellStyle name="Comma 6 3 6 2" xfId="1521"/>
    <cellStyle name="Comma 6 3 7" xfId="1522"/>
    <cellStyle name="Comma 6 4" xfId="1523"/>
    <cellStyle name="Comma 6 4 2" xfId="1524"/>
    <cellStyle name="Comma 6 4 2 2" xfId="1525"/>
    <cellStyle name="Comma 6 4 2 2 2" xfId="1526"/>
    <cellStyle name="Comma 6 4 2 2 2 2" xfId="1527"/>
    <cellStyle name="Comma 6 4 2 2 2 2 2" xfId="1528"/>
    <cellStyle name="Comma 6 4 2 2 2 3" xfId="1529"/>
    <cellStyle name="Comma 6 4 2 2 2 3 2" xfId="1530"/>
    <cellStyle name="Comma 6 4 2 2 2 4" xfId="1531"/>
    <cellStyle name="Comma 6 4 2 2 3" xfId="1532"/>
    <cellStyle name="Comma 6 4 2 2 3 2" xfId="1533"/>
    <cellStyle name="Comma 6 4 2 2 4" xfId="1534"/>
    <cellStyle name="Comma 6 4 2 2 4 2" xfId="1535"/>
    <cellStyle name="Comma 6 4 2 2 5" xfId="1536"/>
    <cellStyle name="Comma 6 4 2 3" xfId="1537"/>
    <cellStyle name="Comma 6 4 2 3 2" xfId="1538"/>
    <cellStyle name="Comma 6 4 2 3 2 2" xfId="1539"/>
    <cellStyle name="Comma 6 4 2 3 3" xfId="1540"/>
    <cellStyle name="Comma 6 4 2 3 3 2" xfId="1541"/>
    <cellStyle name="Comma 6 4 2 3 4" xfId="1542"/>
    <cellStyle name="Comma 6 4 2 4" xfId="1543"/>
    <cellStyle name="Comma 6 4 2 4 2" xfId="1544"/>
    <cellStyle name="Comma 6 4 2 5" xfId="1545"/>
    <cellStyle name="Comma 6 4 2 5 2" xfId="1546"/>
    <cellStyle name="Comma 6 4 2 6" xfId="1547"/>
    <cellStyle name="Comma 6 4 3" xfId="1548"/>
    <cellStyle name="Comma 6 4 3 2" xfId="1549"/>
    <cellStyle name="Comma 6 4 3 2 2" xfId="1550"/>
    <cellStyle name="Comma 6 4 3 2 2 2" xfId="1551"/>
    <cellStyle name="Comma 6 4 3 2 3" xfId="1552"/>
    <cellStyle name="Comma 6 4 3 2 3 2" xfId="1553"/>
    <cellStyle name="Comma 6 4 3 2 4" xfId="1554"/>
    <cellStyle name="Comma 6 4 3 3" xfId="1555"/>
    <cellStyle name="Comma 6 4 3 3 2" xfId="1556"/>
    <cellStyle name="Comma 6 4 3 4" xfId="1557"/>
    <cellStyle name="Comma 6 4 3 4 2" xfId="1558"/>
    <cellStyle name="Comma 6 4 3 5" xfId="1559"/>
    <cellStyle name="Comma 6 4 4" xfId="1560"/>
    <cellStyle name="Comma 6 4 4 2" xfId="1561"/>
    <cellStyle name="Comma 6 4 4 2 2" xfId="1562"/>
    <cellStyle name="Comma 6 4 4 3" xfId="1563"/>
    <cellStyle name="Comma 6 4 4 3 2" xfId="1564"/>
    <cellStyle name="Comma 6 4 4 4" xfId="1565"/>
    <cellStyle name="Comma 6 4 5" xfId="1566"/>
    <cellStyle name="Comma 6 4 5 2" xfId="1567"/>
    <cellStyle name="Comma 6 4 6" xfId="1568"/>
    <cellStyle name="Comma 6 4 6 2" xfId="1569"/>
    <cellStyle name="Comma 6 4 7" xfId="1570"/>
    <cellStyle name="Comma 6 5" xfId="1571"/>
    <cellStyle name="Comma 6 5 2" xfId="1572"/>
    <cellStyle name="Comma 6 5 2 2" xfId="1573"/>
    <cellStyle name="Comma 6 5 2 2 2" xfId="1574"/>
    <cellStyle name="Comma 6 5 2 2 2 2" xfId="1575"/>
    <cellStyle name="Comma 6 5 2 2 3" xfId="1576"/>
    <cellStyle name="Comma 6 5 2 2 3 2" xfId="1577"/>
    <cellStyle name="Comma 6 5 2 2 4" xfId="1578"/>
    <cellStyle name="Comma 6 5 2 3" xfId="1579"/>
    <cellStyle name="Comma 6 5 2 3 2" xfId="1580"/>
    <cellStyle name="Comma 6 5 2 4" xfId="1581"/>
    <cellStyle name="Comma 6 5 2 4 2" xfId="1582"/>
    <cellStyle name="Comma 6 5 2 5" xfId="1583"/>
    <cellStyle name="Comma 6 5 3" xfId="1584"/>
    <cellStyle name="Comma 6 5 3 2" xfId="1585"/>
    <cellStyle name="Comma 6 5 3 2 2" xfId="1586"/>
    <cellStyle name="Comma 6 5 3 3" xfId="1587"/>
    <cellStyle name="Comma 6 5 3 3 2" xfId="1588"/>
    <cellStyle name="Comma 6 5 3 4" xfId="1589"/>
    <cellStyle name="Comma 6 5 4" xfId="1590"/>
    <cellStyle name="Comma 6 5 4 2" xfId="1591"/>
    <cellStyle name="Comma 6 5 5" xfId="1592"/>
    <cellStyle name="Comma 6 5 5 2" xfId="1593"/>
    <cellStyle name="Comma 6 5 6" xfId="1594"/>
    <cellStyle name="Comma 6 6" xfId="1595"/>
    <cellStyle name="Comma 6 6 2" xfId="1596"/>
    <cellStyle name="Comma 6 6 2 2" xfId="1597"/>
    <cellStyle name="Comma 6 6 2 2 2" xfId="1598"/>
    <cellStyle name="Comma 6 6 2 3" xfId="1599"/>
    <cellStyle name="Comma 6 6 2 3 2" xfId="1600"/>
    <cellStyle name="Comma 6 6 2 4" xfId="1601"/>
    <cellStyle name="Comma 6 6 3" xfId="1602"/>
    <cellStyle name="Comma 6 6 3 2" xfId="1603"/>
    <cellStyle name="Comma 6 6 4" xfId="1604"/>
    <cellStyle name="Comma 6 6 4 2" xfId="1605"/>
    <cellStyle name="Comma 6 6 5" xfId="1606"/>
    <cellStyle name="Comma 6 7" xfId="1607"/>
    <cellStyle name="Comma 6 7 2" xfId="1608"/>
    <cellStyle name="Comma 6 7 2 2" xfId="1609"/>
    <cellStyle name="Comma 6 7 3" xfId="1610"/>
    <cellStyle name="Comma 6 7 3 2" xfId="1611"/>
    <cellStyle name="Comma 6 7 4" xfId="1612"/>
    <cellStyle name="Comma 6 8" xfId="1613"/>
    <cellStyle name="Comma 6 8 2" xfId="1614"/>
    <cellStyle name="Comma 6 9" xfId="1615"/>
    <cellStyle name="Comma 6 9 2" xfId="1616"/>
    <cellStyle name="Comma 7" xfId="44"/>
    <cellStyle name="Comma 7 10" xfId="1617"/>
    <cellStyle name="Comma 7 2" xfId="188"/>
    <cellStyle name="Comma 7 2 2" xfId="1619"/>
    <cellStyle name="Comma 7 2 2 2" xfId="1620"/>
    <cellStyle name="Comma 7 2 2 2 2" xfId="1621"/>
    <cellStyle name="Comma 7 2 2 2 2 2" xfId="1622"/>
    <cellStyle name="Comma 7 2 2 2 2 2 2" xfId="1623"/>
    <cellStyle name="Comma 7 2 2 2 2 2 2 2" xfId="1624"/>
    <cellStyle name="Comma 7 2 2 2 2 2 3" xfId="1625"/>
    <cellStyle name="Comma 7 2 2 2 2 2 3 2" xfId="1626"/>
    <cellStyle name="Comma 7 2 2 2 2 2 4" xfId="1627"/>
    <cellStyle name="Comma 7 2 2 2 2 3" xfId="1628"/>
    <cellStyle name="Comma 7 2 2 2 2 3 2" xfId="1629"/>
    <cellStyle name="Comma 7 2 2 2 2 4" xfId="1630"/>
    <cellStyle name="Comma 7 2 2 2 2 4 2" xfId="1631"/>
    <cellStyle name="Comma 7 2 2 2 2 5" xfId="1632"/>
    <cellStyle name="Comma 7 2 2 2 3" xfId="1633"/>
    <cellStyle name="Comma 7 2 2 2 3 2" xfId="1634"/>
    <cellStyle name="Comma 7 2 2 2 3 2 2" xfId="1635"/>
    <cellStyle name="Comma 7 2 2 2 3 3" xfId="1636"/>
    <cellStyle name="Comma 7 2 2 2 3 3 2" xfId="1637"/>
    <cellStyle name="Comma 7 2 2 2 3 4" xfId="1638"/>
    <cellStyle name="Comma 7 2 2 2 4" xfId="1639"/>
    <cellStyle name="Comma 7 2 2 2 4 2" xfId="1640"/>
    <cellStyle name="Comma 7 2 2 2 5" xfId="1641"/>
    <cellStyle name="Comma 7 2 2 2 5 2" xfId="1642"/>
    <cellStyle name="Comma 7 2 2 2 6" xfId="1643"/>
    <cellStyle name="Comma 7 2 2 3" xfId="1644"/>
    <cellStyle name="Comma 7 2 2 3 2" xfId="1645"/>
    <cellStyle name="Comma 7 2 2 3 2 2" xfId="1646"/>
    <cellStyle name="Comma 7 2 2 3 2 2 2" xfId="1647"/>
    <cellStyle name="Comma 7 2 2 3 2 3" xfId="1648"/>
    <cellStyle name="Comma 7 2 2 3 2 3 2" xfId="1649"/>
    <cellStyle name="Comma 7 2 2 3 2 4" xfId="1650"/>
    <cellStyle name="Comma 7 2 2 3 3" xfId="1651"/>
    <cellStyle name="Comma 7 2 2 3 3 2" xfId="1652"/>
    <cellStyle name="Comma 7 2 2 3 4" xfId="1653"/>
    <cellStyle name="Comma 7 2 2 3 4 2" xfId="1654"/>
    <cellStyle name="Comma 7 2 2 3 5" xfId="1655"/>
    <cellStyle name="Comma 7 2 2 4" xfId="1656"/>
    <cellStyle name="Comma 7 2 2 4 2" xfId="1657"/>
    <cellStyle name="Comma 7 2 2 4 2 2" xfId="1658"/>
    <cellStyle name="Comma 7 2 2 4 3" xfId="1659"/>
    <cellStyle name="Comma 7 2 2 4 3 2" xfId="1660"/>
    <cellStyle name="Comma 7 2 2 4 4" xfId="1661"/>
    <cellStyle name="Comma 7 2 2 5" xfId="1662"/>
    <cellStyle name="Comma 7 2 2 5 2" xfId="1663"/>
    <cellStyle name="Comma 7 2 2 6" xfId="1664"/>
    <cellStyle name="Comma 7 2 2 6 2" xfId="1665"/>
    <cellStyle name="Comma 7 2 2 7" xfId="1666"/>
    <cellStyle name="Comma 7 2 3" xfId="1667"/>
    <cellStyle name="Comma 7 2 3 2" xfId="1668"/>
    <cellStyle name="Comma 7 2 3 2 2" xfId="1669"/>
    <cellStyle name="Comma 7 2 3 2 2 2" xfId="1670"/>
    <cellStyle name="Comma 7 2 3 2 2 2 2" xfId="1671"/>
    <cellStyle name="Comma 7 2 3 2 2 3" xfId="1672"/>
    <cellStyle name="Comma 7 2 3 2 2 3 2" xfId="1673"/>
    <cellStyle name="Comma 7 2 3 2 2 4" xfId="1674"/>
    <cellStyle name="Comma 7 2 3 2 3" xfId="1675"/>
    <cellStyle name="Comma 7 2 3 2 3 2" xfId="1676"/>
    <cellStyle name="Comma 7 2 3 2 4" xfId="1677"/>
    <cellStyle name="Comma 7 2 3 2 4 2" xfId="1678"/>
    <cellStyle name="Comma 7 2 3 2 5" xfId="1679"/>
    <cellStyle name="Comma 7 2 3 3" xfId="1680"/>
    <cellStyle name="Comma 7 2 3 3 2" xfId="1681"/>
    <cellStyle name="Comma 7 2 3 3 2 2" xfId="1682"/>
    <cellStyle name="Comma 7 2 3 3 3" xfId="1683"/>
    <cellStyle name="Comma 7 2 3 3 3 2" xfId="1684"/>
    <cellStyle name="Comma 7 2 3 3 4" xfId="1685"/>
    <cellStyle name="Comma 7 2 3 4" xfId="1686"/>
    <cellStyle name="Comma 7 2 3 4 2" xfId="1687"/>
    <cellStyle name="Comma 7 2 3 5" xfId="1688"/>
    <cellStyle name="Comma 7 2 3 5 2" xfId="1689"/>
    <cellStyle name="Comma 7 2 3 6" xfId="1690"/>
    <cellStyle name="Comma 7 2 4" xfId="1691"/>
    <cellStyle name="Comma 7 2 4 2" xfId="1692"/>
    <cellStyle name="Comma 7 2 4 2 2" xfId="1693"/>
    <cellStyle name="Comma 7 2 4 2 2 2" xfId="1694"/>
    <cellStyle name="Comma 7 2 4 2 3" xfId="1695"/>
    <cellStyle name="Comma 7 2 4 2 3 2" xfId="1696"/>
    <cellStyle name="Comma 7 2 4 2 4" xfId="1697"/>
    <cellStyle name="Comma 7 2 4 3" xfId="1698"/>
    <cellStyle name="Comma 7 2 4 3 2" xfId="1699"/>
    <cellStyle name="Comma 7 2 4 4" xfId="1700"/>
    <cellStyle name="Comma 7 2 4 4 2" xfId="1701"/>
    <cellStyle name="Comma 7 2 4 5" xfId="1702"/>
    <cellStyle name="Comma 7 2 5" xfId="1703"/>
    <cellStyle name="Comma 7 2 5 2" xfId="1704"/>
    <cellStyle name="Comma 7 2 5 2 2" xfId="1705"/>
    <cellStyle name="Comma 7 2 5 3" xfId="1706"/>
    <cellStyle name="Comma 7 2 5 3 2" xfId="1707"/>
    <cellStyle name="Comma 7 2 5 4" xfId="1708"/>
    <cellStyle name="Comma 7 2 6" xfId="1709"/>
    <cellStyle name="Comma 7 2 6 2" xfId="1710"/>
    <cellStyle name="Comma 7 2 7" xfId="1711"/>
    <cellStyle name="Comma 7 2 7 2" xfId="1712"/>
    <cellStyle name="Comma 7 2 8" xfId="1713"/>
    <cellStyle name="Comma 7 2 9" xfId="1618"/>
    <cellStyle name="Comma 7 3" xfId="1714"/>
    <cellStyle name="Comma 7 3 2" xfId="1715"/>
    <cellStyle name="Comma 7 3 2 2" xfId="1716"/>
    <cellStyle name="Comma 7 3 2 2 2" xfId="1717"/>
    <cellStyle name="Comma 7 3 2 2 2 2" xfId="1718"/>
    <cellStyle name="Comma 7 3 2 2 2 2 2" xfId="1719"/>
    <cellStyle name="Comma 7 3 2 2 2 3" xfId="1720"/>
    <cellStyle name="Comma 7 3 2 2 2 3 2" xfId="1721"/>
    <cellStyle name="Comma 7 3 2 2 2 4" xfId="1722"/>
    <cellStyle name="Comma 7 3 2 2 3" xfId="1723"/>
    <cellStyle name="Comma 7 3 2 2 3 2" xfId="1724"/>
    <cellStyle name="Comma 7 3 2 2 4" xfId="1725"/>
    <cellStyle name="Comma 7 3 2 2 4 2" xfId="1726"/>
    <cellStyle name="Comma 7 3 2 2 5" xfId="1727"/>
    <cellStyle name="Comma 7 3 2 3" xfId="1728"/>
    <cellStyle name="Comma 7 3 2 3 2" xfId="1729"/>
    <cellStyle name="Comma 7 3 2 3 2 2" xfId="1730"/>
    <cellStyle name="Comma 7 3 2 3 3" xfId="1731"/>
    <cellStyle name="Comma 7 3 2 3 3 2" xfId="1732"/>
    <cellStyle name="Comma 7 3 2 3 4" xfId="1733"/>
    <cellStyle name="Comma 7 3 2 4" xfId="1734"/>
    <cellStyle name="Comma 7 3 2 4 2" xfId="1735"/>
    <cellStyle name="Comma 7 3 2 5" xfId="1736"/>
    <cellStyle name="Comma 7 3 2 5 2" xfId="1737"/>
    <cellStyle name="Comma 7 3 2 6" xfId="1738"/>
    <cellStyle name="Comma 7 3 3" xfId="1739"/>
    <cellStyle name="Comma 7 3 3 2" xfId="1740"/>
    <cellStyle name="Comma 7 3 3 2 2" xfId="1741"/>
    <cellStyle name="Comma 7 3 3 2 2 2" xfId="1742"/>
    <cellStyle name="Comma 7 3 3 2 3" xfId="1743"/>
    <cellStyle name="Comma 7 3 3 2 3 2" xfId="1744"/>
    <cellStyle name="Comma 7 3 3 2 4" xfId="1745"/>
    <cellStyle name="Comma 7 3 3 3" xfId="1746"/>
    <cellStyle name="Comma 7 3 3 3 2" xfId="1747"/>
    <cellStyle name="Comma 7 3 3 4" xfId="1748"/>
    <cellStyle name="Comma 7 3 3 4 2" xfId="1749"/>
    <cellStyle name="Comma 7 3 3 5" xfId="1750"/>
    <cellStyle name="Comma 7 3 4" xfId="1751"/>
    <cellStyle name="Comma 7 3 4 2" xfId="1752"/>
    <cellStyle name="Comma 7 3 4 2 2" xfId="1753"/>
    <cellStyle name="Comma 7 3 4 3" xfId="1754"/>
    <cellStyle name="Comma 7 3 4 3 2" xfId="1755"/>
    <cellStyle name="Comma 7 3 4 4" xfId="1756"/>
    <cellStyle name="Comma 7 3 5" xfId="1757"/>
    <cellStyle name="Comma 7 3 5 2" xfId="1758"/>
    <cellStyle name="Comma 7 3 6" xfId="1759"/>
    <cellStyle name="Comma 7 3 6 2" xfId="1760"/>
    <cellStyle name="Comma 7 3 7" xfId="1761"/>
    <cellStyle name="Comma 7 4" xfId="1762"/>
    <cellStyle name="Comma 7 4 2" xfId="1763"/>
    <cellStyle name="Comma 7 4 2 2" xfId="1764"/>
    <cellStyle name="Comma 7 4 2 2 2" xfId="1765"/>
    <cellStyle name="Comma 7 4 2 2 2 2" xfId="1766"/>
    <cellStyle name="Comma 7 4 2 2 2 2 2" xfId="1767"/>
    <cellStyle name="Comma 7 4 2 2 2 3" xfId="1768"/>
    <cellStyle name="Comma 7 4 2 2 2 3 2" xfId="1769"/>
    <cellStyle name="Comma 7 4 2 2 2 4" xfId="1770"/>
    <cellStyle name="Comma 7 4 2 2 3" xfId="1771"/>
    <cellStyle name="Comma 7 4 2 2 3 2" xfId="1772"/>
    <cellStyle name="Comma 7 4 2 2 4" xfId="1773"/>
    <cellStyle name="Comma 7 4 2 2 4 2" xfId="1774"/>
    <cellStyle name="Comma 7 4 2 2 5" xfId="1775"/>
    <cellStyle name="Comma 7 4 2 3" xfId="1776"/>
    <cellStyle name="Comma 7 4 2 3 2" xfId="1777"/>
    <cellStyle name="Comma 7 4 2 3 2 2" xfId="1778"/>
    <cellStyle name="Comma 7 4 2 3 3" xfId="1779"/>
    <cellStyle name="Comma 7 4 2 3 3 2" xfId="1780"/>
    <cellStyle name="Comma 7 4 2 3 4" xfId="1781"/>
    <cellStyle name="Comma 7 4 2 4" xfId="1782"/>
    <cellStyle name="Comma 7 4 2 4 2" xfId="1783"/>
    <cellStyle name="Comma 7 4 2 5" xfId="1784"/>
    <cellStyle name="Comma 7 4 2 5 2" xfId="1785"/>
    <cellStyle name="Comma 7 4 2 6" xfId="1786"/>
    <cellStyle name="Comma 7 4 3" xfId="1787"/>
    <cellStyle name="Comma 7 4 3 2" xfId="1788"/>
    <cellStyle name="Comma 7 4 3 2 2" xfId="1789"/>
    <cellStyle name="Comma 7 4 3 2 2 2" xfId="1790"/>
    <cellStyle name="Comma 7 4 3 2 3" xfId="1791"/>
    <cellStyle name="Comma 7 4 3 2 3 2" xfId="1792"/>
    <cellStyle name="Comma 7 4 3 2 4" xfId="1793"/>
    <cellStyle name="Comma 7 4 3 3" xfId="1794"/>
    <cellStyle name="Comma 7 4 3 3 2" xfId="1795"/>
    <cellStyle name="Comma 7 4 3 4" xfId="1796"/>
    <cellStyle name="Comma 7 4 3 4 2" xfId="1797"/>
    <cellStyle name="Comma 7 4 3 5" xfId="1798"/>
    <cellStyle name="Comma 7 4 4" xfId="1799"/>
    <cellStyle name="Comma 7 4 4 2" xfId="1800"/>
    <cellStyle name="Comma 7 4 4 2 2" xfId="1801"/>
    <cellStyle name="Comma 7 4 4 3" xfId="1802"/>
    <cellStyle name="Comma 7 4 4 3 2" xfId="1803"/>
    <cellStyle name="Comma 7 4 4 4" xfId="1804"/>
    <cellStyle name="Comma 7 4 5" xfId="1805"/>
    <cellStyle name="Comma 7 4 5 2" xfId="1806"/>
    <cellStyle name="Comma 7 4 6" xfId="1807"/>
    <cellStyle name="Comma 7 4 6 2" xfId="1808"/>
    <cellStyle name="Comma 7 4 7" xfId="1809"/>
    <cellStyle name="Comma 7 5" xfId="1810"/>
    <cellStyle name="Comma 7 5 2" xfId="1811"/>
    <cellStyle name="Comma 7 5 2 2" xfId="1812"/>
    <cellStyle name="Comma 7 5 2 2 2" xfId="1813"/>
    <cellStyle name="Comma 7 5 2 2 2 2" xfId="1814"/>
    <cellStyle name="Comma 7 5 2 2 3" xfId="1815"/>
    <cellStyle name="Comma 7 5 2 2 3 2" xfId="1816"/>
    <cellStyle name="Comma 7 5 2 2 4" xfId="1817"/>
    <cellStyle name="Comma 7 5 2 3" xfId="1818"/>
    <cellStyle name="Comma 7 5 2 3 2" xfId="1819"/>
    <cellStyle name="Comma 7 5 2 4" xfId="1820"/>
    <cellStyle name="Comma 7 5 2 4 2" xfId="1821"/>
    <cellStyle name="Comma 7 5 2 5" xfId="1822"/>
    <cellStyle name="Comma 7 5 3" xfId="1823"/>
    <cellStyle name="Comma 7 5 3 2" xfId="1824"/>
    <cellStyle name="Comma 7 5 3 2 2" xfId="1825"/>
    <cellStyle name="Comma 7 5 3 3" xfId="1826"/>
    <cellStyle name="Comma 7 5 3 3 2" xfId="1827"/>
    <cellStyle name="Comma 7 5 3 4" xfId="1828"/>
    <cellStyle name="Comma 7 5 4" xfId="1829"/>
    <cellStyle name="Comma 7 5 4 2" xfId="1830"/>
    <cellStyle name="Comma 7 5 5" xfId="1831"/>
    <cellStyle name="Comma 7 5 5 2" xfId="1832"/>
    <cellStyle name="Comma 7 5 6" xfId="1833"/>
    <cellStyle name="Comma 7 6" xfId="1834"/>
    <cellStyle name="Comma 7 6 2" xfId="1835"/>
    <cellStyle name="Comma 7 6 2 2" xfId="1836"/>
    <cellStyle name="Comma 7 6 2 2 2" xfId="1837"/>
    <cellStyle name="Comma 7 6 2 3" xfId="1838"/>
    <cellStyle name="Comma 7 6 2 3 2" xfId="1839"/>
    <cellStyle name="Comma 7 6 2 4" xfId="1840"/>
    <cellStyle name="Comma 7 6 3" xfId="1841"/>
    <cellStyle name="Comma 7 6 3 2" xfId="1842"/>
    <cellStyle name="Comma 7 6 4" xfId="1843"/>
    <cellStyle name="Comma 7 6 4 2" xfId="1844"/>
    <cellStyle name="Comma 7 6 5" xfId="1845"/>
    <cellStyle name="Comma 7 7" xfId="1846"/>
    <cellStyle name="Comma 7 7 2" xfId="1847"/>
    <cellStyle name="Comma 7 7 2 2" xfId="1848"/>
    <cellStyle name="Comma 7 7 3" xfId="1849"/>
    <cellStyle name="Comma 7 7 3 2" xfId="1850"/>
    <cellStyle name="Comma 7 7 4" xfId="1851"/>
    <cellStyle name="Comma 7 8" xfId="1852"/>
    <cellStyle name="Comma 7 8 2" xfId="1853"/>
    <cellStyle name="Comma 7 9" xfId="1854"/>
    <cellStyle name="Comma 7 9 2" xfId="1855"/>
    <cellStyle name="Comma 8" xfId="45"/>
    <cellStyle name="Comma 8 2" xfId="189"/>
    <cellStyle name="Comma 8 2 2" xfId="1857"/>
    <cellStyle name="Comma 8 2 2 2" xfId="1858"/>
    <cellStyle name="Comma 8 2 2 2 2" xfId="1859"/>
    <cellStyle name="Comma 8 2 2 2 2 2" xfId="1860"/>
    <cellStyle name="Comma 8 2 2 2 2 2 2" xfId="1861"/>
    <cellStyle name="Comma 8 2 2 2 2 3" xfId="1862"/>
    <cellStyle name="Comma 8 2 2 2 2 3 2" xfId="1863"/>
    <cellStyle name="Comma 8 2 2 2 2 4" xfId="1864"/>
    <cellStyle name="Comma 8 2 2 2 3" xfId="1865"/>
    <cellStyle name="Comma 8 2 2 2 3 2" xfId="1866"/>
    <cellStyle name="Comma 8 2 2 2 4" xfId="1867"/>
    <cellStyle name="Comma 8 2 2 2 4 2" xfId="1868"/>
    <cellStyle name="Comma 8 2 2 2 5" xfId="1869"/>
    <cellStyle name="Comma 8 2 2 3" xfId="1870"/>
    <cellStyle name="Comma 8 2 2 3 2" xfId="1871"/>
    <cellStyle name="Comma 8 2 2 3 2 2" xfId="1872"/>
    <cellStyle name="Comma 8 2 2 3 3" xfId="1873"/>
    <cellStyle name="Comma 8 2 2 3 3 2" xfId="1874"/>
    <cellStyle name="Comma 8 2 2 3 4" xfId="1875"/>
    <cellStyle name="Comma 8 2 2 4" xfId="1876"/>
    <cellStyle name="Comma 8 2 2 4 2" xfId="1877"/>
    <cellStyle name="Comma 8 2 2 5" xfId="1878"/>
    <cellStyle name="Comma 8 2 2 5 2" xfId="1879"/>
    <cellStyle name="Comma 8 2 2 6" xfId="1880"/>
    <cellStyle name="Comma 8 2 3" xfId="1881"/>
    <cellStyle name="Comma 8 2 3 2" xfId="1882"/>
    <cellStyle name="Comma 8 2 3 2 2" xfId="1883"/>
    <cellStyle name="Comma 8 2 3 2 2 2" xfId="1884"/>
    <cellStyle name="Comma 8 2 3 2 3" xfId="1885"/>
    <cellStyle name="Comma 8 2 3 2 3 2" xfId="1886"/>
    <cellStyle name="Comma 8 2 3 2 4" xfId="1887"/>
    <cellStyle name="Comma 8 2 3 3" xfId="1888"/>
    <cellStyle name="Comma 8 2 3 3 2" xfId="1889"/>
    <cellStyle name="Comma 8 2 3 4" xfId="1890"/>
    <cellStyle name="Comma 8 2 3 4 2" xfId="1891"/>
    <cellStyle name="Comma 8 2 3 5" xfId="1892"/>
    <cellStyle name="Comma 8 2 4" xfId="1893"/>
    <cellStyle name="Comma 8 2 4 2" xfId="1894"/>
    <cellStyle name="Comma 8 2 4 2 2" xfId="1895"/>
    <cellStyle name="Comma 8 2 4 3" xfId="1896"/>
    <cellStyle name="Comma 8 2 4 3 2" xfId="1897"/>
    <cellStyle name="Comma 8 2 4 4" xfId="1898"/>
    <cellStyle name="Comma 8 2 5" xfId="1899"/>
    <cellStyle name="Comma 8 2 5 2" xfId="1900"/>
    <cellStyle name="Comma 8 2 6" xfId="1901"/>
    <cellStyle name="Comma 8 2 6 2" xfId="1902"/>
    <cellStyle name="Comma 8 2 7" xfId="1903"/>
    <cellStyle name="Comma 8 2 8" xfId="1856"/>
    <cellStyle name="Comma 8 3" xfId="1904"/>
    <cellStyle name="Comma 8 3 2" xfId="1905"/>
    <cellStyle name="Comma 8 3 2 2" xfId="1906"/>
    <cellStyle name="Comma 8 3 2 2 2" xfId="1907"/>
    <cellStyle name="Comma 8 3 2 2 2 2" xfId="1908"/>
    <cellStyle name="Comma 8 3 2 2 2 2 2" xfId="1909"/>
    <cellStyle name="Comma 8 3 2 2 2 3" xfId="1910"/>
    <cellStyle name="Comma 8 3 2 2 2 3 2" xfId="1911"/>
    <cellStyle name="Comma 8 3 2 2 2 4" xfId="1912"/>
    <cellStyle name="Comma 8 3 2 2 3" xfId="1913"/>
    <cellStyle name="Comma 8 3 2 2 3 2" xfId="1914"/>
    <cellStyle name="Comma 8 3 2 2 4" xfId="1915"/>
    <cellStyle name="Comma 8 3 2 2 4 2" xfId="1916"/>
    <cellStyle name="Comma 8 3 2 2 5" xfId="1917"/>
    <cellStyle name="Comma 8 3 2 3" xfId="1918"/>
    <cellStyle name="Comma 8 3 2 3 2" xfId="1919"/>
    <cellStyle name="Comma 8 3 2 3 2 2" xfId="1920"/>
    <cellStyle name="Comma 8 3 2 3 3" xfId="1921"/>
    <cellStyle name="Comma 8 3 2 3 3 2" xfId="1922"/>
    <cellStyle name="Comma 8 3 2 3 4" xfId="1923"/>
    <cellStyle name="Comma 8 3 2 4" xfId="1924"/>
    <cellStyle name="Comma 8 3 2 4 2" xfId="1925"/>
    <cellStyle name="Comma 8 3 2 5" xfId="1926"/>
    <cellStyle name="Comma 8 3 2 5 2" xfId="1927"/>
    <cellStyle name="Comma 8 3 2 6" xfId="1928"/>
    <cellStyle name="Comma 8 3 3" xfId="1929"/>
    <cellStyle name="Comma 8 3 3 2" xfId="1930"/>
    <cellStyle name="Comma 8 3 3 2 2" xfId="1931"/>
    <cellStyle name="Comma 8 3 3 2 2 2" xfId="1932"/>
    <cellStyle name="Comma 8 3 3 2 3" xfId="1933"/>
    <cellStyle name="Comma 8 3 3 2 3 2" xfId="1934"/>
    <cellStyle name="Comma 8 3 3 2 4" xfId="1935"/>
    <cellStyle name="Comma 8 3 3 3" xfId="1936"/>
    <cellStyle name="Comma 8 3 3 3 2" xfId="1937"/>
    <cellStyle name="Comma 8 3 3 4" xfId="1938"/>
    <cellStyle name="Comma 8 3 3 4 2" xfId="1939"/>
    <cellStyle name="Comma 8 3 3 5" xfId="1940"/>
    <cellStyle name="Comma 8 3 4" xfId="1941"/>
    <cellStyle name="Comma 8 3 4 2" xfId="1942"/>
    <cellStyle name="Comma 8 3 4 2 2" xfId="1943"/>
    <cellStyle name="Comma 8 3 4 3" xfId="1944"/>
    <cellStyle name="Comma 8 3 4 3 2" xfId="1945"/>
    <cellStyle name="Comma 8 3 4 4" xfId="1946"/>
    <cellStyle name="Comma 8 3 5" xfId="1947"/>
    <cellStyle name="Comma 8 3 5 2" xfId="1948"/>
    <cellStyle name="Comma 8 3 6" xfId="1949"/>
    <cellStyle name="Comma 8 3 6 2" xfId="1950"/>
    <cellStyle name="Comma 8 3 7" xfId="1951"/>
    <cellStyle name="Comma 8 4" xfId="1952"/>
    <cellStyle name="Comma 8 4 2" xfId="1953"/>
    <cellStyle name="Comma 8 4 2 2" xfId="1954"/>
    <cellStyle name="Comma 8 4 2 2 2" xfId="1955"/>
    <cellStyle name="Comma 8 4 2 2 2 2" xfId="1956"/>
    <cellStyle name="Comma 8 4 2 2 3" xfId="1957"/>
    <cellStyle name="Comma 8 4 2 2 3 2" xfId="1958"/>
    <cellStyle name="Comma 8 4 2 2 4" xfId="1959"/>
    <cellStyle name="Comma 8 4 2 3" xfId="1960"/>
    <cellStyle name="Comma 8 4 2 3 2" xfId="1961"/>
    <cellStyle name="Comma 8 4 2 4" xfId="1962"/>
    <cellStyle name="Comma 8 4 2 4 2" xfId="1963"/>
    <cellStyle name="Comma 8 4 2 5" xfId="1964"/>
    <cellStyle name="Comma 8 4 3" xfId="1965"/>
    <cellStyle name="Comma 8 4 3 2" xfId="1966"/>
    <cellStyle name="Comma 8 4 3 2 2" xfId="1967"/>
    <cellStyle name="Comma 8 4 3 3" xfId="1968"/>
    <cellStyle name="Comma 8 4 3 3 2" xfId="1969"/>
    <cellStyle name="Comma 8 4 3 4" xfId="1970"/>
    <cellStyle name="Comma 8 4 4" xfId="1971"/>
    <cellStyle name="Comma 8 4 4 2" xfId="1972"/>
    <cellStyle name="Comma 8 4 5" xfId="1973"/>
    <cellStyle name="Comma 8 4 5 2" xfId="1974"/>
    <cellStyle name="Comma 8 4 6" xfId="1975"/>
    <cellStyle name="Comma 8 5" xfId="1976"/>
    <cellStyle name="Comma 8 5 2" xfId="1977"/>
    <cellStyle name="Comma 8 5 2 2" xfId="1978"/>
    <cellStyle name="Comma 8 5 2 2 2" xfId="1979"/>
    <cellStyle name="Comma 8 5 2 3" xfId="1980"/>
    <cellStyle name="Comma 8 5 2 3 2" xfId="1981"/>
    <cellStyle name="Comma 8 5 2 4" xfId="1982"/>
    <cellStyle name="Comma 8 5 3" xfId="1983"/>
    <cellStyle name="Comma 8 5 3 2" xfId="1984"/>
    <cellStyle name="Comma 8 5 4" xfId="1985"/>
    <cellStyle name="Comma 8 5 4 2" xfId="1986"/>
    <cellStyle name="Comma 8 5 5" xfId="1987"/>
    <cellStyle name="Comma 8 6" xfId="1988"/>
    <cellStyle name="Comma 8 6 2" xfId="1989"/>
    <cellStyle name="Comma 8 6 2 2" xfId="1990"/>
    <cellStyle name="Comma 8 6 3" xfId="1991"/>
    <cellStyle name="Comma 8 6 3 2" xfId="1992"/>
    <cellStyle name="Comma 8 6 4" xfId="1993"/>
    <cellStyle name="Comma 8 7" xfId="1994"/>
    <cellStyle name="Comma 8 7 2" xfId="1995"/>
    <cellStyle name="Comma 8 8" xfId="1996"/>
    <cellStyle name="Comma 8 8 2" xfId="1997"/>
    <cellStyle name="Comma 8 9" xfId="1998"/>
    <cellStyle name="Comma 9" xfId="46"/>
    <cellStyle name="Comma 9 2" xfId="190"/>
    <cellStyle name="Comma(2)" xfId="47"/>
    <cellStyle name="Comma0" xfId="1999"/>
    <cellStyle name="Comma0 - Style2" xfId="48"/>
    <cellStyle name="Comma1 - Style1" xfId="49"/>
    <cellStyle name="Comments" xfId="50"/>
    <cellStyle name="Currency 10" xfId="2000"/>
    <cellStyle name="Currency 10 2" xfId="2001"/>
    <cellStyle name="Currency 10 2 2" xfId="2002"/>
    <cellStyle name="Currency 10 2 2 2" xfId="2003"/>
    <cellStyle name="Currency 10 2 2 2 2" xfId="2004"/>
    <cellStyle name="Currency 10 2 2 2 2 2" xfId="2005"/>
    <cellStyle name="Currency 10 2 2 2 3" xfId="2006"/>
    <cellStyle name="Currency 10 2 2 2 3 2" xfId="2007"/>
    <cellStyle name="Currency 10 2 2 2 4" xfId="2008"/>
    <cellStyle name="Currency 10 2 2 3" xfId="2009"/>
    <cellStyle name="Currency 10 2 2 3 2" xfId="2010"/>
    <cellStyle name="Currency 10 2 2 4" xfId="2011"/>
    <cellStyle name="Currency 10 2 2 4 2" xfId="2012"/>
    <cellStyle name="Currency 10 2 2 5" xfId="2013"/>
    <cellStyle name="Currency 10 2 3" xfId="2014"/>
    <cellStyle name="Currency 10 2 3 2" xfId="2015"/>
    <cellStyle name="Currency 10 2 3 2 2" xfId="2016"/>
    <cellStyle name="Currency 10 2 3 3" xfId="2017"/>
    <cellStyle name="Currency 10 2 3 3 2" xfId="2018"/>
    <cellStyle name="Currency 10 2 3 4" xfId="2019"/>
    <cellStyle name="Currency 10 2 4" xfId="2020"/>
    <cellStyle name="Currency 10 2 4 2" xfId="2021"/>
    <cellStyle name="Currency 10 2 5" xfId="2022"/>
    <cellStyle name="Currency 10 2 5 2" xfId="2023"/>
    <cellStyle name="Currency 10 2 6" xfId="2024"/>
    <cellStyle name="Currency 10 3" xfId="2025"/>
    <cellStyle name="Currency 10 4" xfId="2026"/>
    <cellStyle name="Currency 11" xfId="2027"/>
    <cellStyle name="Currency 11 2" xfId="2028"/>
    <cellStyle name="Currency 11 2 2" xfId="2029"/>
    <cellStyle name="Currency 11 3" xfId="2030"/>
    <cellStyle name="Currency 11 4" xfId="2031"/>
    <cellStyle name="Currency 11 5" xfId="2032"/>
    <cellStyle name="Currency 12" xfId="2033"/>
    <cellStyle name="Currency 12 2" xfId="2034"/>
    <cellStyle name="Currency 12 2 2" xfId="2035"/>
    <cellStyle name="Currency 12 3" xfId="2036"/>
    <cellStyle name="Currency 13" xfId="2037"/>
    <cellStyle name="Currency 14" xfId="2038"/>
    <cellStyle name="Currency 14 2" xfId="2039"/>
    <cellStyle name="Currency 15" xfId="2040"/>
    <cellStyle name="Currency 16" xfId="2041"/>
    <cellStyle name="Currency 17" xfId="2042"/>
    <cellStyle name="Currency 18" xfId="2043"/>
    <cellStyle name="Currency 19" xfId="2044"/>
    <cellStyle name="Currency 2" xfId="51"/>
    <cellStyle name="Currency 2 2" xfId="52"/>
    <cellStyle name="Currency 2 2 2" xfId="192"/>
    <cellStyle name="Currency 2 2 2 2" xfId="2046"/>
    <cellStyle name="Currency 2 2 2 3" xfId="2047"/>
    <cellStyle name="Currency 2 2 2 4" xfId="2048"/>
    <cellStyle name="Currency 2 2 2 5" xfId="2049"/>
    <cellStyle name="Currency 2 2 2 6" xfId="2050"/>
    <cellStyle name="Currency 2 2 3" xfId="2051"/>
    <cellStyle name="Currency 2 2 3 2" xfId="2052"/>
    <cellStyle name="Currency 2 2 3 3" xfId="2053"/>
    <cellStyle name="Currency 2 2 4" xfId="2054"/>
    <cellStyle name="Currency 2 2 4 2" xfId="2055"/>
    <cellStyle name="Currency 2 2 4 3" xfId="2056"/>
    <cellStyle name="Currency 2 2 5" xfId="2057"/>
    <cellStyle name="Currency 2 2 6" xfId="2058"/>
    <cellStyle name="Currency 2 2 7" xfId="2059"/>
    <cellStyle name="Currency 2 2 8" xfId="2060"/>
    <cellStyle name="Currency 2 3" xfId="193"/>
    <cellStyle name="Currency 2 3 2" xfId="2062"/>
    <cellStyle name="Currency 2 3 2 2" xfId="2063"/>
    <cellStyle name="Currency 2 3 2 3" xfId="2064"/>
    <cellStyle name="Currency 2 3 2 4" xfId="2065"/>
    <cellStyle name="Currency 2 3 2 5" xfId="2066"/>
    <cellStyle name="Currency 2 3 2 6" xfId="2067"/>
    <cellStyle name="Currency 2 3 3" xfId="2068"/>
    <cellStyle name="Currency 2 3 3 2" xfId="2069"/>
    <cellStyle name="Currency 2 3 3 3" xfId="2070"/>
    <cellStyle name="Currency 2 3 3 4" xfId="2071"/>
    <cellStyle name="Currency 2 3 3 5" xfId="2072"/>
    <cellStyle name="Currency 2 3 4" xfId="2073"/>
    <cellStyle name="Currency 2 3 4 2" xfId="2074"/>
    <cellStyle name="Currency 2 3 4 3" xfId="2075"/>
    <cellStyle name="Currency 2 3 5" xfId="2076"/>
    <cellStyle name="Currency 2 3 6" xfId="2077"/>
    <cellStyle name="Currency 2 3 7" xfId="2078"/>
    <cellStyle name="Currency 2 3 8" xfId="2061"/>
    <cellStyle name="Currency 2 4" xfId="194"/>
    <cellStyle name="Currency 2 4 2" xfId="2080"/>
    <cellStyle name="Currency 2 4 2 2" xfId="2081"/>
    <cellStyle name="Currency 2 4 2 3" xfId="2082"/>
    <cellStyle name="Currency 2 4 2 4" xfId="2083"/>
    <cellStyle name="Currency 2 4 2 5" xfId="2084"/>
    <cellStyle name="Currency 2 4 3" xfId="2085"/>
    <cellStyle name="Currency 2 4 3 2" xfId="2086"/>
    <cellStyle name="Currency 2 4 3 3" xfId="2087"/>
    <cellStyle name="Currency 2 4 4" xfId="2088"/>
    <cellStyle name="Currency 2 4 4 2" xfId="2089"/>
    <cellStyle name="Currency 2 4 4 3" xfId="2090"/>
    <cellStyle name="Currency 2 4 5" xfId="2091"/>
    <cellStyle name="Currency 2 4 6" xfId="2092"/>
    <cellStyle name="Currency 2 4 7" xfId="2093"/>
    <cellStyle name="Currency 2 4 8" xfId="2094"/>
    <cellStyle name="Currency 2 4 9" xfId="2079"/>
    <cellStyle name="Currency 2 5" xfId="2095"/>
    <cellStyle name="Currency 2 5 2" xfId="2096"/>
    <cellStyle name="Currency 2 5 3" xfId="2097"/>
    <cellStyle name="Currency 2 6" xfId="2098"/>
    <cellStyle name="Currency 2 6 2" xfId="2099"/>
    <cellStyle name="Currency 2 6 3" xfId="2100"/>
    <cellStyle name="Currency 2 7" xfId="2101"/>
    <cellStyle name="Currency 2 8" xfId="2045"/>
    <cellStyle name="Currency 3" xfId="53"/>
    <cellStyle name="Currency 3 10" xfId="2102"/>
    <cellStyle name="Currency 3 2" xfId="2103"/>
    <cellStyle name="Currency 3 2 2" xfId="2104"/>
    <cellStyle name="Currency 3 2 2 2" xfId="2105"/>
    <cellStyle name="Currency 3 2 2 2 2" xfId="2106"/>
    <cellStyle name="Currency 3 2 2 2 2 2" xfId="2107"/>
    <cellStyle name="Currency 3 2 2 2 2 2 2" xfId="2108"/>
    <cellStyle name="Currency 3 2 2 2 2 2 2 2" xfId="2109"/>
    <cellStyle name="Currency 3 2 2 2 2 2 3" xfId="2110"/>
    <cellStyle name="Currency 3 2 2 2 2 2 3 2" xfId="2111"/>
    <cellStyle name="Currency 3 2 2 2 2 2 4" xfId="2112"/>
    <cellStyle name="Currency 3 2 2 2 2 3" xfId="2113"/>
    <cellStyle name="Currency 3 2 2 2 2 3 2" xfId="2114"/>
    <cellStyle name="Currency 3 2 2 2 2 4" xfId="2115"/>
    <cellStyle name="Currency 3 2 2 2 2 4 2" xfId="2116"/>
    <cellStyle name="Currency 3 2 2 2 2 5" xfId="2117"/>
    <cellStyle name="Currency 3 2 2 2 3" xfId="2118"/>
    <cellStyle name="Currency 3 2 2 2 3 2" xfId="2119"/>
    <cellStyle name="Currency 3 2 2 2 3 2 2" xfId="2120"/>
    <cellStyle name="Currency 3 2 2 2 3 3" xfId="2121"/>
    <cellStyle name="Currency 3 2 2 2 3 3 2" xfId="2122"/>
    <cellStyle name="Currency 3 2 2 2 3 4" xfId="2123"/>
    <cellStyle name="Currency 3 2 2 2 4" xfId="2124"/>
    <cellStyle name="Currency 3 2 2 2 4 2" xfId="2125"/>
    <cellStyle name="Currency 3 2 2 2 5" xfId="2126"/>
    <cellStyle name="Currency 3 2 2 2 5 2" xfId="2127"/>
    <cellStyle name="Currency 3 2 2 2 6" xfId="2128"/>
    <cellStyle name="Currency 3 2 2 3" xfId="2129"/>
    <cellStyle name="Currency 3 2 2 3 2" xfId="2130"/>
    <cellStyle name="Currency 3 2 2 3 2 2" xfId="2131"/>
    <cellStyle name="Currency 3 2 2 3 2 2 2" xfId="2132"/>
    <cellStyle name="Currency 3 2 2 3 2 3" xfId="2133"/>
    <cellStyle name="Currency 3 2 2 3 2 3 2" xfId="2134"/>
    <cellStyle name="Currency 3 2 2 3 2 4" xfId="2135"/>
    <cellStyle name="Currency 3 2 2 3 3" xfId="2136"/>
    <cellStyle name="Currency 3 2 2 3 3 2" xfId="2137"/>
    <cellStyle name="Currency 3 2 2 3 4" xfId="2138"/>
    <cellStyle name="Currency 3 2 2 3 4 2" xfId="2139"/>
    <cellStyle name="Currency 3 2 2 3 5" xfId="2140"/>
    <cellStyle name="Currency 3 2 2 4" xfId="2141"/>
    <cellStyle name="Currency 3 2 2 4 2" xfId="2142"/>
    <cellStyle name="Currency 3 2 2 4 2 2" xfId="2143"/>
    <cellStyle name="Currency 3 2 2 4 3" xfId="2144"/>
    <cellStyle name="Currency 3 2 2 4 3 2" xfId="2145"/>
    <cellStyle name="Currency 3 2 2 4 4" xfId="2146"/>
    <cellStyle name="Currency 3 2 2 5" xfId="2147"/>
    <cellStyle name="Currency 3 2 2 5 2" xfId="2148"/>
    <cellStyle name="Currency 3 2 2 6" xfId="2149"/>
    <cellStyle name="Currency 3 2 2 6 2" xfId="2150"/>
    <cellStyle name="Currency 3 2 2 7" xfId="2151"/>
    <cellStyle name="Currency 3 2 3" xfId="2152"/>
    <cellStyle name="Currency 3 2 3 2" xfId="2153"/>
    <cellStyle name="Currency 3 2 3 2 2" xfId="2154"/>
    <cellStyle name="Currency 3 2 3 2 2 2" xfId="2155"/>
    <cellStyle name="Currency 3 2 3 2 2 2 2" xfId="2156"/>
    <cellStyle name="Currency 3 2 3 2 2 3" xfId="2157"/>
    <cellStyle name="Currency 3 2 3 2 2 3 2" xfId="2158"/>
    <cellStyle name="Currency 3 2 3 2 2 4" xfId="2159"/>
    <cellStyle name="Currency 3 2 3 2 3" xfId="2160"/>
    <cellStyle name="Currency 3 2 3 2 3 2" xfId="2161"/>
    <cellStyle name="Currency 3 2 3 2 4" xfId="2162"/>
    <cellStyle name="Currency 3 2 3 2 4 2" xfId="2163"/>
    <cellStyle name="Currency 3 2 3 2 5" xfId="2164"/>
    <cellStyle name="Currency 3 2 3 3" xfId="2165"/>
    <cellStyle name="Currency 3 2 3 3 2" xfId="2166"/>
    <cellStyle name="Currency 3 2 3 3 2 2" xfId="2167"/>
    <cellStyle name="Currency 3 2 3 3 3" xfId="2168"/>
    <cellStyle name="Currency 3 2 3 3 3 2" xfId="2169"/>
    <cellStyle name="Currency 3 2 3 3 4" xfId="2170"/>
    <cellStyle name="Currency 3 2 3 4" xfId="2171"/>
    <cellStyle name="Currency 3 2 3 4 2" xfId="2172"/>
    <cellStyle name="Currency 3 2 3 5" xfId="2173"/>
    <cellStyle name="Currency 3 2 3 5 2" xfId="2174"/>
    <cellStyle name="Currency 3 2 3 6" xfId="2175"/>
    <cellStyle name="Currency 3 2 4" xfId="2176"/>
    <cellStyle name="Currency 3 2 4 2" xfId="2177"/>
    <cellStyle name="Currency 3 2 4 2 2" xfId="2178"/>
    <cellStyle name="Currency 3 2 4 2 2 2" xfId="2179"/>
    <cellStyle name="Currency 3 2 4 2 3" xfId="2180"/>
    <cellStyle name="Currency 3 2 4 2 3 2" xfId="2181"/>
    <cellStyle name="Currency 3 2 4 2 4" xfId="2182"/>
    <cellStyle name="Currency 3 2 4 3" xfId="2183"/>
    <cellStyle name="Currency 3 2 4 3 2" xfId="2184"/>
    <cellStyle name="Currency 3 2 4 4" xfId="2185"/>
    <cellStyle name="Currency 3 2 4 4 2" xfId="2186"/>
    <cellStyle name="Currency 3 2 4 5" xfId="2187"/>
    <cellStyle name="Currency 3 2 5" xfId="2188"/>
    <cellStyle name="Currency 3 2 5 2" xfId="2189"/>
    <cellStyle name="Currency 3 2 5 2 2" xfId="2190"/>
    <cellStyle name="Currency 3 2 5 3" xfId="2191"/>
    <cellStyle name="Currency 3 2 5 3 2" xfId="2192"/>
    <cellStyle name="Currency 3 2 5 4" xfId="2193"/>
    <cellStyle name="Currency 3 2 6" xfId="2194"/>
    <cellStyle name="Currency 3 2 6 2" xfId="2195"/>
    <cellStyle name="Currency 3 2 7" xfId="2196"/>
    <cellStyle name="Currency 3 2 7 2" xfId="2197"/>
    <cellStyle name="Currency 3 2 8" xfId="2198"/>
    <cellStyle name="Currency 3 3" xfId="2199"/>
    <cellStyle name="Currency 3 3 2" xfId="2200"/>
    <cellStyle name="Currency 3 3 2 2" xfId="2201"/>
    <cellStyle name="Currency 3 3 2 2 2" xfId="2202"/>
    <cellStyle name="Currency 3 3 2 2 2 2" xfId="2203"/>
    <cellStyle name="Currency 3 3 2 2 2 2 2" xfId="2204"/>
    <cellStyle name="Currency 3 3 2 2 2 3" xfId="2205"/>
    <cellStyle name="Currency 3 3 2 2 2 3 2" xfId="2206"/>
    <cellStyle name="Currency 3 3 2 2 2 4" xfId="2207"/>
    <cellStyle name="Currency 3 3 2 2 3" xfId="2208"/>
    <cellStyle name="Currency 3 3 2 2 3 2" xfId="2209"/>
    <cellStyle name="Currency 3 3 2 2 4" xfId="2210"/>
    <cellStyle name="Currency 3 3 2 2 4 2" xfId="2211"/>
    <cellStyle name="Currency 3 3 2 2 5" xfId="2212"/>
    <cellStyle name="Currency 3 3 2 3" xfId="2213"/>
    <cellStyle name="Currency 3 3 2 3 2" xfId="2214"/>
    <cellStyle name="Currency 3 3 2 3 2 2" xfId="2215"/>
    <cellStyle name="Currency 3 3 2 3 3" xfId="2216"/>
    <cellStyle name="Currency 3 3 2 3 3 2" xfId="2217"/>
    <cellStyle name="Currency 3 3 2 3 4" xfId="2218"/>
    <cellStyle name="Currency 3 3 2 4" xfId="2219"/>
    <cellStyle name="Currency 3 3 2 4 2" xfId="2220"/>
    <cellStyle name="Currency 3 3 2 5" xfId="2221"/>
    <cellStyle name="Currency 3 3 2 5 2" xfId="2222"/>
    <cellStyle name="Currency 3 3 2 6" xfId="2223"/>
    <cellStyle name="Currency 3 3 3" xfId="2224"/>
    <cellStyle name="Currency 3 3 3 2" xfId="2225"/>
    <cellStyle name="Currency 3 3 3 2 2" xfId="2226"/>
    <cellStyle name="Currency 3 3 3 2 2 2" xfId="2227"/>
    <cellStyle name="Currency 3 3 3 2 3" xfId="2228"/>
    <cellStyle name="Currency 3 3 3 2 3 2" xfId="2229"/>
    <cellStyle name="Currency 3 3 3 2 4" xfId="2230"/>
    <cellStyle name="Currency 3 3 3 3" xfId="2231"/>
    <cellStyle name="Currency 3 3 3 3 2" xfId="2232"/>
    <cellStyle name="Currency 3 3 3 4" xfId="2233"/>
    <cellStyle name="Currency 3 3 3 4 2" xfId="2234"/>
    <cellStyle name="Currency 3 3 3 5" xfId="2235"/>
    <cellStyle name="Currency 3 3 4" xfId="2236"/>
    <cellStyle name="Currency 3 3 4 2" xfId="2237"/>
    <cellStyle name="Currency 3 3 4 2 2" xfId="2238"/>
    <cellStyle name="Currency 3 3 4 3" xfId="2239"/>
    <cellStyle name="Currency 3 3 4 3 2" xfId="2240"/>
    <cellStyle name="Currency 3 3 4 4" xfId="2241"/>
    <cellStyle name="Currency 3 3 5" xfId="2242"/>
    <cellStyle name="Currency 3 3 5 2" xfId="2243"/>
    <cellStyle name="Currency 3 3 6" xfId="2244"/>
    <cellStyle name="Currency 3 3 6 2" xfId="2245"/>
    <cellStyle name="Currency 3 3 7" xfId="2246"/>
    <cellStyle name="Currency 3 4" xfId="2247"/>
    <cellStyle name="Currency 3 4 2" xfId="2248"/>
    <cellStyle name="Currency 3 4 2 2" xfId="2249"/>
    <cellStyle name="Currency 3 4 2 2 2" xfId="2250"/>
    <cellStyle name="Currency 3 4 2 2 2 2" xfId="2251"/>
    <cellStyle name="Currency 3 4 2 2 2 2 2" xfId="2252"/>
    <cellStyle name="Currency 3 4 2 2 2 3" xfId="2253"/>
    <cellStyle name="Currency 3 4 2 2 2 3 2" xfId="2254"/>
    <cellStyle name="Currency 3 4 2 2 2 4" xfId="2255"/>
    <cellStyle name="Currency 3 4 2 2 3" xfId="2256"/>
    <cellStyle name="Currency 3 4 2 2 3 2" xfId="2257"/>
    <cellStyle name="Currency 3 4 2 2 4" xfId="2258"/>
    <cellStyle name="Currency 3 4 2 2 4 2" xfId="2259"/>
    <cellStyle name="Currency 3 4 2 2 5" xfId="2260"/>
    <cellStyle name="Currency 3 4 2 3" xfId="2261"/>
    <cellStyle name="Currency 3 4 2 3 2" xfId="2262"/>
    <cellStyle name="Currency 3 4 2 3 2 2" xfId="2263"/>
    <cellStyle name="Currency 3 4 2 3 3" xfId="2264"/>
    <cellStyle name="Currency 3 4 2 3 3 2" xfId="2265"/>
    <cellStyle name="Currency 3 4 2 3 4" xfId="2266"/>
    <cellStyle name="Currency 3 4 2 4" xfId="2267"/>
    <cellStyle name="Currency 3 4 2 4 2" xfId="2268"/>
    <cellStyle name="Currency 3 4 2 5" xfId="2269"/>
    <cellStyle name="Currency 3 4 2 5 2" xfId="2270"/>
    <cellStyle name="Currency 3 4 2 6" xfId="2271"/>
    <cellStyle name="Currency 3 4 3" xfId="2272"/>
    <cellStyle name="Currency 3 4 3 2" xfId="2273"/>
    <cellStyle name="Currency 3 4 3 2 2" xfId="2274"/>
    <cellStyle name="Currency 3 4 3 2 2 2" xfId="2275"/>
    <cellStyle name="Currency 3 4 3 2 3" xfId="2276"/>
    <cellStyle name="Currency 3 4 3 2 3 2" xfId="2277"/>
    <cellStyle name="Currency 3 4 3 2 4" xfId="2278"/>
    <cellStyle name="Currency 3 4 3 3" xfId="2279"/>
    <cellStyle name="Currency 3 4 3 3 2" xfId="2280"/>
    <cellStyle name="Currency 3 4 3 4" xfId="2281"/>
    <cellStyle name="Currency 3 4 3 4 2" xfId="2282"/>
    <cellStyle name="Currency 3 4 3 5" xfId="2283"/>
    <cellStyle name="Currency 3 4 4" xfId="2284"/>
    <cellStyle name="Currency 3 4 4 2" xfId="2285"/>
    <cellStyle name="Currency 3 4 4 2 2" xfId="2286"/>
    <cellStyle name="Currency 3 4 4 3" xfId="2287"/>
    <cellStyle name="Currency 3 4 4 3 2" xfId="2288"/>
    <cellStyle name="Currency 3 4 4 4" xfId="2289"/>
    <cellStyle name="Currency 3 4 5" xfId="2290"/>
    <cellStyle name="Currency 3 4 5 2" xfId="2291"/>
    <cellStyle name="Currency 3 4 6" xfId="2292"/>
    <cellStyle name="Currency 3 4 6 2" xfId="2293"/>
    <cellStyle name="Currency 3 4 7" xfId="2294"/>
    <cellStyle name="Currency 3 5" xfId="2295"/>
    <cellStyle name="Currency 3 5 2" xfId="2296"/>
    <cellStyle name="Currency 3 5 2 2" xfId="2297"/>
    <cellStyle name="Currency 3 5 2 2 2" xfId="2298"/>
    <cellStyle name="Currency 3 5 2 2 2 2" xfId="2299"/>
    <cellStyle name="Currency 3 5 2 2 3" xfId="2300"/>
    <cellStyle name="Currency 3 5 2 2 3 2" xfId="2301"/>
    <cellStyle name="Currency 3 5 2 2 4" xfId="2302"/>
    <cellStyle name="Currency 3 5 2 3" xfId="2303"/>
    <cellStyle name="Currency 3 5 2 3 2" xfId="2304"/>
    <cellStyle name="Currency 3 5 2 4" xfId="2305"/>
    <cellStyle name="Currency 3 5 2 4 2" xfId="2306"/>
    <cellStyle name="Currency 3 5 2 5" xfId="2307"/>
    <cellStyle name="Currency 3 5 3" xfId="2308"/>
    <cellStyle name="Currency 3 5 3 2" xfId="2309"/>
    <cellStyle name="Currency 3 5 3 2 2" xfId="2310"/>
    <cellStyle name="Currency 3 5 3 3" xfId="2311"/>
    <cellStyle name="Currency 3 5 3 3 2" xfId="2312"/>
    <cellStyle name="Currency 3 5 3 4" xfId="2313"/>
    <cellStyle name="Currency 3 5 4" xfId="2314"/>
    <cellStyle name="Currency 3 5 4 2" xfId="2315"/>
    <cellStyle name="Currency 3 5 5" xfId="2316"/>
    <cellStyle name="Currency 3 5 5 2" xfId="2317"/>
    <cellStyle name="Currency 3 5 6" xfId="2318"/>
    <cellStyle name="Currency 3 6" xfId="2319"/>
    <cellStyle name="Currency 3 6 2" xfId="2320"/>
    <cellStyle name="Currency 3 6 2 2" xfId="2321"/>
    <cellStyle name="Currency 3 6 2 2 2" xfId="2322"/>
    <cellStyle name="Currency 3 6 2 3" xfId="2323"/>
    <cellStyle name="Currency 3 6 2 3 2" xfId="2324"/>
    <cellStyle name="Currency 3 6 2 4" xfId="2325"/>
    <cellStyle name="Currency 3 6 3" xfId="2326"/>
    <cellStyle name="Currency 3 6 3 2" xfId="2327"/>
    <cellStyle name="Currency 3 6 4" xfId="2328"/>
    <cellStyle name="Currency 3 6 4 2" xfId="2329"/>
    <cellStyle name="Currency 3 6 5" xfId="2330"/>
    <cellStyle name="Currency 3 7" xfId="2331"/>
    <cellStyle name="Currency 3 7 2" xfId="2332"/>
    <cellStyle name="Currency 3 7 2 2" xfId="2333"/>
    <cellStyle name="Currency 3 7 3" xfId="2334"/>
    <cellStyle name="Currency 3 7 3 2" xfId="2335"/>
    <cellStyle name="Currency 3 7 4" xfId="2336"/>
    <cellStyle name="Currency 3 8" xfId="2337"/>
    <cellStyle name="Currency 3 8 2" xfId="2338"/>
    <cellStyle name="Currency 3 9" xfId="2339"/>
    <cellStyle name="Currency 3 9 2" xfId="2340"/>
    <cellStyle name="Currency 4" xfId="54"/>
    <cellStyle name="Currency 4 10" xfId="2341"/>
    <cellStyle name="Currency 4 2" xfId="2342"/>
    <cellStyle name="Currency 4 2 2" xfId="2343"/>
    <cellStyle name="Currency 4 2 2 2" xfId="2344"/>
    <cellStyle name="Currency 4 2 2 2 2" xfId="2345"/>
    <cellStyle name="Currency 4 2 2 2 2 2" xfId="2346"/>
    <cellStyle name="Currency 4 2 2 2 2 2 2" xfId="2347"/>
    <cellStyle name="Currency 4 2 2 2 2 2 2 2" xfId="2348"/>
    <cellStyle name="Currency 4 2 2 2 2 2 3" xfId="2349"/>
    <cellStyle name="Currency 4 2 2 2 2 2 3 2" xfId="2350"/>
    <cellStyle name="Currency 4 2 2 2 2 2 4" xfId="2351"/>
    <cellStyle name="Currency 4 2 2 2 2 3" xfId="2352"/>
    <cellStyle name="Currency 4 2 2 2 2 3 2" xfId="2353"/>
    <cellStyle name="Currency 4 2 2 2 2 4" xfId="2354"/>
    <cellStyle name="Currency 4 2 2 2 2 4 2" xfId="2355"/>
    <cellStyle name="Currency 4 2 2 2 2 5" xfId="2356"/>
    <cellStyle name="Currency 4 2 2 2 3" xfId="2357"/>
    <cellStyle name="Currency 4 2 2 2 3 2" xfId="2358"/>
    <cellStyle name="Currency 4 2 2 2 3 2 2" xfId="2359"/>
    <cellStyle name="Currency 4 2 2 2 3 3" xfId="2360"/>
    <cellStyle name="Currency 4 2 2 2 3 3 2" xfId="2361"/>
    <cellStyle name="Currency 4 2 2 2 3 4" xfId="2362"/>
    <cellStyle name="Currency 4 2 2 2 4" xfId="2363"/>
    <cellStyle name="Currency 4 2 2 2 4 2" xfId="2364"/>
    <cellStyle name="Currency 4 2 2 2 5" xfId="2365"/>
    <cellStyle name="Currency 4 2 2 2 5 2" xfId="2366"/>
    <cellStyle name="Currency 4 2 2 2 6" xfId="2367"/>
    <cellStyle name="Currency 4 2 2 3" xfId="2368"/>
    <cellStyle name="Currency 4 2 2 3 2" xfId="2369"/>
    <cellStyle name="Currency 4 2 2 3 2 2" xfId="2370"/>
    <cellStyle name="Currency 4 2 2 3 2 2 2" xfId="2371"/>
    <cellStyle name="Currency 4 2 2 3 2 3" xfId="2372"/>
    <cellStyle name="Currency 4 2 2 3 2 3 2" xfId="2373"/>
    <cellStyle name="Currency 4 2 2 3 2 4" xfId="2374"/>
    <cellStyle name="Currency 4 2 2 3 3" xfId="2375"/>
    <cellStyle name="Currency 4 2 2 3 3 2" xfId="2376"/>
    <cellStyle name="Currency 4 2 2 3 4" xfId="2377"/>
    <cellStyle name="Currency 4 2 2 3 4 2" xfId="2378"/>
    <cellStyle name="Currency 4 2 2 3 5" xfId="2379"/>
    <cellStyle name="Currency 4 2 2 4" xfId="2380"/>
    <cellStyle name="Currency 4 2 2 4 2" xfId="2381"/>
    <cellStyle name="Currency 4 2 2 4 2 2" xfId="2382"/>
    <cellStyle name="Currency 4 2 2 4 3" xfId="2383"/>
    <cellStyle name="Currency 4 2 2 4 3 2" xfId="2384"/>
    <cellStyle name="Currency 4 2 2 4 4" xfId="2385"/>
    <cellStyle name="Currency 4 2 2 5" xfId="2386"/>
    <cellStyle name="Currency 4 2 2 5 2" xfId="2387"/>
    <cellStyle name="Currency 4 2 2 6" xfId="2388"/>
    <cellStyle name="Currency 4 2 2 6 2" xfId="2389"/>
    <cellStyle name="Currency 4 2 2 7" xfId="2390"/>
    <cellStyle name="Currency 4 2 3" xfId="2391"/>
    <cellStyle name="Currency 4 2 3 2" xfId="2392"/>
    <cellStyle name="Currency 4 2 3 2 2" xfId="2393"/>
    <cellStyle name="Currency 4 2 3 2 2 2" xfId="2394"/>
    <cellStyle name="Currency 4 2 3 2 2 2 2" xfId="2395"/>
    <cellStyle name="Currency 4 2 3 2 2 3" xfId="2396"/>
    <cellStyle name="Currency 4 2 3 2 2 3 2" xfId="2397"/>
    <cellStyle name="Currency 4 2 3 2 2 4" xfId="2398"/>
    <cellStyle name="Currency 4 2 3 2 3" xfId="2399"/>
    <cellStyle name="Currency 4 2 3 2 3 2" xfId="2400"/>
    <cellStyle name="Currency 4 2 3 2 4" xfId="2401"/>
    <cellStyle name="Currency 4 2 3 2 4 2" xfId="2402"/>
    <cellStyle name="Currency 4 2 3 2 5" xfId="2403"/>
    <cellStyle name="Currency 4 2 3 3" xfId="2404"/>
    <cellStyle name="Currency 4 2 3 3 2" xfId="2405"/>
    <cellStyle name="Currency 4 2 3 3 2 2" xfId="2406"/>
    <cellStyle name="Currency 4 2 3 3 3" xfId="2407"/>
    <cellStyle name="Currency 4 2 3 3 3 2" xfId="2408"/>
    <cellStyle name="Currency 4 2 3 3 4" xfId="2409"/>
    <cellStyle name="Currency 4 2 3 4" xfId="2410"/>
    <cellStyle name="Currency 4 2 3 4 2" xfId="2411"/>
    <cellStyle name="Currency 4 2 3 5" xfId="2412"/>
    <cellStyle name="Currency 4 2 3 5 2" xfId="2413"/>
    <cellStyle name="Currency 4 2 3 6" xfId="2414"/>
    <cellStyle name="Currency 4 2 4" xfId="2415"/>
    <cellStyle name="Currency 4 2 4 2" xfId="2416"/>
    <cellStyle name="Currency 4 2 4 2 2" xfId="2417"/>
    <cellStyle name="Currency 4 2 4 2 2 2" xfId="2418"/>
    <cellStyle name="Currency 4 2 4 2 3" xfId="2419"/>
    <cellStyle name="Currency 4 2 4 2 3 2" xfId="2420"/>
    <cellStyle name="Currency 4 2 4 2 4" xfId="2421"/>
    <cellStyle name="Currency 4 2 4 3" xfId="2422"/>
    <cellStyle name="Currency 4 2 4 3 2" xfId="2423"/>
    <cellStyle name="Currency 4 2 4 4" xfId="2424"/>
    <cellStyle name="Currency 4 2 4 4 2" xfId="2425"/>
    <cellStyle name="Currency 4 2 4 5" xfId="2426"/>
    <cellStyle name="Currency 4 2 5" xfId="2427"/>
    <cellStyle name="Currency 4 2 5 2" xfId="2428"/>
    <cellStyle name="Currency 4 2 5 2 2" xfId="2429"/>
    <cellStyle name="Currency 4 2 5 3" xfId="2430"/>
    <cellStyle name="Currency 4 2 5 3 2" xfId="2431"/>
    <cellStyle name="Currency 4 2 5 4" xfId="2432"/>
    <cellStyle name="Currency 4 2 6" xfId="2433"/>
    <cellStyle name="Currency 4 2 6 2" xfId="2434"/>
    <cellStyle name="Currency 4 2 7" xfId="2435"/>
    <cellStyle name="Currency 4 2 7 2" xfId="2436"/>
    <cellStyle name="Currency 4 2 8" xfId="2437"/>
    <cellStyle name="Currency 4 3" xfId="2438"/>
    <cellStyle name="Currency 4 3 2" xfId="2439"/>
    <cellStyle name="Currency 4 3 2 2" xfId="2440"/>
    <cellStyle name="Currency 4 3 2 2 2" xfId="2441"/>
    <cellStyle name="Currency 4 3 2 2 2 2" xfId="2442"/>
    <cellStyle name="Currency 4 3 2 2 2 2 2" xfId="2443"/>
    <cellStyle name="Currency 4 3 2 2 2 3" xfId="2444"/>
    <cellStyle name="Currency 4 3 2 2 2 3 2" xfId="2445"/>
    <cellStyle name="Currency 4 3 2 2 2 4" xfId="2446"/>
    <cellStyle name="Currency 4 3 2 2 3" xfId="2447"/>
    <cellStyle name="Currency 4 3 2 2 3 2" xfId="2448"/>
    <cellStyle name="Currency 4 3 2 2 4" xfId="2449"/>
    <cellStyle name="Currency 4 3 2 2 4 2" xfId="2450"/>
    <cellStyle name="Currency 4 3 2 2 5" xfId="2451"/>
    <cellStyle name="Currency 4 3 2 3" xfId="2452"/>
    <cellStyle name="Currency 4 3 2 3 2" xfId="2453"/>
    <cellStyle name="Currency 4 3 2 3 2 2" xfId="2454"/>
    <cellStyle name="Currency 4 3 2 3 3" xfId="2455"/>
    <cellStyle name="Currency 4 3 2 3 3 2" xfId="2456"/>
    <cellStyle name="Currency 4 3 2 3 4" xfId="2457"/>
    <cellStyle name="Currency 4 3 2 4" xfId="2458"/>
    <cellStyle name="Currency 4 3 2 4 2" xfId="2459"/>
    <cellStyle name="Currency 4 3 2 5" xfId="2460"/>
    <cellStyle name="Currency 4 3 2 5 2" xfId="2461"/>
    <cellStyle name="Currency 4 3 2 6" xfId="2462"/>
    <cellStyle name="Currency 4 3 3" xfId="2463"/>
    <cellStyle name="Currency 4 3 3 2" xfId="2464"/>
    <cellStyle name="Currency 4 3 3 2 2" xfId="2465"/>
    <cellStyle name="Currency 4 3 3 2 2 2" xfId="2466"/>
    <cellStyle name="Currency 4 3 3 2 3" xfId="2467"/>
    <cellStyle name="Currency 4 3 3 2 3 2" xfId="2468"/>
    <cellStyle name="Currency 4 3 3 2 4" xfId="2469"/>
    <cellStyle name="Currency 4 3 3 3" xfId="2470"/>
    <cellStyle name="Currency 4 3 3 3 2" xfId="2471"/>
    <cellStyle name="Currency 4 3 3 4" xfId="2472"/>
    <cellStyle name="Currency 4 3 3 4 2" xfId="2473"/>
    <cellStyle name="Currency 4 3 3 5" xfId="2474"/>
    <cellStyle name="Currency 4 3 4" xfId="2475"/>
    <cellStyle name="Currency 4 3 4 2" xfId="2476"/>
    <cellStyle name="Currency 4 3 4 2 2" xfId="2477"/>
    <cellStyle name="Currency 4 3 4 3" xfId="2478"/>
    <cellStyle name="Currency 4 3 4 3 2" xfId="2479"/>
    <cellStyle name="Currency 4 3 4 4" xfId="2480"/>
    <cellStyle name="Currency 4 3 5" xfId="2481"/>
    <cellStyle name="Currency 4 3 5 2" xfId="2482"/>
    <cellStyle name="Currency 4 3 6" xfId="2483"/>
    <cellStyle name="Currency 4 3 6 2" xfId="2484"/>
    <cellStyle name="Currency 4 3 7" xfId="2485"/>
    <cellStyle name="Currency 4 4" xfId="2486"/>
    <cellStyle name="Currency 4 4 2" xfId="2487"/>
    <cellStyle name="Currency 4 4 2 2" xfId="2488"/>
    <cellStyle name="Currency 4 4 2 2 2" xfId="2489"/>
    <cellStyle name="Currency 4 4 2 2 2 2" xfId="2490"/>
    <cellStyle name="Currency 4 4 2 2 2 2 2" xfId="2491"/>
    <cellStyle name="Currency 4 4 2 2 2 3" xfId="2492"/>
    <cellStyle name="Currency 4 4 2 2 2 3 2" xfId="2493"/>
    <cellStyle name="Currency 4 4 2 2 2 4" xfId="2494"/>
    <cellStyle name="Currency 4 4 2 2 3" xfId="2495"/>
    <cellStyle name="Currency 4 4 2 2 3 2" xfId="2496"/>
    <cellStyle name="Currency 4 4 2 2 4" xfId="2497"/>
    <cellStyle name="Currency 4 4 2 2 4 2" xfId="2498"/>
    <cellStyle name="Currency 4 4 2 2 5" xfId="2499"/>
    <cellStyle name="Currency 4 4 2 3" xfId="2500"/>
    <cellStyle name="Currency 4 4 2 3 2" xfId="2501"/>
    <cellStyle name="Currency 4 4 2 3 2 2" xfId="2502"/>
    <cellStyle name="Currency 4 4 2 3 3" xfId="2503"/>
    <cellStyle name="Currency 4 4 2 3 3 2" xfId="2504"/>
    <cellStyle name="Currency 4 4 2 3 4" xfId="2505"/>
    <cellStyle name="Currency 4 4 2 4" xfId="2506"/>
    <cellStyle name="Currency 4 4 2 4 2" xfId="2507"/>
    <cellStyle name="Currency 4 4 2 5" xfId="2508"/>
    <cellStyle name="Currency 4 4 2 5 2" xfId="2509"/>
    <cellStyle name="Currency 4 4 2 6" xfId="2510"/>
    <cellStyle name="Currency 4 4 3" xfId="2511"/>
    <cellStyle name="Currency 4 4 3 2" xfId="2512"/>
    <cellStyle name="Currency 4 4 3 2 2" xfId="2513"/>
    <cellStyle name="Currency 4 4 3 2 2 2" xfId="2514"/>
    <cellStyle name="Currency 4 4 3 2 3" xfId="2515"/>
    <cellStyle name="Currency 4 4 3 2 3 2" xfId="2516"/>
    <cellStyle name="Currency 4 4 3 2 4" xfId="2517"/>
    <cellStyle name="Currency 4 4 3 3" xfId="2518"/>
    <cellStyle name="Currency 4 4 3 3 2" xfId="2519"/>
    <cellStyle name="Currency 4 4 3 4" xfId="2520"/>
    <cellStyle name="Currency 4 4 3 4 2" xfId="2521"/>
    <cellStyle name="Currency 4 4 3 5" xfId="2522"/>
    <cellStyle name="Currency 4 4 4" xfId="2523"/>
    <cellStyle name="Currency 4 4 4 2" xfId="2524"/>
    <cellStyle name="Currency 4 4 4 2 2" xfId="2525"/>
    <cellStyle name="Currency 4 4 4 3" xfId="2526"/>
    <cellStyle name="Currency 4 4 4 3 2" xfId="2527"/>
    <cellStyle name="Currency 4 4 4 4" xfId="2528"/>
    <cellStyle name="Currency 4 4 5" xfId="2529"/>
    <cellStyle name="Currency 4 4 5 2" xfId="2530"/>
    <cellStyle name="Currency 4 4 6" xfId="2531"/>
    <cellStyle name="Currency 4 4 6 2" xfId="2532"/>
    <cellStyle name="Currency 4 4 7" xfId="2533"/>
    <cellStyle name="Currency 4 5" xfId="2534"/>
    <cellStyle name="Currency 4 5 2" xfId="2535"/>
    <cellStyle name="Currency 4 5 2 2" xfId="2536"/>
    <cellStyle name="Currency 4 5 2 2 2" xfId="2537"/>
    <cellStyle name="Currency 4 5 2 2 2 2" xfId="2538"/>
    <cellStyle name="Currency 4 5 2 2 3" xfId="2539"/>
    <cellStyle name="Currency 4 5 2 2 3 2" xfId="2540"/>
    <cellStyle name="Currency 4 5 2 2 4" xfId="2541"/>
    <cellStyle name="Currency 4 5 2 3" xfId="2542"/>
    <cellStyle name="Currency 4 5 2 3 2" xfId="2543"/>
    <cellStyle name="Currency 4 5 2 4" xfId="2544"/>
    <cellStyle name="Currency 4 5 2 4 2" xfId="2545"/>
    <cellStyle name="Currency 4 5 2 5" xfId="2546"/>
    <cellStyle name="Currency 4 5 3" xfId="2547"/>
    <cellStyle name="Currency 4 5 3 2" xfId="2548"/>
    <cellStyle name="Currency 4 5 3 2 2" xfId="2549"/>
    <cellStyle name="Currency 4 5 3 3" xfId="2550"/>
    <cellStyle name="Currency 4 5 3 3 2" xfId="2551"/>
    <cellStyle name="Currency 4 5 3 4" xfId="2552"/>
    <cellStyle name="Currency 4 5 4" xfId="2553"/>
    <cellStyle name="Currency 4 5 4 2" xfId="2554"/>
    <cellStyle name="Currency 4 5 5" xfId="2555"/>
    <cellStyle name="Currency 4 5 5 2" xfId="2556"/>
    <cellStyle name="Currency 4 5 6" xfId="2557"/>
    <cellStyle name="Currency 4 6" xfId="2558"/>
    <cellStyle name="Currency 4 6 2" xfId="2559"/>
    <cellStyle name="Currency 4 6 2 2" xfId="2560"/>
    <cellStyle name="Currency 4 6 2 2 2" xfId="2561"/>
    <cellStyle name="Currency 4 6 2 3" xfId="2562"/>
    <cellStyle name="Currency 4 6 2 3 2" xfId="2563"/>
    <cellStyle name="Currency 4 6 2 4" xfId="2564"/>
    <cellStyle name="Currency 4 6 3" xfId="2565"/>
    <cellStyle name="Currency 4 6 3 2" xfId="2566"/>
    <cellStyle name="Currency 4 6 4" xfId="2567"/>
    <cellStyle name="Currency 4 6 4 2" xfId="2568"/>
    <cellStyle name="Currency 4 6 5" xfId="2569"/>
    <cellStyle name="Currency 4 7" xfId="2570"/>
    <cellStyle name="Currency 4 7 2" xfId="2571"/>
    <cellStyle name="Currency 4 7 2 2" xfId="2572"/>
    <cellStyle name="Currency 4 7 3" xfId="2573"/>
    <cellStyle name="Currency 4 7 3 2" xfId="2574"/>
    <cellStyle name="Currency 4 7 4" xfId="2575"/>
    <cellStyle name="Currency 4 8" xfId="2576"/>
    <cellStyle name="Currency 4 8 2" xfId="2577"/>
    <cellStyle name="Currency 4 9" xfId="2578"/>
    <cellStyle name="Currency 4 9 2" xfId="2579"/>
    <cellStyle name="Currency 5" xfId="55"/>
    <cellStyle name="Currency 5 2" xfId="2580"/>
    <cellStyle name="Currency 5 2 2" xfId="2581"/>
    <cellStyle name="Currency 5 2 2 2" xfId="2582"/>
    <cellStyle name="Currency 5 2 2 2 2" xfId="2583"/>
    <cellStyle name="Currency 5 2 2 2 2 2" xfId="2584"/>
    <cellStyle name="Currency 5 2 2 2 2 2 2" xfId="2585"/>
    <cellStyle name="Currency 5 2 2 2 2 3" xfId="2586"/>
    <cellStyle name="Currency 5 2 2 2 2 3 2" xfId="2587"/>
    <cellStyle name="Currency 5 2 2 2 2 4" xfId="2588"/>
    <cellStyle name="Currency 5 2 2 2 3" xfId="2589"/>
    <cellStyle name="Currency 5 2 2 2 3 2" xfId="2590"/>
    <cellStyle name="Currency 5 2 2 2 4" xfId="2591"/>
    <cellStyle name="Currency 5 2 2 2 4 2" xfId="2592"/>
    <cellStyle name="Currency 5 2 2 2 5" xfId="2593"/>
    <cellStyle name="Currency 5 2 2 3" xfId="2594"/>
    <cellStyle name="Currency 5 2 2 3 2" xfId="2595"/>
    <cellStyle name="Currency 5 2 2 3 2 2" xfId="2596"/>
    <cellStyle name="Currency 5 2 2 3 3" xfId="2597"/>
    <cellStyle name="Currency 5 2 2 3 3 2" xfId="2598"/>
    <cellStyle name="Currency 5 2 2 3 4" xfId="2599"/>
    <cellStyle name="Currency 5 2 2 4" xfId="2600"/>
    <cellStyle name="Currency 5 2 2 4 2" xfId="2601"/>
    <cellStyle name="Currency 5 2 2 5" xfId="2602"/>
    <cellStyle name="Currency 5 2 2 5 2" xfId="2603"/>
    <cellStyle name="Currency 5 2 2 6" xfId="2604"/>
    <cellStyle name="Currency 5 2 3" xfId="2605"/>
    <cellStyle name="Currency 5 2 3 2" xfId="2606"/>
    <cellStyle name="Currency 5 2 3 2 2" xfId="2607"/>
    <cellStyle name="Currency 5 2 3 2 2 2" xfId="2608"/>
    <cellStyle name="Currency 5 2 3 2 3" xfId="2609"/>
    <cellStyle name="Currency 5 2 3 2 3 2" xfId="2610"/>
    <cellStyle name="Currency 5 2 3 2 4" xfId="2611"/>
    <cellStyle name="Currency 5 2 3 3" xfId="2612"/>
    <cellStyle name="Currency 5 2 3 3 2" xfId="2613"/>
    <cellStyle name="Currency 5 2 3 4" xfId="2614"/>
    <cellStyle name="Currency 5 2 3 4 2" xfId="2615"/>
    <cellStyle name="Currency 5 2 3 5" xfId="2616"/>
    <cellStyle name="Currency 5 2 4" xfId="2617"/>
    <cellStyle name="Currency 5 2 4 2" xfId="2618"/>
    <cellStyle name="Currency 5 2 4 2 2" xfId="2619"/>
    <cellStyle name="Currency 5 2 4 3" xfId="2620"/>
    <cellStyle name="Currency 5 2 4 3 2" xfId="2621"/>
    <cellStyle name="Currency 5 2 4 4" xfId="2622"/>
    <cellStyle name="Currency 5 2 5" xfId="2623"/>
    <cellStyle name="Currency 5 2 5 2" xfId="2624"/>
    <cellStyle name="Currency 5 2 6" xfId="2625"/>
    <cellStyle name="Currency 5 2 6 2" xfId="2626"/>
    <cellStyle name="Currency 5 2 7" xfId="2627"/>
    <cellStyle name="Currency 5 3" xfId="2628"/>
    <cellStyle name="Currency 5 3 2" xfId="2629"/>
    <cellStyle name="Currency 5 3 2 2" xfId="2630"/>
    <cellStyle name="Currency 5 3 2 2 2" xfId="2631"/>
    <cellStyle name="Currency 5 3 2 2 2 2" xfId="2632"/>
    <cellStyle name="Currency 5 3 2 2 2 2 2" xfId="2633"/>
    <cellStyle name="Currency 5 3 2 2 2 3" xfId="2634"/>
    <cellStyle name="Currency 5 3 2 2 2 3 2" xfId="2635"/>
    <cellStyle name="Currency 5 3 2 2 2 4" xfId="2636"/>
    <cellStyle name="Currency 5 3 2 2 3" xfId="2637"/>
    <cellStyle name="Currency 5 3 2 2 3 2" xfId="2638"/>
    <cellStyle name="Currency 5 3 2 2 4" xfId="2639"/>
    <cellStyle name="Currency 5 3 2 2 4 2" xfId="2640"/>
    <cellStyle name="Currency 5 3 2 2 5" xfId="2641"/>
    <cellStyle name="Currency 5 3 2 3" xfId="2642"/>
    <cellStyle name="Currency 5 3 2 3 2" xfId="2643"/>
    <cellStyle name="Currency 5 3 2 3 2 2" xfId="2644"/>
    <cellStyle name="Currency 5 3 2 3 3" xfId="2645"/>
    <cellStyle name="Currency 5 3 2 3 3 2" xfId="2646"/>
    <cellStyle name="Currency 5 3 2 3 4" xfId="2647"/>
    <cellStyle name="Currency 5 3 2 4" xfId="2648"/>
    <cellStyle name="Currency 5 3 2 4 2" xfId="2649"/>
    <cellStyle name="Currency 5 3 2 5" xfId="2650"/>
    <cellStyle name="Currency 5 3 2 5 2" xfId="2651"/>
    <cellStyle name="Currency 5 3 2 6" xfId="2652"/>
    <cellStyle name="Currency 5 3 3" xfId="2653"/>
    <cellStyle name="Currency 5 3 3 2" xfId="2654"/>
    <cellStyle name="Currency 5 3 3 2 2" xfId="2655"/>
    <cellStyle name="Currency 5 3 3 2 2 2" xfId="2656"/>
    <cellStyle name="Currency 5 3 3 2 3" xfId="2657"/>
    <cellStyle name="Currency 5 3 3 2 3 2" xfId="2658"/>
    <cellStyle name="Currency 5 3 3 2 4" xfId="2659"/>
    <cellStyle name="Currency 5 3 3 3" xfId="2660"/>
    <cellStyle name="Currency 5 3 3 3 2" xfId="2661"/>
    <cellStyle name="Currency 5 3 3 4" xfId="2662"/>
    <cellStyle name="Currency 5 3 3 4 2" xfId="2663"/>
    <cellStyle name="Currency 5 3 3 5" xfId="2664"/>
    <cellStyle name="Currency 5 3 4" xfId="2665"/>
    <cellStyle name="Currency 5 3 4 2" xfId="2666"/>
    <cellStyle name="Currency 5 3 4 2 2" xfId="2667"/>
    <cellStyle name="Currency 5 3 4 3" xfId="2668"/>
    <cellStyle name="Currency 5 3 4 3 2" xfId="2669"/>
    <cellStyle name="Currency 5 3 4 4" xfId="2670"/>
    <cellStyle name="Currency 5 3 5" xfId="2671"/>
    <cellStyle name="Currency 5 3 5 2" xfId="2672"/>
    <cellStyle name="Currency 5 3 6" xfId="2673"/>
    <cellStyle name="Currency 5 3 6 2" xfId="2674"/>
    <cellStyle name="Currency 5 3 7" xfId="2675"/>
    <cellStyle name="Currency 5 4" xfId="2676"/>
    <cellStyle name="Currency 5 4 2" xfId="2677"/>
    <cellStyle name="Currency 5 4 2 2" xfId="2678"/>
    <cellStyle name="Currency 5 4 2 2 2" xfId="2679"/>
    <cellStyle name="Currency 5 4 2 2 2 2" xfId="2680"/>
    <cellStyle name="Currency 5 4 2 2 3" xfId="2681"/>
    <cellStyle name="Currency 5 4 2 2 3 2" xfId="2682"/>
    <cellStyle name="Currency 5 4 2 2 4" xfId="2683"/>
    <cellStyle name="Currency 5 4 2 3" xfId="2684"/>
    <cellStyle name="Currency 5 4 2 3 2" xfId="2685"/>
    <cellStyle name="Currency 5 4 2 4" xfId="2686"/>
    <cellStyle name="Currency 5 4 2 4 2" xfId="2687"/>
    <cellStyle name="Currency 5 4 2 5" xfId="2688"/>
    <cellStyle name="Currency 5 4 3" xfId="2689"/>
    <cellStyle name="Currency 5 4 3 2" xfId="2690"/>
    <cellStyle name="Currency 5 4 3 2 2" xfId="2691"/>
    <cellStyle name="Currency 5 4 3 3" xfId="2692"/>
    <cellStyle name="Currency 5 4 3 3 2" xfId="2693"/>
    <cellStyle name="Currency 5 4 3 4" xfId="2694"/>
    <cellStyle name="Currency 5 4 4" xfId="2695"/>
    <cellStyle name="Currency 5 4 4 2" xfId="2696"/>
    <cellStyle name="Currency 5 4 5" xfId="2697"/>
    <cellStyle name="Currency 5 4 5 2" xfId="2698"/>
    <cellStyle name="Currency 5 4 6" xfId="2699"/>
    <cellStyle name="Currency 5 5" xfId="2700"/>
    <cellStyle name="Currency 5 5 2" xfId="2701"/>
    <cellStyle name="Currency 5 5 2 2" xfId="2702"/>
    <cellStyle name="Currency 5 5 2 2 2" xfId="2703"/>
    <cellStyle name="Currency 5 5 2 3" xfId="2704"/>
    <cellStyle name="Currency 5 5 2 3 2" xfId="2705"/>
    <cellStyle name="Currency 5 5 2 4" xfId="2706"/>
    <cellStyle name="Currency 5 5 3" xfId="2707"/>
    <cellStyle name="Currency 5 5 3 2" xfId="2708"/>
    <cellStyle name="Currency 5 5 4" xfId="2709"/>
    <cellStyle name="Currency 5 5 4 2" xfId="2710"/>
    <cellStyle name="Currency 5 5 5" xfId="2711"/>
    <cellStyle name="Currency 5 6" xfId="2712"/>
    <cellStyle name="Currency 5 6 2" xfId="2713"/>
    <cellStyle name="Currency 5 6 2 2" xfId="2714"/>
    <cellStyle name="Currency 5 6 3" xfId="2715"/>
    <cellStyle name="Currency 5 6 3 2" xfId="2716"/>
    <cellStyle name="Currency 5 6 4" xfId="2717"/>
    <cellStyle name="Currency 5 7" xfId="2718"/>
    <cellStyle name="Currency 5 7 2" xfId="2719"/>
    <cellStyle name="Currency 5 8" xfId="2720"/>
    <cellStyle name="Currency 5 8 2" xfId="2721"/>
    <cellStyle name="Currency 5 9" xfId="2722"/>
    <cellStyle name="Currency 6" xfId="56"/>
    <cellStyle name="Currency 6 2" xfId="2723"/>
    <cellStyle name="Currency 6 3" xfId="2724"/>
    <cellStyle name="Currency 6 4" xfId="2725"/>
    <cellStyle name="Currency 7" xfId="57"/>
    <cellStyle name="Currency 7 2" xfId="2726"/>
    <cellStyle name="Currency 8" xfId="191"/>
    <cellStyle name="Currency 8 2" xfId="2728"/>
    <cellStyle name="Currency 8 2 2" xfId="2729"/>
    <cellStyle name="Currency 8 2 2 2" xfId="2730"/>
    <cellStyle name="Currency 8 2 2 2 2" xfId="2731"/>
    <cellStyle name="Currency 8 2 2 2 2 2" xfId="2732"/>
    <cellStyle name="Currency 8 2 2 2 2 2 2" xfId="2733"/>
    <cellStyle name="Currency 8 2 2 2 2 3" xfId="2734"/>
    <cellStyle name="Currency 8 2 2 2 2 3 2" xfId="2735"/>
    <cellStyle name="Currency 8 2 2 2 2 4" xfId="2736"/>
    <cellStyle name="Currency 8 2 2 2 3" xfId="2737"/>
    <cellStyle name="Currency 8 2 2 2 3 2" xfId="2738"/>
    <cellStyle name="Currency 8 2 2 2 4" xfId="2739"/>
    <cellStyle name="Currency 8 2 2 2 4 2" xfId="2740"/>
    <cellStyle name="Currency 8 2 2 2 5" xfId="2741"/>
    <cellStyle name="Currency 8 2 2 3" xfId="2742"/>
    <cellStyle name="Currency 8 2 2 3 2" xfId="2743"/>
    <cellStyle name="Currency 8 2 2 3 2 2" xfId="2744"/>
    <cellStyle name="Currency 8 2 2 3 3" xfId="2745"/>
    <cellStyle name="Currency 8 2 2 3 3 2" xfId="2746"/>
    <cellStyle name="Currency 8 2 2 3 4" xfId="2747"/>
    <cellStyle name="Currency 8 2 2 4" xfId="2748"/>
    <cellStyle name="Currency 8 2 2 4 2" xfId="2749"/>
    <cellStyle name="Currency 8 2 2 5" xfId="2750"/>
    <cellStyle name="Currency 8 2 2 5 2" xfId="2751"/>
    <cellStyle name="Currency 8 2 2 6" xfId="2752"/>
    <cellStyle name="Currency 8 2 3" xfId="2753"/>
    <cellStyle name="Currency 8 2 3 2" xfId="2754"/>
    <cellStyle name="Currency 8 2 3 2 2" xfId="2755"/>
    <cellStyle name="Currency 8 2 3 2 2 2" xfId="2756"/>
    <cellStyle name="Currency 8 2 3 2 3" xfId="2757"/>
    <cellStyle name="Currency 8 2 3 2 3 2" xfId="2758"/>
    <cellStyle name="Currency 8 2 3 2 4" xfId="2759"/>
    <cellStyle name="Currency 8 2 3 3" xfId="2760"/>
    <cellStyle name="Currency 8 2 3 3 2" xfId="2761"/>
    <cellStyle name="Currency 8 2 3 4" xfId="2762"/>
    <cellStyle name="Currency 8 2 3 4 2" xfId="2763"/>
    <cellStyle name="Currency 8 2 3 5" xfId="2764"/>
    <cellStyle name="Currency 8 2 4" xfId="2765"/>
    <cellStyle name="Currency 8 2 4 2" xfId="2766"/>
    <cellStyle name="Currency 8 2 4 2 2" xfId="2767"/>
    <cellStyle name="Currency 8 2 4 3" xfId="2768"/>
    <cellStyle name="Currency 8 2 4 3 2" xfId="2769"/>
    <cellStyle name="Currency 8 2 4 4" xfId="2770"/>
    <cellStyle name="Currency 8 2 5" xfId="2771"/>
    <cellStyle name="Currency 8 2 5 2" xfId="2772"/>
    <cellStyle name="Currency 8 2 6" xfId="2773"/>
    <cellStyle name="Currency 8 2 6 2" xfId="2774"/>
    <cellStyle name="Currency 8 2 7" xfId="2775"/>
    <cellStyle name="Currency 8 3" xfId="2776"/>
    <cellStyle name="Currency 8 3 2" xfId="2777"/>
    <cellStyle name="Currency 8 3 2 2" xfId="2778"/>
    <cellStyle name="Currency 8 3 2 2 2" xfId="2779"/>
    <cellStyle name="Currency 8 3 2 2 2 2" xfId="2780"/>
    <cellStyle name="Currency 8 3 2 2 3" xfId="2781"/>
    <cellStyle name="Currency 8 3 2 2 3 2" xfId="2782"/>
    <cellStyle name="Currency 8 3 2 2 4" xfId="2783"/>
    <cellStyle name="Currency 8 3 2 3" xfId="2784"/>
    <cellStyle name="Currency 8 3 2 3 2" xfId="2785"/>
    <cellStyle name="Currency 8 3 2 4" xfId="2786"/>
    <cellStyle name="Currency 8 3 2 4 2" xfId="2787"/>
    <cellStyle name="Currency 8 3 2 5" xfId="2788"/>
    <cellStyle name="Currency 8 3 3" xfId="2789"/>
    <cellStyle name="Currency 8 3 3 2" xfId="2790"/>
    <cellStyle name="Currency 8 3 3 2 2" xfId="2791"/>
    <cellStyle name="Currency 8 3 3 3" xfId="2792"/>
    <cellStyle name="Currency 8 3 3 3 2" xfId="2793"/>
    <cellStyle name="Currency 8 3 3 4" xfId="2794"/>
    <cellStyle name="Currency 8 3 4" xfId="2795"/>
    <cellStyle name="Currency 8 3 4 2" xfId="2796"/>
    <cellStyle name="Currency 8 3 5" xfId="2797"/>
    <cellStyle name="Currency 8 3 5 2" xfId="2798"/>
    <cellStyle name="Currency 8 3 6" xfId="2799"/>
    <cellStyle name="Currency 8 4" xfId="2800"/>
    <cellStyle name="Currency 8 4 2" xfId="2801"/>
    <cellStyle name="Currency 8 4 2 2" xfId="2802"/>
    <cellStyle name="Currency 8 4 2 2 2" xfId="2803"/>
    <cellStyle name="Currency 8 4 2 3" xfId="2804"/>
    <cellStyle name="Currency 8 4 2 3 2" xfId="2805"/>
    <cellStyle name="Currency 8 4 2 4" xfId="2806"/>
    <cellStyle name="Currency 8 4 3" xfId="2807"/>
    <cellStyle name="Currency 8 4 3 2" xfId="2808"/>
    <cellStyle name="Currency 8 4 4" xfId="2809"/>
    <cellStyle name="Currency 8 4 4 2" xfId="2810"/>
    <cellStyle name="Currency 8 4 5" xfId="2811"/>
    <cellStyle name="Currency 8 5" xfId="2812"/>
    <cellStyle name="Currency 8 5 2" xfId="2813"/>
    <cellStyle name="Currency 8 5 2 2" xfId="2814"/>
    <cellStyle name="Currency 8 5 3" xfId="2815"/>
    <cellStyle name="Currency 8 5 3 2" xfId="2816"/>
    <cellStyle name="Currency 8 5 4" xfId="2817"/>
    <cellStyle name="Currency 8 6" xfId="2818"/>
    <cellStyle name="Currency 8 6 2" xfId="2819"/>
    <cellStyle name="Currency 8 7" xfId="2820"/>
    <cellStyle name="Currency 8 7 2" xfId="2821"/>
    <cellStyle name="Currency 8 8" xfId="2822"/>
    <cellStyle name="Currency 8 9" xfId="2727"/>
    <cellStyle name="Currency 9" xfId="58"/>
    <cellStyle name="Currency 9 2" xfId="2823"/>
    <cellStyle name="Currency 9 2 2" xfId="2824"/>
    <cellStyle name="Currency 9 2 2 2" xfId="2825"/>
    <cellStyle name="Currency 9 2 2 2 2" xfId="2826"/>
    <cellStyle name="Currency 9 2 2 2 2 2" xfId="2827"/>
    <cellStyle name="Currency 9 2 2 2 3" xfId="2828"/>
    <cellStyle name="Currency 9 2 2 2 3 2" xfId="2829"/>
    <cellStyle name="Currency 9 2 2 2 4" xfId="2830"/>
    <cellStyle name="Currency 9 2 2 3" xfId="2831"/>
    <cellStyle name="Currency 9 2 2 3 2" xfId="2832"/>
    <cellStyle name="Currency 9 2 2 4" xfId="2833"/>
    <cellStyle name="Currency 9 2 2 4 2" xfId="2834"/>
    <cellStyle name="Currency 9 2 2 5" xfId="2835"/>
    <cellStyle name="Currency 9 2 3" xfId="2836"/>
    <cellStyle name="Currency 9 2 3 2" xfId="2837"/>
    <cellStyle name="Currency 9 2 3 2 2" xfId="2838"/>
    <cellStyle name="Currency 9 2 3 3" xfId="2839"/>
    <cellStyle name="Currency 9 2 3 3 2" xfId="2840"/>
    <cellStyle name="Currency 9 2 3 4" xfId="2841"/>
    <cellStyle name="Currency 9 2 4" xfId="2842"/>
    <cellStyle name="Currency 9 2 4 2" xfId="2843"/>
    <cellStyle name="Currency 9 2 5" xfId="2844"/>
    <cellStyle name="Currency 9 2 5 2" xfId="2845"/>
    <cellStyle name="Currency 9 2 6" xfId="2846"/>
    <cellStyle name="Currency 9 3" xfId="2847"/>
    <cellStyle name="Currency 9 3 2" xfId="2848"/>
    <cellStyle name="Currency 9 3 2 2" xfId="2849"/>
    <cellStyle name="Currency 9 3 2 2 2" xfId="2850"/>
    <cellStyle name="Currency 9 3 2 3" xfId="2851"/>
    <cellStyle name="Currency 9 3 2 3 2" xfId="2852"/>
    <cellStyle name="Currency 9 3 2 4" xfId="2853"/>
    <cellStyle name="Currency 9 3 3" xfId="2854"/>
    <cellStyle name="Currency 9 3 3 2" xfId="2855"/>
    <cellStyle name="Currency 9 3 4" xfId="2856"/>
    <cellStyle name="Currency 9 3 4 2" xfId="2857"/>
    <cellStyle name="Currency 9 3 5" xfId="2858"/>
    <cellStyle name="Currency 9 4" xfId="2859"/>
    <cellStyle name="Currency 9 4 2" xfId="2860"/>
    <cellStyle name="Currency 9 4 2 2" xfId="2861"/>
    <cellStyle name="Currency 9 4 3" xfId="2862"/>
    <cellStyle name="Currency 9 4 3 2" xfId="2863"/>
    <cellStyle name="Currency 9 4 4" xfId="2864"/>
    <cellStyle name="Currency 9 5" xfId="2865"/>
    <cellStyle name="Currency 9 5 2" xfId="2866"/>
    <cellStyle name="Currency 9 6" xfId="2867"/>
    <cellStyle name="Currency 9 6 2" xfId="2868"/>
    <cellStyle name="Currency 9 7" xfId="2869"/>
    <cellStyle name="Currency0" xfId="2870"/>
    <cellStyle name="Custom - Style1" xfId="2871"/>
    <cellStyle name="Custom - Style8" xfId="2872"/>
    <cellStyle name="Data   - Style2" xfId="2873"/>
    <cellStyle name="Data   - Style2 2" xfId="2874"/>
    <cellStyle name="Data   - Style2 3" xfId="2875"/>
    <cellStyle name="Data   - Style2 4" xfId="2876"/>
    <cellStyle name="Data   - Style2 5" xfId="2877"/>
    <cellStyle name="Data Enter" xfId="59"/>
    <cellStyle name="date" xfId="2878"/>
    <cellStyle name="Euro" xfId="2879"/>
    <cellStyle name="Euro 2" xfId="2880"/>
    <cellStyle name="Explanatory Text" xfId="262" builtinId="53" customBuiltin="1"/>
    <cellStyle name="Explanatory Text 2" xfId="196"/>
    <cellStyle name="Explanatory Text 3" xfId="195"/>
    <cellStyle name="Explanatory Text 4" xfId="2881"/>
    <cellStyle name="F9ReportControlStyle_ctpInquire" xfId="2882"/>
    <cellStyle name="FactSheet" xfId="60"/>
    <cellStyle name="fish" xfId="2883"/>
    <cellStyle name="Good" xfId="255" builtinId="26" customBuiltin="1"/>
    <cellStyle name="Good 2" xfId="61"/>
    <cellStyle name="Good 2 2" xfId="198"/>
    <cellStyle name="Good 2 2 2" xfId="2884"/>
    <cellStyle name="Good 2 3" xfId="2885"/>
    <cellStyle name="Good 2 4" xfId="2886"/>
    <cellStyle name="Good 2 5" xfId="2887"/>
    <cellStyle name="Good 3" xfId="197"/>
    <cellStyle name="Good 3 2" xfId="2889"/>
    <cellStyle name="Good 3 3" xfId="2890"/>
    <cellStyle name="Good 3 4" xfId="2888"/>
    <cellStyle name="Good 4" xfId="2891"/>
    <cellStyle name="Good 5" xfId="2892"/>
    <cellStyle name="Heading 1" xfId="251" builtinId="16" customBuiltin="1"/>
    <cellStyle name="Heading 1 2" xfId="62"/>
    <cellStyle name="Heading 1 2 2" xfId="200"/>
    <cellStyle name="Heading 1 2 2 2" xfId="2894"/>
    <cellStyle name="Heading 1 2 2 3" xfId="2893"/>
    <cellStyle name="Heading 1 2 3" xfId="2895"/>
    <cellStyle name="Heading 1 2 4" xfId="2896"/>
    <cellStyle name="Heading 1 3" xfId="199"/>
    <cellStyle name="Heading 1 3 2" xfId="2898"/>
    <cellStyle name="Heading 1 3 3" xfId="2899"/>
    <cellStyle name="Heading 1 3 4" xfId="2897"/>
    <cellStyle name="Heading 1 4" xfId="2900"/>
    <cellStyle name="Heading 1 4 2" xfId="2901"/>
    <cellStyle name="Heading 2" xfId="252" builtinId="17" customBuiltin="1"/>
    <cellStyle name="Heading 2 2" xfId="63"/>
    <cellStyle name="Heading 2 2 2" xfId="202"/>
    <cellStyle name="Heading 2 2 2 2" xfId="2902"/>
    <cellStyle name="Heading 2 2 3" xfId="2903"/>
    <cellStyle name="Heading 2 2 4" xfId="2904"/>
    <cellStyle name="Heading 2 3" xfId="201"/>
    <cellStyle name="Heading 2 3 2" xfId="2906"/>
    <cellStyle name="Heading 2 3 3" xfId="2907"/>
    <cellStyle name="Heading 2 3 4" xfId="2905"/>
    <cellStyle name="Heading 2 4" xfId="2908"/>
    <cellStyle name="Heading 2 4 2" xfId="2909"/>
    <cellStyle name="Heading 3" xfId="253" builtinId="18" customBuiltin="1"/>
    <cellStyle name="Heading 3 2" xfId="64"/>
    <cellStyle name="Heading 3 2 2" xfId="204"/>
    <cellStyle name="Heading 3 2 2 2" xfId="2911"/>
    <cellStyle name="Heading 3 2 2 3" xfId="2910"/>
    <cellStyle name="Heading 3 2 3" xfId="2912"/>
    <cellStyle name="Heading 3 2 4" xfId="2913"/>
    <cellStyle name="Heading 3 3" xfId="203"/>
    <cellStyle name="Heading 3 3 2" xfId="2915"/>
    <cellStyle name="Heading 3 3 3" xfId="2916"/>
    <cellStyle name="Heading 3 3 4" xfId="2914"/>
    <cellStyle name="Heading 3 4" xfId="2917"/>
    <cellStyle name="Heading 3 4 2" xfId="2918"/>
    <cellStyle name="Heading 4" xfId="254" builtinId="19" customBuiltin="1"/>
    <cellStyle name="Heading 4 2" xfId="206"/>
    <cellStyle name="Heading 4 2 2" xfId="2920"/>
    <cellStyle name="Heading 4 2 2 2" xfId="2921"/>
    <cellStyle name="Heading 4 2 3" xfId="2922"/>
    <cellStyle name="Heading 4 2 4" xfId="2919"/>
    <cellStyle name="Heading 4 3" xfId="205"/>
    <cellStyle name="Heading 4 3 2" xfId="2924"/>
    <cellStyle name="Heading 4 3 3" xfId="2923"/>
    <cellStyle name="Heading 4 4" xfId="2925"/>
    <cellStyle name="Hyperlink 2" xfId="65"/>
    <cellStyle name="Hyperlink 2 2" xfId="207"/>
    <cellStyle name="Hyperlink 2 2 2" xfId="2927"/>
    <cellStyle name="Hyperlink 2 2 3" xfId="2928"/>
    <cellStyle name="Hyperlink 2 2 4" xfId="2929"/>
    <cellStyle name="Hyperlink 2 2 5" xfId="2930"/>
    <cellStyle name="Hyperlink 2 2 6" xfId="2926"/>
    <cellStyle name="Hyperlink 2 3" xfId="2931"/>
    <cellStyle name="Hyperlink 2 3 2" xfId="2932"/>
    <cellStyle name="Hyperlink 2 4" xfId="2933"/>
    <cellStyle name="Hyperlink 3" xfId="66"/>
    <cellStyle name="Hyperlink 3 2" xfId="208"/>
    <cellStyle name="Hyperlink 3 2 2" xfId="2935"/>
    <cellStyle name="Hyperlink 3 2 3" xfId="2934"/>
    <cellStyle name="Hyperlink 3 3" xfId="2936"/>
    <cellStyle name="Hyperlink 4" xfId="2937"/>
    <cellStyle name="Hyperlink 4 2" xfId="2938"/>
    <cellStyle name="Hyperlink 5" xfId="2939"/>
    <cellStyle name="Input" xfId="258" builtinId="20" customBuiltin="1"/>
    <cellStyle name="Input 2" xfId="210"/>
    <cellStyle name="Input 2 2" xfId="2941"/>
    <cellStyle name="Input 2 2 2" xfId="2942"/>
    <cellStyle name="Input 2 2 2 2" xfId="2943"/>
    <cellStyle name="Input 2 2 2 2 2" xfId="2944"/>
    <cellStyle name="Input 2 2 2 2 3" xfId="2945"/>
    <cellStyle name="Input 2 2 2 2 4" xfId="2946"/>
    <cellStyle name="Input 2 2 2 2 5" xfId="2947"/>
    <cellStyle name="Input 2 2 2 3" xfId="2948"/>
    <cellStyle name="Input 2 2 3" xfId="2949"/>
    <cellStyle name="Input 2 2 3 2" xfId="2950"/>
    <cellStyle name="Input 2 2 3 3" xfId="2951"/>
    <cellStyle name="Input 2 2 3 4" xfId="2952"/>
    <cellStyle name="Input 2 2 3 5" xfId="2953"/>
    <cellStyle name="Input 2 2 4" xfId="2954"/>
    <cellStyle name="Input 2 3" xfId="2955"/>
    <cellStyle name="Input 2 3 2" xfId="2956"/>
    <cellStyle name="Input 2 3 2 2" xfId="2957"/>
    <cellStyle name="Input 2 3 2 3" xfId="2958"/>
    <cellStyle name="Input 2 3 2 4" xfId="2959"/>
    <cellStyle name="Input 2 3 2 5" xfId="2960"/>
    <cellStyle name="Input 2 3 3" xfId="2961"/>
    <cellStyle name="Input 2 4" xfId="2962"/>
    <cellStyle name="Input 2 4 2" xfId="2963"/>
    <cellStyle name="Input 2 4 3" xfId="2964"/>
    <cellStyle name="Input 2 4 4" xfId="2965"/>
    <cellStyle name="Input 2 4 5" xfId="2966"/>
    <cellStyle name="Input 2 5" xfId="2967"/>
    <cellStyle name="Input 2 6" xfId="2940"/>
    <cellStyle name="Input 3" xfId="209"/>
    <cellStyle name="Input 3 2" xfId="2969"/>
    <cellStyle name="Input 3 2 2" xfId="2970"/>
    <cellStyle name="Input 3 2 2 2" xfId="2971"/>
    <cellStyle name="Input 3 2 2 3" xfId="2972"/>
    <cellStyle name="Input 3 2 2 4" xfId="2973"/>
    <cellStyle name="Input 3 2 2 5" xfId="2974"/>
    <cellStyle name="Input 3 2 3" xfId="2975"/>
    <cellStyle name="Input 3 3" xfId="2976"/>
    <cellStyle name="Input 3 3 2" xfId="2977"/>
    <cellStyle name="Input 3 3 3" xfId="2978"/>
    <cellStyle name="Input 3 3 4" xfId="2979"/>
    <cellStyle name="Input 3 3 5" xfId="2980"/>
    <cellStyle name="Input 3 4" xfId="2981"/>
    <cellStyle name="Input 3 4 2" xfId="2982"/>
    <cellStyle name="Input 3 4 3" xfId="2983"/>
    <cellStyle name="Input 3 4 4" xfId="2984"/>
    <cellStyle name="Input 3 4 5" xfId="2985"/>
    <cellStyle name="Input 3 5" xfId="2968"/>
    <cellStyle name="Input 4" xfId="2986"/>
    <cellStyle name="input(0)" xfId="67"/>
    <cellStyle name="Input(2)" xfId="68"/>
    <cellStyle name="Labels" xfId="2987"/>
    <cellStyle name="Labels - Style3" xfId="2988"/>
    <cellStyle name="Labels - Style3 2" xfId="2989"/>
    <cellStyle name="Labels - Style3 3" xfId="2990"/>
    <cellStyle name="Labels - Style3 4" xfId="2991"/>
    <cellStyle name="Labels - Style3 5" xfId="2992"/>
    <cellStyle name="Labels 2" xfId="2993"/>
    <cellStyle name="Labels 2 2" xfId="2994"/>
    <cellStyle name="Labels 3" xfId="2995"/>
    <cellStyle name="Labels 4" xfId="2996"/>
    <cellStyle name="Labels 5" xfId="2997"/>
    <cellStyle name="Labels 6" xfId="2998"/>
    <cellStyle name="Labels 7" xfId="2999"/>
    <cellStyle name="Linked Cell" xfId="260" builtinId="24" customBuiltin="1"/>
    <cellStyle name="Linked Cell 2" xfId="69"/>
    <cellStyle name="Linked Cell 2 2" xfId="212"/>
    <cellStyle name="Linked Cell 2 2 2" xfId="3000"/>
    <cellStyle name="Linked Cell 2 3" xfId="3001"/>
    <cellStyle name="Linked Cell 2 4" xfId="3002"/>
    <cellStyle name="Linked Cell 3" xfId="211"/>
    <cellStyle name="Linked Cell 3 2" xfId="3004"/>
    <cellStyle name="Linked Cell 3 3" xfId="3003"/>
    <cellStyle name="Linked Cell 4" xfId="3005"/>
    <cellStyle name="Neutral" xfId="257" builtinId="28" customBuiltin="1"/>
    <cellStyle name="Neutral 2" xfId="70"/>
    <cellStyle name="Neutral 2 2" xfId="214"/>
    <cellStyle name="Neutral 2 2 2" xfId="3007"/>
    <cellStyle name="Neutral 2 2 3" xfId="3006"/>
    <cellStyle name="Neutral 2 3" xfId="3008"/>
    <cellStyle name="Neutral 2 4" xfId="3009"/>
    <cellStyle name="Neutral 3" xfId="213"/>
    <cellStyle name="Neutral 3 2" xfId="3011"/>
    <cellStyle name="Neutral 3 3" xfId="3010"/>
    <cellStyle name="Neutral 4" xfId="3012"/>
    <cellStyle name="New_normal" xfId="71"/>
    <cellStyle name="Normal" xfId="0" builtinId="0"/>
    <cellStyle name="Normal - Style1" xfId="72"/>
    <cellStyle name="Normal - Style2" xfId="73"/>
    <cellStyle name="Normal - Style3" xfId="74"/>
    <cellStyle name="Normal - Style4" xfId="75"/>
    <cellStyle name="Normal - Style5" xfId="76"/>
    <cellStyle name="Normal - Style6" xfId="3013"/>
    <cellStyle name="Normal - Style7" xfId="3014"/>
    <cellStyle name="Normal - Style8" xfId="3015"/>
    <cellStyle name="Normal 10" xfId="77"/>
    <cellStyle name="Normal 10 10" xfId="3016"/>
    <cellStyle name="Normal 10 2" xfId="78"/>
    <cellStyle name="Normal 10 2 2" xfId="215"/>
    <cellStyle name="Normal 10 2 2 2" xfId="3018"/>
    <cellStyle name="Normal 10 2 2 2 2" xfId="3019"/>
    <cellStyle name="Normal 10 2 2 2 2 2" xfId="3020"/>
    <cellStyle name="Normal 10 2 2 2 2 2 2" xfId="3021"/>
    <cellStyle name="Normal 10 2 2 2 2 2 2 2" xfId="3022"/>
    <cellStyle name="Normal 10 2 2 2 2 2 3" xfId="3023"/>
    <cellStyle name="Normal 10 2 2 2 2 2 3 2" xfId="3024"/>
    <cellStyle name="Normal 10 2 2 2 2 2 4" xfId="3025"/>
    <cellStyle name="Normal 10 2 2 2 2 3" xfId="3026"/>
    <cellStyle name="Normal 10 2 2 2 2 3 2" xfId="3027"/>
    <cellStyle name="Normal 10 2 2 2 2 4" xfId="3028"/>
    <cellStyle name="Normal 10 2 2 2 2 4 2" xfId="3029"/>
    <cellStyle name="Normal 10 2 2 2 2 5" xfId="3030"/>
    <cellStyle name="Normal 10 2 2 2 3" xfId="3031"/>
    <cellStyle name="Normal 10 2 2 2 3 2" xfId="3032"/>
    <cellStyle name="Normal 10 2 2 2 3 2 2" xfId="3033"/>
    <cellStyle name="Normal 10 2 2 2 3 3" xfId="3034"/>
    <cellStyle name="Normal 10 2 2 2 3 3 2" xfId="3035"/>
    <cellStyle name="Normal 10 2 2 2 3 4" xfId="3036"/>
    <cellStyle name="Normal 10 2 2 2 4" xfId="3037"/>
    <cellStyle name="Normal 10 2 2 2 4 2" xfId="3038"/>
    <cellStyle name="Normal 10 2 2 2 5" xfId="3039"/>
    <cellStyle name="Normal 10 2 2 2 5 2" xfId="3040"/>
    <cellStyle name="Normal 10 2 2 2 6" xfId="3041"/>
    <cellStyle name="Normal 10 2 2 3" xfId="3042"/>
    <cellStyle name="Normal 10 2 2 3 2" xfId="3043"/>
    <cellStyle name="Normal 10 2 2 3 2 2" xfId="3044"/>
    <cellStyle name="Normal 10 2 2 3 2 2 2" xfId="3045"/>
    <cellStyle name="Normal 10 2 2 3 2 3" xfId="3046"/>
    <cellStyle name="Normal 10 2 2 3 2 3 2" xfId="3047"/>
    <cellStyle name="Normal 10 2 2 3 2 4" xfId="3048"/>
    <cellStyle name="Normal 10 2 2 3 3" xfId="3049"/>
    <cellStyle name="Normal 10 2 2 3 3 2" xfId="3050"/>
    <cellStyle name="Normal 10 2 2 3 4" xfId="3051"/>
    <cellStyle name="Normal 10 2 2 3 4 2" xfId="3052"/>
    <cellStyle name="Normal 10 2 2 3 5" xfId="3053"/>
    <cellStyle name="Normal 10 2 2 4" xfId="3054"/>
    <cellStyle name="Normal 10 2 2 4 2" xfId="3055"/>
    <cellStyle name="Normal 10 2 2 4 2 2" xfId="3056"/>
    <cellStyle name="Normal 10 2 2 4 3" xfId="3057"/>
    <cellStyle name="Normal 10 2 2 4 3 2" xfId="3058"/>
    <cellStyle name="Normal 10 2 2 4 4" xfId="3059"/>
    <cellStyle name="Normal 10 2 2 5" xfId="3060"/>
    <cellStyle name="Normal 10 2 2 5 2" xfId="3061"/>
    <cellStyle name="Normal 10 2 2 6" xfId="3062"/>
    <cellStyle name="Normal 10 2 2 6 2" xfId="3063"/>
    <cellStyle name="Normal 10 2 2 7" xfId="3064"/>
    <cellStyle name="Normal 10 2 2 8" xfId="3017"/>
    <cellStyle name="Normal 10 2 3" xfId="3065"/>
    <cellStyle name="Normal 10 2 3 2" xfId="3066"/>
    <cellStyle name="Normal 10 2 3 2 2" xfId="3067"/>
    <cellStyle name="Normal 10 2 3 2 2 2" xfId="3068"/>
    <cellStyle name="Normal 10 2 3 2 2 2 2" xfId="3069"/>
    <cellStyle name="Normal 10 2 3 2 2 3" xfId="3070"/>
    <cellStyle name="Normal 10 2 3 2 2 3 2" xfId="3071"/>
    <cellStyle name="Normal 10 2 3 2 2 4" xfId="3072"/>
    <cellStyle name="Normal 10 2 3 2 3" xfId="3073"/>
    <cellStyle name="Normal 10 2 3 2 3 2" xfId="3074"/>
    <cellStyle name="Normal 10 2 3 2 4" xfId="3075"/>
    <cellStyle name="Normal 10 2 3 2 4 2" xfId="3076"/>
    <cellStyle name="Normal 10 2 3 2 5" xfId="3077"/>
    <cellStyle name="Normal 10 2 3 3" xfId="3078"/>
    <cellStyle name="Normal 10 2 3 3 2" xfId="3079"/>
    <cellStyle name="Normal 10 2 3 3 2 2" xfId="3080"/>
    <cellStyle name="Normal 10 2 3 3 3" xfId="3081"/>
    <cellStyle name="Normal 10 2 3 3 3 2" xfId="3082"/>
    <cellStyle name="Normal 10 2 3 3 4" xfId="3083"/>
    <cellStyle name="Normal 10 2 3 4" xfId="3084"/>
    <cellStyle name="Normal 10 2 3 4 2" xfId="3085"/>
    <cellStyle name="Normal 10 2 3 5" xfId="3086"/>
    <cellStyle name="Normal 10 2 3 5 2" xfId="3087"/>
    <cellStyle name="Normal 10 2 3 6" xfId="3088"/>
    <cellStyle name="Normal 10 2 4" xfId="3089"/>
    <cellStyle name="Normal 10 2 4 2" xfId="3090"/>
    <cellStyle name="Normal 10 2 4 2 2" xfId="3091"/>
    <cellStyle name="Normal 10 2 4 2 2 2" xfId="3092"/>
    <cellStyle name="Normal 10 2 4 2 3" xfId="3093"/>
    <cellStyle name="Normal 10 2 4 2 3 2" xfId="3094"/>
    <cellStyle name="Normal 10 2 4 2 4" xfId="3095"/>
    <cellStyle name="Normal 10 2 4 3" xfId="3096"/>
    <cellStyle name="Normal 10 2 4 3 2" xfId="3097"/>
    <cellStyle name="Normal 10 2 4 4" xfId="3098"/>
    <cellStyle name="Normal 10 2 4 4 2" xfId="3099"/>
    <cellStyle name="Normal 10 2 4 5" xfId="3100"/>
    <cellStyle name="Normal 10 2 5" xfId="3101"/>
    <cellStyle name="Normal 10 2 5 2" xfId="3102"/>
    <cellStyle name="Normal 10 2 5 2 2" xfId="3103"/>
    <cellStyle name="Normal 10 2 5 3" xfId="3104"/>
    <cellStyle name="Normal 10 2 5 3 2" xfId="3105"/>
    <cellStyle name="Normal 10 2 5 4" xfId="3106"/>
    <cellStyle name="Normal 10 2 6" xfId="3107"/>
    <cellStyle name="Normal 10 2 6 2" xfId="3108"/>
    <cellStyle name="Normal 10 2 7" xfId="3109"/>
    <cellStyle name="Normal 10 2 7 2" xfId="3110"/>
    <cellStyle name="Normal 10 2 8" xfId="3111"/>
    <cellStyle name="Normal 10 3" xfId="3112"/>
    <cellStyle name="Normal 10 3 2" xfId="3113"/>
    <cellStyle name="Normal 10 3 2 2" xfId="3114"/>
    <cellStyle name="Normal 10 3 2 2 2" xfId="3115"/>
    <cellStyle name="Normal 10 3 2 2 2 2" xfId="3116"/>
    <cellStyle name="Normal 10 3 2 2 2 2 2" xfId="3117"/>
    <cellStyle name="Normal 10 3 2 2 2 3" xfId="3118"/>
    <cellStyle name="Normal 10 3 2 2 2 3 2" xfId="3119"/>
    <cellStyle name="Normal 10 3 2 2 2 4" xfId="3120"/>
    <cellStyle name="Normal 10 3 2 2 3" xfId="3121"/>
    <cellStyle name="Normal 10 3 2 2 3 2" xfId="3122"/>
    <cellStyle name="Normal 10 3 2 2 4" xfId="3123"/>
    <cellStyle name="Normal 10 3 2 2 4 2" xfId="3124"/>
    <cellStyle name="Normal 10 3 2 2 5" xfId="3125"/>
    <cellStyle name="Normal 10 3 2 3" xfId="3126"/>
    <cellStyle name="Normal 10 3 2 3 2" xfId="3127"/>
    <cellStyle name="Normal 10 3 2 3 2 2" xfId="3128"/>
    <cellStyle name="Normal 10 3 2 3 3" xfId="3129"/>
    <cellStyle name="Normal 10 3 2 3 3 2" xfId="3130"/>
    <cellStyle name="Normal 10 3 2 3 4" xfId="3131"/>
    <cellStyle name="Normal 10 3 2 4" xfId="3132"/>
    <cellStyle name="Normal 10 3 2 4 2" xfId="3133"/>
    <cellStyle name="Normal 10 3 2 5" xfId="3134"/>
    <cellStyle name="Normal 10 3 2 5 2" xfId="3135"/>
    <cellStyle name="Normal 10 3 2 6" xfId="3136"/>
    <cellStyle name="Normal 10 3 3" xfId="3137"/>
    <cellStyle name="Normal 10 3 3 2" xfId="3138"/>
    <cellStyle name="Normal 10 3 3 2 2" xfId="3139"/>
    <cellStyle name="Normal 10 3 3 2 2 2" xfId="3140"/>
    <cellStyle name="Normal 10 3 3 2 3" xfId="3141"/>
    <cellStyle name="Normal 10 3 3 2 3 2" xfId="3142"/>
    <cellStyle name="Normal 10 3 3 2 4" xfId="3143"/>
    <cellStyle name="Normal 10 3 3 3" xfId="3144"/>
    <cellStyle name="Normal 10 3 3 3 2" xfId="3145"/>
    <cellStyle name="Normal 10 3 3 4" xfId="3146"/>
    <cellStyle name="Normal 10 3 3 4 2" xfId="3147"/>
    <cellStyle name="Normal 10 3 3 5" xfId="3148"/>
    <cellStyle name="Normal 10 3 4" xfId="3149"/>
    <cellStyle name="Normal 10 3 4 2" xfId="3150"/>
    <cellStyle name="Normal 10 3 4 2 2" xfId="3151"/>
    <cellStyle name="Normal 10 3 4 3" xfId="3152"/>
    <cellStyle name="Normal 10 3 4 3 2" xfId="3153"/>
    <cellStyle name="Normal 10 3 4 4" xfId="3154"/>
    <cellStyle name="Normal 10 3 5" xfId="3155"/>
    <cellStyle name="Normal 10 3 5 2" xfId="3156"/>
    <cellStyle name="Normal 10 3 6" xfId="3157"/>
    <cellStyle name="Normal 10 3 6 2" xfId="3158"/>
    <cellStyle name="Normal 10 3 7" xfId="3159"/>
    <cellStyle name="Normal 10 3 8" xfId="3160"/>
    <cellStyle name="Normal 10 4" xfId="3161"/>
    <cellStyle name="Normal 10 4 2" xfId="3162"/>
    <cellStyle name="Normal 10 4 2 2" xfId="3163"/>
    <cellStyle name="Normal 10 4 2 2 2" xfId="3164"/>
    <cellStyle name="Normal 10 4 2 2 2 2" xfId="3165"/>
    <cellStyle name="Normal 10 4 2 2 2 2 2" xfId="3166"/>
    <cellStyle name="Normal 10 4 2 2 2 3" xfId="3167"/>
    <cellStyle name="Normal 10 4 2 2 2 3 2" xfId="3168"/>
    <cellStyle name="Normal 10 4 2 2 2 4" xfId="3169"/>
    <cellStyle name="Normal 10 4 2 2 3" xfId="3170"/>
    <cellStyle name="Normal 10 4 2 2 3 2" xfId="3171"/>
    <cellStyle name="Normal 10 4 2 2 4" xfId="3172"/>
    <cellStyle name="Normal 10 4 2 2 4 2" xfId="3173"/>
    <cellStyle name="Normal 10 4 2 2 5" xfId="3174"/>
    <cellStyle name="Normal 10 4 2 3" xfId="3175"/>
    <cellStyle name="Normal 10 4 2 3 2" xfId="3176"/>
    <cellStyle name="Normal 10 4 2 3 2 2" xfId="3177"/>
    <cellStyle name="Normal 10 4 2 3 3" xfId="3178"/>
    <cellStyle name="Normal 10 4 2 3 3 2" xfId="3179"/>
    <cellStyle name="Normal 10 4 2 3 4" xfId="3180"/>
    <cellStyle name="Normal 10 4 2 4" xfId="3181"/>
    <cellStyle name="Normal 10 4 2 4 2" xfId="3182"/>
    <cellStyle name="Normal 10 4 2 5" xfId="3183"/>
    <cellStyle name="Normal 10 4 2 5 2" xfId="3184"/>
    <cellStyle name="Normal 10 4 2 6" xfId="3185"/>
    <cellStyle name="Normal 10 4 3" xfId="3186"/>
    <cellStyle name="Normal 10 4 3 2" xfId="3187"/>
    <cellStyle name="Normal 10 4 3 2 2" xfId="3188"/>
    <cellStyle name="Normal 10 4 3 2 2 2" xfId="3189"/>
    <cellStyle name="Normal 10 4 3 2 3" xfId="3190"/>
    <cellStyle name="Normal 10 4 3 2 3 2" xfId="3191"/>
    <cellStyle name="Normal 10 4 3 2 4" xfId="3192"/>
    <cellStyle name="Normal 10 4 3 3" xfId="3193"/>
    <cellStyle name="Normal 10 4 3 3 2" xfId="3194"/>
    <cellStyle name="Normal 10 4 3 4" xfId="3195"/>
    <cellStyle name="Normal 10 4 3 4 2" xfId="3196"/>
    <cellStyle name="Normal 10 4 3 5" xfId="3197"/>
    <cellStyle name="Normal 10 4 4" xfId="3198"/>
    <cellStyle name="Normal 10 4 4 2" xfId="3199"/>
    <cellStyle name="Normal 10 4 4 2 2" xfId="3200"/>
    <cellStyle name="Normal 10 4 4 3" xfId="3201"/>
    <cellStyle name="Normal 10 4 4 3 2" xfId="3202"/>
    <cellStyle name="Normal 10 4 4 4" xfId="3203"/>
    <cellStyle name="Normal 10 4 5" xfId="3204"/>
    <cellStyle name="Normal 10 4 5 2" xfId="3205"/>
    <cellStyle name="Normal 10 4 6" xfId="3206"/>
    <cellStyle name="Normal 10 4 6 2" xfId="3207"/>
    <cellStyle name="Normal 10 4 7" xfId="3208"/>
    <cellStyle name="Normal 10 5" xfId="3209"/>
    <cellStyle name="Normal 10 5 2" xfId="3210"/>
    <cellStyle name="Normal 10 5 2 2" xfId="3211"/>
    <cellStyle name="Normal 10 5 2 2 2" xfId="3212"/>
    <cellStyle name="Normal 10 5 2 2 2 2" xfId="3213"/>
    <cellStyle name="Normal 10 5 2 2 3" xfId="3214"/>
    <cellStyle name="Normal 10 5 2 2 3 2" xfId="3215"/>
    <cellStyle name="Normal 10 5 2 2 4" xfId="3216"/>
    <cellStyle name="Normal 10 5 2 3" xfId="3217"/>
    <cellStyle name="Normal 10 5 2 3 2" xfId="3218"/>
    <cellStyle name="Normal 10 5 2 4" xfId="3219"/>
    <cellStyle name="Normal 10 5 2 4 2" xfId="3220"/>
    <cellStyle name="Normal 10 5 2 5" xfId="3221"/>
    <cellStyle name="Normal 10 5 3" xfId="3222"/>
    <cellStyle name="Normal 10 5 3 2" xfId="3223"/>
    <cellStyle name="Normal 10 5 3 2 2" xfId="3224"/>
    <cellStyle name="Normal 10 5 3 3" xfId="3225"/>
    <cellStyle name="Normal 10 5 3 3 2" xfId="3226"/>
    <cellStyle name="Normal 10 5 3 4" xfId="3227"/>
    <cellStyle name="Normal 10 5 4" xfId="3228"/>
    <cellStyle name="Normal 10 5 4 2" xfId="3229"/>
    <cellStyle name="Normal 10 5 5" xfId="3230"/>
    <cellStyle name="Normal 10 5 5 2" xfId="3231"/>
    <cellStyle name="Normal 10 5 6" xfId="3232"/>
    <cellStyle name="Normal 10 6" xfId="3233"/>
    <cellStyle name="Normal 10 6 2" xfId="3234"/>
    <cellStyle name="Normal 10 6 2 2" xfId="3235"/>
    <cellStyle name="Normal 10 6 2 2 2" xfId="3236"/>
    <cellStyle name="Normal 10 6 2 3" xfId="3237"/>
    <cellStyle name="Normal 10 6 2 3 2" xfId="3238"/>
    <cellStyle name="Normal 10 6 2 4" xfId="3239"/>
    <cellStyle name="Normal 10 6 3" xfId="3240"/>
    <cellStyle name="Normal 10 6 3 2" xfId="3241"/>
    <cellStyle name="Normal 10 6 4" xfId="3242"/>
    <cellStyle name="Normal 10 6 4 2" xfId="3243"/>
    <cellStyle name="Normal 10 6 5" xfId="3244"/>
    <cellStyle name="Normal 10 7" xfId="3245"/>
    <cellStyle name="Normal 10 7 2" xfId="3246"/>
    <cellStyle name="Normal 10 7 2 2" xfId="3247"/>
    <cellStyle name="Normal 10 7 3" xfId="3248"/>
    <cellStyle name="Normal 10 7 3 2" xfId="3249"/>
    <cellStyle name="Normal 10 7 4" xfId="3250"/>
    <cellStyle name="Normal 10 8" xfId="3251"/>
    <cellStyle name="Normal 10 8 2" xfId="3252"/>
    <cellStyle name="Normal 10 9" xfId="3253"/>
    <cellStyle name="Normal 10 9 2" xfId="3254"/>
    <cellStyle name="Normal 10_2112 DF Schedule" xfId="3255"/>
    <cellStyle name="Normal 100" xfId="3256"/>
    <cellStyle name="Normal 100 2" xfId="3257"/>
    <cellStyle name="Normal 100 3" xfId="3258"/>
    <cellStyle name="Normal 101" xfId="3259"/>
    <cellStyle name="Normal 101 2" xfId="3260"/>
    <cellStyle name="Normal 102" xfId="3261"/>
    <cellStyle name="Normal 102 2" xfId="3262"/>
    <cellStyle name="Normal 103" xfId="3263"/>
    <cellStyle name="Normal 103 2" xfId="3264"/>
    <cellStyle name="Normal 104" xfId="3265"/>
    <cellStyle name="Normal 104 2" xfId="3266"/>
    <cellStyle name="Normal 105" xfId="3267"/>
    <cellStyle name="Normal 105 2" xfId="3268"/>
    <cellStyle name="Normal 106" xfId="3269"/>
    <cellStyle name="Normal 107" xfId="3270"/>
    <cellStyle name="Normal 107 2" xfId="3271"/>
    <cellStyle name="Normal 108" xfId="3272"/>
    <cellStyle name="Normal 108 2" xfId="3273"/>
    <cellStyle name="Normal 109" xfId="3274"/>
    <cellStyle name="Normal 109 2" xfId="3275"/>
    <cellStyle name="Normal 109 2 2" xfId="3276"/>
    <cellStyle name="Normal 109 3" xfId="3277"/>
    <cellStyle name="Normal 109 4" xfId="3278"/>
    <cellStyle name="Normal 11" xfId="79"/>
    <cellStyle name="Normal 11 10" xfId="3279"/>
    <cellStyle name="Normal 11 11" xfId="3280"/>
    <cellStyle name="Normal 11 12" xfId="3281"/>
    <cellStyle name="Normal 11 2" xfId="216"/>
    <cellStyle name="Normal 11 2 2" xfId="3282"/>
    <cellStyle name="Normal 11 2 2 2" xfId="3283"/>
    <cellStyle name="Normal 11 2 2 2 2" xfId="3284"/>
    <cellStyle name="Normal 11 2 2 2 2 2" xfId="3285"/>
    <cellStyle name="Normal 11 2 2 2 2 2 2" xfId="3286"/>
    <cellStyle name="Normal 11 2 2 2 2 2 2 2" xfId="3287"/>
    <cellStyle name="Normal 11 2 2 2 2 2 3" xfId="3288"/>
    <cellStyle name="Normal 11 2 2 2 2 2 3 2" xfId="3289"/>
    <cellStyle name="Normal 11 2 2 2 2 2 4" xfId="3290"/>
    <cellStyle name="Normal 11 2 2 2 2 3" xfId="3291"/>
    <cellStyle name="Normal 11 2 2 2 2 3 2" xfId="3292"/>
    <cellStyle name="Normal 11 2 2 2 2 4" xfId="3293"/>
    <cellStyle name="Normal 11 2 2 2 2 4 2" xfId="3294"/>
    <cellStyle name="Normal 11 2 2 2 2 5" xfId="3295"/>
    <cellStyle name="Normal 11 2 2 2 3" xfId="3296"/>
    <cellStyle name="Normal 11 2 2 2 3 2" xfId="3297"/>
    <cellStyle name="Normal 11 2 2 2 3 2 2" xfId="3298"/>
    <cellStyle name="Normal 11 2 2 2 3 3" xfId="3299"/>
    <cellStyle name="Normal 11 2 2 2 3 3 2" xfId="3300"/>
    <cellStyle name="Normal 11 2 2 2 3 4" xfId="3301"/>
    <cellStyle name="Normal 11 2 2 2 4" xfId="3302"/>
    <cellStyle name="Normal 11 2 2 2 4 2" xfId="3303"/>
    <cellStyle name="Normal 11 2 2 2 5" xfId="3304"/>
    <cellStyle name="Normal 11 2 2 2 5 2" xfId="3305"/>
    <cellStyle name="Normal 11 2 2 2 6" xfId="3306"/>
    <cellStyle name="Normal 11 2 2 3" xfId="3307"/>
    <cellStyle name="Normal 11 2 2 3 2" xfId="3308"/>
    <cellStyle name="Normal 11 2 2 3 2 2" xfId="3309"/>
    <cellStyle name="Normal 11 2 2 3 2 2 2" xfId="3310"/>
    <cellStyle name="Normal 11 2 2 3 2 3" xfId="3311"/>
    <cellStyle name="Normal 11 2 2 3 2 3 2" xfId="3312"/>
    <cellStyle name="Normal 11 2 2 3 2 4" xfId="3313"/>
    <cellStyle name="Normal 11 2 2 3 3" xfId="3314"/>
    <cellStyle name="Normal 11 2 2 3 3 2" xfId="3315"/>
    <cellStyle name="Normal 11 2 2 3 4" xfId="3316"/>
    <cellStyle name="Normal 11 2 2 3 4 2" xfId="3317"/>
    <cellStyle name="Normal 11 2 2 3 5" xfId="3318"/>
    <cellStyle name="Normal 11 2 2 4" xfId="3319"/>
    <cellStyle name="Normal 11 2 2 4 2" xfId="3320"/>
    <cellStyle name="Normal 11 2 2 4 2 2" xfId="3321"/>
    <cellStyle name="Normal 11 2 2 4 3" xfId="3322"/>
    <cellStyle name="Normal 11 2 2 4 3 2" xfId="3323"/>
    <cellStyle name="Normal 11 2 2 4 4" xfId="3324"/>
    <cellStyle name="Normal 11 2 2 5" xfId="3325"/>
    <cellStyle name="Normal 11 2 2 5 2" xfId="3326"/>
    <cellStyle name="Normal 11 2 2 6" xfId="3327"/>
    <cellStyle name="Normal 11 2 2 6 2" xfId="3328"/>
    <cellStyle name="Normal 11 2 2 7" xfId="3329"/>
    <cellStyle name="Normal 11 2 3" xfId="3330"/>
    <cellStyle name="Normal 11 2 3 2" xfId="3331"/>
    <cellStyle name="Normal 11 2 3 2 2" xfId="3332"/>
    <cellStyle name="Normal 11 2 3 2 2 2" xfId="3333"/>
    <cellStyle name="Normal 11 2 3 2 2 2 2" xfId="3334"/>
    <cellStyle name="Normal 11 2 3 2 2 3" xfId="3335"/>
    <cellStyle name="Normal 11 2 3 2 2 3 2" xfId="3336"/>
    <cellStyle name="Normal 11 2 3 2 2 4" xfId="3337"/>
    <cellStyle name="Normal 11 2 3 2 3" xfId="3338"/>
    <cellStyle name="Normal 11 2 3 2 3 2" xfId="3339"/>
    <cellStyle name="Normal 11 2 3 2 4" xfId="3340"/>
    <cellStyle name="Normal 11 2 3 2 4 2" xfId="3341"/>
    <cellStyle name="Normal 11 2 3 2 5" xfId="3342"/>
    <cellStyle name="Normal 11 2 3 3" xfId="3343"/>
    <cellStyle name="Normal 11 2 3 3 2" xfId="3344"/>
    <cellStyle name="Normal 11 2 3 3 2 2" xfId="3345"/>
    <cellStyle name="Normal 11 2 3 3 3" xfId="3346"/>
    <cellStyle name="Normal 11 2 3 3 3 2" xfId="3347"/>
    <cellStyle name="Normal 11 2 3 3 4" xfId="3348"/>
    <cellStyle name="Normal 11 2 3 4" xfId="3349"/>
    <cellStyle name="Normal 11 2 3 4 2" xfId="3350"/>
    <cellStyle name="Normal 11 2 3 5" xfId="3351"/>
    <cellStyle name="Normal 11 2 3 5 2" xfId="3352"/>
    <cellStyle name="Normal 11 2 3 6" xfId="3353"/>
    <cellStyle name="Normal 11 2 4" xfId="3354"/>
    <cellStyle name="Normal 11 2 4 2" xfId="3355"/>
    <cellStyle name="Normal 11 2 4 2 2" xfId="3356"/>
    <cellStyle name="Normal 11 2 4 2 2 2" xfId="3357"/>
    <cellStyle name="Normal 11 2 4 2 3" xfId="3358"/>
    <cellStyle name="Normal 11 2 4 2 3 2" xfId="3359"/>
    <cellStyle name="Normal 11 2 4 2 4" xfId="3360"/>
    <cellStyle name="Normal 11 2 4 3" xfId="3361"/>
    <cellStyle name="Normal 11 2 4 3 2" xfId="3362"/>
    <cellStyle name="Normal 11 2 4 4" xfId="3363"/>
    <cellStyle name="Normal 11 2 4 4 2" xfId="3364"/>
    <cellStyle name="Normal 11 2 4 5" xfId="3365"/>
    <cellStyle name="Normal 11 2 5" xfId="3366"/>
    <cellStyle name="Normal 11 2 5 2" xfId="3367"/>
    <cellStyle name="Normal 11 2 5 2 2" xfId="3368"/>
    <cellStyle name="Normal 11 2 5 3" xfId="3369"/>
    <cellStyle name="Normal 11 2 5 3 2" xfId="3370"/>
    <cellStyle name="Normal 11 2 5 4" xfId="3371"/>
    <cellStyle name="Normal 11 2 6" xfId="3372"/>
    <cellStyle name="Normal 11 2 6 2" xfId="3373"/>
    <cellStyle name="Normal 11 2 7" xfId="3374"/>
    <cellStyle name="Normal 11 2 7 2" xfId="3375"/>
    <cellStyle name="Normal 11 2 8" xfId="3376"/>
    <cellStyle name="Normal 11 2 9" xfId="3377"/>
    <cellStyle name="Normal 11 3" xfId="3378"/>
    <cellStyle name="Normal 11 3 2" xfId="3379"/>
    <cellStyle name="Normal 11 3 2 2" xfId="3380"/>
    <cellStyle name="Normal 11 3 2 2 2" xfId="3381"/>
    <cellStyle name="Normal 11 3 2 2 2 2" xfId="3382"/>
    <cellStyle name="Normal 11 3 2 2 2 2 2" xfId="3383"/>
    <cellStyle name="Normal 11 3 2 2 2 3" xfId="3384"/>
    <cellStyle name="Normal 11 3 2 2 2 3 2" xfId="3385"/>
    <cellStyle name="Normal 11 3 2 2 2 4" xfId="3386"/>
    <cellStyle name="Normal 11 3 2 2 3" xfId="3387"/>
    <cellStyle name="Normal 11 3 2 2 3 2" xfId="3388"/>
    <cellStyle name="Normal 11 3 2 2 4" xfId="3389"/>
    <cellStyle name="Normal 11 3 2 2 4 2" xfId="3390"/>
    <cellStyle name="Normal 11 3 2 2 5" xfId="3391"/>
    <cellStyle name="Normal 11 3 2 3" xfId="3392"/>
    <cellStyle name="Normal 11 3 2 3 2" xfId="3393"/>
    <cellStyle name="Normal 11 3 2 3 2 2" xfId="3394"/>
    <cellStyle name="Normal 11 3 2 3 3" xfId="3395"/>
    <cellStyle name="Normal 11 3 2 3 3 2" xfId="3396"/>
    <cellStyle name="Normal 11 3 2 3 4" xfId="3397"/>
    <cellStyle name="Normal 11 3 2 4" xfId="3398"/>
    <cellStyle name="Normal 11 3 2 4 2" xfId="3399"/>
    <cellStyle name="Normal 11 3 2 5" xfId="3400"/>
    <cellStyle name="Normal 11 3 2 5 2" xfId="3401"/>
    <cellStyle name="Normal 11 3 2 6" xfId="3402"/>
    <cellStyle name="Normal 11 3 3" xfId="3403"/>
    <cellStyle name="Normal 11 3 3 2" xfId="3404"/>
    <cellStyle name="Normal 11 3 3 2 2" xfId="3405"/>
    <cellStyle name="Normal 11 3 3 2 2 2" xfId="3406"/>
    <cellStyle name="Normal 11 3 3 2 3" xfId="3407"/>
    <cellStyle name="Normal 11 3 3 2 3 2" xfId="3408"/>
    <cellStyle name="Normal 11 3 3 2 4" xfId="3409"/>
    <cellStyle name="Normal 11 3 3 3" xfId="3410"/>
    <cellStyle name="Normal 11 3 3 3 2" xfId="3411"/>
    <cellStyle name="Normal 11 3 3 4" xfId="3412"/>
    <cellStyle name="Normal 11 3 3 4 2" xfId="3413"/>
    <cellStyle name="Normal 11 3 3 5" xfId="3414"/>
    <cellStyle name="Normal 11 3 4" xfId="3415"/>
    <cellStyle name="Normal 11 3 4 2" xfId="3416"/>
    <cellStyle name="Normal 11 3 4 2 2" xfId="3417"/>
    <cellStyle name="Normal 11 3 4 3" xfId="3418"/>
    <cellStyle name="Normal 11 3 4 3 2" xfId="3419"/>
    <cellStyle name="Normal 11 3 4 4" xfId="3420"/>
    <cellStyle name="Normal 11 3 5" xfId="3421"/>
    <cellStyle name="Normal 11 3 5 2" xfId="3422"/>
    <cellStyle name="Normal 11 3 6" xfId="3423"/>
    <cellStyle name="Normal 11 3 6 2" xfId="3424"/>
    <cellStyle name="Normal 11 3 7" xfId="3425"/>
    <cellStyle name="Normal 11 4" xfId="3426"/>
    <cellStyle name="Normal 11 4 2" xfId="3427"/>
    <cellStyle name="Normal 11 4 2 2" xfId="3428"/>
    <cellStyle name="Normal 11 4 2 2 2" xfId="3429"/>
    <cellStyle name="Normal 11 4 2 2 2 2" xfId="3430"/>
    <cellStyle name="Normal 11 4 2 2 2 2 2" xfId="3431"/>
    <cellStyle name="Normal 11 4 2 2 2 3" xfId="3432"/>
    <cellStyle name="Normal 11 4 2 2 2 3 2" xfId="3433"/>
    <cellStyle name="Normal 11 4 2 2 2 4" xfId="3434"/>
    <cellStyle name="Normal 11 4 2 2 3" xfId="3435"/>
    <cellStyle name="Normal 11 4 2 2 3 2" xfId="3436"/>
    <cellStyle name="Normal 11 4 2 2 4" xfId="3437"/>
    <cellStyle name="Normal 11 4 2 2 4 2" xfId="3438"/>
    <cellStyle name="Normal 11 4 2 2 5" xfId="3439"/>
    <cellStyle name="Normal 11 4 2 3" xfId="3440"/>
    <cellStyle name="Normal 11 4 2 3 2" xfId="3441"/>
    <cellStyle name="Normal 11 4 2 3 2 2" xfId="3442"/>
    <cellStyle name="Normal 11 4 2 3 3" xfId="3443"/>
    <cellStyle name="Normal 11 4 2 3 3 2" xfId="3444"/>
    <cellStyle name="Normal 11 4 2 3 4" xfId="3445"/>
    <cellStyle name="Normal 11 4 2 4" xfId="3446"/>
    <cellStyle name="Normal 11 4 2 4 2" xfId="3447"/>
    <cellStyle name="Normal 11 4 2 5" xfId="3448"/>
    <cellStyle name="Normal 11 4 2 5 2" xfId="3449"/>
    <cellStyle name="Normal 11 4 2 6" xfId="3450"/>
    <cellStyle name="Normal 11 4 3" xfId="3451"/>
    <cellStyle name="Normal 11 4 3 2" xfId="3452"/>
    <cellStyle name="Normal 11 4 3 2 2" xfId="3453"/>
    <cellStyle name="Normal 11 4 3 2 2 2" xfId="3454"/>
    <cellStyle name="Normal 11 4 3 2 3" xfId="3455"/>
    <cellStyle name="Normal 11 4 3 2 3 2" xfId="3456"/>
    <cellStyle name="Normal 11 4 3 2 4" xfId="3457"/>
    <cellStyle name="Normal 11 4 3 3" xfId="3458"/>
    <cellStyle name="Normal 11 4 3 3 2" xfId="3459"/>
    <cellStyle name="Normal 11 4 3 4" xfId="3460"/>
    <cellStyle name="Normal 11 4 3 4 2" xfId="3461"/>
    <cellStyle name="Normal 11 4 3 5" xfId="3462"/>
    <cellStyle name="Normal 11 4 4" xfId="3463"/>
    <cellStyle name="Normal 11 4 4 2" xfId="3464"/>
    <cellStyle name="Normal 11 4 4 2 2" xfId="3465"/>
    <cellStyle name="Normal 11 4 4 3" xfId="3466"/>
    <cellStyle name="Normal 11 4 4 3 2" xfId="3467"/>
    <cellStyle name="Normal 11 4 4 4" xfId="3468"/>
    <cellStyle name="Normal 11 4 5" xfId="3469"/>
    <cellStyle name="Normal 11 4 5 2" xfId="3470"/>
    <cellStyle name="Normal 11 4 6" xfId="3471"/>
    <cellStyle name="Normal 11 4 6 2" xfId="3472"/>
    <cellStyle name="Normal 11 4 7" xfId="3473"/>
    <cellStyle name="Normal 11 5" xfId="3474"/>
    <cellStyle name="Normal 11 5 10" xfId="3475"/>
    <cellStyle name="Normal 11 5 10 2" xfId="3476"/>
    <cellStyle name="Normal 11 5 10 3" xfId="3477"/>
    <cellStyle name="Normal 11 5 11" xfId="3478"/>
    <cellStyle name="Normal 11 5 11 2" xfId="3479"/>
    <cellStyle name="Normal 11 5 12" xfId="3480"/>
    <cellStyle name="Normal 11 5 12 2" xfId="3481"/>
    <cellStyle name="Normal 11 5 13" xfId="3482"/>
    <cellStyle name="Normal 11 5 14" xfId="3483"/>
    <cellStyle name="Normal 11 5 15" xfId="3484"/>
    <cellStyle name="Normal 11 5 16" xfId="3485"/>
    <cellStyle name="Normal 11 5 17" xfId="3486"/>
    <cellStyle name="Normal 11 5 18" xfId="3487"/>
    <cellStyle name="Normal 11 5 19" xfId="3488"/>
    <cellStyle name="Normal 11 5 19 2" xfId="3489"/>
    <cellStyle name="Normal 11 5 19 3" xfId="3490"/>
    <cellStyle name="Normal 11 5 19 4" xfId="3491"/>
    <cellStyle name="Normal 11 5 19 5" xfId="3492"/>
    <cellStyle name="Normal 11 5 19 6" xfId="3493"/>
    <cellStyle name="Normal 11 5 2" xfId="3494"/>
    <cellStyle name="Normal 11 5 2 2" xfId="3495"/>
    <cellStyle name="Normal 11 5 2 2 2" xfId="3496"/>
    <cellStyle name="Normal 11 5 2 2 2 2" xfId="3497"/>
    <cellStyle name="Normal 11 5 2 2 3" xfId="3498"/>
    <cellStyle name="Normal 11 5 2 2 3 2" xfId="3499"/>
    <cellStyle name="Normal 11 5 2 2 4" xfId="3500"/>
    <cellStyle name="Normal 11 5 2 2 5" xfId="3501"/>
    <cellStyle name="Normal 11 5 2 3" xfId="3502"/>
    <cellStyle name="Normal 11 5 2 3 2" xfId="3503"/>
    <cellStyle name="Normal 11 5 2 3 3" xfId="3504"/>
    <cellStyle name="Normal 11 5 2 4" xfId="3505"/>
    <cellStyle name="Normal 11 5 2 4 2" xfId="3506"/>
    <cellStyle name="Normal 11 5 2 4 3" xfId="3507"/>
    <cellStyle name="Normal 11 5 2 5" xfId="3508"/>
    <cellStyle name="Normal 11 5 2 6" xfId="3509"/>
    <cellStyle name="Normal 11 5 20" xfId="3510"/>
    <cellStyle name="Normal 11 5 21" xfId="3511"/>
    <cellStyle name="Normal 11 5 22" xfId="3512"/>
    <cellStyle name="Normal 11 5 23" xfId="3513"/>
    <cellStyle name="Normal 11 5 24" xfId="3514"/>
    <cellStyle name="Normal 11 5 25" xfId="3515"/>
    <cellStyle name="Normal 11 5 26" xfId="3516"/>
    <cellStyle name="Normal 11 5 27" xfId="3517"/>
    <cellStyle name="Normal 11 5 28" xfId="3518"/>
    <cellStyle name="Normal 11 5 3" xfId="3519"/>
    <cellStyle name="Normal 11 5 3 2" xfId="3520"/>
    <cellStyle name="Normal 11 5 3 2 2" xfId="3521"/>
    <cellStyle name="Normal 11 5 3 2 2 2" xfId="3522"/>
    <cellStyle name="Normal 11 5 3 2 2 3" xfId="3523"/>
    <cellStyle name="Normal 11 5 3 2 3" xfId="3524"/>
    <cellStyle name="Normal 11 5 3 2 3 2" xfId="3525"/>
    <cellStyle name="Normal 11 5 3 2 3 3" xfId="3526"/>
    <cellStyle name="Normal 11 5 3 2 4" xfId="3527"/>
    <cellStyle name="Normal 11 5 3 2 5" xfId="3528"/>
    <cellStyle name="Normal 11 5 3 3" xfId="3529"/>
    <cellStyle name="Normal 11 5 3 3 2" xfId="3530"/>
    <cellStyle name="Normal 11 5 3 3 3" xfId="3531"/>
    <cellStyle name="Normal 11 5 3 3 4" xfId="3532"/>
    <cellStyle name="Normal 11 5 3 3 5" xfId="3533"/>
    <cellStyle name="Normal 11 5 3 4" xfId="3534"/>
    <cellStyle name="Normal 11 5 3 4 2" xfId="3535"/>
    <cellStyle name="Normal 11 5 3 4 3" xfId="3536"/>
    <cellStyle name="Normal 11 5 3 5" xfId="3537"/>
    <cellStyle name="Normal 11 5 3 5 2" xfId="3538"/>
    <cellStyle name="Normal 11 5 3 5 3" xfId="3539"/>
    <cellStyle name="Normal 11 5 3 6" xfId="3540"/>
    <cellStyle name="Normal 11 5 3 7" xfId="3541"/>
    <cellStyle name="Normal 11 5 4" xfId="3542"/>
    <cellStyle name="Normal 11 5 4 2" xfId="3543"/>
    <cellStyle name="Normal 11 5 4 2 2" xfId="3544"/>
    <cellStyle name="Normal 11 5 4 2 3" xfId="3545"/>
    <cellStyle name="Normal 11 5 4 2 4" xfId="3546"/>
    <cellStyle name="Normal 11 5 4 2 5" xfId="3547"/>
    <cellStyle name="Normal 11 5 4 3" xfId="3548"/>
    <cellStyle name="Normal 11 5 4 3 2" xfId="3549"/>
    <cellStyle name="Normal 11 5 4 3 3" xfId="3550"/>
    <cellStyle name="Normal 11 5 4 4" xfId="3551"/>
    <cellStyle name="Normal 11 5 4 4 2" xfId="3552"/>
    <cellStyle name="Normal 11 5 4 4 3" xfId="3553"/>
    <cellStyle name="Normal 11 5 4 5" xfId="3554"/>
    <cellStyle name="Normal 11 5 4 6" xfId="3555"/>
    <cellStyle name="Normal 11 5 5" xfId="3556"/>
    <cellStyle name="Normal 11 5 5 2" xfId="3557"/>
    <cellStyle name="Normal 11 5 5 2 2" xfId="3558"/>
    <cellStyle name="Normal 11 5 5 2 3" xfId="3559"/>
    <cellStyle name="Normal 11 5 5 2 4" xfId="3560"/>
    <cellStyle name="Normal 11 5 5 2 5" xfId="3561"/>
    <cellStyle name="Normal 11 5 5 3" xfId="3562"/>
    <cellStyle name="Normal 11 5 5 3 2" xfId="3563"/>
    <cellStyle name="Normal 11 5 5 3 3" xfId="3564"/>
    <cellStyle name="Normal 11 5 5 4" xfId="3565"/>
    <cellStyle name="Normal 11 5 5 4 2" xfId="3566"/>
    <cellStyle name="Normal 11 5 5 4 3" xfId="3567"/>
    <cellStyle name="Normal 11 5 5 5" xfId="3568"/>
    <cellStyle name="Normal 11 5 5 6" xfId="3569"/>
    <cellStyle name="Normal 11 5 6" xfId="3570"/>
    <cellStyle name="Normal 11 5 6 2" xfId="3571"/>
    <cellStyle name="Normal 11 5 6 2 2" xfId="3572"/>
    <cellStyle name="Normal 11 5 6 2 3" xfId="3573"/>
    <cellStyle name="Normal 11 5 6 2 4" xfId="3574"/>
    <cellStyle name="Normal 11 5 6 2 5" xfId="3575"/>
    <cellStyle name="Normal 11 5 6 3" xfId="3576"/>
    <cellStyle name="Normal 11 5 6 3 2" xfId="3577"/>
    <cellStyle name="Normal 11 5 6 3 3" xfId="3578"/>
    <cellStyle name="Normal 11 5 6 4" xfId="3579"/>
    <cellStyle name="Normal 11 5 6 4 2" xfId="3580"/>
    <cellStyle name="Normal 11 5 6 4 3" xfId="3581"/>
    <cellStyle name="Normal 11 5 6 5" xfId="3582"/>
    <cellStyle name="Normal 11 5 6 5 2" xfId="3583"/>
    <cellStyle name="Normal 11 5 6 6" xfId="3584"/>
    <cellStyle name="Normal 11 5 6 7" xfId="3585"/>
    <cellStyle name="Normal 11 5 7" xfId="3586"/>
    <cellStyle name="Normal 11 5 7 2" xfId="3587"/>
    <cellStyle name="Normal 11 5 7 2 2" xfId="3588"/>
    <cellStyle name="Normal 11 5 7 2 3" xfId="3589"/>
    <cellStyle name="Normal 11 5 7 3" xfId="3590"/>
    <cellStyle name="Normal 11 5 7 3 2" xfId="3591"/>
    <cellStyle name="Normal 11 5 7 3 3" xfId="3592"/>
    <cellStyle name="Normal 11 5 7 4" xfId="3593"/>
    <cellStyle name="Normal 11 5 7 4 2" xfId="3594"/>
    <cellStyle name="Normal 11 5 7 5" xfId="3595"/>
    <cellStyle name="Normal 11 5 7 6" xfId="3596"/>
    <cellStyle name="Normal 11 5 8" xfId="3597"/>
    <cellStyle name="Normal 11 5 8 2" xfId="3598"/>
    <cellStyle name="Normal 11 5 8 3" xfId="3599"/>
    <cellStyle name="Normal 11 5 8 4" xfId="3600"/>
    <cellStyle name="Normal 11 5 8 5" xfId="3601"/>
    <cellStyle name="Normal 11 5 9" xfId="3602"/>
    <cellStyle name="Normal 11 5 9 2" xfId="3603"/>
    <cellStyle name="Normal 11 5 9 3" xfId="3604"/>
    <cellStyle name="Normal 11 5_10070" xfId="3605"/>
    <cellStyle name="Normal 11 6" xfId="3606"/>
    <cellStyle name="Normal 11 6 2" xfId="3607"/>
    <cellStyle name="Normal 11 6 2 2" xfId="3608"/>
    <cellStyle name="Normal 11 6 2 2 2" xfId="3609"/>
    <cellStyle name="Normal 11 6 2 3" xfId="3610"/>
    <cellStyle name="Normal 11 6 2 3 2" xfId="3611"/>
    <cellStyle name="Normal 11 6 2 4" xfId="3612"/>
    <cellStyle name="Normal 11 6 3" xfId="3613"/>
    <cellStyle name="Normal 11 6 3 2" xfId="3614"/>
    <cellStyle name="Normal 11 6 3 3" xfId="3615"/>
    <cellStyle name="Normal 11 6 4" xfId="3616"/>
    <cellStyle name="Normal 11 6 4 2" xfId="3617"/>
    <cellStyle name="Normal 11 6 5" xfId="3618"/>
    <cellStyle name="Normal 11 7" xfId="3619"/>
    <cellStyle name="Normal 11 7 2" xfId="3620"/>
    <cellStyle name="Normal 11 7 2 2" xfId="3621"/>
    <cellStyle name="Normal 11 7 3" xfId="3622"/>
    <cellStyle name="Normal 11 7 3 2" xfId="3623"/>
    <cellStyle name="Normal 11 7 4" xfId="3624"/>
    <cellStyle name="Normal 11 7 5" xfId="3625"/>
    <cellStyle name="Normal 11 8" xfId="3626"/>
    <cellStyle name="Normal 11 8 2" xfId="3627"/>
    <cellStyle name="Normal 11 8 3" xfId="3628"/>
    <cellStyle name="Normal 11 9" xfId="3629"/>
    <cellStyle name="Normal 11 9 2" xfId="3630"/>
    <cellStyle name="Normal 11_2180" xfId="3631"/>
    <cellStyle name="Normal 110" xfId="3632"/>
    <cellStyle name="Normal 110 2" xfId="3633"/>
    <cellStyle name="Normal 111" xfId="3634"/>
    <cellStyle name="Normal 111 2" xfId="3635"/>
    <cellStyle name="Normal 111 3" xfId="3636"/>
    <cellStyle name="Normal 112" xfId="3637"/>
    <cellStyle name="Normal 112 2" xfId="3638"/>
    <cellStyle name="Normal 112 3" xfId="3639"/>
    <cellStyle name="Normal 113" xfId="3640"/>
    <cellStyle name="Normal 113 2" xfId="3641"/>
    <cellStyle name="Normal 113 3" xfId="3642"/>
    <cellStyle name="Normal 113 4" xfId="3643"/>
    <cellStyle name="Normal 114" xfId="3644"/>
    <cellStyle name="Normal 114 2" xfId="3645"/>
    <cellStyle name="Normal 115" xfId="3646"/>
    <cellStyle name="Normal 116" xfId="3647"/>
    <cellStyle name="Normal 117" xfId="3648"/>
    <cellStyle name="Normal 117 2" xfId="3649"/>
    <cellStyle name="Normal 118" xfId="3650"/>
    <cellStyle name="Normal 118 2" xfId="3651"/>
    <cellStyle name="Normal 119" xfId="3652"/>
    <cellStyle name="Normal 12" xfId="80"/>
    <cellStyle name="Normal 12 10" xfId="3653"/>
    <cellStyle name="Normal 12 2" xfId="217"/>
    <cellStyle name="Normal 12 2 2" xfId="3655"/>
    <cellStyle name="Normal 12 2 2 2" xfId="3656"/>
    <cellStyle name="Normal 12 2 2 2 2" xfId="3657"/>
    <cellStyle name="Normal 12 2 2 2 2 2" xfId="3658"/>
    <cellStyle name="Normal 12 2 2 2 2 2 2" xfId="3659"/>
    <cellStyle name="Normal 12 2 2 2 2 2 2 2" xfId="3660"/>
    <cellStyle name="Normal 12 2 2 2 2 2 3" xfId="3661"/>
    <cellStyle name="Normal 12 2 2 2 2 2 3 2" xfId="3662"/>
    <cellStyle name="Normal 12 2 2 2 2 2 4" xfId="3663"/>
    <cellStyle name="Normal 12 2 2 2 2 3" xfId="3664"/>
    <cellStyle name="Normal 12 2 2 2 2 3 2" xfId="3665"/>
    <cellStyle name="Normal 12 2 2 2 2 4" xfId="3666"/>
    <cellStyle name="Normal 12 2 2 2 2 4 2" xfId="3667"/>
    <cellStyle name="Normal 12 2 2 2 2 5" xfId="3668"/>
    <cellStyle name="Normal 12 2 2 2 3" xfId="3669"/>
    <cellStyle name="Normal 12 2 2 2 3 2" xfId="3670"/>
    <cellStyle name="Normal 12 2 2 2 3 2 2" xfId="3671"/>
    <cellStyle name="Normal 12 2 2 2 3 3" xfId="3672"/>
    <cellStyle name="Normal 12 2 2 2 3 3 2" xfId="3673"/>
    <cellStyle name="Normal 12 2 2 2 3 4" xfId="3674"/>
    <cellStyle name="Normal 12 2 2 2 4" xfId="3675"/>
    <cellStyle name="Normal 12 2 2 2 4 2" xfId="3676"/>
    <cellStyle name="Normal 12 2 2 2 5" xfId="3677"/>
    <cellStyle name="Normal 12 2 2 2 5 2" xfId="3678"/>
    <cellStyle name="Normal 12 2 2 2 6" xfId="3679"/>
    <cellStyle name="Normal 12 2 2 3" xfId="3680"/>
    <cellStyle name="Normal 12 2 2 3 2" xfId="3681"/>
    <cellStyle name="Normal 12 2 2 3 2 2" xfId="3682"/>
    <cellStyle name="Normal 12 2 2 3 2 2 2" xfId="3683"/>
    <cellStyle name="Normal 12 2 2 3 2 3" xfId="3684"/>
    <cellStyle name="Normal 12 2 2 3 2 3 2" xfId="3685"/>
    <cellStyle name="Normal 12 2 2 3 2 4" xfId="3686"/>
    <cellStyle name="Normal 12 2 2 3 3" xfId="3687"/>
    <cellStyle name="Normal 12 2 2 3 3 2" xfId="3688"/>
    <cellStyle name="Normal 12 2 2 3 4" xfId="3689"/>
    <cellStyle name="Normal 12 2 2 3 4 2" xfId="3690"/>
    <cellStyle name="Normal 12 2 2 3 5" xfId="3691"/>
    <cellStyle name="Normal 12 2 2 4" xfId="3692"/>
    <cellStyle name="Normal 12 2 2 4 2" xfId="3693"/>
    <cellStyle name="Normal 12 2 2 4 2 2" xfId="3694"/>
    <cellStyle name="Normal 12 2 2 4 3" xfId="3695"/>
    <cellStyle name="Normal 12 2 2 4 3 2" xfId="3696"/>
    <cellStyle name="Normal 12 2 2 4 4" xfId="3697"/>
    <cellStyle name="Normal 12 2 2 5" xfId="3698"/>
    <cellStyle name="Normal 12 2 2 5 2" xfId="3699"/>
    <cellStyle name="Normal 12 2 2 6" xfId="3700"/>
    <cellStyle name="Normal 12 2 2 6 2" xfId="3701"/>
    <cellStyle name="Normal 12 2 2 7" xfId="3702"/>
    <cellStyle name="Normal 12 2 3" xfId="3703"/>
    <cellStyle name="Normal 12 2 3 2" xfId="3704"/>
    <cellStyle name="Normal 12 2 3 2 2" xfId="3705"/>
    <cellStyle name="Normal 12 2 3 2 2 2" xfId="3706"/>
    <cellStyle name="Normal 12 2 3 2 2 2 2" xfId="3707"/>
    <cellStyle name="Normal 12 2 3 2 2 3" xfId="3708"/>
    <cellStyle name="Normal 12 2 3 2 2 3 2" xfId="3709"/>
    <cellStyle name="Normal 12 2 3 2 2 4" xfId="3710"/>
    <cellStyle name="Normal 12 2 3 2 3" xfId="3711"/>
    <cellStyle name="Normal 12 2 3 2 3 2" xfId="3712"/>
    <cellStyle name="Normal 12 2 3 2 4" xfId="3713"/>
    <cellStyle name="Normal 12 2 3 2 4 2" xfId="3714"/>
    <cellStyle name="Normal 12 2 3 2 5" xfId="3715"/>
    <cellStyle name="Normal 12 2 3 3" xfId="3716"/>
    <cellStyle name="Normal 12 2 3 3 2" xfId="3717"/>
    <cellStyle name="Normal 12 2 3 3 2 2" xfId="3718"/>
    <cellStyle name="Normal 12 2 3 3 3" xfId="3719"/>
    <cellStyle name="Normal 12 2 3 3 3 2" xfId="3720"/>
    <cellStyle name="Normal 12 2 3 3 4" xfId="3721"/>
    <cellStyle name="Normal 12 2 3 4" xfId="3722"/>
    <cellStyle name="Normal 12 2 3 4 2" xfId="3723"/>
    <cellStyle name="Normal 12 2 3 5" xfId="3724"/>
    <cellStyle name="Normal 12 2 3 5 2" xfId="3725"/>
    <cellStyle name="Normal 12 2 3 6" xfId="3726"/>
    <cellStyle name="Normal 12 2 4" xfId="3727"/>
    <cellStyle name="Normal 12 2 4 2" xfId="3728"/>
    <cellStyle name="Normal 12 2 4 2 2" xfId="3729"/>
    <cellStyle name="Normal 12 2 4 2 2 2" xfId="3730"/>
    <cellStyle name="Normal 12 2 4 2 3" xfId="3731"/>
    <cellStyle name="Normal 12 2 4 2 3 2" xfId="3732"/>
    <cellStyle name="Normal 12 2 4 2 4" xfId="3733"/>
    <cellStyle name="Normal 12 2 4 3" xfId="3734"/>
    <cellStyle name="Normal 12 2 4 3 2" xfId="3735"/>
    <cellStyle name="Normal 12 2 4 4" xfId="3736"/>
    <cellStyle name="Normal 12 2 4 4 2" xfId="3737"/>
    <cellStyle name="Normal 12 2 4 5" xfId="3738"/>
    <cellStyle name="Normal 12 2 5" xfId="3739"/>
    <cellStyle name="Normal 12 2 5 2" xfId="3740"/>
    <cellStyle name="Normal 12 2 5 2 2" xfId="3741"/>
    <cellStyle name="Normal 12 2 5 3" xfId="3742"/>
    <cellStyle name="Normal 12 2 5 3 2" xfId="3743"/>
    <cellStyle name="Normal 12 2 5 4" xfId="3744"/>
    <cellStyle name="Normal 12 2 6" xfId="3745"/>
    <cellStyle name="Normal 12 2 6 2" xfId="3746"/>
    <cellStyle name="Normal 12 2 7" xfId="3747"/>
    <cellStyle name="Normal 12 2 7 2" xfId="3748"/>
    <cellStyle name="Normal 12 2 8" xfId="3749"/>
    <cellStyle name="Normal 12 2 9" xfId="3654"/>
    <cellStyle name="Normal 12 3" xfId="3750"/>
    <cellStyle name="Normal 12 3 2" xfId="3751"/>
    <cellStyle name="Normal 12 3 2 2" xfId="3752"/>
    <cellStyle name="Normal 12 3 2 2 2" xfId="3753"/>
    <cellStyle name="Normal 12 3 2 2 2 2" xfId="3754"/>
    <cellStyle name="Normal 12 3 2 2 2 2 2" xfId="3755"/>
    <cellStyle name="Normal 12 3 2 2 2 3" xfId="3756"/>
    <cellStyle name="Normal 12 3 2 2 2 3 2" xfId="3757"/>
    <cellStyle name="Normal 12 3 2 2 2 4" xfId="3758"/>
    <cellStyle name="Normal 12 3 2 2 3" xfId="3759"/>
    <cellStyle name="Normal 12 3 2 2 3 2" xfId="3760"/>
    <cellStyle name="Normal 12 3 2 2 4" xfId="3761"/>
    <cellStyle name="Normal 12 3 2 2 4 2" xfId="3762"/>
    <cellStyle name="Normal 12 3 2 2 5" xfId="3763"/>
    <cellStyle name="Normal 12 3 2 3" xfId="3764"/>
    <cellStyle name="Normal 12 3 2 3 2" xfId="3765"/>
    <cellStyle name="Normal 12 3 2 3 2 2" xfId="3766"/>
    <cellStyle name="Normal 12 3 2 3 3" xfId="3767"/>
    <cellStyle name="Normal 12 3 2 3 3 2" xfId="3768"/>
    <cellStyle name="Normal 12 3 2 3 4" xfId="3769"/>
    <cellStyle name="Normal 12 3 2 4" xfId="3770"/>
    <cellStyle name="Normal 12 3 2 4 2" xfId="3771"/>
    <cellStyle name="Normal 12 3 2 5" xfId="3772"/>
    <cellStyle name="Normal 12 3 2 5 2" xfId="3773"/>
    <cellStyle name="Normal 12 3 2 6" xfId="3774"/>
    <cellStyle name="Normal 12 3 3" xfId="3775"/>
    <cellStyle name="Normal 12 3 3 2" xfId="3776"/>
    <cellStyle name="Normal 12 3 3 2 2" xfId="3777"/>
    <cellStyle name="Normal 12 3 3 2 2 2" xfId="3778"/>
    <cellStyle name="Normal 12 3 3 2 3" xfId="3779"/>
    <cellStyle name="Normal 12 3 3 2 3 2" xfId="3780"/>
    <cellStyle name="Normal 12 3 3 2 4" xfId="3781"/>
    <cellStyle name="Normal 12 3 3 3" xfId="3782"/>
    <cellStyle name="Normal 12 3 3 3 2" xfId="3783"/>
    <cellStyle name="Normal 12 3 3 4" xfId="3784"/>
    <cellStyle name="Normal 12 3 3 4 2" xfId="3785"/>
    <cellStyle name="Normal 12 3 3 5" xfId="3786"/>
    <cellStyle name="Normal 12 3 4" xfId="3787"/>
    <cellStyle name="Normal 12 3 4 2" xfId="3788"/>
    <cellStyle name="Normal 12 3 4 2 2" xfId="3789"/>
    <cellStyle name="Normal 12 3 4 3" xfId="3790"/>
    <cellStyle name="Normal 12 3 4 3 2" xfId="3791"/>
    <cellStyle name="Normal 12 3 4 4" xfId="3792"/>
    <cellStyle name="Normal 12 3 5" xfId="3793"/>
    <cellStyle name="Normal 12 3 5 2" xfId="3794"/>
    <cellStyle name="Normal 12 3 6" xfId="3795"/>
    <cellStyle name="Normal 12 3 6 2" xfId="3796"/>
    <cellStyle name="Normal 12 3 7" xfId="3797"/>
    <cellStyle name="Normal 12 3 8" xfId="3798"/>
    <cellStyle name="Normal 12 4" xfId="3799"/>
    <cellStyle name="Normal 12 4 2" xfId="3800"/>
    <cellStyle name="Normal 12 4 2 2" xfId="3801"/>
    <cellStyle name="Normal 12 4 2 2 2" xfId="3802"/>
    <cellStyle name="Normal 12 4 2 2 2 2" xfId="3803"/>
    <cellStyle name="Normal 12 4 2 2 2 2 2" xfId="3804"/>
    <cellStyle name="Normal 12 4 2 2 2 3" xfId="3805"/>
    <cellStyle name="Normal 12 4 2 2 2 3 2" xfId="3806"/>
    <cellStyle name="Normal 12 4 2 2 2 4" xfId="3807"/>
    <cellStyle name="Normal 12 4 2 2 3" xfId="3808"/>
    <cellStyle name="Normal 12 4 2 2 3 2" xfId="3809"/>
    <cellStyle name="Normal 12 4 2 2 4" xfId="3810"/>
    <cellStyle name="Normal 12 4 2 2 4 2" xfId="3811"/>
    <cellStyle name="Normal 12 4 2 2 5" xfId="3812"/>
    <cellStyle name="Normal 12 4 2 3" xfId="3813"/>
    <cellStyle name="Normal 12 4 2 3 2" xfId="3814"/>
    <cellStyle name="Normal 12 4 2 3 2 2" xfId="3815"/>
    <cellStyle name="Normal 12 4 2 3 3" xfId="3816"/>
    <cellStyle name="Normal 12 4 2 3 3 2" xfId="3817"/>
    <cellStyle name="Normal 12 4 2 3 4" xfId="3818"/>
    <cellStyle name="Normal 12 4 2 4" xfId="3819"/>
    <cellStyle name="Normal 12 4 2 4 2" xfId="3820"/>
    <cellStyle name="Normal 12 4 2 5" xfId="3821"/>
    <cellStyle name="Normal 12 4 2 5 2" xfId="3822"/>
    <cellStyle name="Normal 12 4 2 6" xfId="3823"/>
    <cellStyle name="Normal 12 4 3" xfId="3824"/>
    <cellStyle name="Normal 12 4 3 2" xfId="3825"/>
    <cellStyle name="Normal 12 4 3 2 2" xfId="3826"/>
    <cellStyle name="Normal 12 4 3 2 2 2" xfId="3827"/>
    <cellStyle name="Normal 12 4 3 2 3" xfId="3828"/>
    <cellStyle name="Normal 12 4 3 2 3 2" xfId="3829"/>
    <cellStyle name="Normal 12 4 3 2 4" xfId="3830"/>
    <cellStyle name="Normal 12 4 3 3" xfId="3831"/>
    <cellStyle name="Normal 12 4 3 3 2" xfId="3832"/>
    <cellStyle name="Normal 12 4 3 4" xfId="3833"/>
    <cellStyle name="Normal 12 4 3 4 2" xfId="3834"/>
    <cellStyle name="Normal 12 4 3 5" xfId="3835"/>
    <cellStyle name="Normal 12 4 4" xfId="3836"/>
    <cellStyle name="Normal 12 4 4 2" xfId="3837"/>
    <cellStyle name="Normal 12 4 4 2 2" xfId="3838"/>
    <cellStyle name="Normal 12 4 4 3" xfId="3839"/>
    <cellStyle name="Normal 12 4 4 3 2" xfId="3840"/>
    <cellStyle name="Normal 12 4 4 4" xfId="3841"/>
    <cellStyle name="Normal 12 4 5" xfId="3842"/>
    <cellStyle name="Normal 12 4 5 2" xfId="3843"/>
    <cellStyle name="Normal 12 4 6" xfId="3844"/>
    <cellStyle name="Normal 12 4 6 2" xfId="3845"/>
    <cellStyle name="Normal 12 4 7" xfId="3846"/>
    <cellStyle name="Normal 12 5" xfId="3847"/>
    <cellStyle name="Normal 12 5 2" xfId="3848"/>
    <cellStyle name="Normal 12 5 2 2" xfId="3849"/>
    <cellStyle name="Normal 12 5 2 2 2" xfId="3850"/>
    <cellStyle name="Normal 12 5 2 2 2 2" xfId="3851"/>
    <cellStyle name="Normal 12 5 2 2 3" xfId="3852"/>
    <cellStyle name="Normal 12 5 2 2 3 2" xfId="3853"/>
    <cellStyle name="Normal 12 5 2 2 4" xfId="3854"/>
    <cellStyle name="Normal 12 5 2 3" xfId="3855"/>
    <cellStyle name="Normal 12 5 2 3 2" xfId="3856"/>
    <cellStyle name="Normal 12 5 2 4" xfId="3857"/>
    <cellStyle name="Normal 12 5 2 4 2" xfId="3858"/>
    <cellStyle name="Normal 12 5 2 5" xfId="3859"/>
    <cellStyle name="Normal 12 5 3" xfId="3860"/>
    <cellStyle name="Normal 12 5 3 2" xfId="3861"/>
    <cellStyle name="Normal 12 5 3 2 2" xfId="3862"/>
    <cellStyle name="Normal 12 5 3 3" xfId="3863"/>
    <cellStyle name="Normal 12 5 3 3 2" xfId="3864"/>
    <cellStyle name="Normal 12 5 3 4" xfId="3865"/>
    <cellStyle name="Normal 12 5 4" xfId="3866"/>
    <cellStyle name="Normal 12 5 4 2" xfId="3867"/>
    <cellStyle name="Normal 12 5 5" xfId="3868"/>
    <cellStyle name="Normal 12 5 5 2" xfId="3869"/>
    <cellStyle name="Normal 12 5 6" xfId="3870"/>
    <cellStyle name="Normal 12 6" xfId="3871"/>
    <cellStyle name="Normal 12 6 2" xfId="3872"/>
    <cellStyle name="Normal 12 6 2 2" xfId="3873"/>
    <cellStyle name="Normal 12 6 2 2 2" xfId="3874"/>
    <cellStyle name="Normal 12 6 2 3" xfId="3875"/>
    <cellStyle name="Normal 12 6 2 3 2" xfId="3876"/>
    <cellStyle name="Normal 12 6 2 4" xfId="3877"/>
    <cellStyle name="Normal 12 6 3" xfId="3878"/>
    <cellStyle name="Normal 12 6 3 2" xfId="3879"/>
    <cellStyle name="Normal 12 6 4" xfId="3880"/>
    <cellStyle name="Normal 12 6 4 2" xfId="3881"/>
    <cellStyle name="Normal 12 6 5" xfId="3882"/>
    <cellStyle name="Normal 12 7" xfId="3883"/>
    <cellStyle name="Normal 12 7 2" xfId="3884"/>
    <cellStyle name="Normal 12 7 2 2" xfId="3885"/>
    <cellStyle name="Normal 12 7 3" xfId="3886"/>
    <cellStyle name="Normal 12 7 3 2" xfId="3887"/>
    <cellStyle name="Normal 12 7 4" xfId="3888"/>
    <cellStyle name="Normal 12 8" xfId="3889"/>
    <cellStyle name="Normal 12 8 2" xfId="3890"/>
    <cellStyle name="Normal 12 9" xfId="3891"/>
    <cellStyle name="Normal 12 9 2" xfId="3892"/>
    <cellStyle name="Normal 12_2180" xfId="3893"/>
    <cellStyle name="Normal 120" xfId="3894"/>
    <cellStyle name="Normal 121" xfId="3895"/>
    <cellStyle name="Normal 122" xfId="3896"/>
    <cellStyle name="Normal 123" xfId="3897"/>
    <cellStyle name="Normal 124" xfId="3898"/>
    <cellStyle name="Normal 125" xfId="3899"/>
    <cellStyle name="Normal 126" xfId="3900"/>
    <cellStyle name="Normal 127" xfId="3901"/>
    <cellStyle name="Normal 128" xfId="3902"/>
    <cellStyle name="Normal 128 2" xfId="3903"/>
    <cellStyle name="Normal 129" xfId="3904"/>
    <cellStyle name="Normal 13" xfId="81"/>
    <cellStyle name="Normal 13 10" xfId="3906"/>
    <cellStyle name="Normal 13 11" xfId="3905"/>
    <cellStyle name="Normal 13 2" xfId="218"/>
    <cellStyle name="Normal 13 2 2" xfId="3908"/>
    <cellStyle name="Normal 13 2 2 2" xfId="3909"/>
    <cellStyle name="Normal 13 2 2 2 2" xfId="3910"/>
    <cellStyle name="Normal 13 2 2 2 2 2" xfId="3911"/>
    <cellStyle name="Normal 13 2 2 2 2 2 2" xfId="3912"/>
    <cellStyle name="Normal 13 2 2 2 2 2 2 2" xfId="3913"/>
    <cellStyle name="Normal 13 2 2 2 2 2 3" xfId="3914"/>
    <cellStyle name="Normal 13 2 2 2 2 2 3 2" xfId="3915"/>
    <cellStyle name="Normal 13 2 2 2 2 2 4" xfId="3916"/>
    <cellStyle name="Normal 13 2 2 2 2 3" xfId="3917"/>
    <cellStyle name="Normal 13 2 2 2 2 3 2" xfId="3918"/>
    <cellStyle name="Normal 13 2 2 2 2 4" xfId="3919"/>
    <cellStyle name="Normal 13 2 2 2 2 4 2" xfId="3920"/>
    <cellStyle name="Normal 13 2 2 2 2 5" xfId="3921"/>
    <cellStyle name="Normal 13 2 2 2 3" xfId="3922"/>
    <cellStyle name="Normal 13 2 2 2 3 2" xfId="3923"/>
    <cellStyle name="Normal 13 2 2 2 3 2 2" xfId="3924"/>
    <cellStyle name="Normal 13 2 2 2 3 3" xfId="3925"/>
    <cellStyle name="Normal 13 2 2 2 3 3 2" xfId="3926"/>
    <cellStyle name="Normal 13 2 2 2 3 4" xfId="3927"/>
    <cellStyle name="Normal 13 2 2 2 4" xfId="3928"/>
    <cellStyle name="Normal 13 2 2 2 4 2" xfId="3929"/>
    <cellStyle name="Normal 13 2 2 2 5" xfId="3930"/>
    <cellStyle name="Normal 13 2 2 2 5 2" xfId="3931"/>
    <cellStyle name="Normal 13 2 2 2 6" xfId="3932"/>
    <cellStyle name="Normal 13 2 2 3" xfId="3933"/>
    <cellStyle name="Normal 13 2 2 3 2" xfId="3934"/>
    <cellStyle name="Normal 13 2 2 3 2 2" xfId="3935"/>
    <cellStyle name="Normal 13 2 2 3 2 2 2" xfId="3936"/>
    <cellStyle name="Normal 13 2 2 3 2 3" xfId="3937"/>
    <cellStyle name="Normal 13 2 2 3 2 3 2" xfId="3938"/>
    <cellStyle name="Normal 13 2 2 3 2 4" xfId="3939"/>
    <cellStyle name="Normal 13 2 2 3 3" xfId="3940"/>
    <cellStyle name="Normal 13 2 2 3 3 2" xfId="3941"/>
    <cellStyle name="Normal 13 2 2 3 4" xfId="3942"/>
    <cellStyle name="Normal 13 2 2 3 4 2" xfId="3943"/>
    <cellStyle name="Normal 13 2 2 3 5" xfId="3944"/>
    <cellStyle name="Normal 13 2 2 4" xfId="3945"/>
    <cellStyle name="Normal 13 2 2 4 2" xfId="3946"/>
    <cellStyle name="Normal 13 2 2 4 2 2" xfId="3947"/>
    <cellStyle name="Normal 13 2 2 4 3" xfId="3948"/>
    <cellStyle name="Normal 13 2 2 4 3 2" xfId="3949"/>
    <cellStyle name="Normal 13 2 2 4 4" xfId="3950"/>
    <cellStyle name="Normal 13 2 2 5" xfId="3951"/>
    <cellStyle name="Normal 13 2 2 5 2" xfId="3952"/>
    <cellStyle name="Normal 13 2 2 6" xfId="3953"/>
    <cellStyle name="Normal 13 2 2 6 2" xfId="3954"/>
    <cellStyle name="Normal 13 2 2 7" xfId="3955"/>
    <cellStyle name="Normal 13 2 3" xfId="3956"/>
    <cellStyle name="Normal 13 2 3 2" xfId="3957"/>
    <cellStyle name="Normal 13 2 3 2 2" xfId="3958"/>
    <cellStyle name="Normal 13 2 3 2 2 2" xfId="3959"/>
    <cellStyle name="Normal 13 2 3 2 2 2 2" xfId="3960"/>
    <cellStyle name="Normal 13 2 3 2 2 3" xfId="3961"/>
    <cellStyle name="Normal 13 2 3 2 2 3 2" xfId="3962"/>
    <cellStyle name="Normal 13 2 3 2 2 4" xfId="3963"/>
    <cellStyle name="Normal 13 2 3 2 3" xfId="3964"/>
    <cellStyle name="Normal 13 2 3 2 3 2" xfId="3965"/>
    <cellStyle name="Normal 13 2 3 2 4" xfId="3966"/>
    <cellStyle name="Normal 13 2 3 2 4 2" xfId="3967"/>
    <cellStyle name="Normal 13 2 3 2 5" xfId="3968"/>
    <cellStyle name="Normal 13 2 3 3" xfId="3969"/>
    <cellStyle name="Normal 13 2 3 3 2" xfId="3970"/>
    <cellStyle name="Normal 13 2 3 3 2 2" xfId="3971"/>
    <cellStyle name="Normal 13 2 3 3 3" xfId="3972"/>
    <cellStyle name="Normal 13 2 3 3 3 2" xfId="3973"/>
    <cellStyle name="Normal 13 2 3 3 4" xfId="3974"/>
    <cellStyle name="Normal 13 2 3 4" xfId="3975"/>
    <cellStyle name="Normal 13 2 3 4 2" xfId="3976"/>
    <cellStyle name="Normal 13 2 3 5" xfId="3977"/>
    <cellStyle name="Normal 13 2 3 5 2" xfId="3978"/>
    <cellStyle name="Normal 13 2 3 6" xfId="3979"/>
    <cellStyle name="Normal 13 2 4" xfId="3980"/>
    <cellStyle name="Normal 13 2 4 2" xfId="3981"/>
    <cellStyle name="Normal 13 2 4 2 2" xfId="3982"/>
    <cellStyle name="Normal 13 2 4 2 2 2" xfId="3983"/>
    <cellStyle name="Normal 13 2 4 2 3" xfId="3984"/>
    <cellStyle name="Normal 13 2 4 2 3 2" xfId="3985"/>
    <cellStyle name="Normal 13 2 4 2 4" xfId="3986"/>
    <cellStyle name="Normal 13 2 4 3" xfId="3987"/>
    <cellStyle name="Normal 13 2 4 3 2" xfId="3988"/>
    <cellStyle name="Normal 13 2 4 4" xfId="3989"/>
    <cellStyle name="Normal 13 2 4 4 2" xfId="3990"/>
    <cellStyle name="Normal 13 2 4 5" xfId="3991"/>
    <cellStyle name="Normal 13 2 5" xfId="3992"/>
    <cellStyle name="Normal 13 2 5 2" xfId="3993"/>
    <cellStyle name="Normal 13 2 5 2 2" xfId="3994"/>
    <cellStyle name="Normal 13 2 5 3" xfId="3995"/>
    <cellStyle name="Normal 13 2 5 3 2" xfId="3996"/>
    <cellStyle name="Normal 13 2 5 4" xfId="3997"/>
    <cellStyle name="Normal 13 2 6" xfId="3998"/>
    <cellStyle name="Normal 13 2 6 2" xfId="3999"/>
    <cellStyle name="Normal 13 2 7" xfId="4000"/>
    <cellStyle name="Normal 13 2 7 2" xfId="4001"/>
    <cellStyle name="Normal 13 2 8" xfId="4002"/>
    <cellStyle name="Normal 13 2 9" xfId="3907"/>
    <cellStyle name="Normal 13 3" xfId="4003"/>
    <cellStyle name="Normal 13 3 2" xfId="4004"/>
    <cellStyle name="Normal 13 3 2 2" xfId="4005"/>
    <cellStyle name="Normal 13 3 2 2 2" xfId="4006"/>
    <cellStyle name="Normal 13 3 2 2 2 2" xfId="4007"/>
    <cellStyle name="Normal 13 3 2 2 2 2 2" xfId="4008"/>
    <cellStyle name="Normal 13 3 2 2 2 3" xfId="4009"/>
    <cellStyle name="Normal 13 3 2 2 2 3 2" xfId="4010"/>
    <cellStyle name="Normal 13 3 2 2 2 4" xfId="4011"/>
    <cellStyle name="Normal 13 3 2 2 3" xfId="4012"/>
    <cellStyle name="Normal 13 3 2 2 3 2" xfId="4013"/>
    <cellStyle name="Normal 13 3 2 2 4" xfId="4014"/>
    <cellStyle name="Normal 13 3 2 2 4 2" xfId="4015"/>
    <cellStyle name="Normal 13 3 2 2 5" xfId="4016"/>
    <cellStyle name="Normal 13 3 2 3" xfId="4017"/>
    <cellStyle name="Normal 13 3 2 3 2" xfId="4018"/>
    <cellStyle name="Normal 13 3 2 3 2 2" xfId="4019"/>
    <cellStyle name="Normal 13 3 2 3 3" xfId="4020"/>
    <cellStyle name="Normal 13 3 2 3 3 2" xfId="4021"/>
    <cellStyle name="Normal 13 3 2 3 4" xfId="4022"/>
    <cellStyle name="Normal 13 3 2 4" xfId="4023"/>
    <cellStyle name="Normal 13 3 2 4 2" xfId="4024"/>
    <cellStyle name="Normal 13 3 2 5" xfId="4025"/>
    <cellStyle name="Normal 13 3 2 5 2" xfId="4026"/>
    <cellStyle name="Normal 13 3 2 6" xfId="4027"/>
    <cellStyle name="Normal 13 3 3" xfId="4028"/>
    <cellStyle name="Normal 13 3 3 2" xfId="4029"/>
    <cellStyle name="Normal 13 3 3 2 2" xfId="4030"/>
    <cellStyle name="Normal 13 3 3 2 2 2" xfId="4031"/>
    <cellStyle name="Normal 13 3 3 2 3" xfId="4032"/>
    <cellStyle name="Normal 13 3 3 2 3 2" xfId="4033"/>
    <cellStyle name="Normal 13 3 3 2 4" xfId="4034"/>
    <cellStyle name="Normal 13 3 3 3" xfId="4035"/>
    <cellStyle name="Normal 13 3 3 3 2" xfId="4036"/>
    <cellStyle name="Normal 13 3 3 4" xfId="4037"/>
    <cellStyle name="Normal 13 3 3 4 2" xfId="4038"/>
    <cellStyle name="Normal 13 3 3 5" xfId="4039"/>
    <cellStyle name="Normal 13 3 4" xfId="4040"/>
    <cellStyle name="Normal 13 3 4 2" xfId="4041"/>
    <cellStyle name="Normal 13 3 4 2 2" xfId="4042"/>
    <cellStyle name="Normal 13 3 4 3" xfId="4043"/>
    <cellStyle name="Normal 13 3 4 3 2" xfId="4044"/>
    <cellStyle name="Normal 13 3 4 4" xfId="4045"/>
    <cellStyle name="Normal 13 3 5" xfId="4046"/>
    <cellStyle name="Normal 13 3 5 2" xfId="4047"/>
    <cellStyle name="Normal 13 3 6" xfId="4048"/>
    <cellStyle name="Normal 13 3 6 2" xfId="4049"/>
    <cellStyle name="Normal 13 3 7" xfId="4050"/>
    <cellStyle name="Normal 13 3 8" xfId="4051"/>
    <cellStyle name="Normal 13 4" xfId="4052"/>
    <cellStyle name="Normal 13 4 2" xfId="4053"/>
    <cellStyle name="Normal 13 4 2 2" xfId="4054"/>
    <cellStyle name="Normal 13 4 2 2 2" xfId="4055"/>
    <cellStyle name="Normal 13 4 2 2 2 2" xfId="4056"/>
    <cellStyle name="Normal 13 4 2 2 2 2 2" xfId="4057"/>
    <cellStyle name="Normal 13 4 2 2 2 3" xfId="4058"/>
    <cellStyle name="Normal 13 4 2 2 2 3 2" xfId="4059"/>
    <cellStyle name="Normal 13 4 2 2 2 4" xfId="4060"/>
    <cellStyle name="Normal 13 4 2 2 3" xfId="4061"/>
    <cellStyle name="Normal 13 4 2 2 3 2" xfId="4062"/>
    <cellStyle name="Normal 13 4 2 2 4" xfId="4063"/>
    <cellStyle name="Normal 13 4 2 2 4 2" xfId="4064"/>
    <cellStyle name="Normal 13 4 2 2 5" xfId="4065"/>
    <cellStyle name="Normal 13 4 2 3" xfId="4066"/>
    <cellStyle name="Normal 13 4 2 3 2" xfId="4067"/>
    <cellStyle name="Normal 13 4 2 3 2 2" xfId="4068"/>
    <cellStyle name="Normal 13 4 2 3 3" xfId="4069"/>
    <cellStyle name="Normal 13 4 2 3 3 2" xfId="4070"/>
    <cellStyle name="Normal 13 4 2 3 4" xfId="4071"/>
    <cellStyle name="Normal 13 4 2 4" xfId="4072"/>
    <cellStyle name="Normal 13 4 2 4 2" xfId="4073"/>
    <cellStyle name="Normal 13 4 2 5" xfId="4074"/>
    <cellStyle name="Normal 13 4 2 5 2" xfId="4075"/>
    <cellStyle name="Normal 13 4 2 6" xfId="4076"/>
    <cellStyle name="Normal 13 4 3" xfId="4077"/>
    <cellStyle name="Normal 13 4 3 2" xfId="4078"/>
    <cellStyle name="Normal 13 4 3 2 2" xfId="4079"/>
    <cellStyle name="Normal 13 4 3 2 2 2" xfId="4080"/>
    <cellStyle name="Normal 13 4 3 2 3" xfId="4081"/>
    <cellStyle name="Normal 13 4 3 2 3 2" xfId="4082"/>
    <cellStyle name="Normal 13 4 3 2 4" xfId="4083"/>
    <cellStyle name="Normal 13 4 3 3" xfId="4084"/>
    <cellStyle name="Normal 13 4 3 3 2" xfId="4085"/>
    <cellStyle name="Normal 13 4 3 4" xfId="4086"/>
    <cellStyle name="Normal 13 4 3 4 2" xfId="4087"/>
    <cellStyle name="Normal 13 4 3 5" xfId="4088"/>
    <cellStyle name="Normal 13 4 4" xfId="4089"/>
    <cellStyle name="Normal 13 4 4 2" xfId="4090"/>
    <cellStyle name="Normal 13 4 4 2 2" xfId="4091"/>
    <cellStyle name="Normal 13 4 4 3" xfId="4092"/>
    <cellStyle name="Normal 13 4 4 3 2" xfId="4093"/>
    <cellStyle name="Normal 13 4 4 4" xfId="4094"/>
    <cellStyle name="Normal 13 4 5" xfId="4095"/>
    <cellStyle name="Normal 13 4 5 2" xfId="4096"/>
    <cellStyle name="Normal 13 4 6" xfId="4097"/>
    <cellStyle name="Normal 13 4 6 2" xfId="4098"/>
    <cellStyle name="Normal 13 4 7" xfId="4099"/>
    <cellStyle name="Normal 13 5" xfId="4100"/>
    <cellStyle name="Normal 13 5 2" xfId="4101"/>
    <cellStyle name="Normal 13 5 2 2" xfId="4102"/>
    <cellStyle name="Normal 13 5 2 2 2" xfId="4103"/>
    <cellStyle name="Normal 13 5 2 2 2 2" xfId="4104"/>
    <cellStyle name="Normal 13 5 2 2 3" xfId="4105"/>
    <cellStyle name="Normal 13 5 2 2 3 2" xfId="4106"/>
    <cellStyle name="Normal 13 5 2 2 4" xfId="4107"/>
    <cellStyle name="Normal 13 5 2 3" xfId="4108"/>
    <cellStyle name="Normal 13 5 2 3 2" xfId="4109"/>
    <cellStyle name="Normal 13 5 2 4" xfId="4110"/>
    <cellStyle name="Normal 13 5 2 4 2" xfId="4111"/>
    <cellStyle name="Normal 13 5 2 5" xfId="4112"/>
    <cellStyle name="Normal 13 5 3" xfId="4113"/>
    <cellStyle name="Normal 13 5 3 2" xfId="4114"/>
    <cellStyle name="Normal 13 5 3 2 2" xfId="4115"/>
    <cellStyle name="Normal 13 5 3 3" xfId="4116"/>
    <cellStyle name="Normal 13 5 3 3 2" xfId="4117"/>
    <cellStyle name="Normal 13 5 3 4" xfId="4118"/>
    <cellStyle name="Normal 13 5 4" xfId="4119"/>
    <cellStyle name="Normal 13 5 4 2" xfId="4120"/>
    <cellStyle name="Normal 13 5 5" xfId="4121"/>
    <cellStyle name="Normal 13 5 5 2" xfId="4122"/>
    <cellStyle name="Normal 13 5 6" xfId="4123"/>
    <cellStyle name="Normal 13 6" xfId="4124"/>
    <cellStyle name="Normal 13 6 2" xfId="4125"/>
    <cellStyle name="Normal 13 6 2 2" xfId="4126"/>
    <cellStyle name="Normal 13 6 2 2 2" xfId="4127"/>
    <cellStyle name="Normal 13 6 2 3" xfId="4128"/>
    <cellStyle name="Normal 13 6 2 3 2" xfId="4129"/>
    <cellStyle name="Normal 13 6 2 4" xfId="4130"/>
    <cellStyle name="Normal 13 6 3" xfId="4131"/>
    <cellStyle name="Normal 13 6 3 2" xfId="4132"/>
    <cellStyle name="Normal 13 6 4" xfId="4133"/>
    <cellStyle name="Normal 13 6 4 2" xfId="4134"/>
    <cellStyle name="Normal 13 6 5" xfId="4135"/>
    <cellStyle name="Normal 13 7" xfId="4136"/>
    <cellStyle name="Normal 13 7 2" xfId="4137"/>
    <cellStyle name="Normal 13 7 2 2" xfId="4138"/>
    <cellStyle name="Normal 13 7 3" xfId="4139"/>
    <cellStyle name="Normal 13 7 3 2" xfId="4140"/>
    <cellStyle name="Normal 13 7 4" xfId="4141"/>
    <cellStyle name="Normal 13 8" xfId="4142"/>
    <cellStyle name="Normal 13 8 2" xfId="4143"/>
    <cellStyle name="Normal 13 9" xfId="4144"/>
    <cellStyle name="Normal 13 9 2" xfId="4145"/>
    <cellStyle name="Normal 13_Recycling Tons" xfId="4146"/>
    <cellStyle name="Normal 130" xfId="279"/>
    <cellStyle name="Normal 131" xfId="362"/>
    <cellStyle name="Normal 14" xfId="82"/>
    <cellStyle name="Normal 14 10" xfId="4147"/>
    <cellStyle name="Normal 14 2" xfId="219"/>
    <cellStyle name="Normal 14 2 2" xfId="4149"/>
    <cellStyle name="Normal 14 2 2 2" xfId="4150"/>
    <cellStyle name="Normal 14 2 2 2 2" xfId="4151"/>
    <cellStyle name="Normal 14 2 2 2 2 2" xfId="4152"/>
    <cellStyle name="Normal 14 2 2 2 2 2 2" xfId="4153"/>
    <cellStyle name="Normal 14 2 2 2 2 3" xfId="4154"/>
    <cellStyle name="Normal 14 2 2 2 2 3 2" xfId="4155"/>
    <cellStyle name="Normal 14 2 2 2 2 4" xfId="4156"/>
    <cellStyle name="Normal 14 2 2 2 3" xfId="4157"/>
    <cellStyle name="Normal 14 2 2 2 3 2" xfId="4158"/>
    <cellStyle name="Normal 14 2 2 2 4" xfId="4159"/>
    <cellStyle name="Normal 14 2 2 2 4 2" xfId="4160"/>
    <cellStyle name="Normal 14 2 2 2 5" xfId="4161"/>
    <cellStyle name="Normal 14 2 2 3" xfId="4162"/>
    <cellStyle name="Normal 14 2 2 3 2" xfId="4163"/>
    <cellStyle name="Normal 14 2 2 3 2 2" xfId="4164"/>
    <cellStyle name="Normal 14 2 2 3 3" xfId="4165"/>
    <cellStyle name="Normal 14 2 2 3 3 2" xfId="4166"/>
    <cellStyle name="Normal 14 2 2 3 4" xfId="4167"/>
    <cellStyle name="Normal 14 2 2 4" xfId="4168"/>
    <cellStyle name="Normal 14 2 2 4 2" xfId="4169"/>
    <cellStyle name="Normal 14 2 2 5" xfId="4170"/>
    <cellStyle name="Normal 14 2 2 5 2" xfId="4171"/>
    <cellStyle name="Normal 14 2 2 6" xfId="4172"/>
    <cellStyle name="Normal 14 2 3" xfId="4173"/>
    <cellStyle name="Normal 14 2 3 2" xfId="4174"/>
    <cellStyle name="Normal 14 2 3 2 2" xfId="4175"/>
    <cellStyle name="Normal 14 2 3 2 2 2" xfId="4176"/>
    <cellStyle name="Normal 14 2 3 2 3" xfId="4177"/>
    <cellStyle name="Normal 14 2 3 2 3 2" xfId="4178"/>
    <cellStyle name="Normal 14 2 3 2 4" xfId="4179"/>
    <cellStyle name="Normal 14 2 3 3" xfId="4180"/>
    <cellStyle name="Normal 14 2 3 3 2" xfId="4181"/>
    <cellStyle name="Normal 14 2 3 4" xfId="4182"/>
    <cellStyle name="Normal 14 2 3 4 2" xfId="4183"/>
    <cellStyle name="Normal 14 2 3 5" xfId="4184"/>
    <cellStyle name="Normal 14 2 4" xfId="4185"/>
    <cellStyle name="Normal 14 2 4 2" xfId="4186"/>
    <cellStyle name="Normal 14 2 4 2 2" xfId="4187"/>
    <cellStyle name="Normal 14 2 4 3" xfId="4188"/>
    <cellStyle name="Normal 14 2 4 3 2" xfId="4189"/>
    <cellStyle name="Normal 14 2 4 4" xfId="4190"/>
    <cellStyle name="Normal 14 2 5" xfId="4191"/>
    <cellStyle name="Normal 14 2 5 2" xfId="4192"/>
    <cellStyle name="Normal 14 2 6" xfId="4193"/>
    <cellStyle name="Normal 14 2 6 2" xfId="4194"/>
    <cellStyle name="Normal 14 2 7" xfId="4195"/>
    <cellStyle name="Normal 14 2 8" xfId="4148"/>
    <cellStyle name="Normal 14 3" xfId="4196"/>
    <cellStyle name="Normal 14 3 2" xfId="4197"/>
    <cellStyle name="Normal 14 3 2 2" xfId="4198"/>
    <cellStyle name="Normal 14 3 2 2 2" xfId="4199"/>
    <cellStyle name="Normal 14 3 2 2 2 2" xfId="4200"/>
    <cellStyle name="Normal 14 3 2 2 2 2 2" xfId="4201"/>
    <cellStyle name="Normal 14 3 2 2 2 3" xfId="4202"/>
    <cellStyle name="Normal 14 3 2 2 2 3 2" xfId="4203"/>
    <cellStyle name="Normal 14 3 2 2 2 4" xfId="4204"/>
    <cellStyle name="Normal 14 3 2 2 3" xfId="4205"/>
    <cellStyle name="Normal 14 3 2 2 3 2" xfId="4206"/>
    <cellStyle name="Normal 14 3 2 2 4" xfId="4207"/>
    <cellStyle name="Normal 14 3 2 2 4 2" xfId="4208"/>
    <cellStyle name="Normal 14 3 2 2 5" xfId="4209"/>
    <cellStyle name="Normal 14 3 2 3" xfId="4210"/>
    <cellStyle name="Normal 14 3 2 3 2" xfId="4211"/>
    <cellStyle name="Normal 14 3 2 3 2 2" xfId="4212"/>
    <cellStyle name="Normal 14 3 2 3 3" xfId="4213"/>
    <cellStyle name="Normal 14 3 2 3 3 2" xfId="4214"/>
    <cellStyle name="Normal 14 3 2 3 4" xfId="4215"/>
    <cellStyle name="Normal 14 3 2 4" xfId="4216"/>
    <cellStyle name="Normal 14 3 2 4 2" xfId="4217"/>
    <cellStyle name="Normal 14 3 2 5" xfId="4218"/>
    <cellStyle name="Normal 14 3 2 5 2" xfId="4219"/>
    <cellStyle name="Normal 14 3 2 6" xfId="4220"/>
    <cellStyle name="Normal 14 3 3" xfId="4221"/>
    <cellStyle name="Normal 14 3 3 2" xfId="4222"/>
    <cellStyle name="Normal 14 3 3 2 2" xfId="4223"/>
    <cellStyle name="Normal 14 3 3 2 2 2" xfId="4224"/>
    <cellStyle name="Normal 14 3 3 2 3" xfId="4225"/>
    <cellStyle name="Normal 14 3 3 2 3 2" xfId="4226"/>
    <cellStyle name="Normal 14 3 3 2 4" xfId="4227"/>
    <cellStyle name="Normal 14 3 3 3" xfId="4228"/>
    <cellStyle name="Normal 14 3 3 3 2" xfId="4229"/>
    <cellStyle name="Normal 14 3 3 4" xfId="4230"/>
    <cellStyle name="Normal 14 3 3 4 2" xfId="4231"/>
    <cellStyle name="Normal 14 3 3 5" xfId="4232"/>
    <cellStyle name="Normal 14 3 4" xfId="4233"/>
    <cellStyle name="Normal 14 3 4 2" xfId="4234"/>
    <cellStyle name="Normal 14 3 4 2 2" xfId="4235"/>
    <cellStyle name="Normal 14 3 4 3" xfId="4236"/>
    <cellStyle name="Normal 14 3 4 3 2" xfId="4237"/>
    <cellStyle name="Normal 14 3 4 4" xfId="4238"/>
    <cellStyle name="Normal 14 3 5" xfId="4239"/>
    <cellStyle name="Normal 14 3 5 2" xfId="4240"/>
    <cellStyle name="Normal 14 3 6" xfId="4241"/>
    <cellStyle name="Normal 14 3 6 2" xfId="4242"/>
    <cellStyle name="Normal 14 3 7" xfId="4243"/>
    <cellStyle name="Normal 14 3 8" xfId="4244"/>
    <cellStyle name="Normal 14 4" xfId="4245"/>
    <cellStyle name="Normal 14 4 2" xfId="4246"/>
    <cellStyle name="Normal 14 4 2 2" xfId="4247"/>
    <cellStyle name="Normal 14 4 2 2 2" xfId="4248"/>
    <cellStyle name="Normal 14 4 2 2 2 2" xfId="4249"/>
    <cellStyle name="Normal 14 4 2 2 3" xfId="4250"/>
    <cellStyle name="Normal 14 4 2 2 3 2" xfId="4251"/>
    <cellStyle name="Normal 14 4 2 2 4" xfId="4252"/>
    <cellStyle name="Normal 14 4 2 3" xfId="4253"/>
    <cellStyle name="Normal 14 4 2 3 2" xfId="4254"/>
    <cellStyle name="Normal 14 4 2 4" xfId="4255"/>
    <cellStyle name="Normal 14 4 2 4 2" xfId="4256"/>
    <cellStyle name="Normal 14 4 2 5" xfId="4257"/>
    <cellStyle name="Normal 14 4 3" xfId="4258"/>
    <cellStyle name="Normal 14 4 3 2" xfId="4259"/>
    <cellStyle name="Normal 14 4 3 2 2" xfId="4260"/>
    <cellStyle name="Normal 14 4 3 3" xfId="4261"/>
    <cellStyle name="Normal 14 4 3 3 2" xfId="4262"/>
    <cellStyle name="Normal 14 4 3 4" xfId="4263"/>
    <cellStyle name="Normal 14 4 4" xfId="4264"/>
    <cellStyle name="Normal 14 4 4 2" xfId="4265"/>
    <cellStyle name="Normal 14 4 5" xfId="4266"/>
    <cellStyle name="Normal 14 4 5 2" xfId="4267"/>
    <cellStyle name="Normal 14 4 6" xfId="4268"/>
    <cellStyle name="Normal 14 5" xfId="4269"/>
    <cellStyle name="Normal 14 5 2" xfId="4270"/>
    <cellStyle name="Normal 14 5 2 2" xfId="4271"/>
    <cellStyle name="Normal 14 5 2 2 2" xfId="4272"/>
    <cellStyle name="Normal 14 5 2 3" xfId="4273"/>
    <cellStyle name="Normal 14 5 2 3 2" xfId="4274"/>
    <cellStyle name="Normal 14 5 2 4" xfId="4275"/>
    <cellStyle name="Normal 14 5 3" xfId="4276"/>
    <cellStyle name="Normal 14 5 3 2" xfId="4277"/>
    <cellStyle name="Normal 14 5 4" xfId="4278"/>
    <cellStyle name="Normal 14 5 4 2" xfId="4279"/>
    <cellStyle name="Normal 14 5 5" xfId="4280"/>
    <cellStyle name="Normal 14 6" xfId="4281"/>
    <cellStyle name="Normal 14 6 2" xfId="4282"/>
    <cellStyle name="Normal 14 6 2 2" xfId="4283"/>
    <cellStyle name="Normal 14 6 3" xfId="4284"/>
    <cellStyle name="Normal 14 6 3 2" xfId="4285"/>
    <cellStyle name="Normal 14 6 4" xfId="4286"/>
    <cellStyle name="Normal 14 7" xfId="4287"/>
    <cellStyle name="Normal 14 7 2" xfId="4288"/>
    <cellStyle name="Normal 14 8" xfId="4289"/>
    <cellStyle name="Normal 14 8 2" xfId="4290"/>
    <cellStyle name="Normal 14 9" xfId="4291"/>
    <cellStyle name="Normal 14_Recycling Tons" xfId="4292"/>
    <cellStyle name="Normal 15" xfId="83"/>
    <cellStyle name="Normal 15 2" xfId="220"/>
    <cellStyle name="Normal 15 2 2" xfId="4293"/>
    <cellStyle name="Normal 15 2 2 2" xfId="4294"/>
    <cellStyle name="Normal 15 2 3" xfId="4295"/>
    <cellStyle name="Normal 15 3" xfId="4296"/>
    <cellStyle name="Normal 15 3 2" xfId="4297"/>
    <cellStyle name="Normal 15 3 3" xfId="4298"/>
    <cellStyle name="Normal 15 4" xfId="4299"/>
    <cellStyle name="Normal 15 4 2" xfId="4300"/>
    <cellStyle name="Normal 15 5" xfId="4301"/>
    <cellStyle name="Normal 15_Recycling Tons" xfId="4302"/>
    <cellStyle name="Normal 16" xfId="84"/>
    <cellStyle name="Normal 16 2" xfId="221"/>
    <cellStyle name="Normal 16 2 2" xfId="4303"/>
    <cellStyle name="Normal 16 2 2 2" xfId="4304"/>
    <cellStyle name="Normal 16 2 3" xfId="4305"/>
    <cellStyle name="Normal 16 3" xfId="4306"/>
    <cellStyle name="Normal 16 3 2" xfId="4307"/>
    <cellStyle name="Normal 16 3 2 2" xfId="4308"/>
    <cellStyle name="Normal 16 3 2 2 2" xfId="4309"/>
    <cellStyle name="Normal 16 3 2 2 2 2" xfId="4310"/>
    <cellStyle name="Normal 16 3 2 2 2 2 2" xfId="4311"/>
    <cellStyle name="Normal 16 3 2 2 2 3" xfId="4312"/>
    <cellStyle name="Normal 16 3 2 2 2 3 2" xfId="4313"/>
    <cellStyle name="Normal 16 3 2 2 2 4" xfId="4314"/>
    <cellStyle name="Normal 16 3 2 2 3" xfId="4315"/>
    <cellStyle name="Normal 16 3 2 2 3 2" xfId="4316"/>
    <cellStyle name="Normal 16 3 2 2 4" xfId="4317"/>
    <cellStyle name="Normal 16 3 2 2 4 2" xfId="4318"/>
    <cellStyle name="Normal 16 3 2 2 5" xfId="4319"/>
    <cellStyle name="Normal 16 3 2 3" xfId="4320"/>
    <cellStyle name="Normal 16 3 2 3 2" xfId="4321"/>
    <cellStyle name="Normal 16 3 2 3 2 2" xfId="4322"/>
    <cellStyle name="Normal 16 3 2 3 3" xfId="4323"/>
    <cellStyle name="Normal 16 3 2 3 3 2" xfId="4324"/>
    <cellStyle name="Normal 16 3 2 3 4" xfId="4325"/>
    <cellStyle name="Normal 16 3 2 4" xfId="4326"/>
    <cellStyle name="Normal 16 3 2 4 2" xfId="4327"/>
    <cellStyle name="Normal 16 3 2 5" xfId="4328"/>
    <cellStyle name="Normal 16 3 2 5 2" xfId="4329"/>
    <cellStyle name="Normal 16 3 2 6" xfId="4330"/>
    <cellStyle name="Normal 16 3 3" xfId="4331"/>
    <cellStyle name="Normal 16 3 3 2" xfId="4332"/>
    <cellStyle name="Normal 16 3 3 2 2" xfId="4333"/>
    <cellStyle name="Normal 16 3 3 2 2 2" xfId="4334"/>
    <cellStyle name="Normal 16 3 3 2 3" xfId="4335"/>
    <cellStyle name="Normal 16 3 3 2 3 2" xfId="4336"/>
    <cellStyle name="Normal 16 3 3 2 4" xfId="4337"/>
    <cellStyle name="Normal 16 3 3 3" xfId="4338"/>
    <cellStyle name="Normal 16 3 3 3 2" xfId="4339"/>
    <cellStyle name="Normal 16 3 3 4" xfId="4340"/>
    <cellStyle name="Normal 16 3 3 4 2" xfId="4341"/>
    <cellStyle name="Normal 16 3 3 5" xfId="4342"/>
    <cellStyle name="Normal 16 3 4" xfId="4343"/>
    <cellStyle name="Normal 16 3 4 2" xfId="4344"/>
    <cellStyle name="Normal 16 3 4 2 2" xfId="4345"/>
    <cellStyle name="Normal 16 3 4 3" xfId="4346"/>
    <cellStyle name="Normal 16 3 4 3 2" xfId="4347"/>
    <cellStyle name="Normal 16 3 4 4" xfId="4348"/>
    <cellStyle name="Normal 16 3 5" xfId="4349"/>
    <cellStyle name="Normal 16 3 5 2" xfId="4350"/>
    <cellStyle name="Normal 16 3 6" xfId="4351"/>
    <cellStyle name="Normal 16 3 6 2" xfId="4352"/>
    <cellStyle name="Normal 16 3 7" xfId="4353"/>
    <cellStyle name="Normal 16 3 8" xfId="4354"/>
    <cellStyle name="Normal 16 4" xfId="4355"/>
    <cellStyle name="Normal 16 4 2" xfId="4356"/>
    <cellStyle name="Normal 16 4 2 2" xfId="4357"/>
    <cellStyle name="Normal 16 4 2 2 2" xfId="4358"/>
    <cellStyle name="Normal 16 4 2 2 2 2" xfId="4359"/>
    <cellStyle name="Normal 16 4 2 2 3" xfId="4360"/>
    <cellStyle name="Normal 16 4 2 2 3 2" xfId="4361"/>
    <cellStyle name="Normal 16 4 2 2 4" xfId="4362"/>
    <cellStyle name="Normal 16 4 2 3" xfId="4363"/>
    <cellStyle name="Normal 16 4 2 3 2" xfId="4364"/>
    <cellStyle name="Normal 16 4 2 4" xfId="4365"/>
    <cellStyle name="Normal 16 4 2 4 2" xfId="4366"/>
    <cellStyle name="Normal 16 4 2 5" xfId="4367"/>
    <cellStyle name="Normal 16 4 3" xfId="4368"/>
    <cellStyle name="Normal 16 4 3 2" xfId="4369"/>
    <cellStyle name="Normal 16 4 3 2 2" xfId="4370"/>
    <cellStyle name="Normal 16 4 3 3" xfId="4371"/>
    <cellStyle name="Normal 16 4 3 3 2" xfId="4372"/>
    <cellStyle name="Normal 16 4 3 4" xfId="4373"/>
    <cellStyle name="Normal 16 4 4" xfId="4374"/>
    <cellStyle name="Normal 16 4 4 2" xfId="4375"/>
    <cellStyle name="Normal 16 4 5" xfId="4376"/>
    <cellStyle name="Normal 16 4 5 2" xfId="4377"/>
    <cellStyle name="Normal 16 4 6" xfId="4378"/>
    <cellStyle name="Normal 16 5" xfId="4379"/>
    <cellStyle name="Normal 16 5 2" xfId="4380"/>
    <cellStyle name="Normal 16 5 2 2" xfId="4381"/>
    <cellStyle name="Normal 16 5 2 2 2" xfId="4382"/>
    <cellStyle name="Normal 16 5 2 3" xfId="4383"/>
    <cellStyle name="Normal 16 5 2 3 2" xfId="4384"/>
    <cellStyle name="Normal 16 5 2 4" xfId="4385"/>
    <cellStyle name="Normal 16 5 3" xfId="4386"/>
    <cellStyle name="Normal 16 5 3 2" xfId="4387"/>
    <cellStyle name="Normal 16 5 4" xfId="4388"/>
    <cellStyle name="Normal 16 5 4 2" xfId="4389"/>
    <cellStyle name="Normal 16 5 5" xfId="4390"/>
    <cellStyle name="Normal 16 6" xfId="4391"/>
    <cellStyle name="Normal 16 6 2" xfId="4392"/>
    <cellStyle name="Normal 16 6 2 2" xfId="4393"/>
    <cellStyle name="Normal 16 6 3" xfId="4394"/>
    <cellStyle name="Normal 16 6 3 2" xfId="4395"/>
    <cellStyle name="Normal 16 6 4" xfId="4396"/>
    <cellStyle name="Normal 16 7" xfId="4397"/>
    <cellStyle name="Normal 16 7 2" xfId="4398"/>
    <cellStyle name="Normal 16 8" xfId="4399"/>
    <cellStyle name="Normal 16 8 2" xfId="4400"/>
    <cellStyle name="Normal 16 9" xfId="4401"/>
    <cellStyle name="Normal 17" xfId="85"/>
    <cellStyle name="Normal 17 2" xfId="222"/>
    <cellStyle name="Normal 17 2 2" xfId="4402"/>
    <cellStyle name="Normal 17 2 2 2" xfId="4403"/>
    <cellStyle name="Normal 17 2 3" xfId="4404"/>
    <cellStyle name="Normal 17 3" xfId="4405"/>
    <cellStyle name="Normal 17 3 2" xfId="4406"/>
    <cellStyle name="Normal 17 3 3" xfId="4407"/>
    <cellStyle name="Normal 17 4" xfId="4408"/>
    <cellStyle name="Normal 18" xfId="86"/>
    <cellStyle name="Normal 18 10" xfId="4409"/>
    <cellStyle name="Normal 18 2" xfId="223"/>
    <cellStyle name="Normal 18 2 2" xfId="4410"/>
    <cellStyle name="Normal 18 2 2 2" xfId="4411"/>
    <cellStyle name="Normal 18 2 2 2 2" xfId="4412"/>
    <cellStyle name="Normal 18 2 2 2 2 2" xfId="4413"/>
    <cellStyle name="Normal 18 2 2 2 2 2 2" xfId="4414"/>
    <cellStyle name="Normal 18 2 2 2 2 3" xfId="4415"/>
    <cellStyle name="Normal 18 2 2 2 2 3 2" xfId="4416"/>
    <cellStyle name="Normal 18 2 2 2 2 4" xfId="4417"/>
    <cellStyle name="Normal 18 2 2 2 3" xfId="4418"/>
    <cellStyle name="Normal 18 2 2 2 3 2" xfId="4419"/>
    <cellStyle name="Normal 18 2 2 2 4" xfId="4420"/>
    <cellStyle name="Normal 18 2 2 2 4 2" xfId="4421"/>
    <cellStyle name="Normal 18 2 2 2 5" xfId="4422"/>
    <cellStyle name="Normal 18 2 2 3" xfId="4423"/>
    <cellStyle name="Normal 18 2 2 3 2" xfId="4424"/>
    <cellStyle name="Normal 18 2 2 3 2 2" xfId="4425"/>
    <cellStyle name="Normal 18 2 2 3 3" xfId="4426"/>
    <cellStyle name="Normal 18 2 2 3 3 2" xfId="4427"/>
    <cellStyle name="Normal 18 2 2 3 4" xfId="4428"/>
    <cellStyle name="Normal 18 2 2 4" xfId="4429"/>
    <cellStyle name="Normal 18 2 2 4 2" xfId="4430"/>
    <cellStyle name="Normal 18 2 2 5" xfId="4431"/>
    <cellStyle name="Normal 18 2 2 5 2" xfId="4432"/>
    <cellStyle name="Normal 18 2 2 6" xfId="4433"/>
    <cellStyle name="Normal 18 2 3" xfId="4434"/>
    <cellStyle name="Normal 18 2 3 2" xfId="4435"/>
    <cellStyle name="Normal 18 2 3 2 2" xfId="4436"/>
    <cellStyle name="Normal 18 2 3 2 2 2" xfId="4437"/>
    <cellStyle name="Normal 18 2 3 2 3" xfId="4438"/>
    <cellStyle name="Normal 18 2 3 2 3 2" xfId="4439"/>
    <cellStyle name="Normal 18 2 3 2 4" xfId="4440"/>
    <cellStyle name="Normal 18 2 3 3" xfId="4441"/>
    <cellStyle name="Normal 18 2 3 3 2" xfId="4442"/>
    <cellStyle name="Normal 18 2 3 4" xfId="4443"/>
    <cellStyle name="Normal 18 2 3 4 2" xfId="4444"/>
    <cellStyle name="Normal 18 2 3 5" xfId="4445"/>
    <cellStyle name="Normal 18 2 4" xfId="4446"/>
    <cellStyle name="Normal 18 2 4 2" xfId="4447"/>
    <cellStyle name="Normal 18 2 4 2 2" xfId="4448"/>
    <cellStyle name="Normal 18 2 4 3" xfId="4449"/>
    <cellStyle name="Normal 18 2 4 3 2" xfId="4450"/>
    <cellStyle name="Normal 18 2 4 4" xfId="4451"/>
    <cellStyle name="Normal 18 2 5" xfId="4452"/>
    <cellStyle name="Normal 18 2 5 2" xfId="4453"/>
    <cellStyle name="Normal 18 2 6" xfId="4454"/>
    <cellStyle name="Normal 18 2 6 2" xfId="4455"/>
    <cellStyle name="Normal 18 2 7" xfId="4456"/>
    <cellStyle name="Normal 18 3" xfId="4457"/>
    <cellStyle name="Normal 18 3 2" xfId="4458"/>
    <cellStyle name="Normal 18 3 2 2" xfId="4459"/>
    <cellStyle name="Normal 18 3 2 2 2" xfId="4460"/>
    <cellStyle name="Normal 18 3 2 2 2 2" xfId="4461"/>
    <cellStyle name="Normal 18 3 2 2 2 2 2" xfId="4462"/>
    <cellStyle name="Normal 18 3 2 2 2 3" xfId="4463"/>
    <cellStyle name="Normal 18 3 2 2 2 3 2" xfId="4464"/>
    <cellStyle name="Normal 18 3 2 2 2 4" xfId="4465"/>
    <cellStyle name="Normal 18 3 2 2 3" xfId="4466"/>
    <cellStyle name="Normal 18 3 2 2 3 2" xfId="4467"/>
    <cellStyle name="Normal 18 3 2 2 4" xfId="4468"/>
    <cellStyle name="Normal 18 3 2 2 4 2" xfId="4469"/>
    <cellStyle name="Normal 18 3 2 2 5" xfId="4470"/>
    <cellStyle name="Normal 18 3 2 3" xfId="4471"/>
    <cellStyle name="Normal 18 3 2 3 2" xfId="4472"/>
    <cellStyle name="Normal 18 3 2 3 2 2" xfId="4473"/>
    <cellStyle name="Normal 18 3 2 3 3" xfId="4474"/>
    <cellStyle name="Normal 18 3 2 3 3 2" xfId="4475"/>
    <cellStyle name="Normal 18 3 2 3 4" xfId="4476"/>
    <cellStyle name="Normal 18 3 2 4" xfId="4477"/>
    <cellStyle name="Normal 18 3 2 4 2" xfId="4478"/>
    <cellStyle name="Normal 18 3 2 5" xfId="4479"/>
    <cellStyle name="Normal 18 3 2 5 2" xfId="4480"/>
    <cellStyle name="Normal 18 3 2 6" xfId="4481"/>
    <cellStyle name="Normal 18 3 3" xfId="4482"/>
    <cellStyle name="Normal 18 3 3 2" xfId="4483"/>
    <cellStyle name="Normal 18 3 3 2 2" xfId="4484"/>
    <cellStyle name="Normal 18 3 3 2 2 2" xfId="4485"/>
    <cellStyle name="Normal 18 3 3 2 3" xfId="4486"/>
    <cellStyle name="Normal 18 3 3 2 3 2" xfId="4487"/>
    <cellStyle name="Normal 18 3 3 2 4" xfId="4488"/>
    <cellStyle name="Normal 18 3 3 3" xfId="4489"/>
    <cellStyle name="Normal 18 3 3 3 2" xfId="4490"/>
    <cellStyle name="Normal 18 3 3 4" xfId="4491"/>
    <cellStyle name="Normal 18 3 3 4 2" xfId="4492"/>
    <cellStyle name="Normal 18 3 3 5" xfId="4493"/>
    <cellStyle name="Normal 18 3 4" xfId="4494"/>
    <cellStyle name="Normal 18 3 4 2" xfId="4495"/>
    <cellStyle name="Normal 18 3 4 2 2" xfId="4496"/>
    <cellStyle name="Normal 18 3 4 3" xfId="4497"/>
    <cellStyle name="Normal 18 3 4 3 2" xfId="4498"/>
    <cellStyle name="Normal 18 3 4 4" xfId="4499"/>
    <cellStyle name="Normal 18 3 5" xfId="4500"/>
    <cellStyle name="Normal 18 3 5 2" xfId="4501"/>
    <cellStyle name="Normal 18 3 6" xfId="4502"/>
    <cellStyle name="Normal 18 3 6 2" xfId="4503"/>
    <cellStyle name="Normal 18 3 7" xfId="4504"/>
    <cellStyle name="Normal 18 3 8" xfId="4505"/>
    <cellStyle name="Normal 18 4" xfId="4506"/>
    <cellStyle name="Normal 18 4 2" xfId="4507"/>
    <cellStyle name="Normal 18 5" xfId="4508"/>
    <cellStyle name="Normal 18 5 2" xfId="4509"/>
    <cellStyle name="Normal 18 5 2 2" xfId="4510"/>
    <cellStyle name="Normal 18 5 2 2 2" xfId="4511"/>
    <cellStyle name="Normal 18 5 2 2 2 2" xfId="4512"/>
    <cellStyle name="Normal 18 5 2 2 3" xfId="4513"/>
    <cellStyle name="Normal 18 5 2 2 3 2" xfId="4514"/>
    <cellStyle name="Normal 18 5 2 2 4" xfId="4515"/>
    <cellStyle name="Normal 18 5 2 3" xfId="4516"/>
    <cellStyle name="Normal 18 5 2 3 2" xfId="4517"/>
    <cellStyle name="Normal 18 5 2 4" xfId="4518"/>
    <cellStyle name="Normal 18 5 2 4 2" xfId="4519"/>
    <cellStyle name="Normal 18 5 2 5" xfId="4520"/>
    <cellStyle name="Normal 18 5 3" xfId="4521"/>
    <cellStyle name="Normal 18 5 3 2" xfId="4522"/>
    <cellStyle name="Normal 18 5 3 2 2" xfId="4523"/>
    <cellStyle name="Normal 18 5 3 3" xfId="4524"/>
    <cellStyle name="Normal 18 5 3 3 2" xfId="4525"/>
    <cellStyle name="Normal 18 5 3 4" xfId="4526"/>
    <cellStyle name="Normal 18 5 4" xfId="4527"/>
    <cellStyle name="Normal 18 5 4 2" xfId="4528"/>
    <cellStyle name="Normal 18 5 5" xfId="4529"/>
    <cellStyle name="Normal 18 5 5 2" xfId="4530"/>
    <cellStyle name="Normal 18 5 6" xfId="4531"/>
    <cellStyle name="Normal 18 6" xfId="4532"/>
    <cellStyle name="Normal 18 6 2" xfId="4533"/>
    <cellStyle name="Normal 18 6 2 2" xfId="4534"/>
    <cellStyle name="Normal 18 6 2 2 2" xfId="4535"/>
    <cellStyle name="Normal 18 6 2 3" xfId="4536"/>
    <cellStyle name="Normal 18 6 2 3 2" xfId="4537"/>
    <cellStyle name="Normal 18 6 2 4" xfId="4538"/>
    <cellStyle name="Normal 18 6 3" xfId="4539"/>
    <cellStyle name="Normal 18 6 3 2" xfId="4540"/>
    <cellStyle name="Normal 18 6 4" xfId="4541"/>
    <cellStyle name="Normal 18 6 4 2" xfId="4542"/>
    <cellStyle name="Normal 18 6 5" xfId="4543"/>
    <cellStyle name="Normal 18 7" xfId="4544"/>
    <cellStyle name="Normal 18 7 2" xfId="4545"/>
    <cellStyle name="Normal 18 7 2 2" xfId="4546"/>
    <cellStyle name="Normal 18 7 3" xfId="4547"/>
    <cellStyle name="Normal 18 7 3 2" xfId="4548"/>
    <cellStyle name="Normal 18 7 4" xfId="4549"/>
    <cellStyle name="Normal 18 8" xfId="4550"/>
    <cellStyle name="Normal 18 8 2" xfId="4551"/>
    <cellStyle name="Normal 18 9" xfId="4552"/>
    <cellStyle name="Normal 18 9 2" xfId="4553"/>
    <cellStyle name="Normal 19" xfId="87"/>
    <cellStyle name="Normal 19 2" xfId="224"/>
    <cellStyle name="Normal 19 2 2" xfId="4554"/>
    <cellStyle name="Normal 19 2 3" xfId="4555"/>
    <cellStyle name="Normal 19 3" xfId="4556"/>
    <cellStyle name="Normal 19 3 2" xfId="4557"/>
    <cellStyle name="Normal 19 3 3" xfId="4558"/>
    <cellStyle name="Normal 19 4" xfId="4559"/>
    <cellStyle name="Normal 19 5" xfId="4560"/>
    <cellStyle name="Normal 19 6" xfId="4561"/>
    <cellStyle name="Normal 2" xfId="88"/>
    <cellStyle name="Normal 2 10" xfId="4563"/>
    <cellStyle name="Normal 2 10 2" xfId="4564"/>
    <cellStyle name="Normal 2 10 2 2" xfId="4565"/>
    <cellStyle name="Normal 2 10 3" xfId="4566"/>
    <cellStyle name="Normal 2 10 4" xfId="4567"/>
    <cellStyle name="Normal 2 10 5" xfId="4568"/>
    <cellStyle name="Normal 2 11" xfId="4569"/>
    <cellStyle name="Normal 2 11 2" xfId="4570"/>
    <cellStyle name="Normal 2 11 3" xfId="4571"/>
    <cellStyle name="Normal 2 12" xfId="4572"/>
    <cellStyle name="Normal 2 12 2" xfId="4573"/>
    <cellStyle name="Normal 2 13" xfId="4574"/>
    <cellStyle name="Normal 2 14" xfId="4575"/>
    <cellStyle name="Normal 2 15" xfId="4576"/>
    <cellStyle name="Normal 2 16" xfId="4577"/>
    <cellStyle name="Normal 2 17" xfId="4578"/>
    <cellStyle name="Normal 2 18" xfId="4562"/>
    <cellStyle name="Normal 2 2" xfId="89"/>
    <cellStyle name="Normal 2 2 10" xfId="4580"/>
    <cellStyle name="Normal 2 2 11" xfId="4581"/>
    <cellStyle name="Normal 2 2 12" xfId="4579"/>
    <cellStyle name="Normal 2 2 2" xfId="90"/>
    <cellStyle name="Normal 2 2 2 10" xfId="4582"/>
    <cellStyle name="Normal 2 2 2 2" xfId="4583"/>
    <cellStyle name="Normal 2 2 2 2 2" xfId="4584"/>
    <cellStyle name="Normal 2 2 2 2 2 2" xfId="4585"/>
    <cellStyle name="Normal 2 2 2 2 2 2 2" xfId="4586"/>
    <cellStyle name="Normal 2 2 2 2 2 2 3" xfId="4587"/>
    <cellStyle name="Normal 2 2 2 2 2 3" xfId="4588"/>
    <cellStyle name="Normal 2 2 2 2 2 3 2" xfId="4589"/>
    <cellStyle name="Normal 2 2 2 2 2 3 3" xfId="4590"/>
    <cellStyle name="Normal 2 2 2 2 2 4" xfId="4591"/>
    <cellStyle name="Normal 2 2 2 2 2 5" xfId="4592"/>
    <cellStyle name="Normal 2 2 2 2 3" xfId="4593"/>
    <cellStyle name="Normal 2 2 2 2 3 2" xfId="4594"/>
    <cellStyle name="Normal 2 2 2 2 3 3" xfId="4595"/>
    <cellStyle name="Normal 2 2 2 2 3 4" xfId="4596"/>
    <cellStyle name="Normal 2 2 2 2 3 5" xfId="4597"/>
    <cellStyle name="Normal 2 2 2 2 4" xfId="4598"/>
    <cellStyle name="Normal 2 2 2 2 4 2" xfId="4599"/>
    <cellStyle name="Normal 2 2 2 2 4 3" xfId="4600"/>
    <cellStyle name="Normal 2 2 2 2 5" xfId="4601"/>
    <cellStyle name="Normal 2 2 2 2 5 2" xfId="4602"/>
    <cellStyle name="Normal 2 2 2 2 5 3" xfId="4603"/>
    <cellStyle name="Normal 2 2 2 2 6" xfId="4604"/>
    <cellStyle name="Normal 2 2 2 2 7" xfId="4605"/>
    <cellStyle name="Normal 2 2 2 3" xfId="4606"/>
    <cellStyle name="Normal 2 2 2 3 2" xfId="4607"/>
    <cellStyle name="Normal 2 2 2 3 2 2" xfId="4608"/>
    <cellStyle name="Normal 2 2 2 3 2 3" xfId="4609"/>
    <cellStyle name="Normal 2 2 2 3 3" xfId="4610"/>
    <cellStyle name="Normal 2 2 2 3 3 2" xfId="4611"/>
    <cellStyle name="Normal 2 2 2 3 3 3" xfId="4612"/>
    <cellStyle name="Normal 2 2 2 3 4" xfId="4613"/>
    <cellStyle name="Normal 2 2 2 3 5" xfId="4614"/>
    <cellStyle name="Normal 2 2 2 4" xfId="4615"/>
    <cellStyle name="Normal 2 2 2 4 2" xfId="4616"/>
    <cellStyle name="Normal 2 2 2 4 3" xfId="4617"/>
    <cellStyle name="Normal 2 2 2 4 4" xfId="4618"/>
    <cellStyle name="Normal 2 2 2 4 5" xfId="4619"/>
    <cellStyle name="Normal 2 2 2 5" xfId="4620"/>
    <cellStyle name="Normal 2 2 2 5 2" xfId="4621"/>
    <cellStyle name="Normal 2 2 2 5 3" xfId="4622"/>
    <cellStyle name="Normal 2 2 2 6" xfId="4623"/>
    <cellStyle name="Normal 2 2 2 6 2" xfId="4624"/>
    <cellStyle name="Normal 2 2 2 6 3" xfId="4625"/>
    <cellStyle name="Normal 2 2 2 7" xfId="4626"/>
    <cellStyle name="Normal 2 2 2 8" xfId="4627"/>
    <cellStyle name="Normal 2 2 2 9" xfId="4628"/>
    <cellStyle name="Normal 2 2 2_Epicor" xfId="4629"/>
    <cellStyle name="Normal 2 2 3" xfId="91"/>
    <cellStyle name="Normal 2 2 3 2" xfId="4631"/>
    <cellStyle name="Normal 2 2 3 2 2" xfId="4632"/>
    <cellStyle name="Normal 2 2 3 2 2 2" xfId="4633"/>
    <cellStyle name="Normal 2 2 3 2 2 3" xfId="4634"/>
    <cellStyle name="Normal 2 2 3 2 3" xfId="4635"/>
    <cellStyle name="Normal 2 2 3 2 3 2" xfId="4636"/>
    <cellStyle name="Normal 2 2 3 2 3 3" xfId="4637"/>
    <cellStyle name="Normal 2 2 3 2 4" xfId="4638"/>
    <cellStyle name="Normal 2 2 3 2 5" xfId="4639"/>
    <cellStyle name="Normal 2 2 3 3" xfId="4640"/>
    <cellStyle name="Normal 2 2 3 3 2" xfId="4641"/>
    <cellStyle name="Normal 2 2 3 3 3" xfId="4642"/>
    <cellStyle name="Normal 2 2 3 3 4" xfId="4643"/>
    <cellStyle name="Normal 2 2 3 3 5" xfId="4644"/>
    <cellStyle name="Normal 2 2 3 4" xfId="4645"/>
    <cellStyle name="Normal 2 2 3 4 2" xfId="4646"/>
    <cellStyle name="Normal 2 2 3 4 3" xfId="4647"/>
    <cellStyle name="Normal 2 2 3 5" xfId="4648"/>
    <cellStyle name="Normal 2 2 3 5 2" xfId="4649"/>
    <cellStyle name="Normal 2 2 3 5 3" xfId="4650"/>
    <cellStyle name="Normal 2 2 3 6" xfId="4651"/>
    <cellStyle name="Normal 2 2 3 7" xfId="4652"/>
    <cellStyle name="Normal 2 2 3 8" xfId="4630"/>
    <cellStyle name="Normal 2 2 4" xfId="4653"/>
    <cellStyle name="Normal 2 2 4 2" xfId="4654"/>
    <cellStyle name="Normal 2 2 4 2 2" xfId="4655"/>
    <cellStyle name="Normal 2 2 4 2 3" xfId="4656"/>
    <cellStyle name="Normal 2 2 4 3" xfId="4657"/>
    <cellStyle name="Normal 2 2 4 3 2" xfId="4658"/>
    <cellStyle name="Normal 2 2 4 3 3" xfId="4659"/>
    <cellStyle name="Normal 2 2 4 4" xfId="4660"/>
    <cellStyle name="Normal 2 2 4 5" xfId="4661"/>
    <cellStyle name="Normal 2 2 5" xfId="4662"/>
    <cellStyle name="Normal 2 2 5 2" xfId="4663"/>
    <cellStyle name="Normal 2 2 5 3" xfId="4664"/>
    <cellStyle name="Normal 2 2 5 4" xfId="4665"/>
    <cellStyle name="Normal 2 2 5 5" xfId="4666"/>
    <cellStyle name="Normal 2 2 6" xfId="4667"/>
    <cellStyle name="Normal 2 2 6 2" xfId="4668"/>
    <cellStyle name="Normal 2 2 6 3" xfId="4669"/>
    <cellStyle name="Normal 2 2 7" xfId="4670"/>
    <cellStyle name="Normal 2 2 7 2" xfId="4671"/>
    <cellStyle name="Normal 2 2 7 3" xfId="4672"/>
    <cellStyle name="Normal 2 2 8" xfId="4673"/>
    <cellStyle name="Normal 2 2 9" xfId="4674"/>
    <cellStyle name="Normal 2 2_10051" xfId="4675"/>
    <cellStyle name="Normal 2 3" xfId="92"/>
    <cellStyle name="Normal 2 3 2" xfId="93"/>
    <cellStyle name="Normal 2 3 2 2" xfId="4678"/>
    <cellStyle name="Normal 2 3 2 3" xfId="4679"/>
    <cellStyle name="Normal 2 3 2 4" xfId="4677"/>
    <cellStyle name="Normal 2 3 2_Active emp List" xfId="4680"/>
    <cellStyle name="Normal 2 3 3" xfId="94"/>
    <cellStyle name="Normal 2 3 3 2" xfId="4682"/>
    <cellStyle name="Normal 2 3 3 2 2" xfId="4683"/>
    <cellStyle name="Normal 2 3 3 3" xfId="4684"/>
    <cellStyle name="Normal 2 3 3 4" xfId="4681"/>
    <cellStyle name="Normal 2 3 4" xfId="225"/>
    <cellStyle name="Normal 2 3 4 2" xfId="4686"/>
    <cellStyle name="Normal 2 3 4 3" xfId="4685"/>
    <cellStyle name="Normal 2 3 5" xfId="4687"/>
    <cellStyle name="Normal 2 3 6" xfId="4676"/>
    <cellStyle name="Normal 2 3_2012 TV Budget" xfId="4688"/>
    <cellStyle name="Normal 2 4" xfId="95"/>
    <cellStyle name="Normal 2 4 2" xfId="4690"/>
    <cellStyle name="Normal 2 4 2 2" xfId="4691"/>
    <cellStyle name="Normal 2 4 2 2 2" xfId="4692"/>
    <cellStyle name="Normal 2 4 2 3" xfId="4693"/>
    <cellStyle name="Normal 2 4 2 4" xfId="4694"/>
    <cellStyle name="Normal 2 4 2 5" xfId="4695"/>
    <cellStyle name="Normal 2 4 2 6" xfId="4696"/>
    <cellStyle name="Normal 2 4 3" xfId="4697"/>
    <cellStyle name="Normal 2 4 3 2" xfId="4698"/>
    <cellStyle name="Normal 2 4 3 3" xfId="4699"/>
    <cellStyle name="Normal 2 4 4" xfId="4700"/>
    <cellStyle name="Normal 2 4 4 2" xfId="4701"/>
    <cellStyle name="Normal 2 4 4 3" xfId="4702"/>
    <cellStyle name="Normal 2 4 5" xfId="4703"/>
    <cellStyle name="Normal 2 4 6" xfId="4704"/>
    <cellStyle name="Normal 2 4 7" xfId="4689"/>
    <cellStyle name="Normal 2 5" xfId="96"/>
    <cellStyle name="Normal 2 5 2" xfId="4706"/>
    <cellStyle name="Normal 2 5 3" xfId="4707"/>
    <cellStyle name="Normal 2 5 4" xfId="4705"/>
    <cellStyle name="Normal 2 6" xfId="4708"/>
    <cellStyle name="Normal 2 6 2" xfId="4709"/>
    <cellStyle name="Normal 2 6 2 2" xfId="4710"/>
    <cellStyle name="Normal 2 6 3" xfId="4711"/>
    <cellStyle name="Normal 2 6 4" xfId="4712"/>
    <cellStyle name="Normal 2 6 5" xfId="4713"/>
    <cellStyle name="Normal 2 7" xfId="4714"/>
    <cellStyle name="Normal 2 7 2" xfId="4715"/>
    <cellStyle name="Normal 2 7 3" xfId="4716"/>
    <cellStyle name="Normal 2 7 4" xfId="4717"/>
    <cellStyle name="Normal 2 7 5" xfId="4718"/>
    <cellStyle name="Normal 2 8" xfId="4719"/>
    <cellStyle name="Normal 2 8 2" xfId="4720"/>
    <cellStyle name="Normal 2 8 2 2" xfId="4721"/>
    <cellStyle name="Normal 2 8 3" xfId="4722"/>
    <cellStyle name="Normal 2 8 4" xfId="4723"/>
    <cellStyle name="Normal 2 8 5" xfId="4724"/>
    <cellStyle name="Normal 2 9" xfId="4725"/>
    <cellStyle name="Normal 2 9 2" xfId="4726"/>
    <cellStyle name="Normal 2 9 3" xfId="4727"/>
    <cellStyle name="Normal 2 9 4" xfId="4728"/>
    <cellStyle name="Normal 2 9 5" xfId="4729"/>
    <cellStyle name="Normal 2_2009 Regulated Price Out" xfId="4730"/>
    <cellStyle name="Normal 20" xfId="226"/>
    <cellStyle name="Normal 20 2" xfId="4731"/>
    <cellStyle name="Normal 20 2 2" xfId="4732"/>
    <cellStyle name="Normal 20 2 3" xfId="4733"/>
    <cellStyle name="Normal 20 2 4" xfId="4734"/>
    <cellStyle name="Normal 20 3" xfId="4735"/>
    <cellStyle name="Normal 20 4" xfId="4736"/>
    <cellStyle name="Normal 20 4 2" xfId="4737"/>
    <cellStyle name="Normal 20 5" xfId="4738"/>
    <cellStyle name="Normal 20 6" xfId="4739"/>
    <cellStyle name="Normal 20 7" xfId="4740"/>
    <cellStyle name="Normal 21" xfId="227"/>
    <cellStyle name="Normal 21 2" xfId="4741"/>
    <cellStyle name="Normal 21 2 2" xfId="4742"/>
    <cellStyle name="Normal 21 2 3" xfId="4743"/>
    <cellStyle name="Normal 21 2 4" xfId="4744"/>
    <cellStyle name="Normal 21 3" xfId="4745"/>
    <cellStyle name="Normal 21 3 2" xfId="4746"/>
    <cellStyle name="Normal 21 4" xfId="4747"/>
    <cellStyle name="Normal 21 5" xfId="4748"/>
    <cellStyle name="Normal 22" xfId="228"/>
    <cellStyle name="Normal 22 2" xfId="4749"/>
    <cellStyle name="Normal 22 2 2" xfId="4750"/>
    <cellStyle name="Normal 22 2 3" xfId="4751"/>
    <cellStyle name="Normal 22 3" xfId="4752"/>
    <cellStyle name="Normal 22 3 2" xfId="4753"/>
    <cellStyle name="Normal 22 4" xfId="4754"/>
    <cellStyle name="Normal 22 5" xfId="4755"/>
    <cellStyle name="Normal 23" xfId="229"/>
    <cellStyle name="Normal 23 2" xfId="4756"/>
    <cellStyle name="Normal 23 2 2" xfId="4757"/>
    <cellStyle name="Normal 23 2 3" xfId="4758"/>
    <cellStyle name="Normal 23 3" xfId="4759"/>
    <cellStyle name="Normal 23 3 2" xfId="4760"/>
    <cellStyle name="Normal 23 3 3" xfId="4761"/>
    <cellStyle name="Normal 23 4" xfId="4762"/>
    <cellStyle name="Normal 24" xfId="230"/>
    <cellStyle name="Normal 24 2" xfId="4763"/>
    <cellStyle name="Normal 24 2 2" xfId="4764"/>
    <cellStyle name="Normal 24 2 3" xfId="4765"/>
    <cellStyle name="Normal 24 3" xfId="4766"/>
    <cellStyle name="Normal 24 3 2" xfId="4767"/>
    <cellStyle name="Normal 24 4" xfId="4768"/>
    <cellStyle name="Normal 24 5" xfId="4769"/>
    <cellStyle name="Normal 25" xfId="231"/>
    <cellStyle name="Normal 25 2" xfId="4770"/>
    <cellStyle name="Normal 25 2 2" xfId="4771"/>
    <cellStyle name="Normal 25 2 3" xfId="4772"/>
    <cellStyle name="Normal 25 3" xfId="4773"/>
    <cellStyle name="Normal 25 3 2" xfId="4774"/>
    <cellStyle name="Normal 25 4" xfId="4775"/>
    <cellStyle name="Normal 26" xfId="232"/>
    <cellStyle name="Normal 26 2" xfId="4777"/>
    <cellStyle name="Normal 26 2 2" xfId="4778"/>
    <cellStyle name="Normal 26 2 3" xfId="4779"/>
    <cellStyle name="Normal 26 3" xfId="4780"/>
    <cellStyle name="Normal 26 4" xfId="4781"/>
    <cellStyle name="Normal 26 5" xfId="4776"/>
    <cellStyle name="Normal 27" xfId="233"/>
    <cellStyle name="Normal 27 2" xfId="4782"/>
    <cellStyle name="Normal 27 2 2" xfId="4783"/>
    <cellStyle name="Normal 27 2 2 2" xfId="4784"/>
    <cellStyle name="Normal 27 3" xfId="4785"/>
    <cellStyle name="Normal 27 3 2" xfId="4786"/>
    <cellStyle name="Normal 27 3 3" xfId="4787"/>
    <cellStyle name="Normal 27 4" xfId="4788"/>
    <cellStyle name="Normal 27 5" xfId="4789"/>
    <cellStyle name="Normal 28" xfId="123"/>
    <cellStyle name="Normal 28 2" xfId="4791"/>
    <cellStyle name="Normal 28 2 2" xfId="4792"/>
    <cellStyle name="Normal 28 2 3" xfId="4793"/>
    <cellStyle name="Normal 28 3" xfId="4794"/>
    <cellStyle name="Normal 28 4" xfId="4795"/>
    <cellStyle name="Normal 28 5" xfId="4790"/>
    <cellStyle name="Normal 29" xfId="4796"/>
    <cellStyle name="Normal 29 2" xfId="4797"/>
    <cellStyle name="Normal 29 2 2" xfId="4798"/>
    <cellStyle name="Normal 29 3" xfId="4799"/>
    <cellStyle name="Normal 29 4" xfId="4800"/>
    <cellStyle name="Normal 3" xfId="97"/>
    <cellStyle name="Normal 3 2" xfId="98"/>
    <cellStyle name="Normal 3 2 2" xfId="4802"/>
    <cellStyle name="Normal 3 2 2 2" xfId="4803"/>
    <cellStyle name="Normal 3 2 2 2 2" xfId="4804"/>
    <cellStyle name="Normal 3 2 2 2 2 2" xfId="4805"/>
    <cellStyle name="Normal 3 2 2 2 3" xfId="4806"/>
    <cellStyle name="Normal 3 2 2 2 3 2" xfId="4807"/>
    <cellStyle name="Normal 3 2 2 2 4" xfId="4808"/>
    <cellStyle name="Normal 3 2 2 3" xfId="4809"/>
    <cellStyle name="Normal 3 2 2 3 2" xfId="4810"/>
    <cellStyle name="Normal 3 2 2 3 3" xfId="4811"/>
    <cellStyle name="Normal 3 2 2 4" xfId="4812"/>
    <cellStyle name="Normal 3 2 2 4 2" xfId="4813"/>
    <cellStyle name="Normal 3 2 2 5" xfId="4814"/>
    <cellStyle name="Normal 3 2 2 6" xfId="4815"/>
    <cellStyle name="Normal 3 2 2 7" xfId="4816"/>
    <cellStyle name="Normal 3 2 3" xfId="4817"/>
    <cellStyle name="Normal 3 2 3 2" xfId="4818"/>
    <cellStyle name="Normal 3 2 3 2 2" xfId="4819"/>
    <cellStyle name="Normal 3 2 3 3" xfId="4820"/>
    <cellStyle name="Normal 3 2 3 3 2" xfId="4821"/>
    <cellStyle name="Normal 3 2 3 4" xfId="4822"/>
    <cellStyle name="Normal 3 2 3 5" xfId="4823"/>
    <cellStyle name="Normal 3 2 4" xfId="4824"/>
    <cellStyle name="Normal 3 2 4 2" xfId="4825"/>
    <cellStyle name="Normal 3 2 4 3" xfId="4826"/>
    <cellStyle name="Normal 3 2 5" xfId="4827"/>
    <cellStyle name="Normal 3 2 5 2" xfId="4828"/>
    <cellStyle name="Normal 3 2 5 3" xfId="4829"/>
    <cellStyle name="Normal 3 2 6" xfId="4830"/>
    <cellStyle name="Normal 3 2 7" xfId="4831"/>
    <cellStyle name="Normal 3 2 8" xfId="4832"/>
    <cellStyle name="Normal 3 2 9" xfId="4801"/>
    <cellStyle name="Normal 3 3" xfId="234"/>
    <cellStyle name="Normal 3 3 2" xfId="4833"/>
    <cellStyle name="Normal 3 3 2 2" xfId="4834"/>
    <cellStyle name="Normal 3 3 3" xfId="4835"/>
    <cellStyle name="Normal 3 3 3 2" xfId="4836"/>
    <cellStyle name="Normal 3 3 4" xfId="4837"/>
    <cellStyle name="Normal 3 3 4 2" xfId="4838"/>
    <cellStyle name="Normal 3 3 5" xfId="4839"/>
    <cellStyle name="Normal 3 4" xfId="4840"/>
    <cellStyle name="Normal 3 4 2" xfId="4841"/>
    <cellStyle name="Normal 3 4 3" xfId="4842"/>
    <cellStyle name="Normal 3 4 4" xfId="4843"/>
    <cellStyle name="Normal 3 5" xfId="4844"/>
    <cellStyle name="Normal 3 5 2" xfId="4845"/>
    <cellStyle name="Normal 3 6" xfId="4846"/>
    <cellStyle name="Normal 3 7" xfId="4847"/>
    <cellStyle name="Normal 3 8" xfId="9018"/>
    <cellStyle name="Normal 3_10051" xfId="4848"/>
    <cellStyle name="Normal 30" xfId="4849"/>
    <cellStyle name="Normal 30 2" xfId="4850"/>
    <cellStyle name="Normal 30 3" xfId="4851"/>
    <cellStyle name="Normal 30 4" xfId="4852"/>
    <cellStyle name="Normal 31" xfId="4853"/>
    <cellStyle name="Normal 31 2" xfId="4854"/>
    <cellStyle name="Normal 31 2 2" xfId="4855"/>
    <cellStyle name="Normal 31 2 2 2" xfId="4856"/>
    <cellStyle name="Normal 31 2 2 2 2" xfId="4857"/>
    <cellStyle name="Normal 31 2 2 2 2 2" xfId="4858"/>
    <cellStyle name="Normal 31 2 2 2 2 2 2" xfId="4859"/>
    <cellStyle name="Normal 31 2 2 2 2 3" xfId="4860"/>
    <cellStyle name="Normal 31 2 2 2 2 3 2" xfId="4861"/>
    <cellStyle name="Normal 31 2 2 2 2 4" xfId="4862"/>
    <cellStyle name="Normal 31 2 2 2 3" xfId="4863"/>
    <cellStyle name="Normal 31 2 2 2 3 2" xfId="4864"/>
    <cellStyle name="Normal 31 2 2 2 4" xfId="4865"/>
    <cellStyle name="Normal 31 2 2 2 4 2" xfId="4866"/>
    <cellStyle name="Normal 31 2 2 2 5" xfId="4867"/>
    <cellStyle name="Normal 31 2 2 3" xfId="4868"/>
    <cellStyle name="Normal 31 2 2 3 2" xfId="4869"/>
    <cellStyle name="Normal 31 2 2 3 2 2" xfId="4870"/>
    <cellStyle name="Normal 31 2 2 3 3" xfId="4871"/>
    <cellStyle name="Normal 31 2 2 3 3 2" xfId="4872"/>
    <cellStyle name="Normal 31 2 2 3 4" xfId="4873"/>
    <cellStyle name="Normal 31 2 2 4" xfId="4874"/>
    <cellStyle name="Normal 31 2 2 4 2" xfId="4875"/>
    <cellStyle name="Normal 31 2 2 5" xfId="4876"/>
    <cellStyle name="Normal 31 2 2 5 2" xfId="4877"/>
    <cellStyle name="Normal 31 2 2 6" xfId="4878"/>
    <cellStyle name="Normal 31 2 3" xfId="4879"/>
    <cellStyle name="Normal 31 2 3 2" xfId="4880"/>
    <cellStyle name="Normal 31 2 3 2 2" xfId="4881"/>
    <cellStyle name="Normal 31 2 3 2 2 2" xfId="4882"/>
    <cellStyle name="Normal 31 2 3 2 3" xfId="4883"/>
    <cellStyle name="Normal 31 2 3 2 3 2" xfId="4884"/>
    <cellStyle name="Normal 31 2 3 2 4" xfId="4885"/>
    <cellStyle name="Normal 31 2 3 3" xfId="4886"/>
    <cellStyle name="Normal 31 2 3 3 2" xfId="4887"/>
    <cellStyle name="Normal 31 2 3 4" xfId="4888"/>
    <cellStyle name="Normal 31 2 3 4 2" xfId="4889"/>
    <cellStyle name="Normal 31 2 3 5" xfId="4890"/>
    <cellStyle name="Normal 31 2 4" xfId="4891"/>
    <cellStyle name="Normal 31 2 4 2" xfId="4892"/>
    <cellStyle name="Normal 31 2 4 2 2" xfId="4893"/>
    <cellStyle name="Normal 31 2 4 3" xfId="4894"/>
    <cellStyle name="Normal 31 2 4 3 2" xfId="4895"/>
    <cellStyle name="Normal 31 2 4 4" xfId="4896"/>
    <cellStyle name="Normal 31 2 5" xfId="4897"/>
    <cellStyle name="Normal 31 2 5 2" xfId="4898"/>
    <cellStyle name="Normal 31 2 6" xfId="4899"/>
    <cellStyle name="Normal 31 2 6 2" xfId="4900"/>
    <cellStyle name="Normal 31 2 7" xfId="4901"/>
    <cellStyle name="Normal 31 3" xfId="4902"/>
    <cellStyle name="Normal 31 3 2" xfId="4903"/>
    <cellStyle name="Normal 31 3 2 2" xfId="4904"/>
    <cellStyle name="Normal 31 3 2 2 2" xfId="4905"/>
    <cellStyle name="Normal 31 3 2 2 2 2" xfId="4906"/>
    <cellStyle name="Normal 31 3 2 2 3" xfId="4907"/>
    <cellStyle name="Normal 31 3 2 2 3 2" xfId="4908"/>
    <cellStyle name="Normal 31 3 2 2 4" xfId="4909"/>
    <cellStyle name="Normal 31 3 2 3" xfId="4910"/>
    <cellStyle name="Normal 31 3 2 3 2" xfId="4911"/>
    <cellStyle name="Normal 31 3 2 4" xfId="4912"/>
    <cellStyle name="Normal 31 3 2 4 2" xfId="4913"/>
    <cellStyle name="Normal 31 3 2 5" xfId="4914"/>
    <cellStyle name="Normal 31 3 3" xfId="4915"/>
    <cellStyle name="Normal 31 3 3 2" xfId="4916"/>
    <cellStyle name="Normal 31 3 3 2 2" xfId="4917"/>
    <cellStyle name="Normal 31 3 3 3" xfId="4918"/>
    <cellStyle name="Normal 31 3 3 3 2" xfId="4919"/>
    <cellStyle name="Normal 31 3 3 4" xfId="4920"/>
    <cellStyle name="Normal 31 3 4" xfId="4921"/>
    <cellStyle name="Normal 31 3 4 2" xfId="4922"/>
    <cellStyle name="Normal 31 3 5" xfId="4923"/>
    <cellStyle name="Normal 31 3 5 2" xfId="4924"/>
    <cellStyle name="Normal 31 3 6" xfId="4925"/>
    <cellStyle name="Normal 31 4" xfId="4926"/>
    <cellStyle name="Normal 31 4 2" xfId="4927"/>
    <cellStyle name="Normal 31 4 2 2" xfId="4928"/>
    <cellStyle name="Normal 31 4 2 2 2" xfId="4929"/>
    <cellStyle name="Normal 31 4 2 3" xfId="4930"/>
    <cellStyle name="Normal 31 4 2 3 2" xfId="4931"/>
    <cellStyle name="Normal 31 4 2 4" xfId="4932"/>
    <cellStyle name="Normal 31 4 3" xfId="4933"/>
    <cellStyle name="Normal 31 4 3 2" xfId="4934"/>
    <cellStyle name="Normal 31 4 4" xfId="4935"/>
    <cellStyle name="Normal 31 4 4 2" xfId="4936"/>
    <cellStyle name="Normal 31 4 5" xfId="4937"/>
    <cellStyle name="Normal 31 5" xfId="4938"/>
    <cellStyle name="Normal 31 5 2" xfId="4939"/>
    <cellStyle name="Normal 31 5 2 2" xfId="4940"/>
    <cellStyle name="Normal 31 5 3" xfId="4941"/>
    <cellStyle name="Normal 31 5 3 2" xfId="4942"/>
    <cellStyle name="Normal 31 5 4" xfId="4943"/>
    <cellStyle name="Normal 31 6" xfId="4944"/>
    <cellStyle name="Normal 31 6 2" xfId="4945"/>
    <cellStyle name="Normal 31 7" xfId="4946"/>
    <cellStyle name="Normal 31 7 2" xfId="4947"/>
    <cellStyle name="Normal 31 8" xfId="4948"/>
    <cellStyle name="Normal 32" xfId="4949"/>
    <cellStyle name="Normal 32 2" xfId="4950"/>
    <cellStyle name="Normal 32 2 2" xfId="4951"/>
    <cellStyle name="Normal 32 2 2 2" xfId="4952"/>
    <cellStyle name="Normal 32 2 2 2 2" xfId="4953"/>
    <cellStyle name="Normal 32 2 2 2 2 2" xfId="4954"/>
    <cellStyle name="Normal 32 2 2 2 2 2 2" xfId="4955"/>
    <cellStyle name="Normal 32 2 2 2 2 3" xfId="4956"/>
    <cellStyle name="Normal 32 2 2 2 2 3 2" xfId="4957"/>
    <cellStyle name="Normal 32 2 2 2 2 4" xfId="4958"/>
    <cellStyle name="Normal 32 2 2 2 3" xfId="4959"/>
    <cellStyle name="Normal 32 2 2 2 3 2" xfId="4960"/>
    <cellStyle name="Normal 32 2 2 2 4" xfId="4961"/>
    <cellStyle name="Normal 32 2 2 2 4 2" xfId="4962"/>
    <cellStyle name="Normal 32 2 2 2 5" xfId="4963"/>
    <cellStyle name="Normal 32 2 2 3" xfId="4964"/>
    <cellStyle name="Normal 32 2 2 3 2" xfId="4965"/>
    <cellStyle name="Normal 32 2 2 3 2 2" xfId="4966"/>
    <cellStyle name="Normal 32 2 2 3 3" xfId="4967"/>
    <cellStyle name="Normal 32 2 2 3 3 2" xfId="4968"/>
    <cellStyle name="Normal 32 2 2 3 4" xfId="4969"/>
    <cellStyle name="Normal 32 2 2 4" xfId="4970"/>
    <cellStyle name="Normal 32 2 2 4 2" xfId="4971"/>
    <cellStyle name="Normal 32 2 2 5" xfId="4972"/>
    <cellStyle name="Normal 32 2 2 5 2" xfId="4973"/>
    <cellStyle name="Normal 32 2 2 6" xfId="4974"/>
    <cellStyle name="Normal 32 2 3" xfId="4975"/>
    <cellStyle name="Normal 32 2 3 2" xfId="4976"/>
    <cellStyle name="Normal 32 2 3 2 2" xfId="4977"/>
    <cellStyle name="Normal 32 2 3 2 2 2" xfId="4978"/>
    <cellStyle name="Normal 32 2 3 2 3" xfId="4979"/>
    <cellStyle name="Normal 32 2 3 2 3 2" xfId="4980"/>
    <cellStyle name="Normal 32 2 3 2 4" xfId="4981"/>
    <cellStyle name="Normal 32 2 3 3" xfId="4982"/>
    <cellStyle name="Normal 32 2 3 3 2" xfId="4983"/>
    <cellStyle name="Normal 32 2 3 4" xfId="4984"/>
    <cellStyle name="Normal 32 2 3 4 2" xfId="4985"/>
    <cellStyle name="Normal 32 2 3 5" xfId="4986"/>
    <cellStyle name="Normal 32 2 4" xfId="4987"/>
    <cellStyle name="Normal 32 2 4 2" xfId="4988"/>
    <cellStyle name="Normal 32 2 4 2 2" xfId="4989"/>
    <cellStyle name="Normal 32 2 4 3" xfId="4990"/>
    <cellStyle name="Normal 32 2 4 3 2" xfId="4991"/>
    <cellStyle name="Normal 32 2 4 4" xfId="4992"/>
    <cellStyle name="Normal 32 2 5" xfId="4993"/>
    <cellStyle name="Normal 32 2 5 2" xfId="4994"/>
    <cellStyle name="Normal 32 2 6" xfId="4995"/>
    <cellStyle name="Normal 32 2 6 2" xfId="4996"/>
    <cellStyle name="Normal 32 2 7" xfId="4997"/>
    <cellStyle name="Normal 32 3" xfId="4998"/>
    <cellStyle name="Normal 32 3 2" xfId="4999"/>
    <cellStyle name="Normal 32 3 2 2" xfId="5000"/>
    <cellStyle name="Normal 32 3 2 2 2" xfId="5001"/>
    <cellStyle name="Normal 32 3 2 2 2 2" xfId="5002"/>
    <cellStyle name="Normal 32 3 2 2 3" xfId="5003"/>
    <cellStyle name="Normal 32 3 2 2 3 2" xfId="5004"/>
    <cellStyle name="Normal 32 3 2 2 4" xfId="5005"/>
    <cellStyle name="Normal 32 3 2 3" xfId="5006"/>
    <cellStyle name="Normal 32 3 2 3 2" xfId="5007"/>
    <cellStyle name="Normal 32 3 2 4" xfId="5008"/>
    <cellStyle name="Normal 32 3 2 4 2" xfId="5009"/>
    <cellStyle name="Normal 32 3 2 5" xfId="5010"/>
    <cellStyle name="Normal 32 3 3" xfId="5011"/>
    <cellStyle name="Normal 32 3 3 2" xfId="5012"/>
    <cellStyle name="Normal 32 3 3 2 2" xfId="5013"/>
    <cellStyle name="Normal 32 3 3 3" xfId="5014"/>
    <cellStyle name="Normal 32 3 3 3 2" xfId="5015"/>
    <cellStyle name="Normal 32 3 3 4" xfId="5016"/>
    <cellStyle name="Normal 32 3 4" xfId="5017"/>
    <cellStyle name="Normal 32 3 4 2" xfId="5018"/>
    <cellStyle name="Normal 32 3 5" xfId="5019"/>
    <cellStyle name="Normal 32 3 5 2" xfId="5020"/>
    <cellStyle name="Normal 32 3 6" xfId="5021"/>
    <cellStyle name="Normal 32 4" xfId="5022"/>
    <cellStyle name="Normal 32 4 2" xfId="5023"/>
    <cellStyle name="Normal 32 4 2 2" xfId="5024"/>
    <cellStyle name="Normal 32 4 2 2 2" xfId="5025"/>
    <cellStyle name="Normal 32 4 2 3" xfId="5026"/>
    <cellStyle name="Normal 32 4 2 3 2" xfId="5027"/>
    <cellStyle name="Normal 32 4 2 4" xfId="5028"/>
    <cellStyle name="Normal 32 4 3" xfId="5029"/>
    <cellStyle name="Normal 32 4 3 2" xfId="5030"/>
    <cellStyle name="Normal 32 4 4" xfId="5031"/>
    <cellStyle name="Normal 32 4 4 2" xfId="5032"/>
    <cellStyle name="Normal 32 4 5" xfId="5033"/>
    <cellStyle name="Normal 32 5" xfId="5034"/>
    <cellStyle name="Normal 32 5 2" xfId="5035"/>
    <cellStyle name="Normal 32 5 2 2" xfId="5036"/>
    <cellStyle name="Normal 32 5 3" xfId="5037"/>
    <cellStyle name="Normal 32 5 3 2" xfId="5038"/>
    <cellStyle name="Normal 32 5 4" xfId="5039"/>
    <cellStyle name="Normal 32 6" xfId="5040"/>
    <cellStyle name="Normal 32 6 2" xfId="5041"/>
    <cellStyle name="Normal 32 7" xfId="5042"/>
    <cellStyle name="Normal 32 7 2" xfId="5043"/>
    <cellStyle name="Normal 32 8" xfId="5044"/>
    <cellStyle name="Normal 33" xfId="5045"/>
    <cellStyle name="Normal 33 2" xfId="5046"/>
    <cellStyle name="Normal 33 3" xfId="5047"/>
    <cellStyle name="Normal 34" xfId="5048"/>
    <cellStyle name="Normal 34 2" xfId="5049"/>
    <cellStyle name="Normal 34 3" xfId="5050"/>
    <cellStyle name="Normal 35" xfId="5051"/>
    <cellStyle name="Normal 35 2" xfId="5052"/>
    <cellStyle name="Normal 35 2 2" xfId="5053"/>
    <cellStyle name="Normal 35 2 2 2" xfId="5054"/>
    <cellStyle name="Normal 35 2 2 2 2" xfId="5055"/>
    <cellStyle name="Normal 35 2 2 2 2 2" xfId="5056"/>
    <cellStyle name="Normal 35 2 2 2 3" xfId="5057"/>
    <cellStyle name="Normal 35 2 2 2 3 2" xfId="5058"/>
    <cellStyle name="Normal 35 2 2 2 4" xfId="5059"/>
    <cellStyle name="Normal 35 2 2 3" xfId="5060"/>
    <cellStyle name="Normal 35 2 2 3 2" xfId="5061"/>
    <cellStyle name="Normal 35 2 2 4" xfId="5062"/>
    <cellStyle name="Normal 35 2 2 4 2" xfId="5063"/>
    <cellStyle name="Normal 35 2 2 5" xfId="5064"/>
    <cellStyle name="Normal 35 2 3" xfId="5065"/>
    <cellStyle name="Normal 35 2 3 2" xfId="5066"/>
    <cellStyle name="Normal 35 2 3 2 2" xfId="5067"/>
    <cellStyle name="Normal 35 2 3 3" xfId="5068"/>
    <cellStyle name="Normal 35 2 3 3 2" xfId="5069"/>
    <cellStyle name="Normal 35 2 3 4" xfId="5070"/>
    <cellStyle name="Normal 35 2 4" xfId="5071"/>
    <cellStyle name="Normal 35 2 4 2" xfId="5072"/>
    <cellStyle name="Normal 35 2 5" xfId="5073"/>
    <cellStyle name="Normal 35 2 5 2" xfId="5074"/>
    <cellStyle name="Normal 35 2 6" xfId="5075"/>
    <cellStyle name="Normal 35 3" xfId="5076"/>
    <cellStyle name="Normal 35 3 2" xfId="5077"/>
    <cellStyle name="Normal 35 3 2 2" xfId="5078"/>
    <cellStyle name="Normal 35 3 2 2 2" xfId="5079"/>
    <cellStyle name="Normal 35 3 2 3" xfId="5080"/>
    <cellStyle name="Normal 35 3 2 3 2" xfId="5081"/>
    <cellStyle name="Normal 35 3 2 4" xfId="5082"/>
    <cellStyle name="Normal 35 3 3" xfId="5083"/>
    <cellStyle name="Normal 35 3 3 2" xfId="5084"/>
    <cellStyle name="Normal 35 3 4" xfId="5085"/>
    <cellStyle name="Normal 35 3 4 2" xfId="5086"/>
    <cellStyle name="Normal 35 3 5" xfId="5087"/>
    <cellStyle name="Normal 35 4" xfId="5088"/>
    <cellStyle name="Normal 35 4 2" xfId="5089"/>
    <cellStyle name="Normal 35 4 2 2" xfId="5090"/>
    <cellStyle name="Normal 35 4 3" xfId="5091"/>
    <cellStyle name="Normal 35 4 3 2" xfId="5092"/>
    <cellStyle name="Normal 35 4 4" xfId="5093"/>
    <cellStyle name="Normal 35 5" xfId="5094"/>
    <cellStyle name="Normal 35 5 2" xfId="5095"/>
    <cellStyle name="Normal 35 6" xfId="5096"/>
    <cellStyle name="Normal 35 6 2" xfId="5097"/>
    <cellStyle name="Normal 35 7" xfId="5098"/>
    <cellStyle name="Normal 36" xfId="5099"/>
    <cellStyle name="Normal 36 2" xfId="5100"/>
    <cellStyle name="Normal 36 2 2" xfId="5101"/>
    <cellStyle name="Normal 36 2 2 2" xfId="5102"/>
    <cellStyle name="Normal 36 2 2 2 2" xfId="5103"/>
    <cellStyle name="Normal 36 2 2 2 2 2" xfId="5104"/>
    <cellStyle name="Normal 36 2 2 2 3" xfId="5105"/>
    <cellStyle name="Normal 36 2 2 2 3 2" xfId="5106"/>
    <cellStyle name="Normal 36 2 2 2 4" xfId="5107"/>
    <cellStyle name="Normal 36 2 2 3" xfId="5108"/>
    <cellStyle name="Normal 36 2 2 3 2" xfId="5109"/>
    <cellStyle name="Normal 36 2 2 4" xfId="5110"/>
    <cellStyle name="Normal 36 2 2 4 2" xfId="5111"/>
    <cellStyle name="Normal 36 2 2 5" xfId="5112"/>
    <cellStyle name="Normal 36 2 3" xfId="5113"/>
    <cellStyle name="Normal 36 2 3 2" xfId="5114"/>
    <cellStyle name="Normal 36 2 3 2 2" xfId="5115"/>
    <cellStyle name="Normal 36 2 3 3" xfId="5116"/>
    <cellStyle name="Normal 36 2 3 3 2" xfId="5117"/>
    <cellStyle name="Normal 36 2 3 4" xfId="5118"/>
    <cellStyle name="Normal 36 2 4" xfId="5119"/>
    <cellStyle name="Normal 36 2 4 2" xfId="5120"/>
    <cellStyle name="Normal 36 2 5" xfId="5121"/>
    <cellStyle name="Normal 36 2 5 2" xfId="5122"/>
    <cellStyle name="Normal 36 2 6" xfId="5123"/>
    <cellStyle name="Normal 36 3" xfId="5124"/>
    <cellStyle name="Normal 36 3 2" xfId="5125"/>
    <cellStyle name="Normal 36 3 2 2" xfId="5126"/>
    <cellStyle name="Normal 36 3 2 2 2" xfId="5127"/>
    <cellStyle name="Normal 36 3 2 3" xfId="5128"/>
    <cellStyle name="Normal 36 3 2 3 2" xfId="5129"/>
    <cellStyle name="Normal 36 3 2 4" xfId="5130"/>
    <cellStyle name="Normal 36 3 3" xfId="5131"/>
    <cellStyle name="Normal 36 3 3 2" xfId="5132"/>
    <cellStyle name="Normal 36 3 4" xfId="5133"/>
    <cellStyle name="Normal 36 3 4 2" xfId="5134"/>
    <cellStyle name="Normal 36 3 5" xfId="5135"/>
    <cellStyle name="Normal 36 4" xfId="5136"/>
    <cellStyle name="Normal 36 4 2" xfId="5137"/>
    <cellStyle name="Normal 36 4 2 2" xfId="5138"/>
    <cellStyle name="Normal 36 4 3" xfId="5139"/>
    <cellStyle name="Normal 36 4 3 2" xfId="5140"/>
    <cellStyle name="Normal 36 4 4" xfId="5141"/>
    <cellStyle name="Normal 36 5" xfId="5142"/>
    <cellStyle name="Normal 36 5 2" xfId="5143"/>
    <cellStyle name="Normal 36 6" xfId="5144"/>
    <cellStyle name="Normal 36 6 2" xfId="5145"/>
    <cellStyle name="Normal 36 7" xfId="5146"/>
    <cellStyle name="Normal 37" xfId="5147"/>
    <cellStyle name="Normal 37 2" xfId="5148"/>
    <cellStyle name="Normal 37 2 2" xfId="5149"/>
    <cellStyle name="Normal 37 2 2 2" xfId="5150"/>
    <cellStyle name="Normal 37 2 2 2 2" xfId="5151"/>
    <cellStyle name="Normal 37 2 2 2 2 2" xfId="5152"/>
    <cellStyle name="Normal 37 2 2 2 3" xfId="5153"/>
    <cellStyle name="Normal 37 2 2 2 3 2" xfId="5154"/>
    <cellStyle name="Normal 37 2 2 2 4" xfId="5155"/>
    <cellStyle name="Normal 37 2 2 3" xfId="5156"/>
    <cellStyle name="Normal 37 2 2 3 2" xfId="5157"/>
    <cellStyle name="Normal 37 2 2 4" xfId="5158"/>
    <cellStyle name="Normal 37 2 2 4 2" xfId="5159"/>
    <cellStyle name="Normal 37 2 2 5" xfId="5160"/>
    <cellStyle name="Normal 37 2 3" xfId="5161"/>
    <cellStyle name="Normal 37 2 3 2" xfId="5162"/>
    <cellStyle name="Normal 37 2 3 2 2" xfId="5163"/>
    <cellStyle name="Normal 37 2 3 3" xfId="5164"/>
    <cellStyle name="Normal 37 2 3 3 2" xfId="5165"/>
    <cellStyle name="Normal 37 2 3 4" xfId="5166"/>
    <cellStyle name="Normal 37 2 4" xfId="5167"/>
    <cellStyle name="Normal 37 2 4 2" xfId="5168"/>
    <cellStyle name="Normal 37 2 5" xfId="5169"/>
    <cellStyle name="Normal 37 2 5 2" xfId="5170"/>
    <cellStyle name="Normal 37 2 6" xfId="5171"/>
    <cellStyle name="Normal 37 3" xfId="5172"/>
    <cellStyle name="Normal 37 3 2" xfId="5173"/>
    <cellStyle name="Normal 37 3 2 2" xfId="5174"/>
    <cellStyle name="Normal 37 3 2 2 2" xfId="5175"/>
    <cellStyle name="Normal 37 3 2 3" xfId="5176"/>
    <cellStyle name="Normal 37 3 2 3 2" xfId="5177"/>
    <cellStyle name="Normal 37 3 2 4" xfId="5178"/>
    <cellStyle name="Normal 37 3 3" xfId="5179"/>
    <cellStyle name="Normal 37 3 3 2" xfId="5180"/>
    <cellStyle name="Normal 37 3 4" xfId="5181"/>
    <cellStyle name="Normal 37 3 4 2" xfId="5182"/>
    <cellStyle name="Normal 37 3 5" xfId="5183"/>
    <cellStyle name="Normal 37 4" xfId="5184"/>
    <cellStyle name="Normal 37 4 2" xfId="5185"/>
    <cellStyle name="Normal 37 4 2 2" xfId="5186"/>
    <cellStyle name="Normal 37 4 3" xfId="5187"/>
    <cellStyle name="Normal 37 4 3 2" xfId="5188"/>
    <cellStyle name="Normal 37 4 4" xfId="5189"/>
    <cellStyle name="Normal 37 5" xfId="5190"/>
    <cellStyle name="Normal 37 5 2" xfId="5191"/>
    <cellStyle name="Normal 37 6" xfId="5192"/>
    <cellStyle name="Normal 37 6 2" xfId="5193"/>
    <cellStyle name="Normal 37 7" xfId="5194"/>
    <cellStyle name="Normal 38" xfId="5195"/>
    <cellStyle name="Normal 38 2" xfId="5196"/>
    <cellStyle name="Normal 38 2 2" xfId="5197"/>
    <cellStyle name="Normal 38 2 2 2" xfId="5198"/>
    <cellStyle name="Normal 38 2 2 2 2" xfId="5199"/>
    <cellStyle name="Normal 38 2 2 2 2 2" xfId="5200"/>
    <cellStyle name="Normal 38 2 2 2 3" xfId="5201"/>
    <cellStyle name="Normal 38 2 2 2 3 2" xfId="5202"/>
    <cellStyle name="Normal 38 2 2 2 4" xfId="5203"/>
    <cellStyle name="Normal 38 2 2 3" xfId="5204"/>
    <cellStyle name="Normal 38 2 2 3 2" xfId="5205"/>
    <cellStyle name="Normal 38 2 2 4" xfId="5206"/>
    <cellStyle name="Normal 38 2 2 4 2" xfId="5207"/>
    <cellStyle name="Normal 38 2 2 5" xfId="5208"/>
    <cellStyle name="Normal 38 2 3" xfId="5209"/>
    <cellStyle name="Normal 38 2 3 2" xfId="5210"/>
    <cellStyle name="Normal 38 2 3 2 2" xfId="5211"/>
    <cellStyle name="Normal 38 2 3 3" xfId="5212"/>
    <cellStyle name="Normal 38 2 3 3 2" xfId="5213"/>
    <cellStyle name="Normal 38 2 3 4" xfId="5214"/>
    <cellStyle name="Normal 38 2 4" xfId="5215"/>
    <cellStyle name="Normal 38 2 4 2" xfId="5216"/>
    <cellStyle name="Normal 38 2 5" xfId="5217"/>
    <cellStyle name="Normal 38 2 5 2" xfId="5218"/>
    <cellStyle name="Normal 38 2 6" xfId="5219"/>
    <cellStyle name="Normal 38 3" xfId="5220"/>
    <cellStyle name="Normal 38 3 2" xfId="5221"/>
    <cellStyle name="Normal 38 3 2 2" xfId="5222"/>
    <cellStyle name="Normal 38 3 2 2 2" xfId="5223"/>
    <cellStyle name="Normal 38 3 2 3" xfId="5224"/>
    <cellStyle name="Normal 38 3 2 3 2" xfId="5225"/>
    <cellStyle name="Normal 38 3 2 4" xfId="5226"/>
    <cellStyle name="Normal 38 3 3" xfId="5227"/>
    <cellStyle name="Normal 38 3 3 2" xfId="5228"/>
    <cellStyle name="Normal 38 3 4" xfId="5229"/>
    <cellStyle name="Normal 38 3 4 2" xfId="5230"/>
    <cellStyle name="Normal 38 3 5" xfId="5231"/>
    <cellStyle name="Normal 38 4" xfId="5232"/>
    <cellStyle name="Normal 38 4 2" xfId="5233"/>
    <cellStyle name="Normal 38 4 2 2" xfId="5234"/>
    <cellStyle name="Normal 38 4 3" xfId="5235"/>
    <cellStyle name="Normal 38 4 3 2" xfId="5236"/>
    <cellStyle name="Normal 38 4 4" xfId="5237"/>
    <cellStyle name="Normal 38 5" xfId="5238"/>
    <cellStyle name="Normal 38 5 2" xfId="5239"/>
    <cellStyle name="Normal 38 6" xfId="5240"/>
    <cellStyle name="Normal 38 6 2" xfId="5241"/>
    <cellStyle name="Normal 38 7" xfId="5242"/>
    <cellStyle name="Normal 39" xfId="5243"/>
    <cellStyle name="Normal 39 2" xfId="5244"/>
    <cellStyle name="Normal 39 2 2" xfId="5245"/>
    <cellStyle name="Normal 39 2 2 2" xfId="5246"/>
    <cellStyle name="Normal 39 2 2 2 2" xfId="5247"/>
    <cellStyle name="Normal 39 2 2 2 2 2" xfId="5248"/>
    <cellStyle name="Normal 39 2 2 2 3" xfId="5249"/>
    <cellStyle name="Normal 39 2 2 2 3 2" xfId="5250"/>
    <cellStyle name="Normal 39 2 2 2 4" xfId="5251"/>
    <cellStyle name="Normal 39 2 2 3" xfId="5252"/>
    <cellStyle name="Normal 39 2 2 3 2" xfId="5253"/>
    <cellStyle name="Normal 39 2 2 4" xfId="5254"/>
    <cellStyle name="Normal 39 2 2 4 2" xfId="5255"/>
    <cellStyle name="Normal 39 2 2 5" xfId="5256"/>
    <cellStyle name="Normal 39 2 3" xfId="5257"/>
    <cellStyle name="Normal 39 2 3 2" xfId="5258"/>
    <cellStyle name="Normal 39 2 3 2 2" xfId="5259"/>
    <cellStyle name="Normal 39 2 3 3" xfId="5260"/>
    <cellStyle name="Normal 39 2 3 3 2" xfId="5261"/>
    <cellStyle name="Normal 39 2 3 4" xfId="5262"/>
    <cellStyle name="Normal 39 2 4" xfId="5263"/>
    <cellStyle name="Normal 39 2 4 2" xfId="5264"/>
    <cellStyle name="Normal 39 2 5" xfId="5265"/>
    <cellStyle name="Normal 39 2 5 2" xfId="5266"/>
    <cellStyle name="Normal 39 2 6" xfId="5267"/>
    <cellStyle name="Normal 39 3" xfId="5268"/>
    <cellStyle name="Normal 39 3 2" xfId="5269"/>
    <cellStyle name="Normal 39 3 2 2" xfId="5270"/>
    <cellStyle name="Normal 39 3 2 2 2" xfId="5271"/>
    <cellStyle name="Normal 39 3 2 3" xfId="5272"/>
    <cellStyle name="Normal 39 3 2 3 2" xfId="5273"/>
    <cellStyle name="Normal 39 3 2 4" xfId="5274"/>
    <cellStyle name="Normal 39 3 3" xfId="5275"/>
    <cellStyle name="Normal 39 3 3 2" xfId="5276"/>
    <cellStyle name="Normal 39 3 4" xfId="5277"/>
    <cellStyle name="Normal 39 3 4 2" xfId="5278"/>
    <cellStyle name="Normal 39 3 5" xfId="5279"/>
    <cellStyle name="Normal 39 4" xfId="5280"/>
    <cellStyle name="Normal 39 4 2" xfId="5281"/>
    <cellStyle name="Normal 39 4 2 2" xfId="5282"/>
    <cellStyle name="Normal 39 4 3" xfId="5283"/>
    <cellStyle name="Normal 39 4 3 2" xfId="5284"/>
    <cellStyle name="Normal 39 4 4" xfId="5285"/>
    <cellStyle name="Normal 39 5" xfId="5286"/>
    <cellStyle name="Normal 39 5 2" xfId="5287"/>
    <cellStyle name="Normal 39 6" xfId="5288"/>
    <cellStyle name="Normal 39 6 2" xfId="5289"/>
    <cellStyle name="Normal 39 7" xfId="5290"/>
    <cellStyle name="Normal 4" xfId="99"/>
    <cellStyle name="Normal 4 2" xfId="5292"/>
    <cellStyle name="Normal 4 2 2" xfId="5293"/>
    <cellStyle name="Normal 4 2 2 2" xfId="5294"/>
    <cellStyle name="Normal 4 2 2 2 2" xfId="5295"/>
    <cellStyle name="Normal 4 2 2 2 2 2" xfId="5296"/>
    <cellStyle name="Normal 4 2 2 2 3" xfId="5297"/>
    <cellStyle name="Normal 4 2 2 2 3 2" xfId="5298"/>
    <cellStyle name="Normal 4 2 2 2 4" xfId="5299"/>
    <cellStyle name="Normal 4 2 2 3" xfId="5300"/>
    <cellStyle name="Normal 4 2 2 3 2" xfId="5301"/>
    <cellStyle name="Normal 4 2 2 4" xfId="5302"/>
    <cellStyle name="Normal 4 2 2 4 2" xfId="5303"/>
    <cellStyle name="Normal 4 2 2 5" xfId="5304"/>
    <cellStyle name="Normal 4 2 3" xfId="5305"/>
    <cellStyle name="Normal 4 2 3 2" xfId="5306"/>
    <cellStyle name="Normal 4 2 3 2 2" xfId="5307"/>
    <cellStyle name="Normal 4 2 3 3" xfId="5308"/>
    <cellStyle name="Normal 4 2 3 3 2" xfId="5309"/>
    <cellStyle name="Normal 4 2 3 4" xfId="5310"/>
    <cellStyle name="Normal 4 2 4" xfId="5311"/>
    <cellStyle name="Normal 4 2 4 2" xfId="5312"/>
    <cellStyle name="Normal 4 2 5" xfId="5313"/>
    <cellStyle name="Normal 4 2 5 2" xfId="5314"/>
    <cellStyle name="Normal 4 2 6" xfId="5315"/>
    <cellStyle name="Normal 4 3" xfId="5316"/>
    <cellStyle name="Normal 4 3 2" xfId="5317"/>
    <cellStyle name="Normal 4 3 2 2" xfId="5318"/>
    <cellStyle name="Normal 4 3 2 3" xfId="5319"/>
    <cellStyle name="Normal 4 3 3" xfId="5320"/>
    <cellStyle name="Normal 4 3 4" xfId="5321"/>
    <cellStyle name="Normal 4 3 5" xfId="5322"/>
    <cellStyle name="Normal 4 4" xfId="5323"/>
    <cellStyle name="Normal 4 4 2" xfId="5324"/>
    <cellStyle name="Normal 4 5" xfId="5325"/>
    <cellStyle name="Normal 4 6" xfId="5291"/>
    <cellStyle name="Normal 4_2180" xfId="5326"/>
    <cellStyle name="Normal 40" xfId="5327"/>
    <cellStyle name="Normal 40 2" xfId="5328"/>
    <cellStyle name="Normal 40 2 2" xfId="5329"/>
    <cellStyle name="Normal 40 2 2 2" xfId="5330"/>
    <cellStyle name="Normal 40 2 2 2 2" xfId="5331"/>
    <cellStyle name="Normal 40 2 2 2 2 2" xfId="5332"/>
    <cellStyle name="Normal 40 2 2 2 3" xfId="5333"/>
    <cellStyle name="Normal 40 2 2 2 3 2" xfId="5334"/>
    <cellStyle name="Normal 40 2 2 2 4" xfId="5335"/>
    <cellStyle name="Normal 40 2 2 3" xfId="5336"/>
    <cellStyle name="Normal 40 2 2 3 2" xfId="5337"/>
    <cellStyle name="Normal 40 2 2 4" xfId="5338"/>
    <cellStyle name="Normal 40 2 2 4 2" xfId="5339"/>
    <cellStyle name="Normal 40 2 2 5" xfId="5340"/>
    <cellStyle name="Normal 40 2 3" xfId="5341"/>
    <cellStyle name="Normal 40 2 3 2" xfId="5342"/>
    <cellStyle name="Normal 40 2 3 2 2" xfId="5343"/>
    <cellStyle name="Normal 40 2 3 3" xfId="5344"/>
    <cellStyle name="Normal 40 2 3 3 2" xfId="5345"/>
    <cellStyle name="Normal 40 2 3 4" xfId="5346"/>
    <cellStyle name="Normal 40 2 4" xfId="5347"/>
    <cellStyle name="Normal 40 2 4 2" xfId="5348"/>
    <cellStyle name="Normal 40 2 5" xfId="5349"/>
    <cellStyle name="Normal 40 2 5 2" xfId="5350"/>
    <cellStyle name="Normal 40 2 6" xfId="5351"/>
    <cellStyle name="Normal 40 3" xfId="5352"/>
    <cellStyle name="Normal 40 3 2" xfId="5353"/>
    <cellStyle name="Normal 40 3 2 2" xfId="5354"/>
    <cellStyle name="Normal 40 3 2 2 2" xfId="5355"/>
    <cellStyle name="Normal 40 3 2 3" xfId="5356"/>
    <cellStyle name="Normal 40 3 2 3 2" xfId="5357"/>
    <cellStyle name="Normal 40 3 2 4" xfId="5358"/>
    <cellStyle name="Normal 40 3 3" xfId="5359"/>
    <cellStyle name="Normal 40 3 3 2" xfId="5360"/>
    <cellStyle name="Normal 40 3 4" xfId="5361"/>
    <cellStyle name="Normal 40 3 4 2" xfId="5362"/>
    <cellStyle name="Normal 40 3 5" xfId="5363"/>
    <cellStyle name="Normal 40 4" xfId="5364"/>
    <cellStyle name="Normal 40 4 2" xfId="5365"/>
    <cellStyle name="Normal 40 4 2 2" xfId="5366"/>
    <cellStyle name="Normal 40 4 3" xfId="5367"/>
    <cellStyle name="Normal 40 4 3 2" xfId="5368"/>
    <cellStyle name="Normal 40 4 4" xfId="5369"/>
    <cellStyle name="Normal 40 5" xfId="5370"/>
    <cellStyle name="Normal 40 5 2" xfId="5371"/>
    <cellStyle name="Normal 40 6" xfId="5372"/>
    <cellStyle name="Normal 40 6 2" xfId="5373"/>
    <cellStyle name="Normal 40 7" xfId="5374"/>
    <cellStyle name="Normal 41" xfId="5375"/>
    <cellStyle name="Normal 41 2" xfId="5376"/>
    <cellStyle name="Normal 41 2 2" xfId="5377"/>
    <cellStyle name="Normal 41 2 2 2" xfId="5378"/>
    <cellStyle name="Normal 41 2 2 2 2" xfId="5379"/>
    <cellStyle name="Normal 41 2 2 2 2 2" xfId="5380"/>
    <cellStyle name="Normal 41 2 2 2 3" xfId="5381"/>
    <cellStyle name="Normal 41 2 2 2 3 2" xfId="5382"/>
    <cellStyle name="Normal 41 2 2 2 4" xfId="5383"/>
    <cellStyle name="Normal 41 2 2 3" xfId="5384"/>
    <cellStyle name="Normal 41 2 2 3 2" xfId="5385"/>
    <cellStyle name="Normal 41 2 2 4" xfId="5386"/>
    <cellStyle name="Normal 41 2 2 4 2" xfId="5387"/>
    <cellStyle name="Normal 41 2 2 5" xfId="5388"/>
    <cellStyle name="Normal 41 2 3" xfId="5389"/>
    <cellStyle name="Normal 41 2 3 2" xfId="5390"/>
    <cellStyle name="Normal 41 2 3 2 2" xfId="5391"/>
    <cellStyle name="Normal 41 2 3 3" xfId="5392"/>
    <cellStyle name="Normal 41 2 3 3 2" xfId="5393"/>
    <cellStyle name="Normal 41 2 3 4" xfId="5394"/>
    <cellStyle name="Normal 41 2 4" xfId="5395"/>
    <cellStyle name="Normal 41 2 4 2" xfId="5396"/>
    <cellStyle name="Normal 41 2 5" xfId="5397"/>
    <cellStyle name="Normal 41 2 5 2" xfId="5398"/>
    <cellStyle name="Normal 41 2 6" xfId="5399"/>
    <cellStyle name="Normal 41 3" xfId="5400"/>
    <cellStyle name="Normal 41 3 2" xfId="5401"/>
    <cellStyle name="Normal 41 3 2 2" xfId="5402"/>
    <cellStyle name="Normal 41 3 2 2 2" xfId="5403"/>
    <cellStyle name="Normal 41 3 2 3" xfId="5404"/>
    <cellStyle name="Normal 41 3 2 3 2" xfId="5405"/>
    <cellStyle name="Normal 41 3 2 4" xfId="5406"/>
    <cellStyle name="Normal 41 3 3" xfId="5407"/>
    <cellStyle name="Normal 41 3 3 2" xfId="5408"/>
    <cellStyle name="Normal 41 3 4" xfId="5409"/>
    <cellStyle name="Normal 41 3 4 2" xfId="5410"/>
    <cellStyle name="Normal 41 3 5" xfId="5411"/>
    <cellStyle name="Normal 41 4" xfId="5412"/>
    <cellStyle name="Normal 41 4 2" xfId="5413"/>
    <cellStyle name="Normal 41 4 2 2" xfId="5414"/>
    <cellStyle name="Normal 41 4 3" xfId="5415"/>
    <cellStyle name="Normal 41 4 3 2" xfId="5416"/>
    <cellStyle name="Normal 41 4 4" xfId="5417"/>
    <cellStyle name="Normal 41 5" xfId="5418"/>
    <cellStyle name="Normal 41 5 2" xfId="5419"/>
    <cellStyle name="Normal 41 6" xfId="5420"/>
    <cellStyle name="Normal 41 6 2" xfId="5421"/>
    <cellStyle name="Normal 41 7" xfId="5422"/>
    <cellStyle name="Normal 42" xfId="5423"/>
    <cellStyle name="Normal 42 2" xfId="5424"/>
    <cellStyle name="Normal 42 3" xfId="5425"/>
    <cellStyle name="Normal 43" xfId="5426"/>
    <cellStyle name="Normal 43 2" xfId="5427"/>
    <cellStyle name="Normal 43 2 2" xfId="5428"/>
    <cellStyle name="Normal 43 2 2 2" xfId="5429"/>
    <cellStyle name="Normal 43 2 2 2 2" xfId="5430"/>
    <cellStyle name="Normal 43 2 2 2 2 2" xfId="5431"/>
    <cellStyle name="Normal 43 2 2 2 3" xfId="5432"/>
    <cellStyle name="Normal 43 2 2 2 3 2" xfId="5433"/>
    <cellStyle name="Normal 43 2 2 2 4" xfId="5434"/>
    <cellStyle name="Normal 43 2 2 3" xfId="5435"/>
    <cellStyle name="Normal 43 2 2 3 2" xfId="5436"/>
    <cellStyle name="Normal 43 2 2 4" xfId="5437"/>
    <cellStyle name="Normal 43 2 2 4 2" xfId="5438"/>
    <cellStyle name="Normal 43 2 2 5" xfId="5439"/>
    <cellStyle name="Normal 43 2 3" xfId="5440"/>
    <cellStyle name="Normal 43 2 3 2" xfId="5441"/>
    <cellStyle name="Normal 43 2 3 2 2" xfId="5442"/>
    <cellStyle name="Normal 43 2 3 3" xfId="5443"/>
    <cellStyle name="Normal 43 2 3 3 2" xfId="5444"/>
    <cellStyle name="Normal 43 2 3 4" xfId="5445"/>
    <cellStyle name="Normal 43 2 4" xfId="5446"/>
    <cellStyle name="Normal 43 2 4 2" xfId="5447"/>
    <cellStyle name="Normal 43 2 5" xfId="5448"/>
    <cellStyle name="Normal 43 2 5 2" xfId="5449"/>
    <cellStyle name="Normal 43 2 6" xfId="5450"/>
    <cellStyle name="Normal 43 3" xfId="5451"/>
    <cellStyle name="Normal 44" xfId="5452"/>
    <cellStyle name="Normal 44 2" xfId="5453"/>
    <cellStyle name="Normal 44 2 2" xfId="5454"/>
    <cellStyle name="Normal 44 2 2 2" xfId="5455"/>
    <cellStyle name="Normal 44 2 2 2 2" xfId="5456"/>
    <cellStyle name="Normal 44 2 2 2 2 2" xfId="5457"/>
    <cellStyle name="Normal 44 2 2 2 3" xfId="5458"/>
    <cellStyle name="Normal 44 2 2 2 3 2" xfId="5459"/>
    <cellStyle name="Normal 44 2 2 2 4" xfId="5460"/>
    <cellStyle name="Normal 44 2 2 3" xfId="5461"/>
    <cellStyle name="Normal 44 2 2 3 2" xfId="5462"/>
    <cellStyle name="Normal 44 2 2 4" xfId="5463"/>
    <cellStyle name="Normal 44 2 2 4 2" xfId="5464"/>
    <cellStyle name="Normal 44 2 2 5" xfId="5465"/>
    <cellStyle name="Normal 44 2 3" xfId="5466"/>
    <cellStyle name="Normal 44 2 3 2" xfId="5467"/>
    <cellStyle name="Normal 44 2 3 2 2" xfId="5468"/>
    <cellStyle name="Normal 44 2 3 3" xfId="5469"/>
    <cellStyle name="Normal 44 2 3 3 2" xfId="5470"/>
    <cellStyle name="Normal 44 2 3 4" xfId="5471"/>
    <cellStyle name="Normal 44 2 4" xfId="5472"/>
    <cellStyle name="Normal 44 2 4 2" xfId="5473"/>
    <cellStyle name="Normal 44 2 5" xfId="5474"/>
    <cellStyle name="Normal 44 2 5 2" xfId="5475"/>
    <cellStyle name="Normal 44 2 6" xfId="5476"/>
    <cellStyle name="Normal 44 3" xfId="5477"/>
    <cellStyle name="Normal 44 3 2" xfId="5478"/>
    <cellStyle name="Normal 44 3 2 2" xfId="5479"/>
    <cellStyle name="Normal 44 3 2 2 2" xfId="5480"/>
    <cellStyle name="Normal 44 3 2 3" xfId="5481"/>
    <cellStyle name="Normal 44 3 2 3 2" xfId="5482"/>
    <cellStyle name="Normal 44 3 2 4" xfId="5483"/>
    <cellStyle name="Normal 44 3 3" xfId="5484"/>
    <cellStyle name="Normal 44 3 3 2" xfId="5485"/>
    <cellStyle name="Normal 44 3 4" xfId="5486"/>
    <cellStyle name="Normal 44 3 4 2" xfId="5487"/>
    <cellStyle name="Normal 44 3 5" xfId="5488"/>
    <cellStyle name="Normal 44 4" xfId="5489"/>
    <cellStyle name="Normal 44 4 2" xfId="5490"/>
    <cellStyle name="Normal 44 4 2 2" xfId="5491"/>
    <cellStyle name="Normal 44 4 3" xfId="5492"/>
    <cellStyle name="Normal 44 4 3 2" xfId="5493"/>
    <cellStyle name="Normal 44 4 4" xfId="5494"/>
    <cellStyle name="Normal 44 5" xfId="5495"/>
    <cellStyle name="Normal 44 5 2" xfId="5496"/>
    <cellStyle name="Normal 44 6" xfId="5497"/>
    <cellStyle name="Normal 44 6 2" xfId="5498"/>
    <cellStyle name="Normal 44 7" xfId="5499"/>
    <cellStyle name="Normal 45" xfId="5500"/>
    <cellStyle name="Normal 45 2" xfId="5501"/>
    <cellStyle name="Normal 45 2 2" xfId="5502"/>
    <cellStyle name="Normal 45 2 2 2" xfId="5503"/>
    <cellStyle name="Normal 45 2 2 2 2" xfId="5504"/>
    <cellStyle name="Normal 45 2 2 2 2 2" xfId="5505"/>
    <cellStyle name="Normal 45 2 2 2 3" xfId="5506"/>
    <cellStyle name="Normal 45 2 2 2 3 2" xfId="5507"/>
    <cellStyle name="Normal 45 2 2 2 4" xfId="5508"/>
    <cellStyle name="Normal 45 2 2 3" xfId="5509"/>
    <cellStyle name="Normal 45 2 2 3 2" xfId="5510"/>
    <cellStyle name="Normal 45 2 2 4" xfId="5511"/>
    <cellStyle name="Normal 45 2 2 4 2" xfId="5512"/>
    <cellStyle name="Normal 45 2 2 5" xfId="5513"/>
    <cellStyle name="Normal 45 2 3" xfId="5514"/>
    <cellStyle name="Normal 45 2 3 2" xfId="5515"/>
    <cellStyle name="Normal 45 2 3 2 2" xfId="5516"/>
    <cellStyle name="Normal 45 2 3 3" xfId="5517"/>
    <cellStyle name="Normal 45 2 3 3 2" xfId="5518"/>
    <cellStyle name="Normal 45 2 3 4" xfId="5519"/>
    <cellStyle name="Normal 45 2 4" xfId="5520"/>
    <cellStyle name="Normal 45 2 4 2" xfId="5521"/>
    <cellStyle name="Normal 45 2 5" xfId="5522"/>
    <cellStyle name="Normal 45 2 5 2" xfId="5523"/>
    <cellStyle name="Normal 45 2 6" xfId="5524"/>
    <cellStyle name="Normal 45 3" xfId="5525"/>
    <cellStyle name="Normal 46" xfId="5526"/>
    <cellStyle name="Normal 46 2" xfId="5527"/>
    <cellStyle name="Normal 46 2 2" xfId="5528"/>
    <cellStyle name="Normal 46 2 2 2" xfId="5529"/>
    <cellStyle name="Normal 46 2 2 2 2" xfId="5530"/>
    <cellStyle name="Normal 46 2 2 2 2 2" xfId="5531"/>
    <cellStyle name="Normal 46 2 2 2 3" xfId="5532"/>
    <cellStyle name="Normal 46 2 2 2 3 2" xfId="5533"/>
    <cellStyle name="Normal 46 2 2 2 4" xfId="5534"/>
    <cellStyle name="Normal 46 2 2 3" xfId="5535"/>
    <cellStyle name="Normal 46 2 2 3 2" xfId="5536"/>
    <cellStyle name="Normal 46 2 2 4" xfId="5537"/>
    <cellStyle name="Normal 46 2 2 4 2" xfId="5538"/>
    <cellStyle name="Normal 46 2 2 5" xfId="5539"/>
    <cellStyle name="Normal 46 2 3" xfId="5540"/>
    <cellStyle name="Normal 46 2 3 2" xfId="5541"/>
    <cellStyle name="Normal 46 2 3 2 2" xfId="5542"/>
    <cellStyle name="Normal 46 2 3 3" xfId="5543"/>
    <cellStyle name="Normal 46 2 3 3 2" xfId="5544"/>
    <cellStyle name="Normal 46 2 3 4" xfId="5545"/>
    <cellStyle name="Normal 46 2 4" xfId="5546"/>
    <cellStyle name="Normal 46 2 4 2" xfId="5547"/>
    <cellStyle name="Normal 46 2 5" xfId="5548"/>
    <cellStyle name="Normal 46 2 5 2" xfId="5549"/>
    <cellStyle name="Normal 46 2 6" xfId="5550"/>
    <cellStyle name="Normal 46 3" xfId="5551"/>
    <cellStyle name="Normal 47" xfId="5552"/>
    <cellStyle name="Normal 47 2" xfId="5553"/>
    <cellStyle name="Normal 47 2 2" xfId="5554"/>
    <cellStyle name="Normal 47 2 2 2" xfId="5555"/>
    <cellStyle name="Normal 47 2 2 2 2" xfId="5556"/>
    <cellStyle name="Normal 47 2 2 2 2 2" xfId="5557"/>
    <cellStyle name="Normal 47 2 2 2 3" xfId="5558"/>
    <cellStyle name="Normal 47 2 2 2 3 2" xfId="5559"/>
    <cellStyle name="Normal 47 2 2 2 4" xfId="5560"/>
    <cellStyle name="Normal 47 2 2 3" xfId="5561"/>
    <cellStyle name="Normal 47 2 2 3 2" xfId="5562"/>
    <cellStyle name="Normal 47 2 2 4" xfId="5563"/>
    <cellStyle name="Normal 47 2 2 4 2" xfId="5564"/>
    <cellStyle name="Normal 47 2 2 5" xfId="5565"/>
    <cellStyle name="Normal 47 2 3" xfId="5566"/>
    <cellStyle name="Normal 47 2 3 2" xfId="5567"/>
    <cellStyle name="Normal 47 2 3 2 2" xfId="5568"/>
    <cellStyle name="Normal 47 2 3 3" xfId="5569"/>
    <cellStyle name="Normal 47 2 3 3 2" xfId="5570"/>
    <cellStyle name="Normal 47 2 3 4" xfId="5571"/>
    <cellStyle name="Normal 47 2 4" xfId="5572"/>
    <cellStyle name="Normal 47 2 4 2" xfId="5573"/>
    <cellStyle name="Normal 47 2 5" xfId="5574"/>
    <cellStyle name="Normal 47 2 5 2" xfId="5575"/>
    <cellStyle name="Normal 47 2 6" xfId="5576"/>
    <cellStyle name="Normal 47 3" xfId="5577"/>
    <cellStyle name="Normal 48" xfId="5578"/>
    <cellStyle name="Normal 48 2" xfId="5579"/>
    <cellStyle name="Normal 48 2 2" xfId="5580"/>
    <cellStyle name="Normal 48 2 2 2" xfId="5581"/>
    <cellStyle name="Normal 48 2 2 2 2" xfId="5582"/>
    <cellStyle name="Normal 48 2 2 2 2 2" xfId="5583"/>
    <cellStyle name="Normal 48 2 2 2 3" xfId="5584"/>
    <cellStyle name="Normal 48 2 2 2 3 2" xfId="5585"/>
    <cellStyle name="Normal 48 2 2 2 4" xfId="5586"/>
    <cellStyle name="Normal 48 2 2 3" xfId="5587"/>
    <cellStyle name="Normal 48 2 2 3 2" xfId="5588"/>
    <cellStyle name="Normal 48 2 2 4" xfId="5589"/>
    <cellStyle name="Normal 48 2 2 4 2" xfId="5590"/>
    <cellStyle name="Normal 48 2 2 5" xfId="5591"/>
    <cellStyle name="Normal 48 2 3" xfId="5592"/>
    <cellStyle name="Normal 48 2 3 2" xfId="5593"/>
    <cellStyle name="Normal 48 2 3 2 2" xfId="5594"/>
    <cellStyle name="Normal 48 2 3 3" xfId="5595"/>
    <cellStyle name="Normal 48 2 3 3 2" xfId="5596"/>
    <cellStyle name="Normal 48 2 3 4" xfId="5597"/>
    <cellStyle name="Normal 48 2 4" xfId="5598"/>
    <cellStyle name="Normal 48 2 4 2" xfId="5599"/>
    <cellStyle name="Normal 48 2 5" xfId="5600"/>
    <cellStyle name="Normal 48 2 5 2" xfId="5601"/>
    <cellStyle name="Normal 48 2 6" xfId="5602"/>
    <cellStyle name="Normal 48 3" xfId="5603"/>
    <cellStyle name="Normal 48 3 2" xfId="5604"/>
    <cellStyle name="Normal 48 3 2 2" xfId="5605"/>
    <cellStyle name="Normal 48 3 2 2 2" xfId="5606"/>
    <cellStyle name="Normal 48 3 2 3" xfId="5607"/>
    <cellStyle name="Normal 48 3 2 3 2" xfId="5608"/>
    <cellStyle name="Normal 48 3 2 4" xfId="5609"/>
    <cellStyle name="Normal 48 3 3" xfId="5610"/>
    <cellStyle name="Normal 48 3 3 2" xfId="5611"/>
    <cellStyle name="Normal 48 3 4" xfId="5612"/>
    <cellStyle name="Normal 48 3 4 2" xfId="5613"/>
    <cellStyle name="Normal 48 3 5" xfId="5614"/>
    <cellStyle name="Normal 48 4" xfId="5615"/>
    <cellStyle name="Normal 48 4 2" xfId="5616"/>
    <cellStyle name="Normal 48 4 2 2" xfId="5617"/>
    <cellStyle name="Normal 48 4 3" xfId="5618"/>
    <cellStyle name="Normal 48 4 3 2" xfId="5619"/>
    <cellStyle name="Normal 48 4 4" xfId="5620"/>
    <cellStyle name="Normal 48 5" xfId="5621"/>
    <cellStyle name="Normal 48 5 2" xfId="5622"/>
    <cellStyle name="Normal 48 6" xfId="5623"/>
    <cellStyle name="Normal 48 6 2" xfId="5624"/>
    <cellStyle name="Normal 48 7" xfId="5625"/>
    <cellStyle name="Normal 49" xfId="5626"/>
    <cellStyle name="Normal 49 2" xfId="5627"/>
    <cellStyle name="Normal 49 2 2" xfId="5628"/>
    <cellStyle name="Normal 49 2 2 2" xfId="5629"/>
    <cellStyle name="Normal 49 2 2 2 2" xfId="5630"/>
    <cellStyle name="Normal 49 2 2 2 2 2" xfId="5631"/>
    <cellStyle name="Normal 49 2 2 2 3" xfId="5632"/>
    <cellStyle name="Normal 49 2 2 2 3 2" xfId="5633"/>
    <cellStyle name="Normal 49 2 2 2 4" xfId="5634"/>
    <cellStyle name="Normal 49 2 2 3" xfId="5635"/>
    <cellStyle name="Normal 49 2 2 3 2" xfId="5636"/>
    <cellStyle name="Normal 49 2 2 4" xfId="5637"/>
    <cellStyle name="Normal 49 2 2 4 2" xfId="5638"/>
    <cellStyle name="Normal 49 2 2 5" xfId="5639"/>
    <cellStyle name="Normal 49 2 3" xfId="5640"/>
    <cellStyle name="Normal 49 2 3 2" xfId="5641"/>
    <cellStyle name="Normal 49 2 3 2 2" xfId="5642"/>
    <cellStyle name="Normal 49 2 3 3" xfId="5643"/>
    <cellStyle name="Normal 49 2 3 3 2" xfId="5644"/>
    <cellStyle name="Normal 49 2 3 4" xfId="5645"/>
    <cellStyle name="Normal 49 2 4" xfId="5646"/>
    <cellStyle name="Normal 49 2 4 2" xfId="5647"/>
    <cellStyle name="Normal 49 2 5" xfId="5648"/>
    <cellStyle name="Normal 49 2 5 2" xfId="5649"/>
    <cellStyle name="Normal 49 2 6" xfId="5650"/>
    <cellStyle name="Normal 49 3" xfId="5651"/>
    <cellStyle name="Normal 49 3 2" xfId="5652"/>
    <cellStyle name="Normal 49 3 2 2" xfId="5653"/>
    <cellStyle name="Normal 49 3 2 2 2" xfId="5654"/>
    <cellStyle name="Normal 49 3 2 3" xfId="5655"/>
    <cellStyle name="Normal 49 3 2 3 2" xfId="5656"/>
    <cellStyle name="Normal 49 3 2 4" xfId="5657"/>
    <cellStyle name="Normal 49 3 3" xfId="5658"/>
    <cellStyle name="Normal 49 3 3 2" xfId="5659"/>
    <cellStyle name="Normal 49 3 4" xfId="5660"/>
    <cellStyle name="Normal 49 3 4 2" xfId="5661"/>
    <cellStyle name="Normal 49 3 5" xfId="5662"/>
    <cellStyle name="Normal 49 4" xfId="5663"/>
    <cellStyle name="Normal 49 4 2" xfId="5664"/>
    <cellStyle name="Normal 49 4 2 2" xfId="5665"/>
    <cellStyle name="Normal 49 4 3" xfId="5666"/>
    <cellStyle name="Normal 49 4 3 2" xfId="5667"/>
    <cellStyle name="Normal 49 4 4" xfId="5668"/>
    <cellStyle name="Normal 49 5" xfId="5669"/>
    <cellStyle name="Normal 49 5 2" xfId="5670"/>
    <cellStyle name="Normal 49 6" xfId="5671"/>
    <cellStyle name="Normal 49 6 2" xfId="5672"/>
    <cellStyle name="Normal 49 7" xfId="5673"/>
    <cellStyle name="Normal 5" xfId="100"/>
    <cellStyle name="Normal 5 10" xfId="5675"/>
    <cellStyle name="Normal 5 11" xfId="5674"/>
    <cellStyle name="Normal 5 2" xfId="101"/>
    <cellStyle name="Normal 5 2 10" xfId="5677"/>
    <cellStyle name="Normal 5 2 11" xfId="5678"/>
    <cellStyle name="Normal 5 2 12" xfId="5676"/>
    <cellStyle name="Normal 5 2 2" xfId="5679"/>
    <cellStyle name="Normal 5 2 2 2" xfId="5680"/>
    <cellStyle name="Normal 5 2 2 2 2" xfId="5681"/>
    <cellStyle name="Normal 5 2 2 2 2 2" xfId="5682"/>
    <cellStyle name="Normal 5 2 2 2 2 2 2" xfId="5683"/>
    <cellStyle name="Normal 5 2 2 2 2 2 2 2" xfId="5684"/>
    <cellStyle name="Normal 5 2 2 2 2 2 3" xfId="5685"/>
    <cellStyle name="Normal 5 2 2 2 2 2 3 2" xfId="5686"/>
    <cellStyle name="Normal 5 2 2 2 2 2 4" xfId="5687"/>
    <cellStyle name="Normal 5 2 2 2 2 3" xfId="5688"/>
    <cellStyle name="Normal 5 2 2 2 2 3 2" xfId="5689"/>
    <cellStyle name="Normal 5 2 2 2 2 4" xfId="5690"/>
    <cellStyle name="Normal 5 2 2 2 2 4 2" xfId="5691"/>
    <cellStyle name="Normal 5 2 2 2 2 5" xfId="5692"/>
    <cellStyle name="Normal 5 2 2 2 3" xfId="5693"/>
    <cellStyle name="Normal 5 2 2 2 3 2" xfId="5694"/>
    <cellStyle name="Normal 5 2 2 2 3 2 2" xfId="5695"/>
    <cellStyle name="Normal 5 2 2 2 3 3" xfId="5696"/>
    <cellStyle name="Normal 5 2 2 2 3 3 2" xfId="5697"/>
    <cellStyle name="Normal 5 2 2 2 3 4" xfId="5698"/>
    <cellStyle name="Normal 5 2 2 2 4" xfId="5699"/>
    <cellStyle name="Normal 5 2 2 2 4 2" xfId="5700"/>
    <cellStyle name="Normal 5 2 2 2 5" xfId="5701"/>
    <cellStyle name="Normal 5 2 2 2 5 2" xfId="5702"/>
    <cellStyle name="Normal 5 2 2 2 6" xfId="5703"/>
    <cellStyle name="Normal 5 2 2 3" xfId="5704"/>
    <cellStyle name="Normal 5 2 2 3 2" xfId="5705"/>
    <cellStyle name="Normal 5 2 2 3 2 2" xfId="5706"/>
    <cellStyle name="Normal 5 2 2 3 2 2 2" xfId="5707"/>
    <cellStyle name="Normal 5 2 2 3 2 3" xfId="5708"/>
    <cellStyle name="Normal 5 2 2 3 2 3 2" xfId="5709"/>
    <cellStyle name="Normal 5 2 2 3 2 4" xfId="5710"/>
    <cellStyle name="Normal 5 2 2 3 3" xfId="5711"/>
    <cellStyle name="Normal 5 2 2 3 3 2" xfId="5712"/>
    <cellStyle name="Normal 5 2 2 3 4" xfId="5713"/>
    <cellStyle name="Normal 5 2 2 3 4 2" xfId="5714"/>
    <cellStyle name="Normal 5 2 2 3 5" xfId="5715"/>
    <cellStyle name="Normal 5 2 2 4" xfId="5716"/>
    <cellStyle name="Normal 5 2 2 4 2" xfId="5717"/>
    <cellStyle name="Normal 5 2 2 4 2 2" xfId="5718"/>
    <cellStyle name="Normal 5 2 2 4 3" xfId="5719"/>
    <cellStyle name="Normal 5 2 2 4 3 2" xfId="5720"/>
    <cellStyle name="Normal 5 2 2 4 4" xfId="5721"/>
    <cellStyle name="Normal 5 2 2 5" xfId="5722"/>
    <cellStyle name="Normal 5 2 2 5 2" xfId="5723"/>
    <cellStyle name="Normal 5 2 2 6" xfId="5724"/>
    <cellStyle name="Normal 5 2 2 6 2" xfId="5725"/>
    <cellStyle name="Normal 5 2 2 7" xfId="5726"/>
    <cellStyle name="Normal 5 2 3" xfId="5727"/>
    <cellStyle name="Normal 5 2 3 2" xfId="5728"/>
    <cellStyle name="Normal 5 2 3 2 2" xfId="5729"/>
    <cellStyle name="Normal 5 2 3 2 2 2" xfId="5730"/>
    <cellStyle name="Normal 5 2 3 2 2 2 2" xfId="5731"/>
    <cellStyle name="Normal 5 2 3 2 2 3" xfId="5732"/>
    <cellStyle name="Normal 5 2 3 2 2 3 2" xfId="5733"/>
    <cellStyle name="Normal 5 2 3 2 2 4" xfId="5734"/>
    <cellStyle name="Normal 5 2 3 2 3" xfId="5735"/>
    <cellStyle name="Normal 5 2 3 2 3 2" xfId="5736"/>
    <cellStyle name="Normal 5 2 3 2 4" xfId="5737"/>
    <cellStyle name="Normal 5 2 3 2 4 2" xfId="5738"/>
    <cellStyle name="Normal 5 2 3 2 5" xfId="5739"/>
    <cellStyle name="Normal 5 2 3 3" xfId="5740"/>
    <cellStyle name="Normal 5 2 3 3 2" xfId="5741"/>
    <cellStyle name="Normal 5 2 3 3 2 2" xfId="5742"/>
    <cellStyle name="Normal 5 2 3 3 3" xfId="5743"/>
    <cellStyle name="Normal 5 2 3 3 3 2" xfId="5744"/>
    <cellStyle name="Normal 5 2 3 3 4" xfId="5745"/>
    <cellStyle name="Normal 5 2 3 4" xfId="5746"/>
    <cellStyle name="Normal 5 2 3 4 2" xfId="5747"/>
    <cellStyle name="Normal 5 2 3 4 3" xfId="5748"/>
    <cellStyle name="Normal 5 2 3 5" xfId="5749"/>
    <cellStyle name="Normal 5 2 3 5 2" xfId="5750"/>
    <cellStyle name="Normal 5 2 3 6" xfId="5751"/>
    <cellStyle name="Normal 5 2 4" xfId="5752"/>
    <cellStyle name="Normal 5 2 4 2" xfId="5753"/>
    <cellStyle name="Normal 5 2 4 2 2" xfId="5754"/>
    <cellStyle name="Normal 5 2 4 2 2 2" xfId="5755"/>
    <cellStyle name="Normal 5 2 4 2 3" xfId="5756"/>
    <cellStyle name="Normal 5 2 4 2 3 2" xfId="5757"/>
    <cellStyle name="Normal 5 2 4 2 4" xfId="5758"/>
    <cellStyle name="Normal 5 2 4 2 5" xfId="5759"/>
    <cellStyle name="Normal 5 2 4 3" xfId="5760"/>
    <cellStyle name="Normal 5 2 4 3 2" xfId="5761"/>
    <cellStyle name="Normal 5 2 4 3 3" xfId="5762"/>
    <cellStyle name="Normal 5 2 4 4" xfId="5763"/>
    <cellStyle name="Normal 5 2 4 4 2" xfId="5764"/>
    <cellStyle name="Normal 5 2 4 4 3" xfId="5765"/>
    <cellStyle name="Normal 5 2 4 5" xfId="5766"/>
    <cellStyle name="Normal 5 2 4 6" xfId="5767"/>
    <cellStyle name="Normal 5 2 5" xfId="5768"/>
    <cellStyle name="Normal 5 2 5 10" xfId="5769"/>
    <cellStyle name="Normal 5 2 5 10 2" xfId="5770"/>
    <cellStyle name="Normal 5 2 5 10 3" xfId="5771"/>
    <cellStyle name="Normal 5 2 5 11" xfId="5772"/>
    <cellStyle name="Normal 5 2 5 11 2" xfId="5773"/>
    <cellStyle name="Normal 5 2 5 12" xfId="5774"/>
    <cellStyle name="Normal 5 2 5 12 2" xfId="5775"/>
    <cellStyle name="Normal 5 2 5 13" xfId="5776"/>
    <cellStyle name="Normal 5 2 5 14" xfId="5777"/>
    <cellStyle name="Normal 5 2 5 15" xfId="5778"/>
    <cellStyle name="Normal 5 2 5 16" xfId="5779"/>
    <cellStyle name="Normal 5 2 5 17" xfId="5780"/>
    <cellStyle name="Normal 5 2 5 18" xfId="5781"/>
    <cellStyle name="Normal 5 2 5 19" xfId="5782"/>
    <cellStyle name="Normal 5 2 5 19 2" xfId="5783"/>
    <cellStyle name="Normal 5 2 5 19 3" xfId="5784"/>
    <cellStyle name="Normal 5 2 5 19 4" xfId="5785"/>
    <cellStyle name="Normal 5 2 5 19 5" xfId="5786"/>
    <cellStyle name="Normal 5 2 5 19 6" xfId="5787"/>
    <cellStyle name="Normal 5 2 5 19 7" xfId="5788"/>
    <cellStyle name="Normal 5 2 5 2" xfId="5789"/>
    <cellStyle name="Normal 5 2 5 2 2" xfId="5790"/>
    <cellStyle name="Normal 5 2 5 2 2 2" xfId="5791"/>
    <cellStyle name="Normal 5 2 5 2 2 3" xfId="5792"/>
    <cellStyle name="Normal 5 2 5 2 2 4" xfId="5793"/>
    <cellStyle name="Normal 5 2 5 2 2 5" xfId="5794"/>
    <cellStyle name="Normal 5 2 5 2 3" xfId="5795"/>
    <cellStyle name="Normal 5 2 5 2 3 2" xfId="5796"/>
    <cellStyle name="Normal 5 2 5 2 3 3" xfId="5797"/>
    <cellStyle name="Normal 5 2 5 2 4" xfId="5798"/>
    <cellStyle name="Normal 5 2 5 2 4 2" xfId="5799"/>
    <cellStyle name="Normal 5 2 5 2 4 3" xfId="5800"/>
    <cellStyle name="Normal 5 2 5 2 5" xfId="5801"/>
    <cellStyle name="Normal 5 2 5 2 6" xfId="5802"/>
    <cellStyle name="Normal 5 2 5 20" xfId="5803"/>
    <cellStyle name="Normal 5 2 5 21" xfId="5804"/>
    <cellStyle name="Normal 5 2 5 22" xfId="5805"/>
    <cellStyle name="Normal 5 2 5 23" xfId="5806"/>
    <cellStyle name="Normal 5 2 5 24" xfId="5807"/>
    <cellStyle name="Normal 5 2 5 25" xfId="5808"/>
    <cellStyle name="Normal 5 2 5 26" xfId="5809"/>
    <cellStyle name="Normal 5 2 5 27" xfId="5810"/>
    <cellStyle name="Normal 5 2 5 3" xfId="5811"/>
    <cellStyle name="Normal 5 2 5 3 10" xfId="5812"/>
    <cellStyle name="Normal 5 2 5 3 11" xfId="5813"/>
    <cellStyle name="Normal 5 2 5 3 12" xfId="5814"/>
    <cellStyle name="Normal 5 2 5 3 13" xfId="5815"/>
    <cellStyle name="Normal 5 2 5 3 14" xfId="5816"/>
    <cellStyle name="Normal 5 2 5 3 15" xfId="5817"/>
    <cellStyle name="Normal 5 2 5 3 16" xfId="5818"/>
    <cellStyle name="Normal 5 2 5 3 17" xfId="5819"/>
    <cellStyle name="Normal 5 2 5 3 18" xfId="5820"/>
    <cellStyle name="Normal 5 2 5 3 19" xfId="5821"/>
    <cellStyle name="Normal 5 2 5 3 2" xfId="5822"/>
    <cellStyle name="Normal 5 2 5 3 2 2" xfId="5823"/>
    <cellStyle name="Normal 5 2 5 3 2 2 2" xfId="5824"/>
    <cellStyle name="Normal 5 2 5 3 2 2 3" xfId="5825"/>
    <cellStyle name="Normal 5 2 5 3 2 3" xfId="5826"/>
    <cellStyle name="Normal 5 2 5 3 2 3 2" xfId="5827"/>
    <cellStyle name="Normal 5 2 5 3 2 3 3" xfId="5828"/>
    <cellStyle name="Normal 5 2 5 3 2 4" xfId="5829"/>
    <cellStyle name="Normal 5 2 5 3 2 5" xfId="5830"/>
    <cellStyle name="Normal 5 2 5 3 3" xfId="5831"/>
    <cellStyle name="Normal 5 2 5 3 3 2" xfId="5832"/>
    <cellStyle name="Normal 5 2 5 3 3 3" xfId="5833"/>
    <cellStyle name="Normal 5 2 5 3 3 4" xfId="5834"/>
    <cellStyle name="Normal 5 2 5 3 3 5" xfId="5835"/>
    <cellStyle name="Normal 5 2 5 3 4" xfId="5836"/>
    <cellStyle name="Normal 5 2 5 3 4 2" xfId="5837"/>
    <cellStyle name="Normal 5 2 5 3 4 3" xfId="5838"/>
    <cellStyle name="Normal 5 2 5 3 5" xfId="5839"/>
    <cellStyle name="Normal 5 2 5 3 5 2" xfId="5840"/>
    <cellStyle name="Normal 5 2 5 3 5 3" xfId="5841"/>
    <cellStyle name="Normal 5 2 5 3 6" xfId="5842"/>
    <cellStyle name="Normal 5 2 5 3 7" xfId="5843"/>
    <cellStyle name="Normal 5 2 5 3 8" xfId="5844"/>
    <cellStyle name="Normal 5 2 5 3 9" xfId="5845"/>
    <cellStyle name="Normal 5 2 5 4" xfId="5846"/>
    <cellStyle name="Normal 5 2 5 4 2" xfId="5847"/>
    <cellStyle name="Normal 5 2 5 4 2 2" xfId="5848"/>
    <cellStyle name="Normal 5 2 5 4 2 3" xfId="5849"/>
    <cellStyle name="Normal 5 2 5 4 2 4" xfId="5850"/>
    <cellStyle name="Normal 5 2 5 4 2 5" xfId="5851"/>
    <cellStyle name="Normal 5 2 5 4 3" xfId="5852"/>
    <cellStyle name="Normal 5 2 5 4 3 2" xfId="5853"/>
    <cellStyle name="Normal 5 2 5 4 3 3" xfId="5854"/>
    <cellStyle name="Normal 5 2 5 4 4" xfId="5855"/>
    <cellStyle name="Normal 5 2 5 4 4 2" xfId="5856"/>
    <cellStyle name="Normal 5 2 5 4 4 3" xfId="5857"/>
    <cellStyle name="Normal 5 2 5 4 5" xfId="5858"/>
    <cellStyle name="Normal 5 2 5 4 6" xfId="5859"/>
    <cellStyle name="Normal 5 2 5 5" xfId="5860"/>
    <cellStyle name="Normal 5 2 5 5 2" xfId="5861"/>
    <cellStyle name="Normal 5 2 5 5 2 2" xfId="5862"/>
    <cellStyle name="Normal 5 2 5 5 2 3" xfId="5863"/>
    <cellStyle name="Normal 5 2 5 5 2 4" xfId="5864"/>
    <cellStyle name="Normal 5 2 5 5 2 5" xfId="5865"/>
    <cellStyle name="Normal 5 2 5 5 3" xfId="5866"/>
    <cellStyle name="Normal 5 2 5 5 3 2" xfId="5867"/>
    <cellStyle name="Normal 5 2 5 5 3 3" xfId="5868"/>
    <cellStyle name="Normal 5 2 5 5 4" xfId="5869"/>
    <cellStyle name="Normal 5 2 5 5 4 2" xfId="5870"/>
    <cellStyle name="Normal 5 2 5 5 4 3" xfId="5871"/>
    <cellStyle name="Normal 5 2 5 5 5" xfId="5872"/>
    <cellStyle name="Normal 5 2 5 5 6" xfId="5873"/>
    <cellStyle name="Normal 5 2 5 6" xfId="5874"/>
    <cellStyle name="Normal 5 2 5 6 2" xfId="5875"/>
    <cellStyle name="Normal 5 2 5 6 2 2" xfId="5876"/>
    <cellStyle name="Normal 5 2 5 6 2 3" xfId="5877"/>
    <cellStyle name="Normal 5 2 5 6 2 4" xfId="5878"/>
    <cellStyle name="Normal 5 2 5 6 2 5" xfId="5879"/>
    <cellStyle name="Normal 5 2 5 6 3" xfId="5880"/>
    <cellStyle name="Normal 5 2 5 6 3 2" xfId="5881"/>
    <cellStyle name="Normal 5 2 5 6 3 3" xfId="5882"/>
    <cellStyle name="Normal 5 2 5 6 4" xfId="5883"/>
    <cellStyle name="Normal 5 2 5 6 4 2" xfId="5884"/>
    <cellStyle name="Normal 5 2 5 6 4 3" xfId="5885"/>
    <cellStyle name="Normal 5 2 5 6 5" xfId="5886"/>
    <cellStyle name="Normal 5 2 5 6 6" xfId="5887"/>
    <cellStyle name="Normal 5 2 5 7" xfId="5888"/>
    <cellStyle name="Normal 5 2 5 7 2" xfId="5889"/>
    <cellStyle name="Normal 5 2 5 7 2 2" xfId="5890"/>
    <cellStyle name="Normal 5 2 5 7 2 3" xfId="5891"/>
    <cellStyle name="Normal 5 2 5 7 3" xfId="5892"/>
    <cellStyle name="Normal 5 2 5 7 3 2" xfId="5893"/>
    <cellStyle name="Normal 5 2 5 7 3 3" xfId="5894"/>
    <cellStyle name="Normal 5 2 5 7 4" xfId="5895"/>
    <cellStyle name="Normal 5 2 5 7 4 2" xfId="5896"/>
    <cellStyle name="Normal 5 2 5 7 5" xfId="5897"/>
    <cellStyle name="Normal 5 2 5 7 6" xfId="5898"/>
    <cellStyle name="Normal 5 2 5 8" xfId="5899"/>
    <cellStyle name="Normal 5 2 5 8 2" xfId="5900"/>
    <cellStyle name="Normal 5 2 5 8 3" xfId="5901"/>
    <cellStyle name="Normal 5 2 5 8 4" xfId="5902"/>
    <cellStyle name="Normal 5 2 5 8 5" xfId="5903"/>
    <cellStyle name="Normal 5 2 5 9" xfId="5904"/>
    <cellStyle name="Normal 5 2 5 9 2" xfId="5905"/>
    <cellStyle name="Normal 5 2 5 9 3" xfId="5906"/>
    <cellStyle name="Normal 5 2 5_10070" xfId="5907"/>
    <cellStyle name="Normal 5 2 6" xfId="5908"/>
    <cellStyle name="Normal 5 2 6 2" xfId="5909"/>
    <cellStyle name="Normal 5 2 6 2 2" xfId="5910"/>
    <cellStyle name="Normal 5 2 6 2 3" xfId="5911"/>
    <cellStyle name="Normal 5 2 6 3" xfId="5912"/>
    <cellStyle name="Normal 5 2 6 3 2" xfId="5913"/>
    <cellStyle name="Normal 5 2 6 3 3" xfId="5914"/>
    <cellStyle name="Normal 5 2 6 4" xfId="5915"/>
    <cellStyle name="Normal 5 2 6 5" xfId="5916"/>
    <cellStyle name="Normal 5 2 7" xfId="5917"/>
    <cellStyle name="Normal 5 2 7 2" xfId="5918"/>
    <cellStyle name="Normal 5 2 7 3" xfId="5919"/>
    <cellStyle name="Normal 5 2 7 4" xfId="5920"/>
    <cellStyle name="Normal 5 2 7 5" xfId="5921"/>
    <cellStyle name="Normal 5 2 8" xfId="5922"/>
    <cellStyle name="Normal 5 2 9" xfId="5923"/>
    <cellStyle name="Normal 5 3" xfId="5924"/>
    <cellStyle name="Normal 5 3 2" xfId="5925"/>
    <cellStyle name="Normal 5 3 2 2" xfId="5926"/>
    <cellStyle name="Normal 5 3 2 2 2" xfId="5927"/>
    <cellStyle name="Normal 5 3 2 2 2 2" xfId="5928"/>
    <cellStyle name="Normal 5 3 2 2 2 2 2" xfId="5929"/>
    <cellStyle name="Normal 5 3 2 2 2 3" xfId="5930"/>
    <cellStyle name="Normal 5 3 2 2 2 3 2" xfId="5931"/>
    <cellStyle name="Normal 5 3 2 2 2 4" xfId="5932"/>
    <cellStyle name="Normal 5 3 2 2 3" xfId="5933"/>
    <cellStyle name="Normal 5 3 2 2 3 2" xfId="5934"/>
    <cellStyle name="Normal 5 3 2 2 4" xfId="5935"/>
    <cellStyle name="Normal 5 3 2 2 4 2" xfId="5936"/>
    <cellStyle name="Normal 5 3 2 2 5" xfId="5937"/>
    <cellStyle name="Normal 5 3 2 3" xfId="5938"/>
    <cellStyle name="Normal 5 3 2 3 2" xfId="5939"/>
    <cellStyle name="Normal 5 3 2 3 2 2" xfId="5940"/>
    <cellStyle name="Normal 5 3 2 3 3" xfId="5941"/>
    <cellStyle name="Normal 5 3 2 3 3 2" xfId="5942"/>
    <cellStyle name="Normal 5 3 2 3 4" xfId="5943"/>
    <cellStyle name="Normal 5 3 2 4" xfId="5944"/>
    <cellStyle name="Normal 5 3 2 4 2" xfId="5945"/>
    <cellStyle name="Normal 5 3 2 5" xfId="5946"/>
    <cellStyle name="Normal 5 3 2 5 2" xfId="5947"/>
    <cellStyle name="Normal 5 3 2 6" xfId="5948"/>
    <cellStyle name="Normal 5 3 3" xfId="5949"/>
    <cellStyle name="Normal 5 3 3 2" xfId="5950"/>
    <cellStyle name="Normal 5 3 3 2 2" xfId="5951"/>
    <cellStyle name="Normal 5 3 3 2 2 2" xfId="5952"/>
    <cellStyle name="Normal 5 3 3 2 3" xfId="5953"/>
    <cellStyle name="Normal 5 3 3 2 3 2" xfId="5954"/>
    <cellStyle name="Normal 5 3 3 2 4" xfId="5955"/>
    <cellStyle name="Normal 5 3 3 3" xfId="5956"/>
    <cellStyle name="Normal 5 3 3 3 2" xfId="5957"/>
    <cellStyle name="Normal 5 3 3 4" xfId="5958"/>
    <cellStyle name="Normal 5 3 3 4 2" xfId="5959"/>
    <cellStyle name="Normal 5 3 3 5" xfId="5960"/>
    <cellStyle name="Normal 5 3 4" xfId="5961"/>
    <cellStyle name="Normal 5 3 4 2" xfId="5962"/>
    <cellStyle name="Normal 5 3 4 2 2" xfId="5963"/>
    <cellStyle name="Normal 5 3 4 3" xfId="5964"/>
    <cellStyle name="Normal 5 3 4 3 2" xfId="5965"/>
    <cellStyle name="Normal 5 3 4 4" xfId="5966"/>
    <cellStyle name="Normal 5 3 5" xfId="5967"/>
    <cellStyle name="Normal 5 3 5 2" xfId="5968"/>
    <cellStyle name="Normal 5 3 6" xfId="5969"/>
    <cellStyle name="Normal 5 3 6 2" xfId="5970"/>
    <cellStyle name="Normal 5 3 7" xfId="5971"/>
    <cellStyle name="Normal 5 4" xfId="5972"/>
    <cellStyle name="Normal 5 4 2" xfId="5973"/>
    <cellStyle name="Normal 5 4 2 2" xfId="5974"/>
    <cellStyle name="Normal 5 4 2 2 2" xfId="5975"/>
    <cellStyle name="Normal 5 4 2 2 2 2" xfId="5976"/>
    <cellStyle name="Normal 5 4 2 2 2 2 2" xfId="5977"/>
    <cellStyle name="Normal 5 4 2 2 2 3" xfId="5978"/>
    <cellStyle name="Normal 5 4 2 2 2 3 2" xfId="5979"/>
    <cellStyle name="Normal 5 4 2 2 2 4" xfId="5980"/>
    <cellStyle name="Normal 5 4 2 2 3" xfId="5981"/>
    <cellStyle name="Normal 5 4 2 2 3 2" xfId="5982"/>
    <cellStyle name="Normal 5 4 2 2 4" xfId="5983"/>
    <cellStyle name="Normal 5 4 2 2 4 2" xfId="5984"/>
    <cellStyle name="Normal 5 4 2 2 5" xfId="5985"/>
    <cellStyle name="Normal 5 4 2 3" xfId="5986"/>
    <cellStyle name="Normal 5 4 2 3 2" xfId="5987"/>
    <cellStyle name="Normal 5 4 2 3 2 2" xfId="5988"/>
    <cellStyle name="Normal 5 4 2 3 3" xfId="5989"/>
    <cellStyle name="Normal 5 4 2 3 3 2" xfId="5990"/>
    <cellStyle name="Normal 5 4 2 3 4" xfId="5991"/>
    <cellStyle name="Normal 5 4 2 4" xfId="5992"/>
    <cellStyle name="Normal 5 4 2 4 2" xfId="5993"/>
    <cellStyle name="Normal 5 4 2 5" xfId="5994"/>
    <cellStyle name="Normal 5 4 2 5 2" xfId="5995"/>
    <cellStyle name="Normal 5 4 2 6" xfId="5996"/>
    <cellStyle name="Normal 5 4 3" xfId="5997"/>
    <cellStyle name="Normal 5 4 3 2" xfId="5998"/>
    <cellStyle name="Normal 5 4 3 2 2" xfId="5999"/>
    <cellStyle name="Normal 5 4 3 2 2 2" xfId="6000"/>
    <cellStyle name="Normal 5 4 3 2 3" xfId="6001"/>
    <cellStyle name="Normal 5 4 3 2 3 2" xfId="6002"/>
    <cellStyle name="Normal 5 4 3 2 4" xfId="6003"/>
    <cellStyle name="Normal 5 4 3 3" xfId="6004"/>
    <cellStyle name="Normal 5 4 3 3 2" xfId="6005"/>
    <cellStyle name="Normal 5 4 3 4" xfId="6006"/>
    <cellStyle name="Normal 5 4 3 4 2" xfId="6007"/>
    <cellStyle name="Normal 5 4 3 5" xfId="6008"/>
    <cellStyle name="Normal 5 4 4" xfId="6009"/>
    <cellStyle name="Normal 5 4 4 2" xfId="6010"/>
    <cellStyle name="Normal 5 4 4 2 2" xfId="6011"/>
    <cellStyle name="Normal 5 4 4 3" xfId="6012"/>
    <cellStyle name="Normal 5 4 4 3 2" xfId="6013"/>
    <cellStyle name="Normal 5 4 4 4" xfId="6014"/>
    <cellStyle name="Normal 5 4 5" xfId="6015"/>
    <cellStyle name="Normal 5 4 5 2" xfId="6016"/>
    <cellStyle name="Normal 5 4 6" xfId="6017"/>
    <cellStyle name="Normal 5 4 6 2" xfId="6018"/>
    <cellStyle name="Normal 5 4 7" xfId="6019"/>
    <cellStyle name="Normal 5 5" xfId="6020"/>
    <cellStyle name="Normal 5 5 2" xfId="6021"/>
    <cellStyle name="Normal 5 5 2 2" xfId="6022"/>
    <cellStyle name="Normal 5 5 2 2 2" xfId="6023"/>
    <cellStyle name="Normal 5 5 2 2 2 2" xfId="6024"/>
    <cellStyle name="Normal 5 5 2 2 3" xfId="6025"/>
    <cellStyle name="Normal 5 5 2 2 3 2" xfId="6026"/>
    <cellStyle name="Normal 5 5 2 2 4" xfId="6027"/>
    <cellStyle name="Normal 5 5 2 3" xfId="6028"/>
    <cellStyle name="Normal 5 5 2 3 2" xfId="6029"/>
    <cellStyle name="Normal 5 5 2 4" xfId="6030"/>
    <cellStyle name="Normal 5 5 2 4 2" xfId="6031"/>
    <cellStyle name="Normal 5 5 2 5" xfId="6032"/>
    <cellStyle name="Normal 5 5 3" xfId="6033"/>
    <cellStyle name="Normal 5 5 3 2" xfId="6034"/>
    <cellStyle name="Normal 5 5 3 2 2" xfId="6035"/>
    <cellStyle name="Normal 5 5 3 3" xfId="6036"/>
    <cellStyle name="Normal 5 5 3 3 2" xfId="6037"/>
    <cellStyle name="Normal 5 5 3 4" xfId="6038"/>
    <cellStyle name="Normal 5 5 4" xfId="6039"/>
    <cellStyle name="Normal 5 5 4 2" xfId="6040"/>
    <cellStyle name="Normal 5 5 5" xfId="6041"/>
    <cellStyle name="Normal 5 5 5 2" xfId="6042"/>
    <cellStyle name="Normal 5 5 6" xfId="6043"/>
    <cellStyle name="Normal 5 6" xfId="6044"/>
    <cellStyle name="Normal 5 6 2" xfId="6045"/>
    <cellStyle name="Normal 5 6 2 2" xfId="6046"/>
    <cellStyle name="Normal 5 6 2 2 2" xfId="6047"/>
    <cellStyle name="Normal 5 6 2 3" xfId="6048"/>
    <cellStyle name="Normal 5 6 2 3 2" xfId="6049"/>
    <cellStyle name="Normal 5 6 2 4" xfId="6050"/>
    <cellStyle name="Normal 5 6 3" xfId="6051"/>
    <cellStyle name="Normal 5 6 3 2" xfId="6052"/>
    <cellStyle name="Normal 5 6 4" xfId="6053"/>
    <cellStyle name="Normal 5 6 4 2" xfId="6054"/>
    <cellStyle name="Normal 5 6 5" xfId="6055"/>
    <cellStyle name="Normal 5 7" xfId="6056"/>
    <cellStyle name="Normal 5 7 2" xfId="6057"/>
    <cellStyle name="Normal 5 7 2 2" xfId="6058"/>
    <cellStyle name="Normal 5 7 3" xfId="6059"/>
    <cellStyle name="Normal 5 7 3 2" xfId="6060"/>
    <cellStyle name="Normal 5 7 4" xfId="6061"/>
    <cellStyle name="Normal 5 8" xfId="6062"/>
    <cellStyle name="Normal 5 8 2" xfId="6063"/>
    <cellStyle name="Normal 5 9" xfId="6064"/>
    <cellStyle name="Normal 5 9 2" xfId="6065"/>
    <cellStyle name="Normal 5_10051" xfId="6066"/>
    <cellStyle name="Normal 50" xfId="6067"/>
    <cellStyle name="Normal 50 2" xfId="6068"/>
    <cellStyle name="Normal 50 2 2" xfId="6069"/>
    <cellStyle name="Normal 50 2 2 2" xfId="6070"/>
    <cellStyle name="Normal 50 2 2 2 2" xfId="6071"/>
    <cellStyle name="Normal 50 2 2 2 2 2" xfId="6072"/>
    <cellStyle name="Normal 50 2 2 2 3" xfId="6073"/>
    <cellStyle name="Normal 50 2 2 2 3 2" xfId="6074"/>
    <cellStyle name="Normal 50 2 2 2 4" xfId="6075"/>
    <cellStyle name="Normal 50 2 2 3" xfId="6076"/>
    <cellStyle name="Normal 50 2 2 3 2" xfId="6077"/>
    <cellStyle name="Normal 50 2 2 4" xfId="6078"/>
    <cellStyle name="Normal 50 2 2 4 2" xfId="6079"/>
    <cellStyle name="Normal 50 2 2 5" xfId="6080"/>
    <cellStyle name="Normal 50 2 3" xfId="6081"/>
    <cellStyle name="Normal 50 2 3 2" xfId="6082"/>
    <cellStyle name="Normal 50 2 3 2 2" xfId="6083"/>
    <cellStyle name="Normal 50 2 3 3" xfId="6084"/>
    <cellStyle name="Normal 50 2 3 3 2" xfId="6085"/>
    <cellStyle name="Normal 50 2 3 4" xfId="6086"/>
    <cellStyle name="Normal 50 2 4" xfId="6087"/>
    <cellStyle name="Normal 50 2 4 2" xfId="6088"/>
    <cellStyle name="Normal 50 2 5" xfId="6089"/>
    <cellStyle name="Normal 50 2 5 2" xfId="6090"/>
    <cellStyle name="Normal 50 2 6" xfId="6091"/>
    <cellStyle name="Normal 50 3" xfId="6092"/>
    <cellStyle name="Normal 50 3 2" xfId="6093"/>
    <cellStyle name="Normal 50 3 2 2" xfId="6094"/>
    <cellStyle name="Normal 50 3 2 2 2" xfId="6095"/>
    <cellStyle name="Normal 50 3 2 3" xfId="6096"/>
    <cellStyle name="Normal 50 3 2 3 2" xfId="6097"/>
    <cellStyle name="Normal 50 3 2 4" xfId="6098"/>
    <cellStyle name="Normal 50 3 3" xfId="6099"/>
    <cellStyle name="Normal 50 3 3 2" xfId="6100"/>
    <cellStyle name="Normal 50 3 4" xfId="6101"/>
    <cellStyle name="Normal 50 3 4 2" xfId="6102"/>
    <cellStyle name="Normal 50 3 5" xfId="6103"/>
    <cellStyle name="Normal 50 4" xfId="6104"/>
    <cellStyle name="Normal 50 4 2" xfId="6105"/>
    <cellStyle name="Normal 50 4 2 2" xfId="6106"/>
    <cellStyle name="Normal 50 4 3" xfId="6107"/>
    <cellStyle name="Normal 50 4 3 2" xfId="6108"/>
    <cellStyle name="Normal 50 4 4" xfId="6109"/>
    <cellStyle name="Normal 50 5" xfId="6110"/>
    <cellStyle name="Normal 50 5 2" xfId="6111"/>
    <cellStyle name="Normal 50 6" xfId="6112"/>
    <cellStyle name="Normal 50 6 2" xfId="6113"/>
    <cellStyle name="Normal 50 7" xfId="6114"/>
    <cellStyle name="Normal 51" xfId="6115"/>
    <cellStyle name="Normal 51 2" xfId="6116"/>
    <cellStyle name="Normal 51 2 2" xfId="6117"/>
    <cellStyle name="Normal 51 2 2 2" xfId="6118"/>
    <cellStyle name="Normal 51 2 2 2 2" xfId="6119"/>
    <cellStyle name="Normal 51 2 2 2 2 2" xfId="6120"/>
    <cellStyle name="Normal 51 2 2 2 3" xfId="6121"/>
    <cellStyle name="Normal 51 2 2 2 3 2" xfId="6122"/>
    <cellStyle name="Normal 51 2 2 2 4" xfId="6123"/>
    <cellStyle name="Normal 51 2 2 3" xfId="6124"/>
    <cellStyle name="Normal 51 2 2 3 2" xfId="6125"/>
    <cellStyle name="Normal 51 2 2 4" xfId="6126"/>
    <cellStyle name="Normal 51 2 2 4 2" xfId="6127"/>
    <cellStyle name="Normal 51 2 2 5" xfId="6128"/>
    <cellStyle name="Normal 51 2 3" xfId="6129"/>
    <cellStyle name="Normal 51 2 3 2" xfId="6130"/>
    <cellStyle name="Normal 51 2 3 2 2" xfId="6131"/>
    <cellStyle name="Normal 51 2 3 3" xfId="6132"/>
    <cellStyle name="Normal 51 2 3 3 2" xfId="6133"/>
    <cellStyle name="Normal 51 2 3 4" xfId="6134"/>
    <cellStyle name="Normal 51 2 4" xfId="6135"/>
    <cellStyle name="Normal 51 2 4 2" xfId="6136"/>
    <cellStyle name="Normal 51 2 5" xfId="6137"/>
    <cellStyle name="Normal 51 2 5 2" xfId="6138"/>
    <cellStyle name="Normal 51 2 6" xfId="6139"/>
    <cellStyle name="Normal 51 3" xfId="6140"/>
    <cellStyle name="Normal 51 3 2" xfId="6141"/>
    <cellStyle name="Normal 51 3 2 2" xfId="6142"/>
    <cellStyle name="Normal 51 3 2 2 2" xfId="6143"/>
    <cellStyle name="Normal 51 3 2 3" xfId="6144"/>
    <cellStyle name="Normal 51 3 2 3 2" xfId="6145"/>
    <cellStyle name="Normal 51 3 2 4" xfId="6146"/>
    <cellStyle name="Normal 51 3 3" xfId="6147"/>
    <cellStyle name="Normal 51 3 3 2" xfId="6148"/>
    <cellStyle name="Normal 51 3 4" xfId="6149"/>
    <cellStyle name="Normal 51 3 4 2" xfId="6150"/>
    <cellStyle name="Normal 51 3 5" xfId="6151"/>
    <cellStyle name="Normal 51 4" xfId="6152"/>
    <cellStyle name="Normal 51 4 2" xfId="6153"/>
    <cellStyle name="Normal 51 4 2 2" xfId="6154"/>
    <cellStyle name="Normal 51 4 3" xfId="6155"/>
    <cellStyle name="Normal 51 4 3 2" xfId="6156"/>
    <cellStyle name="Normal 51 4 4" xfId="6157"/>
    <cellStyle name="Normal 51 5" xfId="6158"/>
    <cellStyle name="Normal 51 5 2" xfId="6159"/>
    <cellStyle name="Normal 51 6" xfId="6160"/>
    <cellStyle name="Normal 51 6 2" xfId="6161"/>
    <cellStyle name="Normal 51 7" xfId="6162"/>
    <cellStyle name="Normal 52" xfId="6163"/>
    <cellStyle name="Normal 52 2" xfId="6164"/>
    <cellStyle name="Normal 52 2 2" xfId="6165"/>
    <cellStyle name="Normal 52 2 2 2" xfId="6166"/>
    <cellStyle name="Normal 52 2 2 2 2" xfId="6167"/>
    <cellStyle name="Normal 52 2 2 2 2 2" xfId="6168"/>
    <cellStyle name="Normal 52 2 2 2 3" xfId="6169"/>
    <cellStyle name="Normal 52 2 2 2 3 2" xfId="6170"/>
    <cellStyle name="Normal 52 2 2 2 4" xfId="6171"/>
    <cellStyle name="Normal 52 2 2 3" xfId="6172"/>
    <cellStyle name="Normal 52 2 2 3 2" xfId="6173"/>
    <cellStyle name="Normal 52 2 2 4" xfId="6174"/>
    <cellStyle name="Normal 52 2 2 4 2" xfId="6175"/>
    <cellStyle name="Normal 52 2 2 5" xfId="6176"/>
    <cellStyle name="Normal 52 2 3" xfId="6177"/>
    <cellStyle name="Normal 52 2 3 2" xfId="6178"/>
    <cellStyle name="Normal 52 2 3 2 2" xfId="6179"/>
    <cellStyle name="Normal 52 2 3 3" xfId="6180"/>
    <cellStyle name="Normal 52 2 3 3 2" xfId="6181"/>
    <cellStyle name="Normal 52 2 3 4" xfId="6182"/>
    <cellStyle name="Normal 52 2 4" xfId="6183"/>
    <cellStyle name="Normal 52 2 4 2" xfId="6184"/>
    <cellStyle name="Normal 52 2 5" xfId="6185"/>
    <cellStyle name="Normal 52 2 5 2" xfId="6186"/>
    <cellStyle name="Normal 52 2 6" xfId="6187"/>
    <cellStyle name="Normal 52 3" xfId="6188"/>
    <cellStyle name="Normal 52 3 2" xfId="6189"/>
    <cellStyle name="Normal 52 3 2 2" xfId="6190"/>
    <cellStyle name="Normal 52 3 2 2 2" xfId="6191"/>
    <cellStyle name="Normal 52 3 2 3" xfId="6192"/>
    <cellStyle name="Normal 52 3 2 3 2" xfId="6193"/>
    <cellStyle name="Normal 52 3 2 4" xfId="6194"/>
    <cellStyle name="Normal 52 3 3" xfId="6195"/>
    <cellStyle name="Normal 52 3 3 2" xfId="6196"/>
    <cellStyle name="Normal 52 3 4" xfId="6197"/>
    <cellStyle name="Normal 52 3 4 2" xfId="6198"/>
    <cellStyle name="Normal 52 3 5" xfId="6199"/>
    <cellStyle name="Normal 52 4" xfId="6200"/>
    <cellStyle name="Normal 52 4 2" xfId="6201"/>
    <cellStyle name="Normal 52 4 2 2" xfId="6202"/>
    <cellStyle name="Normal 52 4 3" xfId="6203"/>
    <cellStyle name="Normal 52 4 3 2" xfId="6204"/>
    <cellStyle name="Normal 52 4 4" xfId="6205"/>
    <cellStyle name="Normal 52 5" xfId="6206"/>
    <cellStyle name="Normal 52 5 2" xfId="6207"/>
    <cellStyle name="Normal 52 6" xfId="6208"/>
    <cellStyle name="Normal 52 6 2" xfId="6209"/>
    <cellStyle name="Normal 52 7" xfId="6210"/>
    <cellStyle name="Normal 53" xfId="6211"/>
    <cellStyle name="Normal 53 2" xfId="6212"/>
    <cellStyle name="Normal 53 2 2" xfId="6213"/>
    <cellStyle name="Normal 53 2 2 2" xfId="6214"/>
    <cellStyle name="Normal 53 2 2 2 2" xfId="6215"/>
    <cellStyle name="Normal 53 2 2 2 2 2" xfId="6216"/>
    <cellStyle name="Normal 53 2 2 2 3" xfId="6217"/>
    <cellStyle name="Normal 53 2 2 2 3 2" xfId="6218"/>
    <cellStyle name="Normal 53 2 2 2 4" xfId="6219"/>
    <cellStyle name="Normal 53 2 2 3" xfId="6220"/>
    <cellStyle name="Normal 53 2 2 3 2" xfId="6221"/>
    <cellStyle name="Normal 53 2 2 4" xfId="6222"/>
    <cellStyle name="Normal 53 2 2 4 2" xfId="6223"/>
    <cellStyle name="Normal 53 2 2 5" xfId="6224"/>
    <cellStyle name="Normal 53 2 3" xfId="6225"/>
    <cellStyle name="Normal 53 2 3 2" xfId="6226"/>
    <cellStyle name="Normal 53 2 3 2 2" xfId="6227"/>
    <cellStyle name="Normal 53 2 3 3" xfId="6228"/>
    <cellStyle name="Normal 53 2 3 3 2" xfId="6229"/>
    <cellStyle name="Normal 53 2 3 4" xfId="6230"/>
    <cellStyle name="Normal 53 2 4" xfId="6231"/>
    <cellStyle name="Normal 53 2 4 2" xfId="6232"/>
    <cellStyle name="Normal 53 2 5" xfId="6233"/>
    <cellStyle name="Normal 53 2 5 2" xfId="6234"/>
    <cellStyle name="Normal 53 2 6" xfId="6235"/>
    <cellStyle name="Normal 53 3" xfId="6236"/>
    <cellStyle name="Normal 53 3 2" xfId="6237"/>
    <cellStyle name="Normal 53 3 2 2" xfId="6238"/>
    <cellStyle name="Normal 53 3 2 2 2" xfId="6239"/>
    <cellStyle name="Normal 53 3 2 3" xfId="6240"/>
    <cellStyle name="Normal 53 3 2 3 2" xfId="6241"/>
    <cellStyle name="Normal 53 3 2 4" xfId="6242"/>
    <cellStyle name="Normal 53 3 3" xfId="6243"/>
    <cellStyle name="Normal 53 3 3 2" xfId="6244"/>
    <cellStyle name="Normal 53 3 4" xfId="6245"/>
    <cellStyle name="Normal 53 3 4 2" xfId="6246"/>
    <cellStyle name="Normal 53 3 5" xfId="6247"/>
    <cellStyle name="Normal 53 4" xfId="6248"/>
    <cellStyle name="Normal 53 4 2" xfId="6249"/>
    <cellStyle name="Normal 53 4 2 2" xfId="6250"/>
    <cellStyle name="Normal 53 4 3" xfId="6251"/>
    <cellStyle name="Normal 53 4 3 2" xfId="6252"/>
    <cellStyle name="Normal 53 4 4" xfId="6253"/>
    <cellStyle name="Normal 53 5" xfId="6254"/>
    <cellStyle name="Normal 53 5 2" xfId="6255"/>
    <cellStyle name="Normal 53 6" xfId="6256"/>
    <cellStyle name="Normal 53 6 2" xfId="6257"/>
    <cellStyle name="Normal 53 7" xfId="6258"/>
    <cellStyle name="Normal 54" xfId="6259"/>
    <cellStyle name="Normal 54 2" xfId="6260"/>
    <cellStyle name="Normal 54 2 2" xfId="6261"/>
    <cellStyle name="Normal 54 2 2 2" xfId="6262"/>
    <cellStyle name="Normal 54 2 2 2 2" xfId="6263"/>
    <cellStyle name="Normal 54 2 2 2 2 2" xfId="6264"/>
    <cellStyle name="Normal 54 2 2 2 3" xfId="6265"/>
    <cellStyle name="Normal 54 2 2 2 3 2" xfId="6266"/>
    <cellStyle name="Normal 54 2 2 2 4" xfId="6267"/>
    <cellStyle name="Normal 54 2 2 3" xfId="6268"/>
    <cellStyle name="Normal 54 2 2 3 2" xfId="6269"/>
    <cellStyle name="Normal 54 2 2 4" xfId="6270"/>
    <cellStyle name="Normal 54 2 2 4 2" xfId="6271"/>
    <cellStyle name="Normal 54 2 2 5" xfId="6272"/>
    <cellStyle name="Normal 54 2 3" xfId="6273"/>
    <cellStyle name="Normal 54 2 3 2" xfId="6274"/>
    <cellStyle name="Normal 54 2 3 2 2" xfId="6275"/>
    <cellStyle name="Normal 54 2 3 3" xfId="6276"/>
    <cellStyle name="Normal 54 2 3 3 2" xfId="6277"/>
    <cellStyle name="Normal 54 2 3 4" xfId="6278"/>
    <cellStyle name="Normal 54 2 4" xfId="6279"/>
    <cellStyle name="Normal 54 2 4 2" xfId="6280"/>
    <cellStyle name="Normal 54 2 5" xfId="6281"/>
    <cellStyle name="Normal 54 2 5 2" xfId="6282"/>
    <cellStyle name="Normal 54 2 6" xfId="6283"/>
    <cellStyle name="Normal 54 3" xfId="6284"/>
    <cellStyle name="Normal 54 3 2" xfId="6285"/>
    <cellStyle name="Normal 54 3 2 2" xfId="6286"/>
    <cellStyle name="Normal 54 3 2 2 2" xfId="6287"/>
    <cellStyle name="Normal 54 3 2 3" xfId="6288"/>
    <cellStyle name="Normal 54 3 2 3 2" xfId="6289"/>
    <cellStyle name="Normal 54 3 2 4" xfId="6290"/>
    <cellStyle name="Normal 54 3 3" xfId="6291"/>
    <cellStyle name="Normal 54 3 3 2" xfId="6292"/>
    <cellStyle name="Normal 54 3 4" xfId="6293"/>
    <cellStyle name="Normal 54 3 4 2" xfId="6294"/>
    <cellStyle name="Normal 54 3 5" xfId="6295"/>
    <cellStyle name="Normal 54 4" xfId="6296"/>
    <cellStyle name="Normal 54 4 2" xfId="6297"/>
    <cellStyle name="Normal 54 4 2 2" xfId="6298"/>
    <cellStyle name="Normal 54 4 3" xfId="6299"/>
    <cellStyle name="Normal 54 4 3 2" xfId="6300"/>
    <cellStyle name="Normal 54 4 4" xfId="6301"/>
    <cellStyle name="Normal 54 5" xfId="6302"/>
    <cellStyle name="Normal 54 5 2" xfId="6303"/>
    <cellStyle name="Normal 54 6" xfId="6304"/>
    <cellStyle name="Normal 54 6 2" xfId="6305"/>
    <cellStyle name="Normal 54 7" xfId="6306"/>
    <cellStyle name="Normal 55" xfId="6307"/>
    <cellStyle name="Normal 55 2" xfId="6308"/>
    <cellStyle name="Normal 55 2 2" xfId="6309"/>
    <cellStyle name="Normal 55 2 2 2" xfId="6310"/>
    <cellStyle name="Normal 55 2 2 2 2" xfId="6311"/>
    <cellStyle name="Normal 55 2 2 2 2 2" xfId="6312"/>
    <cellStyle name="Normal 55 2 2 2 3" xfId="6313"/>
    <cellStyle name="Normal 55 2 2 2 3 2" xfId="6314"/>
    <cellStyle name="Normal 55 2 2 2 4" xfId="6315"/>
    <cellStyle name="Normal 55 2 2 3" xfId="6316"/>
    <cellStyle name="Normal 55 2 2 3 2" xfId="6317"/>
    <cellStyle name="Normal 55 2 2 4" xfId="6318"/>
    <cellStyle name="Normal 55 2 2 4 2" xfId="6319"/>
    <cellStyle name="Normal 55 2 2 5" xfId="6320"/>
    <cellStyle name="Normal 55 2 3" xfId="6321"/>
    <cellStyle name="Normal 55 2 3 2" xfId="6322"/>
    <cellStyle name="Normal 55 2 3 2 2" xfId="6323"/>
    <cellStyle name="Normal 55 2 3 3" xfId="6324"/>
    <cellStyle name="Normal 55 2 3 3 2" xfId="6325"/>
    <cellStyle name="Normal 55 2 3 4" xfId="6326"/>
    <cellStyle name="Normal 55 2 4" xfId="6327"/>
    <cellStyle name="Normal 55 2 4 2" xfId="6328"/>
    <cellStyle name="Normal 55 2 5" xfId="6329"/>
    <cellStyle name="Normal 55 2 5 2" xfId="6330"/>
    <cellStyle name="Normal 55 2 6" xfId="6331"/>
    <cellStyle name="Normal 55 3" xfId="6332"/>
    <cellStyle name="Normal 55 3 2" xfId="6333"/>
    <cellStyle name="Normal 55 3 2 2" xfId="6334"/>
    <cellStyle name="Normal 55 3 2 2 2" xfId="6335"/>
    <cellStyle name="Normal 55 3 2 3" xfId="6336"/>
    <cellStyle name="Normal 55 3 2 3 2" xfId="6337"/>
    <cellStyle name="Normal 55 3 2 4" xfId="6338"/>
    <cellStyle name="Normal 55 3 3" xfId="6339"/>
    <cellStyle name="Normal 55 3 3 2" xfId="6340"/>
    <cellStyle name="Normal 55 3 4" xfId="6341"/>
    <cellStyle name="Normal 55 3 4 2" xfId="6342"/>
    <cellStyle name="Normal 55 3 5" xfId="6343"/>
    <cellStyle name="Normal 55 4" xfId="6344"/>
    <cellStyle name="Normal 55 4 2" xfId="6345"/>
    <cellStyle name="Normal 55 4 2 2" xfId="6346"/>
    <cellStyle name="Normal 55 4 3" xfId="6347"/>
    <cellStyle name="Normal 55 4 3 2" xfId="6348"/>
    <cellStyle name="Normal 55 4 4" xfId="6349"/>
    <cellStyle name="Normal 55 5" xfId="6350"/>
    <cellStyle name="Normal 55 5 2" xfId="6351"/>
    <cellStyle name="Normal 55 6" xfId="6352"/>
    <cellStyle name="Normal 55 6 2" xfId="6353"/>
    <cellStyle name="Normal 55 7" xfId="6354"/>
    <cellStyle name="Normal 56" xfId="6355"/>
    <cellStyle name="Normal 56 2" xfId="6356"/>
    <cellStyle name="Normal 56 2 2" xfId="6357"/>
    <cellStyle name="Normal 56 2 2 2" xfId="6358"/>
    <cellStyle name="Normal 56 2 2 2 2" xfId="6359"/>
    <cellStyle name="Normal 56 2 2 2 2 2" xfId="6360"/>
    <cellStyle name="Normal 56 2 2 2 3" xfId="6361"/>
    <cellStyle name="Normal 56 2 2 2 3 2" xfId="6362"/>
    <cellStyle name="Normal 56 2 2 2 4" xfId="6363"/>
    <cellStyle name="Normal 56 2 2 3" xfId="6364"/>
    <cellStyle name="Normal 56 2 2 3 2" xfId="6365"/>
    <cellStyle name="Normal 56 2 2 4" xfId="6366"/>
    <cellStyle name="Normal 56 2 2 4 2" xfId="6367"/>
    <cellStyle name="Normal 56 2 2 5" xfId="6368"/>
    <cellStyle name="Normal 56 2 3" xfId="6369"/>
    <cellStyle name="Normal 56 2 3 2" xfId="6370"/>
    <cellStyle name="Normal 56 2 3 2 2" xfId="6371"/>
    <cellStyle name="Normal 56 2 3 3" xfId="6372"/>
    <cellStyle name="Normal 56 2 3 3 2" xfId="6373"/>
    <cellStyle name="Normal 56 2 3 4" xfId="6374"/>
    <cellStyle name="Normal 56 2 4" xfId="6375"/>
    <cellStyle name="Normal 56 2 4 2" xfId="6376"/>
    <cellStyle name="Normal 56 2 5" xfId="6377"/>
    <cellStyle name="Normal 56 2 5 2" xfId="6378"/>
    <cellStyle name="Normal 56 2 6" xfId="6379"/>
    <cellStyle name="Normal 56 3" xfId="6380"/>
    <cellStyle name="Normal 56 3 2" xfId="6381"/>
    <cellStyle name="Normal 56 3 2 2" xfId="6382"/>
    <cellStyle name="Normal 56 3 2 2 2" xfId="6383"/>
    <cellStyle name="Normal 56 3 2 3" xfId="6384"/>
    <cellStyle name="Normal 56 3 2 3 2" xfId="6385"/>
    <cellStyle name="Normal 56 3 2 4" xfId="6386"/>
    <cellStyle name="Normal 56 3 3" xfId="6387"/>
    <cellStyle name="Normal 56 3 3 2" xfId="6388"/>
    <cellStyle name="Normal 56 3 4" xfId="6389"/>
    <cellStyle name="Normal 56 3 4 2" xfId="6390"/>
    <cellStyle name="Normal 56 3 5" xfId="6391"/>
    <cellStyle name="Normal 56 4" xfId="6392"/>
    <cellStyle name="Normal 56 4 2" xfId="6393"/>
    <cellStyle name="Normal 56 4 2 2" xfId="6394"/>
    <cellStyle name="Normal 56 4 3" xfId="6395"/>
    <cellStyle name="Normal 56 4 3 2" xfId="6396"/>
    <cellStyle name="Normal 56 4 4" xfId="6397"/>
    <cellStyle name="Normal 56 5" xfId="6398"/>
    <cellStyle name="Normal 56 5 2" xfId="6399"/>
    <cellStyle name="Normal 56 6" xfId="6400"/>
    <cellStyle name="Normal 56 6 2" xfId="6401"/>
    <cellStyle name="Normal 56 7" xfId="6402"/>
    <cellStyle name="Normal 57" xfId="6403"/>
    <cellStyle name="Normal 57 2" xfId="6404"/>
    <cellStyle name="Normal 57 2 2" xfId="6405"/>
    <cellStyle name="Normal 57 2 2 2" xfId="6406"/>
    <cellStyle name="Normal 57 2 2 2 2" xfId="6407"/>
    <cellStyle name="Normal 57 2 2 2 2 2" xfId="6408"/>
    <cellStyle name="Normal 57 2 2 2 3" xfId="6409"/>
    <cellStyle name="Normal 57 2 2 2 3 2" xfId="6410"/>
    <cellStyle name="Normal 57 2 2 2 4" xfId="6411"/>
    <cellStyle name="Normal 57 2 2 3" xfId="6412"/>
    <cellStyle name="Normal 57 2 2 3 2" xfId="6413"/>
    <cellStyle name="Normal 57 2 2 4" xfId="6414"/>
    <cellStyle name="Normal 57 2 2 4 2" xfId="6415"/>
    <cellStyle name="Normal 57 2 2 5" xfId="6416"/>
    <cellStyle name="Normal 57 2 3" xfId="6417"/>
    <cellStyle name="Normal 57 2 3 2" xfId="6418"/>
    <cellStyle name="Normal 57 2 3 2 2" xfId="6419"/>
    <cellStyle name="Normal 57 2 3 3" xfId="6420"/>
    <cellStyle name="Normal 57 2 3 3 2" xfId="6421"/>
    <cellStyle name="Normal 57 2 3 4" xfId="6422"/>
    <cellStyle name="Normal 57 2 4" xfId="6423"/>
    <cellStyle name="Normal 57 2 4 2" xfId="6424"/>
    <cellStyle name="Normal 57 2 5" xfId="6425"/>
    <cellStyle name="Normal 57 2 5 2" xfId="6426"/>
    <cellStyle name="Normal 57 2 6" xfId="6427"/>
    <cellStyle name="Normal 57 3" xfId="6428"/>
    <cellStyle name="Normal 57 3 2" xfId="6429"/>
    <cellStyle name="Normal 57 3 2 2" xfId="6430"/>
    <cellStyle name="Normal 57 3 2 2 2" xfId="6431"/>
    <cellStyle name="Normal 57 3 2 3" xfId="6432"/>
    <cellStyle name="Normal 57 3 2 3 2" xfId="6433"/>
    <cellStyle name="Normal 57 3 2 4" xfId="6434"/>
    <cellStyle name="Normal 57 3 3" xfId="6435"/>
    <cellStyle name="Normal 57 3 3 2" xfId="6436"/>
    <cellStyle name="Normal 57 3 4" xfId="6437"/>
    <cellStyle name="Normal 57 3 4 2" xfId="6438"/>
    <cellStyle name="Normal 57 3 5" xfId="6439"/>
    <cellStyle name="Normal 57 4" xfId="6440"/>
    <cellStyle name="Normal 57 4 2" xfId="6441"/>
    <cellStyle name="Normal 57 4 2 2" xfId="6442"/>
    <cellStyle name="Normal 57 4 3" xfId="6443"/>
    <cellStyle name="Normal 57 4 3 2" xfId="6444"/>
    <cellStyle name="Normal 57 4 4" xfId="6445"/>
    <cellStyle name="Normal 57 5" xfId="6446"/>
    <cellStyle name="Normal 57 5 2" xfId="6447"/>
    <cellStyle name="Normal 57 6" xfId="6448"/>
    <cellStyle name="Normal 57 6 2" xfId="6449"/>
    <cellStyle name="Normal 57 7" xfId="6450"/>
    <cellStyle name="Normal 58" xfId="6451"/>
    <cellStyle name="Normal 58 2" xfId="6452"/>
    <cellStyle name="Normal 58 2 2" xfId="6453"/>
    <cellStyle name="Normal 58 2 2 2" xfId="6454"/>
    <cellStyle name="Normal 58 2 2 2 2" xfId="6455"/>
    <cellStyle name="Normal 58 2 2 2 2 2" xfId="6456"/>
    <cellStyle name="Normal 58 2 2 2 3" xfId="6457"/>
    <cellStyle name="Normal 58 2 2 2 3 2" xfId="6458"/>
    <cellStyle name="Normal 58 2 2 2 4" xfId="6459"/>
    <cellStyle name="Normal 58 2 2 3" xfId="6460"/>
    <cellStyle name="Normal 58 2 2 3 2" xfId="6461"/>
    <cellStyle name="Normal 58 2 2 4" xfId="6462"/>
    <cellStyle name="Normal 58 2 2 4 2" xfId="6463"/>
    <cellStyle name="Normal 58 2 2 5" xfId="6464"/>
    <cellStyle name="Normal 58 2 3" xfId="6465"/>
    <cellStyle name="Normal 58 2 3 2" xfId="6466"/>
    <cellStyle name="Normal 58 2 3 2 2" xfId="6467"/>
    <cellStyle name="Normal 58 2 3 3" xfId="6468"/>
    <cellStyle name="Normal 58 2 3 3 2" xfId="6469"/>
    <cellStyle name="Normal 58 2 3 4" xfId="6470"/>
    <cellStyle name="Normal 58 2 4" xfId="6471"/>
    <cellStyle name="Normal 58 2 4 2" xfId="6472"/>
    <cellStyle name="Normal 58 2 5" xfId="6473"/>
    <cellStyle name="Normal 58 2 5 2" xfId="6474"/>
    <cellStyle name="Normal 58 2 6" xfId="6475"/>
    <cellStyle name="Normal 58 3" xfId="6476"/>
    <cellStyle name="Normal 58 3 2" xfId="6477"/>
    <cellStyle name="Normal 58 3 2 2" xfId="6478"/>
    <cellStyle name="Normal 58 3 2 2 2" xfId="6479"/>
    <cellStyle name="Normal 58 3 2 3" xfId="6480"/>
    <cellStyle name="Normal 58 3 2 3 2" xfId="6481"/>
    <cellStyle name="Normal 58 3 2 4" xfId="6482"/>
    <cellStyle name="Normal 58 3 3" xfId="6483"/>
    <cellStyle name="Normal 58 3 3 2" xfId="6484"/>
    <cellStyle name="Normal 58 3 4" xfId="6485"/>
    <cellStyle name="Normal 58 3 4 2" xfId="6486"/>
    <cellStyle name="Normal 58 3 5" xfId="6487"/>
    <cellStyle name="Normal 58 4" xfId="6488"/>
    <cellStyle name="Normal 58 4 2" xfId="6489"/>
    <cellStyle name="Normal 58 4 2 2" xfId="6490"/>
    <cellStyle name="Normal 58 4 3" xfId="6491"/>
    <cellStyle name="Normal 58 4 3 2" xfId="6492"/>
    <cellStyle name="Normal 58 4 4" xfId="6493"/>
    <cellStyle name="Normal 58 5" xfId="6494"/>
    <cellStyle name="Normal 58 5 2" xfId="6495"/>
    <cellStyle name="Normal 58 6" xfId="6496"/>
    <cellStyle name="Normal 58 6 2" xfId="6497"/>
    <cellStyle name="Normal 58 7" xfId="6498"/>
    <cellStyle name="Normal 59" xfId="6499"/>
    <cellStyle name="Normal 59 2" xfId="6500"/>
    <cellStyle name="Normal 59 2 2" xfId="6501"/>
    <cellStyle name="Normal 59 2 2 2" xfId="6502"/>
    <cellStyle name="Normal 59 2 2 2 2" xfId="6503"/>
    <cellStyle name="Normal 59 2 2 2 2 2" xfId="6504"/>
    <cellStyle name="Normal 59 2 2 2 3" xfId="6505"/>
    <cellStyle name="Normal 59 2 2 2 3 2" xfId="6506"/>
    <cellStyle name="Normal 59 2 2 2 4" xfId="6507"/>
    <cellStyle name="Normal 59 2 2 3" xfId="6508"/>
    <cellStyle name="Normal 59 2 2 3 2" xfId="6509"/>
    <cellStyle name="Normal 59 2 2 4" xfId="6510"/>
    <cellStyle name="Normal 59 2 2 4 2" xfId="6511"/>
    <cellStyle name="Normal 59 2 2 5" xfId="6512"/>
    <cellStyle name="Normal 59 2 3" xfId="6513"/>
    <cellStyle name="Normal 59 2 3 2" xfId="6514"/>
    <cellStyle name="Normal 59 2 3 2 2" xfId="6515"/>
    <cellStyle name="Normal 59 2 3 3" xfId="6516"/>
    <cellStyle name="Normal 59 2 3 3 2" xfId="6517"/>
    <cellStyle name="Normal 59 2 3 4" xfId="6518"/>
    <cellStyle name="Normal 59 2 4" xfId="6519"/>
    <cellStyle name="Normal 59 2 4 2" xfId="6520"/>
    <cellStyle name="Normal 59 2 5" xfId="6521"/>
    <cellStyle name="Normal 59 2 5 2" xfId="6522"/>
    <cellStyle name="Normal 59 2 6" xfId="6523"/>
    <cellStyle name="Normal 59 3" xfId="6524"/>
    <cellStyle name="Normal 59 3 2" xfId="6525"/>
    <cellStyle name="Normal 59 3 2 2" xfId="6526"/>
    <cellStyle name="Normal 59 3 2 2 2" xfId="6527"/>
    <cellStyle name="Normal 59 3 2 3" xfId="6528"/>
    <cellStyle name="Normal 59 3 2 3 2" xfId="6529"/>
    <cellStyle name="Normal 59 3 2 4" xfId="6530"/>
    <cellStyle name="Normal 59 3 3" xfId="6531"/>
    <cellStyle name="Normal 59 3 3 2" xfId="6532"/>
    <cellStyle name="Normal 59 3 4" xfId="6533"/>
    <cellStyle name="Normal 59 3 4 2" xfId="6534"/>
    <cellStyle name="Normal 59 3 5" xfId="6535"/>
    <cellStyle name="Normal 59 4" xfId="6536"/>
    <cellStyle name="Normal 59 4 2" xfId="6537"/>
    <cellStyle name="Normal 59 4 2 2" xfId="6538"/>
    <cellStyle name="Normal 59 4 3" xfId="6539"/>
    <cellStyle name="Normal 59 4 3 2" xfId="6540"/>
    <cellStyle name="Normal 59 4 4" xfId="6541"/>
    <cellStyle name="Normal 59 5" xfId="6542"/>
    <cellStyle name="Normal 59 5 2" xfId="6543"/>
    <cellStyle name="Normal 59 6" xfId="6544"/>
    <cellStyle name="Normal 59 6 2" xfId="6545"/>
    <cellStyle name="Normal 59 7" xfId="6546"/>
    <cellStyle name="Normal 6" xfId="102"/>
    <cellStyle name="Normal 6 10" xfId="6548"/>
    <cellStyle name="Normal 6 11" xfId="6547"/>
    <cellStyle name="Normal 6 2" xfId="235"/>
    <cellStyle name="Normal 6 2 2" xfId="6550"/>
    <cellStyle name="Normal 6 2 2 2" xfId="6551"/>
    <cellStyle name="Normal 6 2 2 2 2" xfId="6552"/>
    <cellStyle name="Normal 6 2 2 2 2 2" xfId="6553"/>
    <cellStyle name="Normal 6 2 2 2 2 2 2" xfId="6554"/>
    <cellStyle name="Normal 6 2 2 2 2 2 2 2" xfId="6555"/>
    <cellStyle name="Normal 6 2 2 2 2 2 3" xfId="6556"/>
    <cellStyle name="Normal 6 2 2 2 2 2 3 2" xfId="6557"/>
    <cellStyle name="Normal 6 2 2 2 2 2 4" xfId="6558"/>
    <cellStyle name="Normal 6 2 2 2 2 3" xfId="6559"/>
    <cellStyle name="Normal 6 2 2 2 2 3 2" xfId="6560"/>
    <cellStyle name="Normal 6 2 2 2 2 4" xfId="6561"/>
    <cellStyle name="Normal 6 2 2 2 2 4 2" xfId="6562"/>
    <cellStyle name="Normal 6 2 2 2 2 5" xfId="6563"/>
    <cellStyle name="Normal 6 2 2 2 3" xfId="6564"/>
    <cellStyle name="Normal 6 2 2 2 3 2" xfId="6565"/>
    <cellStyle name="Normal 6 2 2 2 3 2 2" xfId="6566"/>
    <cellStyle name="Normal 6 2 2 2 3 3" xfId="6567"/>
    <cellStyle name="Normal 6 2 2 2 3 3 2" xfId="6568"/>
    <cellStyle name="Normal 6 2 2 2 3 4" xfId="6569"/>
    <cellStyle name="Normal 6 2 2 2 4" xfId="6570"/>
    <cellStyle name="Normal 6 2 2 2 4 2" xfId="6571"/>
    <cellStyle name="Normal 6 2 2 2 5" xfId="6572"/>
    <cellStyle name="Normal 6 2 2 2 5 2" xfId="6573"/>
    <cellStyle name="Normal 6 2 2 2 6" xfId="6574"/>
    <cellStyle name="Normal 6 2 2 3" xfId="6575"/>
    <cellStyle name="Normal 6 2 2 3 2" xfId="6576"/>
    <cellStyle name="Normal 6 2 2 3 2 2" xfId="6577"/>
    <cellStyle name="Normal 6 2 2 3 2 2 2" xfId="6578"/>
    <cellStyle name="Normal 6 2 2 3 2 3" xfId="6579"/>
    <cellStyle name="Normal 6 2 2 3 2 3 2" xfId="6580"/>
    <cellStyle name="Normal 6 2 2 3 2 4" xfId="6581"/>
    <cellStyle name="Normal 6 2 2 3 3" xfId="6582"/>
    <cellStyle name="Normal 6 2 2 3 3 2" xfId="6583"/>
    <cellStyle name="Normal 6 2 2 3 4" xfId="6584"/>
    <cellStyle name="Normal 6 2 2 3 4 2" xfId="6585"/>
    <cellStyle name="Normal 6 2 2 3 5" xfId="6586"/>
    <cellStyle name="Normal 6 2 2 4" xfId="6587"/>
    <cellStyle name="Normal 6 2 2 4 2" xfId="6588"/>
    <cellStyle name="Normal 6 2 2 4 2 2" xfId="6589"/>
    <cellStyle name="Normal 6 2 2 4 3" xfId="6590"/>
    <cellStyle name="Normal 6 2 2 4 3 2" xfId="6591"/>
    <cellStyle name="Normal 6 2 2 4 4" xfId="6592"/>
    <cellStyle name="Normal 6 2 2 5" xfId="6593"/>
    <cellStyle name="Normal 6 2 2 5 2" xfId="6594"/>
    <cellStyle name="Normal 6 2 2 6" xfId="6595"/>
    <cellStyle name="Normal 6 2 2 6 2" xfId="6596"/>
    <cellStyle name="Normal 6 2 2 7" xfId="6597"/>
    <cellStyle name="Normal 6 2 3" xfId="6598"/>
    <cellStyle name="Normal 6 2 3 2" xfId="6599"/>
    <cellStyle name="Normal 6 2 3 2 2" xfId="6600"/>
    <cellStyle name="Normal 6 2 3 2 2 2" xfId="6601"/>
    <cellStyle name="Normal 6 2 3 2 2 2 2" xfId="6602"/>
    <cellStyle name="Normal 6 2 3 2 2 3" xfId="6603"/>
    <cellStyle name="Normal 6 2 3 2 2 3 2" xfId="6604"/>
    <cellStyle name="Normal 6 2 3 2 2 4" xfId="6605"/>
    <cellStyle name="Normal 6 2 3 2 3" xfId="6606"/>
    <cellStyle name="Normal 6 2 3 2 3 2" xfId="6607"/>
    <cellStyle name="Normal 6 2 3 2 4" xfId="6608"/>
    <cellStyle name="Normal 6 2 3 2 4 2" xfId="6609"/>
    <cellStyle name="Normal 6 2 3 2 5" xfId="6610"/>
    <cellStyle name="Normal 6 2 3 3" xfId="6611"/>
    <cellStyle name="Normal 6 2 3 3 2" xfId="6612"/>
    <cellStyle name="Normal 6 2 3 3 2 2" xfId="6613"/>
    <cellStyle name="Normal 6 2 3 3 3" xfId="6614"/>
    <cellStyle name="Normal 6 2 3 3 3 2" xfId="6615"/>
    <cellStyle name="Normal 6 2 3 3 4" xfId="6616"/>
    <cellStyle name="Normal 6 2 3 4" xfId="6617"/>
    <cellStyle name="Normal 6 2 3 4 2" xfId="6618"/>
    <cellStyle name="Normal 6 2 3 5" xfId="6619"/>
    <cellStyle name="Normal 6 2 3 5 2" xfId="6620"/>
    <cellStyle name="Normal 6 2 3 6" xfId="6621"/>
    <cellStyle name="Normal 6 2 4" xfId="6622"/>
    <cellStyle name="Normal 6 2 4 2" xfId="6623"/>
    <cellStyle name="Normal 6 2 4 2 2" xfId="6624"/>
    <cellStyle name="Normal 6 2 4 2 2 2" xfId="6625"/>
    <cellStyle name="Normal 6 2 4 2 3" xfId="6626"/>
    <cellStyle name="Normal 6 2 4 2 3 2" xfId="6627"/>
    <cellStyle name="Normal 6 2 4 2 4" xfId="6628"/>
    <cellStyle name="Normal 6 2 4 3" xfId="6629"/>
    <cellStyle name="Normal 6 2 4 3 2" xfId="6630"/>
    <cellStyle name="Normal 6 2 4 4" xfId="6631"/>
    <cellStyle name="Normal 6 2 4 4 2" xfId="6632"/>
    <cellStyle name="Normal 6 2 4 5" xfId="6633"/>
    <cellStyle name="Normal 6 2 5" xfId="6634"/>
    <cellStyle name="Normal 6 2 5 2" xfId="6635"/>
    <cellStyle name="Normal 6 2 5 2 2" xfId="6636"/>
    <cellStyle name="Normal 6 2 5 3" xfId="6637"/>
    <cellStyle name="Normal 6 2 5 3 2" xfId="6638"/>
    <cellStyle name="Normal 6 2 5 4" xfId="6639"/>
    <cellStyle name="Normal 6 2 6" xfId="6640"/>
    <cellStyle name="Normal 6 2 6 2" xfId="6641"/>
    <cellStyle name="Normal 6 2 7" xfId="6642"/>
    <cellStyle name="Normal 6 2 7 2" xfId="6643"/>
    <cellStyle name="Normal 6 2 8" xfId="6644"/>
    <cellStyle name="Normal 6 2 9" xfId="6549"/>
    <cellStyle name="Normal 6 3" xfId="6645"/>
    <cellStyle name="Normal 6 3 2" xfId="6646"/>
    <cellStyle name="Normal 6 3 2 2" xfId="6647"/>
    <cellStyle name="Normal 6 3 2 2 2" xfId="6648"/>
    <cellStyle name="Normal 6 3 2 2 2 2" xfId="6649"/>
    <cellStyle name="Normal 6 3 2 2 2 2 2" xfId="6650"/>
    <cellStyle name="Normal 6 3 2 2 2 3" xfId="6651"/>
    <cellStyle name="Normal 6 3 2 2 2 3 2" xfId="6652"/>
    <cellStyle name="Normal 6 3 2 2 2 4" xfId="6653"/>
    <cellStyle name="Normal 6 3 2 2 3" xfId="6654"/>
    <cellStyle name="Normal 6 3 2 2 3 2" xfId="6655"/>
    <cellStyle name="Normal 6 3 2 2 4" xfId="6656"/>
    <cellStyle name="Normal 6 3 2 2 4 2" xfId="6657"/>
    <cellStyle name="Normal 6 3 2 2 5" xfId="6658"/>
    <cellStyle name="Normal 6 3 2 3" xfId="6659"/>
    <cellStyle name="Normal 6 3 2 3 2" xfId="6660"/>
    <cellStyle name="Normal 6 3 2 3 2 2" xfId="6661"/>
    <cellStyle name="Normal 6 3 2 3 3" xfId="6662"/>
    <cellStyle name="Normal 6 3 2 3 3 2" xfId="6663"/>
    <cellStyle name="Normal 6 3 2 3 4" xfId="6664"/>
    <cellStyle name="Normal 6 3 2 4" xfId="6665"/>
    <cellStyle name="Normal 6 3 2 4 2" xfId="6666"/>
    <cellStyle name="Normal 6 3 2 5" xfId="6667"/>
    <cellStyle name="Normal 6 3 2 5 2" xfId="6668"/>
    <cellStyle name="Normal 6 3 2 6" xfId="6669"/>
    <cellStyle name="Normal 6 3 3" xfId="6670"/>
    <cellStyle name="Normal 6 3 3 2" xfId="6671"/>
    <cellStyle name="Normal 6 3 3 2 2" xfId="6672"/>
    <cellStyle name="Normal 6 3 3 2 2 2" xfId="6673"/>
    <cellStyle name="Normal 6 3 3 2 3" xfId="6674"/>
    <cellStyle name="Normal 6 3 3 2 3 2" xfId="6675"/>
    <cellStyle name="Normal 6 3 3 2 4" xfId="6676"/>
    <cellStyle name="Normal 6 3 3 3" xfId="6677"/>
    <cellStyle name="Normal 6 3 3 3 2" xfId="6678"/>
    <cellStyle name="Normal 6 3 3 4" xfId="6679"/>
    <cellStyle name="Normal 6 3 3 4 2" xfId="6680"/>
    <cellStyle name="Normal 6 3 3 5" xfId="6681"/>
    <cellStyle name="Normal 6 3 4" xfId="6682"/>
    <cellStyle name="Normal 6 3 4 2" xfId="6683"/>
    <cellStyle name="Normal 6 3 4 2 2" xfId="6684"/>
    <cellStyle name="Normal 6 3 4 3" xfId="6685"/>
    <cellStyle name="Normal 6 3 4 3 2" xfId="6686"/>
    <cellStyle name="Normal 6 3 4 4" xfId="6687"/>
    <cellStyle name="Normal 6 3 5" xfId="6688"/>
    <cellStyle name="Normal 6 3 5 2" xfId="6689"/>
    <cellStyle name="Normal 6 3 6" xfId="6690"/>
    <cellStyle name="Normal 6 3 6 2" xfId="6691"/>
    <cellStyle name="Normal 6 3 7" xfId="6692"/>
    <cellStyle name="Normal 6 3 8" xfId="6693"/>
    <cellStyle name="Normal 6 4" xfId="6694"/>
    <cellStyle name="Normal 6 4 2" xfId="6695"/>
    <cellStyle name="Normal 6 4 2 2" xfId="6696"/>
    <cellStyle name="Normal 6 4 2 2 2" xfId="6697"/>
    <cellStyle name="Normal 6 4 2 2 2 2" xfId="6698"/>
    <cellStyle name="Normal 6 4 2 2 2 2 2" xfId="6699"/>
    <cellStyle name="Normal 6 4 2 2 2 3" xfId="6700"/>
    <cellStyle name="Normal 6 4 2 2 2 3 2" xfId="6701"/>
    <cellStyle name="Normal 6 4 2 2 2 4" xfId="6702"/>
    <cellStyle name="Normal 6 4 2 2 3" xfId="6703"/>
    <cellStyle name="Normal 6 4 2 2 3 2" xfId="6704"/>
    <cellStyle name="Normal 6 4 2 2 4" xfId="6705"/>
    <cellStyle name="Normal 6 4 2 2 4 2" xfId="6706"/>
    <cellStyle name="Normal 6 4 2 2 5" xfId="6707"/>
    <cellStyle name="Normal 6 4 2 3" xfId="6708"/>
    <cellStyle name="Normal 6 4 2 3 2" xfId="6709"/>
    <cellStyle name="Normal 6 4 2 3 2 2" xfId="6710"/>
    <cellStyle name="Normal 6 4 2 3 3" xfId="6711"/>
    <cellStyle name="Normal 6 4 2 3 3 2" xfId="6712"/>
    <cellStyle name="Normal 6 4 2 3 4" xfId="6713"/>
    <cellStyle name="Normal 6 4 2 4" xfId="6714"/>
    <cellStyle name="Normal 6 4 2 4 2" xfId="6715"/>
    <cellStyle name="Normal 6 4 2 5" xfId="6716"/>
    <cellStyle name="Normal 6 4 2 5 2" xfId="6717"/>
    <cellStyle name="Normal 6 4 2 6" xfId="6718"/>
    <cellStyle name="Normal 6 4 3" xfId="6719"/>
    <cellStyle name="Normal 6 4 3 2" xfId="6720"/>
    <cellStyle name="Normal 6 4 3 2 2" xfId="6721"/>
    <cellStyle name="Normal 6 4 3 2 2 2" xfId="6722"/>
    <cellStyle name="Normal 6 4 3 2 3" xfId="6723"/>
    <cellStyle name="Normal 6 4 3 2 3 2" xfId="6724"/>
    <cellStyle name="Normal 6 4 3 2 4" xfId="6725"/>
    <cellStyle name="Normal 6 4 3 3" xfId="6726"/>
    <cellStyle name="Normal 6 4 3 3 2" xfId="6727"/>
    <cellStyle name="Normal 6 4 3 4" xfId="6728"/>
    <cellStyle name="Normal 6 4 3 4 2" xfId="6729"/>
    <cellStyle name="Normal 6 4 3 5" xfId="6730"/>
    <cellStyle name="Normal 6 4 4" xfId="6731"/>
    <cellStyle name="Normal 6 4 4 2" xfId="6732"/>
    <cellStyle name="Normal 6 4 4 2 2" xfId="6733"/>
    <cellStyle name="Normal 6 4 4 3" xfId="6734"/>
    <cellStyle name="Normal 6 4 4 3 2" xfId="6735"/>
    <cellStyle name="Normal 6 4 4 4" xfId="6736"/>
    <cellStyle name="Normal 6 4 5" xfId="6737"/>
    <cellStyle name="Normal 6 4 5 2" xfId="6738"/>
    <cellStyle name="Normal 6 4 6" xfId="6739"/>
    <cellStyle name="Normal 6 4 6 2" xfId="6740"/>
    <cellStyle name="Normal 6 4 7" xfId="6741"/>
    <cellStyle name="Normal 6 5" xfId="6742"/>
    <cellStyle name="Normal 6 5 2" xfId="6743"/>
    <cellStyle name="Normal 6 5 2 2" xfId="6744"/>
    <cellStyle name="Normal 6 5 2 2 2" xfId="6745"/>
    <cellStyle name="Normal 6 5 2 2 2 2" xfId="6746"/>
    <cellStyle name="Normal 6 5 2 2 3" xfId="6747"/>
    <cellStyle name="Normal 6 5 2 2 3 2" xfId="6748"/>
    <cellStyle name="Normal 6 5 2 2 4" xfId="6749"/>
    <cellStyle name="Normal 6 5 2 3" xfId="6750"/>
    <cellStyle name="Normal 6 5 2 3 2" xfId="6751"/>
    <cellStyle name="Normal 6 5 2 4" xfId="6752"/>
    <cellStyle name="Normal 6 5 2 4 2" xfId="6753"/>
    <cellStyle name="Normal 6 5 2 5" xfId="6754"/>
    <cellStyle name="Normal 6 5 3" xfId="6755"/>
    <cellStyle name="Normal 6 5 3 2" xfId="6756"/>
    <cellStyle name="Normal 6 5 3 2 2" xfId="6757"/>
    <cellStyle name="Normal 6 5 3 3" xfId="6758"/>
    <cellStyle name="Normal 6 5 3 3 2" xfId="6759"/>
    <cellStyle name="Normal 6 5 3 4" xfId="6760"/>
    <cellStyle name="Normal 6 5 4" xfId="6761"/>
    <cellStyle name="Normal 6 5 4 2" xfId="6762"/>
    <cellStyle name="Normal 6 5 5" xfId="6763"/>
    <cellStyle name="Normal 6 5 5 2" xfId="6764"/>
    <cellStyle name="Normal 6 5 6" xfId="6765"/>
    <cellStyle name="Normal 6 6" xfId="6766"/>
    <cellStyle name="Normal 6 6 2" xfId="6767"/>
    <cellStyle name="Normal 6 6 2 2" xfId="6768"/>
    <cellStyle name="Normal 6 6 2 2 2" xfId="6769"/>
    <cellStyle name="Normal 6 6 2 3" xfId="6770"/>
    <cellStyle name="Normal 6 6 2 3 2" xfId="6771"/>
    <cellStyle name="Normal 6 6 2 4" xfId="6772"/>
    <cellStyle name="Normal 6 6 3" xfId="6773"/>
    <cellStyle name="Normal 6 6 3 2" xfId="6774"/>
    <cellStyle name="Normal 6 6 4" xfId="6775"/>
    <cellStyle name="Normal 6 6 4 2" xfId="6776"/>
    <cellStyle name="Normal 6 6 5" xfId="6777"/>
    <cellStyle name="Normal 6 7" xfId="6778"/>
    <cellStyle name="Normal 6 7 2" xfId="6779"/>
    <cellStyle name="Normal 6 7 2 2" xfId="6780"/>
    <cellStyle name="Normal 6 7 3" xfId="6781"/>
    <cellStyle name="Normal 6 7 3 2" xfId="6782"/>
    <cellStyle name="Normal 6 7 4" xfId="6783"/>
    <cellStyle name="Normal 6 8" xfId="6784"/>
    <cellStyle name="Normal 6 8 2" xfId="6785"/>
    <cellStyle name="Normal 6 9" xfId="6786"/>
    <cellStyle name="Normal 6 9 2" xfId="6787"/>
    <cellStyle name="Normal 6_2180" xfId="6788"/>
    <cellStyle name="Normal 60" xfId="6789"/>
    <cellStyle name="Normal 60 2" xfId="6790"/>
    <cellStyle name="Normal 60 2 2" xfId="6791"/>
    <cellStyle name="Normal 60 2 2 2" xfId="6792"/>
    <cellStyle name="Normal 60 2 2 2 2" xfId="6793"/>
    <cellStyle name="Normal 60 2 2 2 2 2" xfId="6794"/>
    <cellStyle name="Normal 60 2 2 2 3" xfId="6795"/>
    <cellStyle name="Normal 60 2 2 2 3 2" xfId="6796"/>
    <cellStyle name="Normal 60 2 2 2 4" xfId="6797"/>
    <cellStyle name="Normal 60 2 2 3" xfId="6798"/>
    <cellStyle name="Normal 60 2 2 3 2" xfId="6799"/>
    <cellStyle name="Normal 60 2 2 4" xfId="6800"/>
    <cellStyle name="Normal 60 2 2 4 2" xfId="6801"/>
    <cellStyle name="Normal 60 2 2 5" xfId="6802"/>
    <cellStyle name="Normal 60 2 3" xfId="6803"/>
    <cellStyle name="Normal 60 2 3 2" xfId="6804"/>
    <cellStyle name="Normal 60 2 3 2 2" xfId="6805"/>
    <cellStyle name="Normal 60 2 3 3" xfId="6806"/>
    <cellStyle name="Normal 60 2 3 3 2" xfId="6807"/>
    <cellStyle name="Normal 60 2 3 4" xfId="6808"/>
    <cellStyle name="Normal 60 2 4" xfId="6809"/>
    <cellStyle name="Normal 60 2 4 2" xfId="6810"/>
    <cellStyle name="Normal 60 2 5" xfId="6811"/>
    <cellStyle name="Normal 60 2 5 2" xfId="6812"/>
    <cellStyle name="Normal 60 2 6" xfId="6813"/>
    <cellStyle name="Normal 60 3" xfId="6814"/>
    <cellStyle name="Normal 60 3 2" xfId="6815"/>
    <cellStyle name="Normal 60 3 2 2" xfId="6816"/>
    <cellStyle name="Normal 60 3 2 2 2" xfId="6817"/>
    <cellStyle name="Normal 60 3 2 3" xfId="6818"/>
    <cellStyle name="Normal 60 3 2 3 2" xfId="6819"/>
    <cellStyle name="Normal 60 3 2 4" xfId="6820"/>
    <cellStyle name="Normal 60 3 3" xfId="6821"/>
    <cellStyle name="Normal 60 3 3 2" xfId="6822"/>
    <cellStyle name="Normal 60 3 4" xfId="6823"/>
    <cellStyle name="Normal 60 3 4 2" xfId="6824"/>
    <cellStyle name="Normal 60 3 5" xfId="6825"/>
    <cellStyle name="Normal 60 4" xfId="6826"/>
    <cellStyle name="Normal 60 4 2" xfId="6827"/>
    <cellStyle name="Normal 60 4 2 2" xfId="6828"/>
    <cellStyle name="Normal 60 4 3" xfId="6829"/>
    <cellStyle name="Normal 60 4 3 2" xfId="6830"/>
    <cellStyle name="Normal 60 4 4" xfId="6831"/>
    <cellStyle name="Normal 60 5" xfId="6832"/>
    <cellStyle name="Normal 60 5 2" xfId="6833"/>
    <cellStyle name="Normal 60 6" xfId="6834"/>
    <cellStyle name="Normal 60 6 2" xfId="6835"/>
    <cellStyle name="Normal 60 7" xfId="6836"/>
    <cellStyle name="Normal 61" xfId="6837"/>
    <cellStyle name="Normal 61 2" xfId="6838"/>
    <cellStyle name="Normal 61 2 2" xfId="6839"/>
    <cellStyle name="Normal 61 2 2 2" xfId="6840"/>
    <cellStyle name="Normal 61 2 2 2 2" xfId="6841"/>
    <cellStyle name="Normal 61 2 2 2 2 2" xfId="6842"/>
    <cellStyle name="Normal 61 2 2 2 3" xfId="6843"/>
    <cellStyle name="Normal 61 2 2 2 3 2" xfId="6844"/>
    <cellStyle name="Normal 61 2 2 2 4" xfId="6845"/>
    <cellStyle name="Normal 61 2 2 3" xfId="6846"/>
    <cellStyle name="Normal 61 2 2 3 2" xfId="6847"/>
    <cellStyle name="Normal 61 2 2 4" xfId="6848"/>
    <cellStyle name="Normal 61 2 2 4 2" xfId="6849"/>
    <cellStyle name="Normal 61 2 2 5" xfId="6850"/>
    <cellStyle name="Normal 61 2 3" xfId="6851"/>
    <cellStyle name="Normal 61 2 3 2" xfId="6852"/>
    <cellStyle name="Normal 61 2 3 2 2" xfId="6853"/>
    <cellStyle name="Normal 61 2 3 3" xfId="6854"/>
    <cellStyle name="Normal 61 2 3 3 2" xfId="6855"/>
    <cellStyle name="Normal 61 2 3 4" xfId="6856"/>
    <cellStyle name="Normal 61 2 4" xfId="6857"/>
    <cellStyle name="Normal 61 2 4 2" xfId="6858"/>
    <cellStyle name="Normal 61 2 5" xfId="6859"/>
    <cellStyle name="Normal 61 2 5 2" xfId="6860"/>
    <cellStyle name="Normal 61 2 6" xfId="6861"/>
    <cellStyle name="Normal 61 3" xfId="6862"/>
    <cellStyle name="Normal 61 3 2" xfId="6863"/>
    <cellStyle name="Normal 61 3 2 2" xfId="6864"/>
    <cellStyle name="Normal 61 3 2 2 2" xfId="6865"/>
    <cellStyle name="Normal 61 3 2 3" xfId="6866"/>
    <cellStyle name="Normal 61 3 2 3 2" xfId="6867"/>
    <cellStyle name="Normal 61 3 2 4" xfId="6868"/>
    <cellStyle name="Normal 61 3 3" xfId="6869"/>
    <cellStyle name="Normal 61 3 3 2" xfId="6870"/>
    <cellStyle name="Normal 61 3 4" xfId="6871"/>
    <cellStyle name="Normal 61 3 4 2" xfId="6872"/>
    <cellStyle name="Normal 61 3 5" xfId="6873"/>
    <cellStyle name="Normal 61 4" xfId="6874"/>
    <cellStyle name="Normal 61 4 2" xfId="6875"/>
    <cellStyle name="Normal 61 4 2 2" xfId="6876"/>
    <cellStyle name="Normal 61 4 3" xfId="6877"/>
    <cellStyle name="Normal 61 4 3 2" xfId="6878"/>
    <cellStyle name="Normal 61 4 4" xfId="6879"/>
    <cellStyle name="Normal 61 5" xfId="6880"/>
    <cellStyle name="Normal 61 5 2" xfId="6881"/>
    <cellStyle name="Normal 61 6" xfId="6882"/>
    <cellStyle name="Normal 61 6 2" xfId="6883"/>
    <cellStyle name="Normal 61 7" xfId="6884"/>
    <cellStyle name="Normal 62" xfId="6885"/>
    <cellStyle name="Normal 62 2" xfId="6886"/>
    <cellStyle name="Normal 62 2 2" xfId="6887"/>
    <cellStyle name="Normal 62 2 2 2" xfId="6888"/>
    <cellStyle name="Normal 62 2 2 2 2" xfId="6889"/>
    <cellStyle name="Normal 62 2 2 2 2 2" xfId="6890"/>
    <cellStyle name="Normal 62 2 2 2 3" xfId="6891"/>
    <cellStyle name="Normal 62 2 2 2 3 2" xfId="6892"/>
    <cellStyle name="Normal 62 2 2 2 4" xfId="6893"/>
    <cellStyle name="Normal 62 2 2 3" xfId="6894"/>
    <cellStyle name="Normal 62 2 2 3 2" xfId="6895"/>
    <cellStyle name="Normal 62 2 2 4" xfId="6896"/>
    <cellStyle name="Normal 62 2 2 4 2" xfId="6897"/>
    <cellStyle name="Normal 62 2 2 5" xfId="6898"/>
    <cellStyle name="Normal 62 2 3" xfId="6899"/>
    <cellStyle name="Normal 62 2 3 2" xfId="6900"/>
    <cellStyle name="Normal 62 2 3 2 2" xfId="6901"/>
    <cellStyle name="Normal 62 2 3 3" xfId="6902"/>
    <cellStyle name="Normal 62 2 3 3 2" xfId="6903"/>
    <cellStyle name="Normal 62 2 3 4" xfId="6904"/>
    <cellStyle name="Normal 62 2 4" xfId="6905"/>
    <cellStyle name="Normal 62 2 4 2" xfId="6906"/>
    <cellStyle name="Normal 62 2 5" xfId="6907"/>
    <cellStyle name="Normal 62 2 5 2" xfId="6908"/>
    <cellStyle name="Normal 62 2 6" xfId="6909"/>
    <cellStyle name="Normal 62 3" xfId="6910"/>
    <cellStyle name="Normal 62 3 2" xfId="6911"/>
    <cellStyle name="Normal 62 3 2 2" xfId="6912"/>
    <cellStyle name="Normal 62 3 2 2 2" xfId="6913"/>
    <cellStyle name="Normal 62 3 2 3" xfId="6914"/>
    <cellStyle name="Normal 62 3 2 3 2" xfId="6915"/>
    <cellStyle name="Normal 62 3 2 4" xfId="6916"/>
    <cellStyle name="Normal 62 3 3" xfId="6917"/>
    <cellStyle name="Normal 62 3 3 2" xfId="6918"/>
    <cellStyle name="Normal 62 3 4" xfId="6919"/>
    <cellStyle name="Normal 62 3 4 2" xfId="6920"/>
    <cellStyle name="Normal 62 3 5" xfId="6921"/>
    <cellStyle name="Normal 62 4" xfId="6922"/>
    <cellStyle name="Normal 62 4 2" xfId="6923"/>
    <cellStyle name="Normal 62 4 2 2" xfId="6924"/>
    <cellStyle name="Normal 62 4 3" xfId="6925"/>
    <cellStyle name="Normal 62 4 3 2" xfId="6926"/>
    <cellStyle name="Normal 62 4 4" xfId="6927"/>
    <cellStyle name="Normal 62 5" xfId="6928"/>
    <cellStyle name="Normal 62 5 2" xfId="6929"/>
    <cellStyle name="Normal 62 6" xfId="6930"/>
    <cellStyle name="Normal 62 6 2" xfId="6931"/>
    <cellStyle name="Normal 62 7" xfId="6932"/>
    <cellStyle name="Normal 63" xfId="6933"/>
    <cellStyle name="Normal 63 2" xfId="6934"/>
    <cellStyle name="Normal 63 2 2" xfId="6935"/>
    <cellStyle name="Normal 63 2 2 2" xfId="6936"/>
    <cellStyle name="Normal 63 2 2 2 2" xfId="6937"/>
    <cellStyle name="Normal 63 2 2 2 2 2" xfId="6938"/>
    <cellStyle name="Normal 63 2 2 2 3" xfId="6939"/>
    <cellStyle name="Normal 63 2 2 2 3 2" xfId="6940"/>
    <cellStyle name="Normal 63 2 2 2 4" xfId="6941"/>
    <cellStyle name="Normal 63 2 2 3" xfId="6942"/>
    <cellStyle name="Normal 63 2 2 3 2" xfId="6943"/>
    <cellStyle name="Normal 63 2 2 4" xfId="6944"/>
    <cellStyle name="Normal 63 2 2 4 2" xfId="6945"/>
    <cellStyle name="Normal 63 2 2 5" xfId="6946"/>
    <cellStyle name="Normal 63 2 3" xfId="6947"/>
    <cellStyle name="Normal 63 2 3 2" xfId="6948"/>
    <cellStyle name="Normal 63 2 3 2 2" xfId="6949"/>
    <cellStyle name="Normal 63 2 3 3" xfId="6950"/>
    <cellStyle name="Normal 63 2 3 3 2" xfId="6951"/>
    <cellStyle name="Normal 63 2 3 4" xfId="6952"/>
    <cellStyle name="Normal 63 2 4" xfId="6953"/>
    <cellStyle name="Normal 63 2 4 2" xfId="6954"/>
    <cellStyle name="Normal 63 2 5" xfId="6955"/>
    <cellStyle name="Normal 63 2 5 2" xfId="6956"/>
    <cellStyle name="Normal 63 2 6" xfId="6957"/>
    <cellStyle name="Normal 63 3" xfId="6958"/>
    <cellStyle name="Normal 63 3 2" xfId="6959"/>
    <cellStyle name="Normal 63 3 2 2" xfId="6960"/>
    <cellStyle name="Normal 63 3 2 2 2" xfId="6961"/>
    <cellStyle name="Normal 63 3 2 3" xfId="6962"/>
    <cellStyle name="Normal 63 3 2 3 2" xfId="6963"/>
    <cellStyle name="Normal 63 3 2 4" xfId="6964"/>
    <cellStyle name="Normal 63 3 3" xfId="6965"/>
    <cellStyle name="Normal 63 3 3 2" xfId="6966"/>
    <cellStyle name="Normal 63 3 4" xfId="6967"/>
    <cellStyle name="Normal 63 3 4 2" xfId="6968"/>
    <cellStyle name="Normal 63 3 5" xfId="6969"/>
    <cellStyle name="Normal 63 4" xfId="6970"/>
    <cellStyle name="Normal 63 4 2" xfId="6971"/>
    <cellStyle name="Normal 63 4 2 2" xfId="6972"/>
    <cellStyle name="Normal 63 4 3" xfId="6973"/>
    <cellStyle name="Normal 63 4 3 2" xfId="6974"/>
    <cellStyle name="Normal 63 4 4" xfId="6975"/>
    <cellStyle name="Normal 63 5" xfId="6976"/>
    <cellStyle name="Normal 63 5 2" xfId="6977"/>
    <cellStyle name="Normal 63 6" xfId="6978"/>
    <cellStyle name="Normal 63 6 2" xfId="6979"/>
    <cellStyle name="Normal 63 7" xfId="6980"/>
    <cellStyle name="Normal 64" xfId="6981"/>
    <cellStyle name="Normal 64 2" xfId="6982"/>
    <cellStyle name="Normal 64 3" xfId="6983"/>
    <cellStyle name="Normal 65" xfId="6984"/>
    <cellStyle name="Normal 65 2" xfId="6985"/>
    <cellStyle name="Normal 65 2 2" xfId="6986"/>
    <cellStyle name="Normal 65 2 2 2" xfId="6987"/>
    <cellStyle name="Normal 65 2 2 2 2" xfId="6988"/>
    <cellStyle name="Normal 65 2 2 2 2 2" xfId="6989"/>
    <cellStyle name="Normal 65 2 2 2 3" xfId="6990"/>
    <cellStyle name="Normal 65 2 2 2 3 2" xfId="6991"/>
    <cellStyle name="Normal 65 2 2 2 4" xfId="6992"/>
    <cellStyle name="Normal 65 2 2 3" xfId="6993"/>
    <cellStyle name="Normal 65 2 2 3 2" xfId="6994"/>
    <cellStyle name="Normal 65 2 2 4" xfId="6995"/>
    <cellStyle name="Normal 65 2 2 4 2" xfId="6996"/>
    <cellStyle name="Normal 65 2 2 5" xfId="6997"/>
    <cellStyle name="Normal 65 2 3" xfId="6998"/>
    <cellStyle name="Normal 65 2 3 2" xfId="6999"/>
    <cellStyle name="Normal 65 2 3 2 2" xfId="7000"/>
    <cellStyle name="Normal 65 2 3 3" xfId="7001"/>
    <cellStyle name="Normal 65 2 3 3 2" xfId="7002"/>
    <cellStyle name="Normal 65 2 3 4" xfId="7003"/>
    <cellStyle name="Normal 65 2 4" xfId="7004"/>
    <cellStyle name="Normal 65 2 4 2" xfId="7005"/>
    <cellStyle name="Normal 65 2 5" xfId="7006"/>
    <cellStyle name="Normal 65 2 5 2" xfId="7007"/>
    <cellStyle name="Normal 65 2 6" xfId="7008"/>
    <cellStyle name="Normal 65 3" xfId="7009"/>
    <cellStyle name="Normal 65 3 2" xfId="7010"/>
    <cellStyle name="Normal 65 3 2 2" xfId="7011"/>
    <cellStyle name="Normal 65 3 2 2 2" xfId="7012"/>
    <cellStyle name="Normal 65 3 2 3" xfId="7013"/>
    <cellStyle name="Normal 65 3 2 3 2" xfId="7014"/>
    <cellStyle name="Normal 65 3 2 4" xfId="7015"/>
    <cellStyle name="Normal 65 3 3" xfId="7016"/>
    <cellStyle name="Normal 65 3 3 2" xfId="7017"/>
    <cellStyle name="Normal 65 3 4" xfId="7018"/>
    <cellStyle name="Normal 65 3 4 2" xfId="7019"/>
    <cellStyle name="Normal 65 3 5" xfId="7020"/>
    <cellStyle name="Normal 65 4" xfId="7021"/>
    <cellStyle name="Normal 65 4 2" xfId="7022"/>
    <cellStyle name="Normal 65 4 2 2" xfId="7023"/>
    <cellStyle name="Normal 65 4 3" xfId="7024"/>
    <cellStyle name="Normal 65 4 3 2" xfId="7025"/>
    <cellStyle name="Normal 65 4 4" xfId="7026"/>
    <cellStyle name="Normal 65 5" xfId="7027"/>
    <cellStyle name="Normal 65 5 2" xfId="7028"/>
    <cellStyle name="Normal 65 6" xfId="7029"/>
    <cellStyle name="Normal 65 6 2" xfId="7030"/>
    <cellStyle name="Normal 65 7" xfId="7031"/>
    <cellStyle name="Normal 66" xfId="7032"/>
    <cellStyle name="Normal 66 2" xfId="7033"/>
    <cellStyle name="Normal 66 3" xfId="7034"/>
    <cellStyle name="Normal 67" xfId="7035"/>
    <cellStyle name="Normal 67 2" xfId="7036"/>
    <cellStyle name="Normal 67 3" xfId="7037"/>
    <cellStyle name="Normal 68" xfId="7038"/>
    <cellStyle name="Normal 68 2" xfId="7039"/>
    <cellStyle name="Normal 68 3" xfId="7040"/>
    <cellStyle name="Normal 69" xfId="7041"/>
    <cellStyle name="Normal 69 2" xfId="7042"/>
    <cellStyle name="Normal 69 3" xfId="7043"/>
    <cellStyle name="Normal 7" xfId="103"/>
    <cellStyle name="Normal 7 10" xfId="7045"/>
    <cellStyle name="Normal 7 10 2" xfId="7046"/>
    <cellStyle name="Normal 7 11" xfId="7047"/>
    <cellStyle name="Normal 7 12" xfId="7044"/>
    <cellStyle name="Normal 7 2" xfId="236"/>
    <cellStyle name="Normal 7 2 10" xfId="7049"/>
    <cellStyle name="Normal 7 2 11" xfId="7048"/>
    <cellStyle name="Normal 7 2 2" xfId="7050"/>
    <cellStyle name="Normal 7 2 2 2" xfId="7051"/>
    <cellStyle name="Normal 7 2 2 2 2" xfId="7052"/>
    <cellStyle name="Normal 7 2 2 2 2 2" xfId="7053"/>
    <cellStyle name="Normal 7 2 2 2 2 2 2" xfId="7054"/>
    <cellStyle name="Normal 7 2 2 2 2 2 2 2" xfId="7055"/>
    <cellStyle name="Normal 7 2 2 2 2 2 2 2 2" xfId="7056"/>
    <cellStyle name="Normal 7 2 2 2 2 2 2 3" xfId="7057"/>
    <cellStyle name="Normal 7 2 2 2 2 2 2 3 2" xfId="7058"/>
    <cellStyle name="Normal 7 2 2 2 2 2 2 4" xfId="7059"/>
    <cellStyle name="Normal 7 2 2 2 2 2 3" xfId="7060"/>
    <cellStyle name="Normal 7 2 2 2 2 2 3 2" xfId="7061"/>
    <cellStyle name="Normal 7 2 2 2 2 2 4" xfId="7062"/>
    <cellStyle name="Normal 7 2 2 2 2 2 4 2" xfId="7063"/>
    <cellStyle name="Normal 7 2 2 2 2 2 5" xfId="7064"/>
    <cellStyle name="Normal 7 2 2 2 2 3" xfId="7065"/>
    <cellStyle name="Normal 7 2 2 2 2 3 2" xfId="7066"/>
    <cellStyle name="Normal 7 2 2 2 2 3 2 2" xfId="7067"/>
    <cellStyle name="Normal 7 2 2 2 2 3 3" xfId="7068"/>
    <cellStyle name="Normal 7 2 2 2 2 3 3 2" xfId="7069"/>
    <cellStyle name="Normal 7 2 2 2 2 3 4" xfId="7070"/>
    <cellStyle name="Normal 7 2 2 2 2 4" xfId="7071"/>
    <cellStyle name="Normal 7 2 2 2 2 4 2" xfId="7072"/>
    <cellStyle name="Normal 7 2 2 2 2 5" xfId="7073"/>
    <cellStyle name="Normal 7 2 2 2 2 5 2" xfId="7074"/>
    <cellStyle name="Normal 7 2 2 2 2 6" xfId="7075"/>
    <cellStyle name="Normal 7 2 2 2 3" xfId="7076"/>
    <cellStyle name="Normal 7 2 2 2 3 2" xfId="7077"/>
    <cellStyle name="Normal 7 2 2 2 3 2 2" xfId="7078"/>
    <cellStyle name="Normal 7 2 2 2 3 2 2 2" xfId="7079"/>
    <cellStyle name="Normal 7 2 2 2 3 2 3" xfId="7080"/>
    <cellStyle name="Normal 7 2 2 2 3 2 3 2" xfId="7081"/>
    <cellStyle name="Normal 7 2 2 2 3 2 4" xfId="7082"/>
    <cellStyle name="Normal 7 2 2 2 3 3" xfId="7083"/>
    <cellStyle name="Normal 7 2 2 2 3 3 2" xfId="7084"/>
    <cellStyle name="Normal 7 2 2 2 3 4" xfId="7085"/>
    <cellStyle name="Normal 7 2 2 2 3 4 2" xfId="7086"/>
    <cellStyle name="Normal 7 2 2 2 3 5" xfId="7087"/>
    <cellStyle name="Normal 7 2 2 2 4" xfId="7088"/>
    <cellStyle name="Normal 7 2 2 2 4 2" xfId="7089"/>
    <cellStyle name="Normal 7 2 2 2 4 2 2" xfId="7090"/>
    <cellStyle name="Normal 7 2 2 2 4 3" xfId="7091"/>
    <cellStyle name="Normal 7 2 2 2 4 3 2" xfId="7092"/>
    <cellStyle name="Normal 7 2 2 2 4 4" xfId="7093"/>
    <cellStyle name="Normal 7 2 2 2 5" xfId="7094"/>
    <cellStyle name="Normal 7 2 2 2 5 2" xfId="7095"/>
    <cellStyle name="Normal 7 2 2 2 6" xfId="7096"/>
    <cellStyle name="Normal 7 2 2 2 6 2" xfId="7097"/>
    <cellStyle name="Normal 7 2 2 2 7" xfId="7098"/>
    <cellStyle name="Normal 7 2 2 3" xfId="7099"/>
    <cellStyle name="Normal 7 2 2 3 2" xfId="7100"/>
    <cellStyle name="Normal 7 2 2 3 2 2" xfId="7101"/>
    <cellStyle name="Normal 7 2 2 3 2 2 2" xfId="7102"/>
    <cellStyle name="Normal 7 2 2 3 2 2 2 2" xfId="7103"/>
    <cellStyle name="Normal 7 2 2 3 2 2 3" xfId="7104"/>
    <cellStyle name="Normal 7 2 2 3 2 2 3 2" xfId="7105"/>
    <cellStyle name="Normal 7 2 2 3 2 2 4" xfId="7106"/>
    <cellStyle name="Normal 7 2 2 3 2 3" xfId="7107"/>
    <cellStyle name="Normal 7 2 2 3 2 3 2" xfId="7108"/>
    <cellStyle name="Normal 7 2 2 3 2 4" xfId="7109"/>
    <cellStyle name="Normal 7 2 2 3 2 4 2" xfId="7110"/>
    <cellStyle name="Normal 7 2 2 3 2 5" xfId="7111"/>
    <cellStyle name="Normal 7 2 2 3 3" xfId="7112"/>
    <cellStyle name="Normal 7 2 2 3 3 2" xfId="7113"/>
    <cellStyle name="Normal 7 2 2 3 3 2 2" xfId="7114"/>
    <cellStyle name="Normal 7 2 2 3 3 3" xfId="7115"/>
    <cellStyle name="Normal 7 2 2 3 3 3 2" xfId="7116"/>
    <cellStyle name="Normal 7 2 2 3 3 4" xfId="7117"/>
    <cellStyle name="Normal 7 2 2 3 4" xfId="7118"/>
    <cellStyle name="Normal 7 2 2 3 4 2" xfId="7119"/>
    <cellStyle name="Normal 7 2 2 3 5" xfId="7120"/>
    <cellStyle name="Normal 7 2 2 3 5 2" xfId="7121"/>
    <cellStyle name="Normal 7 2 2 3 6" xfId="7122"/>
    <cellStyle name="Normal 7 2 2 4" xfId="7123"/>
    <cellStyle name="Normal 7 2 2 4 2" xfId="7124"/>
    <cellStyle name="Normal 7 2 2 4 2 2" xfId="7125"/>
    <cellStyle name="Normal 7 2 2 4 2 2 2" xfId="7126"/>
    <cellStyle name="Normal 7 2 2 4 2 3" xfId="7127"/>
    <cellStyle name="Normal 7 2 2 4 2 3 2" xfId="7128"/>
    <cellStyle name="Normal 7 2 2 4 2 4" xfId="7129"/>
    <cellStyle name="Normal 7 2 2 4 3" xfId="7130"/>
    <cellStyle name="Normal 7 2 2 4 3 2" xfId="7131"/>
    <cellStyle name="Normal 7 2 2 4 4" xfId="7132"/>
    <cellStyle name="Normal 7 2 2 4 4 2" xfId="7133"/>
    <cellStyle name="Normal 7 2 2 4 5" xfId="7134"/>
    <cellStyle name="Normal 7 2 2 5" xfId="7135"/>
    <cellStyle name="Normal 7 2 2 5 2" xfId="7136"/>
    <cellStyle name="Normal 7 2 2 5 2 2" xfId="7137"/>
    <cellStyle name="Normal 7 2 2 5 3" xfId="7138"/>
    <cellStyle name="Normal 7 2 2 5 3 2" xfId="7139"/>
    <cellStyle name="Normal 7 2 2 5 4" xfId="7140"/>
    <cellStyle name="Normal 7 2 2 6" xfId="7141"/>
    <cellStyle name="Normal 7 2 2 6 2" xfId="7142"/>
    <cellStyle name="Normal 7 2 2 7" xfId="7143"/>
    <cellStyle name="Normal 7 2 2 7 2" xfId="7144"/>
    <cellStyle name="Normal 7 2 2 8" xfId="7145"/>
    <cellStyle name="Normal 7 2 3" xfId="7146"/>
    <cellStyle name="Normal 7 2 3 2" xfId="7147"/>
    <cellStyle name="Normal 7 2 3 2 2" xfId="7148"/>
    <cellStyle name="Normal 7 2 3 2 2 2" xfId="7149"/>
    <cellStyle name="Normal 7 2 3 2 2 2 2" xfId="7150"/>
    <cellStyle name="Normal 7 2 3 2 2 2 2 2" xfId="7151"/>
    <cellStyle name="Normal 7 2 3 2 2 2 3" xfId="7152"/>
    <cellStyle name="Normal 7 2 3 2 2 2 3 2" xfId="7153"/>
    <cellStyle name="Normal 7 2 3 2 2 2 4" xfId="7154"/>
    <cellStyle name="Normal 7 2 3 2 2 3" xfId="7155"/>
    <cellStyle name="Normal 7 2 3 2 2 3 2" xfId="7156"/>
    <cellStyle name="Normal 7 2 3 2 2 4" xfId="7157"/>
    <cellStyle name="Normal 7 2 3 2 2 4 2" xfId="7158"/>
    <cellStyle name="Normal 7 2 3 2 2 5" xfId="7159"/>
    <cellStyle name="Normal 7 2 3 2 3" xfId="7160"/>
    <cellStyle name="Normal 7 2 3 2 3 2" xfId="7161"/>
    <cellStyle name="Normal 7 2 3 2 3 2 2" xfId="7162"/>
    <cellStyle name="Normal 7 2 3 2 3 3" xfId="7163"/>
    <cellStyle name="Normal 7 2 3 2 3 3 2" xfId="7164"/>
    <cellStyle name="Normal 7 2 3 2 3 4" xfId="7165"/>
    <cellStyle name="Normal 7 2 3 2 4" xfId="7166"/>
    <cellStyle name="Normal 7 2 3 2 4 2" xfId="7167"/>
    <cellStyle name="Normal 7 2 3 2 5" xfId="7168"/>
    <cellStyle name="Normal 7 2 3 2 5 2" xfId="7169"/>
    <cellStyle name="Normal 7 2 3 2 6" xfId="7170"/>
    <cellStyle name="Normal 7 2 3 3" xfId="7171"/>
    <cellStyle name="Normal 7 2 3 3 2" xfId="7172"/>
    <cellStyle name="Normal 7 2 3 3 2 2" xfId="7173"/>
    <cellStyle name="Normal 7 2 3 3 2 2 2" xfId="7174"/>
    <cellStyle name="Normal 7 2 3 3 2 3" xfId="7175"/>
    <cellStyle name="Normal 7 2 3 3 2 3 2" xfId="7176"/>
    <cellStyle name="Normal 7 2 3 3 2 4" xfId="7177"/>
    <cellStyle name="Normal 7 2 3 3 3" xfId="7178"/>
    <cellStyle name="Normal 7 2 3 3 3 2" xfId="7179"/>
    <cellStyle name="Normal 7 2 3 3 4" xfId="7180"/>
    <cellStyle name="Normal 7 2 3 3 4 2" xfId="7181"/>
    <cellStyle name="Normal 7 2 3 3 5" xfId="7182"/>
    <cellStyle name="Normal 7 2 3 4" xfId="7183"/>
    <cellStyle name="Normal 7 2 3 4 2" xfId="7184"/>
    <cellStyle name="Normal 7 2 3 4 2 2" xfId="7185"/>
    <cellStyle name="Normal 7 2 3 4 3" xfId="7186"/>
    <cellStyle name="Normal 7 2 3 4 3 2" xfId="7187"/>
    <cellStyle name="Normal 7 2 3 4 4" xfId="7188"/>
    <cellStyle name="Normal 7 2 3 5" xfId="7189"/>
    <cellStyle name="Normal 7 2 3 5 2" xfId="7190"/>
    <cellStyle name="Normal 7 2 3 6" xfId="7191"/>
    <cellStyle name="Normal 7 2 3 6 2" xfId="7192"/>
    <cellStyle name="Normal 7 2 3 7" xfId="7193"/>
    <cellStyle name="Normal 7 2 4" xfId="7194"/>
    <cellStyle name="Normal 7 2 4 2" xfId="7195"/>
    <cellStyle name="Normal 7 2 4 2 2" xfId="7196"/>
    <cellStyle name="Normal 7 2 4 2 2 2" xfId="7197"/>
    <cellStyle name="Normal 7 2 4 2 2 2 2" xfId="7198"/>
    <cellStyle name="Normal 7 2 4 2 2 2 2 2" xfId="7199"/>
    <cellStyle name="Normal 7 2 4 2 2 2 3" xfId="7200"/>
    <cellStyle name="Normal 7 2 4 2 2 2 3 2" xfId="7201"/>
    <cellStyle name="Normal 7 2 4 2 2 2 4" xfId="7202"/>
    <cellStyle name="Normal 7 2 4 2 2 3" xfId="7203"/>
    <cellStyle name="Normal 7 2 4 2 2 3 2" xfId="7204"/>
    <cellStyle name="Normal 7 2 4 2 2 4" xfId="7205"/>
    <cellStyle name="Normal 7 2 4 2 2 4 2" xfId="7206"/>
    <cellStyle name="Normal 7 2 4 2 2 5" xfId="7207"/>
    <cellStyle name="Normal 7 2 4 2 3" xfId="7208"/>
    <cellStyle name="Normal 7 2 4 2 3 2" xfId="7209"/>
    <cellStyle name="Normal 7 2 4 2 3 2 2" xfId="7210"/>
    <cellStyle name="Normal 7 2 4 2 3 3" xfId="7211"/>
    <cellStyle name="Normal 7 2 4 2 3 3 2" xfId="7212"/>
    <cellStyle name="Normal 7 2 4 2 3 4" xfId="7213"/>
    <cellStyle name="Normal 7 2 4 2 4" xfId="7214"/>
    <cellStyle name="Normal 7 2 4 2 4 2" xfId="7215"/>
    <cellStyle name="Normal 7 2 4 2 5" xfId="7216"/>
    <cellStyle name="Normal 7 2 4 2 5 2" xfId="7217"/>
    <cellStyle name="Normal 7 2 4 2 6" xfId="7218"/>
    <cellStyle name="Normal 7 2 4 3" xfId="7219"/>
    <cellStyle name="Normal 7 2 4 3 2" xfId="7220"/>
    <cellStyle name="Normal 7 2 4 3 2 2" xfId="7221"/>
    <cellStyle name="Normal 7 2 4 3 2 2 2" xfId="7222"/>
    <cellStyle name="Normal 7 2 4 3 2 3" xfId="7223"/>
    <cellStyle name="Normal 7 2 4 3 2 3 2" xfId="7224"/>
    <cellStyle name="Normal 7 2 4 3 2 4" xfId="7225"/>
    <cellStyle name="Normal 7 2 4 3 3" xfId="7226"/>
    <cellStyle name="Normal 7 2 4 3 3 2" xfId="7227"/>
    <cellStyle name="Normal 7 2 4 3 4" xfId="7228"/>
    <cellStyle name="Normal 7 2 4 3 4 2" xfId="7229"/>
    <cellStyle name="Normal 7 2 4 3 5" xfId="7230"/>
    <cellStyle name="Normal 7 2 4 4" xfId="7231"/>
    <cellStyle name="Normal 7 2 4 4 2" xfId="7232"/>
    <cellStyle name="Normal 7 2 4 4 2 2" xfId="7233"/>
    <cellStyle name="Normal 7 2 4 4 3" xfId="7234"/>
    <cellStyle name="Normal 7 2 4 4 3 2" xfId="7235"/>
    <cellStyle name="Normal 7 2 4 4 4" xfId="7236"/>
    <cellStyle name="Normal 7 2 4 5" xfId="7237"/>
    <cellStyle name="Normal 7 2 4 5 2" xfId="7238"/>
    <cellStyle name="Normal 7 2 4 6" xfId="7239"/>
    <cellStyle name="Normal 7 2 4 6 2" xfId="7240"/>
    <cellStyle name="Normal 7 2 4 7" xfId="7241"/>
    <cellStyle name="Normal 7 2 5" xfId="7242"/>
    <cellStyle name="Normal 7 2 5 2" xfId="7243"/>
    <cellStyle name="Normal 7 2 5 2 2" xfId="7244"/>
    <cellStyle name="Normal 7 2 5 2 2 2" xfId="7245"/>
    <cellStyle name="Normal 7 2 5 2 2 2 2" xfId="7246"/>
    <cellStyle name="Normal 7 2 5 2 2 3" xfId="7247"/>
    <cellStyle name="Normal 7 2 5 2 2 3 2" xfId="7248"/>
    <cellStyle name="Normal 7 2 5 2 2 4" xfId="7249"/>
    <cellStyle name="Normal 7 2 5 2 3" xfId="7250"/>
    <cellStyle name="Normal 7 2 5 2 3 2" xfId="7251"/>
    <cellStyle name="Normal 7 2 5 2 4" xfId="7252"/>
    <cellStyle name="Normal 7 2 5 2 4 2" xfId="7253"/>
    <cellStyle name="Normal 7 2 5 2 5" xfId="7254"/>
    <cellStyle name="Normal 7 2 5 3" xfId="7255"/>
    <cellStyle name="Normal 7 2 5 3 2" xfId="7256"/>
    <cellStyle name="Normal 7 2 5 3 2 2" xfId="7257"/>
    <cellStyle name="Normal 7 2 5 3 3" xfId="7258"/>
    <cellStyle name="Normal 7 2 5 3 3 2" xfId="7259"/>
    <cellStyle name="Normal 7 2 5 3 4" xfId="7260"/>
    <cellStyle name="Normal 7 2 5 4" xfId="7261"/>
    <cellStyle name="Normal 7 2 5 4 2" xfId="7262"/>
    <cellStyle name="Normal 7 2 5 5" xfId="7263"/>
    <cellStyle name="Normal 7 2 5 5 2" xfId="7264"/>
    <cellStyle name="Normal 7 2 5 6" xfId="7265"/>
    <cellStyle name="Normal 7 2 6" xfId="7266"/>
    <cellStyle name="Normal 7 2 6 2" xfId="7267"/>
    <cellStyle name="Normal 7 2 6 2 2" xfId="7268"/>
    <cellStyle name="Normal 7 2 6 2 2 2" xfId="7269"/>
    <cellStyle name="Normal 7 2 6 2 3" xfId="7270"/>
    <cellStyle name="Normal 7 2 6 2 3 2" xfId="7271"/>
    <cellStyle name="Normal 7 2 6 2 4" xfId="7272"/>
    <cellStyle name="Normal 7 2 6 3" xfId="7273"/>
    <cellStyle name="Normal 7 2 6 3 2" xfId="7274"/>
    <cellStyle name="Normal 7 2 6 4" xfId="7275"/>
    <cellStyle name="Normal 7 2 6 4 2" xfId="7276"/>
    <cellStyle name="Normal 7 2 6 5" xfId="7277"/>
    <cellStyle name="Normal 7 2 7" xfId="7278"/>
    <cellStyle name="Normal 7 2 7 2" xfId="7279"/>
    <cellStyle name="Normal 7 2 7 2 2" xfId="7280"/>
    <cellStyle name="Normal 7 2 7 3" xfId="7281"/>
    <cellStyle name="Normal 7 2 7 3 2" xfId="7282"/>
    <cellStyle name="Normal 7 2 7 4" xfId="7283"/>
    <cellStyle name="Normal 7 2 8" xfId="7284"/>
    <cellStyle name="Normal 7 2 8 2" xfId="7285"/>
    <cellStyle name="Normal 7 2 9" xfId="7286"/>
    <cellStyle name="Normal 7 2 9 2" xfId="7287"/>
    <cellStyle name="Normal 7 3" xfId="7288"/>
    <cellStyle name="Normal 7 3 2" xfId="7289"/>
    <cellStyle name="Normal 7 3 2 2" xfId="7290"/>
    <cellStyle name="Normal 7 3 2 2 2" xfId="7291"/>
    <cellStyle name="Normal 7 3 2 2 2 2" xfId="7292"/>
    <cellStyle name="Normal 7 3 2 2 2 2 2" xfId="7293"/>
    <cellStyle name="Normal 7 3 2 2 2 2 2 2" xfId="7294"/>
    <cellStyle name="Normal 7 3 2 2 2 2 3" xfId="7295"/>
    <cellStyle name="Normal 7 3 2 2 2 2 3 2" xfId="7296"/>
    <cellStyle name="Normal 7 3 2 2 2 2 4" xfId="7297"/>
    <cellStyle name="Normal 7 3 2 2 2 3" xfId="7298"/>
    <cellStyle name="Normal 7 3 2 2 2 3 2" xfId="7299"/>
    <cellStyle name="Normal 7 3 2 2 2 4" xfId="7300"/>
    <cellStyle name="Normal 7 3 2 2 2 4 2" xfId="7301"/>
    <cellStyle name="Normal 7 3 2 2 2 5" xfId="7302"/>
    <cellStyle name="Normal 7 3 2 2 3" xfId="7303"/>
    <cellStyle name="Normal 7 3 2 2 3 2" xfId="7304"/>
    <cellStyle name="Normal 7 3 2 2 3 2 2" xfId="7305"/>
    <cellStyle name="Normal 7 3 2 2 3 3" xfId="7306"/>
    <cellStyle name="Normal 7 3 2 2 3 3 2" xfId="7307"/>
    <cellStyle name="Normal 7 3 2 2 3 4" xfId="7308"/>
    <cellStyle name="Normal 7 3 2 2 4" xfId="7309"/>
    <cellStyle name="Normal 7 3 2 2 4 2" xfId="7310"/>
    <cellStyle name="Normal 7 3 2 2 5" xfId="7311"/>
    <cellStyle name="Normal 7 3 2 2 5 2" xfId="7312"/>
    <cellStyle name="Normal 7 3 2 2 6" xfId="7313"/>
    <cellStyle name="Normal 7 3 2 3" xfId="7314"/>
    <cellStyle name="Normal 7 3 2 3 2" xfId="7315"/>
    <cellStyle name="Normal 7 3 2 3 2 2" xfId="7316"/>
    <cellStyle name="Normal 7 3 2 3 2 2 2" xfId="7317"/>
    <cellStyle name="Normal 7 3 2 3 2 3" xfId="7318"/>
    <cellStyle name="Normal 7 3 2 3 2 3 2" xfId="7319"/>
    <cellStyle name="Normal 7 3 2 3 2 4" xfId="7320"/>
    <cellStyle name="Normal 7 3 2 3 3" xfId="7321"/>
    <cellStyle name="Normal 7 3 2 3 3 2" xfId="7322"/>
    <cellStyle name="Normal 7 3 2 3 4" xfId="7323"/>
    <cellStyle name="Normal 7 3 2 3 4 2" xfId="7324"/>
    <cellStyle name="Normal 7 3 2 3 5" xfId="7325"/>
    <cellStyle name="Normal 7 3 2 4" xfId="7326"/>
    <cellStyle name="Normal 7 3 2 4 2" xfId="7327"/>
    <cellStyle name="Normal 7 3 2 4 2 2" xfId="7328"/>
    <cellStyle name="Normal 7 3 2 4 3" xfId="7329"/>
    <cellStyle name="Normal 7 3 2 4 3 2" xfId="7330"/>
    <cellStyle name="Normal 7 3 2 4 4" xfId="7331"/>
    <cellStyle name="Normal 7 3 2 5" xfId="7332"/>
    <cellStyle name="Normal 7 3 2 5 2" xfId="7333"/>
    <cellStyle name="Normal 7 3 2 6" xfId="7334"/>
    <cellStyle name="Normal 7 3 2 6 2" xfId="7335"/>
    <cellStyle name="Normal 7 3 2 7" xfId="7336"/>
    <cellStyle name="Normal 7 3 3" xfId="7337"/>
    <cellStyle name="Normal 7 3 3 2" xfId="7338"/>
    <cellStyle name="Normal 7 3 3 2 2" xfId="7339"/>
    <cellStyle name="Normal 7 3 3 2 2 2" xfId="7340"/>
    <cellStyle name="Normal 7 3 3 2 2 2 2" xfId="7341"/>
    <cellStyle name="Normal 7 3 3 2 2 3" xfId="7342"/>
    <cellStyle name="Normal 7 3 3 2 2 3 2" xfId="7343"/>
    <cellStyle name="Normal 7 3 3 2 2 4" xfId="7344"/>
    <cellStyle name="Normal 7 3 3 2 3" xfId="7345"/>
    <cellStyle name="Normal 7 3 3 2 3 2" xfId="7346"/>
    <cellStyle name="Normal 7 3 3 2 4" xfId="7347"/>
    <cellStyle name="Normal 7 3 3 2 4 2" xfId="7348"/>
    <cellStyle name="Normal 7 3 3 2 5" xfId="7349"/>
    <cellStyle name="Normal 7 3 3 3" xfId="7350"/>
    <cellStyle name="Normal 7 3 3 3 2" xfId="7351"/>
    <cellStyle name="Normal 7 3 3 3 2 2" xfId="7352"/>
    <cellStyle name="Normal 7 3 3 3 3" xfId="7353"/>
    <cellStyle name="Normal 7 3 3 3 3 2" xfId="7354"/>
    <cellStyle name="Normal 7 3 3 3 4" xfId="7355"/>
    <cellStyle name="Normal 7 3 3 4" xfId="7356"/>
    <cellStyle name="Normal 7 3 3 4 2" xfId="7357"/>
    <cellStyle name="Normal 7 3 3 5" xfId="7358"/>
    <cellStyle name="Normal 7 3 3 5 2" xfId="7359"/>
    <cellStyle name="Normal 7 3 3 6" xfId="7360"/>
    <cellStyle name="Normal 7 3 4" xfId="7361"/>
    <cellStyle name="Normal 7 3 4 2" xfId="7362"/>
    <cellStyle name="Normal 7 3 4 2 2" xfId="7363"/>
    <cellStyle name="Normal 7 3 4 2 2 2" xfId="7364"/>
    <cellStyle name="Normal 7 3 4 2 3" xfId="7365"/>
    <cellStyle name="Normal 7 3 4 2 3 2" xfId="7366"/>
    <cellStyle name="Normal 7 3 4 2 4" xfId="7367"/>
    <cellStyle name="Normal 7 3 4 3" xfId="7368"/>
    <cellStyle name="Normal 7 3 4 3 2" xfId="7369"/>
    <cellStyle name="Normal 7 3 4 4" xfId="7370"/>
    <cellStyle name="Normal 7 3 4 4 2" xfId="7371"/>
    <cellStyle name="Normal 7 3 4 5" xfId="7372"/>
    <cellStyle name="Normal 7 3 5" xfId="7373"/>
    <cellStyle name="Normal 7 3 5 2" xfId="7374"/>
    <cellStyle name="Normal 7 3 5 2 2" xfId="7375"/>
    <cellStyle name="Normal 7 3 5 3" xfId="7376"/>
    <cellStyle name="Normal 7 3 5 3 2" xfId="7377"/>
    <cellStyle name="Normal 7 3 5 4" xfId="7378"/>
    <cellStyle name="Normal 7 3 6" xfId="7379"/>
    <cellStyle name="Normal 7 3 6 2" xfId="7380"/>
    <cellStyle name="Normal 7 3 7" xfId="7381"/>
    <cellStyle name="Normal 7 3 7 2" xfId="7382"/>
    <cellStyle name="Normal 7 3 8" xfId="7383"/>
    <cellStyle name="Normal 7 3 9" xfId="7384"/>
    <cellStyle name="Normal 7 4" xfId="7385"/>
    <cellStyle name="Normal 7 4 2" xfId="7386"/>
    <cellStyle name="Normal 7 4 2 2" xfId="7387"/>
    <cellStyle name="Normal 7 4 2 2 2" xfId="7388"/>
    <cellStyle name="Normal 7 4 2 2 2 2" xfId="7389"/>
    <cellStyle name="Normal 7 4 2 2 2 2 2" xfId="7390"/>
    <cellStyle name="Normal 7 4 2 2 2 3" xfId="7391"/>
    <cellStyle name="Normal 7 4 2 2 2 3 2" xfId="7392"/>
    <cellStyle name="Normal 7 4 2 2 2 4" xfId="7393"/>
    <cellStyle name="Normal 7 4 2 2 3" xfId="7394"/>
    <cellStyle name="Normal 7 4 2 2 3 2" xfId="7395"/>
    <cellStyle name="Normal 7 4 2 2 4" xfId="7396"/>
    <cellStyle name="Normal 7 4 2 2 4 2" xfId="7397"/>
    <cellStyle name="Normal 7 4 2 2 5" xfId="7398"/>
    <cellStyle name="Normal 7 4 2 3" xfId="7399"/>
    <cellStyle name="Normal 7 4 2 3 2" xfId="7400"/>
    <cellStyle name="Normal 7 4 2 3 2 2" xfId="7401"/>
    <cellStyle name="Normal 7 4 2 3 3" xfId="7402"/>
    <cellStyle name="Normal 7 4 2 3 3 2" xfId="7403"/>
    <cellStyle name="Normal 7 4 2 3 4" xfId="7404"/>
    <cellStyle name="Normal 7 4 2 4" xfId="7405"/>
    <cellStyle name="Normal 7 4 2 4 2" xfId="7406"/>
    <cellStyle name="Normal 7 4 2 5" xfId="7407"/>
    <cellStyle name="Normal 7 4 2 5 2" xfId="7408"/>
    <cellStyle name="Normal 7 4 2 6" xfId="7409"/>
    <cellStyle name="Normal 7 4 3" xfId="7410"/>
    <cellStyle name="Normal 7 4 3 2" xfId="7411"/>
    <cellStyle name="Normal 7 4 3 2 2" xfId="7412"/>
    <cellStyle name="Normal 7 4 3 2 2 2" xfId="7413"/>
    <cellStyle name="Normal 7 4 3 2 3" xfId="7414"/>
    <cellStyle name="Normal 7 4 3 2 3 2" xfId="7415"/>
    <cellStyle name="Normal 7 4 3 2 4" xfId="7416"/>
    <cellStyle name="Normal 7 4 3 3" xfId="7417"/>
    <cellStyle name="Normal 7 4 3 3 2" xfId="7418"/>
    <cellStyle name="Normal 7 4 3 4" xfId="7419"/>
    <cellStyle name="Normal 7 4 3 4 2" xfId="7420"/>
    <cellStyle name="Normal 7 4 3 5" xfId="7421"/>
    <cellStyle name="Normal 7 4 4" xfId="7422"/>
    <cellStyle name="Normal 7 4 4 2" xfId="7423"/>
    <cellStyle name="Normal 7 4 4 2 2" xfId="7424"/>
    <cellStyle name="Normal 7 4 4 3" xfId="7425"/>
    <cellStyle name="Normal 7 4 4 3 2" xfId="7426"/>
    <cellStyle name="Normal 7 4 4 4" xfId="7427"/>
    <cellStyle name="Normal 7 4 5" xfId="7428"/>
    <cellStyle name="Normal 7 4 5 2" xfId="7429"/>
    <cellStyle name="Normal 7 4 6" xfId="7430"/>
    <cellStyle name="Normal 7 4 6 2" xfId="7431"/>
    <cellStyle name="Normal 7 4 7" xfId="7432"/>
    <cellStyle name="Normal 7 5" xfId="7433"/>
    <cellStyle name="Normal 7 5 2" xfId="7434"/>
    <cellStyle name="Normal 7 5 2 2" xfId="7435"/>
    <cellStyle name="Normal 7 5 2 2 2" xfId="7436"/>
    <cellStyle name="Normal 7 5 2 2 2 2" xfId="7437"/>
    <cellStyle name="Normal 7 5 2 2 2 2 2" xfId="7438"/>
    <cellStyle name="Normal 7 5 2 2 2 3" xfId="7439"/>
    <cellStyle name="Normal 7 5 2 2 2 3 2" xfId="7440"/>
    <cellStyle name="Normal 7 5 2 2 2 4" xfId="7441"/>
    <cellStyle name="Normal 7 5 2 2 3" xfId="7442"/>
    <cellStyle name="Normal 7 5 2 2 3 2" xfId="7443"/>
    <cellStyle name="Normal 7 5 2 2 4" xfId="7444"/>
    <cellStyle name="Normal 7 5 2 2 4 2" xfId="7445"/>
    <cellStyle name="Normal 7 5 2 2 5" xfId="7446"/>
    <cellStyle name="Normal 7 5 2 3" xfId="7447"/>
    <cellStyle name="Normal 7 5 2 3 2" xfId="7448"/>
    <cellStyle name="Normal 7 5 2 3 2 2" xfId="7449"/>
    <cellStyle name="Normal 7 5 2 3 3" xfId="7450"/>
    <cellStyle name="Normal 7 5 2 3 3 2" xfId="7451"/>
    <cellStyle name="Normal 7 5 2 3 4" xfId="7452"/>
    <cellStyle name="Normal 7 5 2 4" xfId="7453"/>
    <cellStyle name="Normal 7 5 2 4 2" xfId="7454"/>
    <cellStyle name="Normal 7 5 2 5" xfId="7455"/>
    <cellStyle name="Normal 7 5 2 5 2" xfId="7456"/>
    <cellStyle name="Normal 7 5 2 6" xfId="7457"/>
    <cellStyle name="Normal 7 5 3" xfId="7458"/>
    <cellStyle name="Normal 7 5 3 2" xfId="7459"/>
    <cellStyle name="Normal 7 5 3 2 2" xfId="7460"/>
    <cellStyle name="Normal 7 5 3 2 2 2" xfId="7461"/>
    <cellStyle name="Normal 7 5 3 2 3" xfId="7462"/>
    <cellStyle name="Normal 7 5 3 2 3 2" xfId="7463"/>
    <cellStyle name="Normal 7 5 3 2 4" xfId="7464"/>
    <cellStyle name="Normal 7 5 3 3" xfId="7465"/>
    <cellStyle name="Normal 7 5 3 3 2" xfId="7466"/>
    <cellStyle name="Normal 7 5 3 4" xfId="7467"/>
    <cellStyle name="Normal 7 5 3 4 2" xfId="7468"/>
    <cellStyle name="Normal 7 5 3 5" xfId="7469"/>
    <cellStyle name="Normal 7 5 4" xfId="7470"/>
    <cellStyle name="Normal 7 5 4 2" xfId="7471"/>
    <cellStyle name="Normal 7 5 4 2 2" xfId="7472"/>
    <cellStyle name="Normal 7 5 4 3" xfId="7473"/>
    <cellStyle name="Normal 7 5 4 3 2" xfId="7474"/>
    <cellStyle name="Normal 7 5 4 4" xfId="7475"/>
    <cellStyle name="Normal 7 5 5" xfId="7476"/>
    <cellStyle name="Normal 7 5 5 2" xfId="7477"/>
    <cellStyle name="Normal 7 5 6" xfId="7478"/>
    <cellStyle name="Normal 7 5 6 2" xfId="7479"/>
    <cellStyle name="Normal 7 5 7" xfId="7480"/>
    <cellStyle name="Normal 7 6" xfId="7481"/>
    <cellStyle name="Normal 7 6 2" xfId="7482"/>
    <cellStyle name="Normal 7 6 2 2" xfId="7483"/>
    <cellStyle name="Normal 7 6 2 2 2" xfId="7484"/>
    <cellStyle name="Normal 7 6 2 2 2 2" xfId="7485"/>
    <cellStyle name="Normal 7 6 2 2 3" xfId="7486"/>
    <cellStyle name="Normal 7 6 2 2 3 2" xfId="7487"/>
    <cellStyle name="Normal 7 6 2 2 4" xfId="7488"/>
    <cellStyle name="Normal 7 6 2 3" xfId="7489"/>
    <cellStyle name="Normal 7 6 2 3 2" xfId="7490"/>
    <cellStyle name="Normal 7 6 2 4" xfId="7491"/>
    <cellStyle name="Normal 7 6 2 4 2" xfId="7492"/>
    <cellStyle name="Normal 7 6 2 5" xfId="7493"/>
    <cellStyle name="Normal 7 6 3" xfId="7494"/>
    <cellStyle name="Normal 7 6 3 2" xfId="7495"/>
    <cellStyle name="Normal 7 6 3 2 2" xfId="7496"/>
    <cellStyle name="Normal 7 6 3 3" xfId="7497"/>
    <cellStyle name="Normal 7 6 3 3 2" xfId="7498"/>
    <cellStyle name="Normal 7 6 3 4" xfId="7499"/>
    <cellStyle name="Normal 7 6 4" xfId="7500"/>
    <cellStyle name="Normal 7 6 4 2" xfId="7501"/>
    <cellStyle name="Normal 7 6 5" xfId="7502"/>
    <cellStyle name="Normal 7 6 5 2" xfId="7503"/>
    <cellStyle name="Normal 7 6 6" xfId="7504"/>
    <cellStyle name="Normal 7 7" xfId="7505"/>
    <cellStyle name="Normal 7 7 2" xfId="7506"/>
    <cellStyle name="Normal 7 7 2 2" xfId="7507"/>
    <cellStyle name="Normal 7 7 2 2 2" xfId="7508"/>
    <cellStyle name="Normal 7 7 2 3" xfId="7509"/>
    <cellStyle name="Normal 7 7 2 3 2" xfId="7510"/>
    <cellStyle name="Normal 7 7 2 4" xfId="7511"/>
    <cellStyle name="Normal 7 7 3" xfId="7512"/>
    <cellStyle name="Normal 7 7 3 2" xfId="7513"/>
    <cellStyle name="Normal 7 7 4" xfId="7514"/>
    <cellStyle name="Normal 7 7 4 2" xfId="7515"/>
    <cellStyle name="Normal 7 7 5" xfId="7516"/>
    <cellStyle name="Normal 7 8" xfId="7517"/>
    <cellStyle name="Normal 7 8 2" xfId="7518"/>
    <cellStyle name="Normal 7 8 2 2" xfId="7519"/>
    <cellStyle name="Normal 7 8 3" xfId="7520"/>
    <cellStyle name="Normal 7 8 3 2" xfId="7521"/>
    <cellStyle name="Normal 7 8 4" xfId="7522"/>
    <cellStyle name="Normal 7 9" xfId="7523"/>
    <cellStyle name="Normal 7 9 2" xfId="7524"/>
    <cellStyle name="Normal 7_2180" xfId="7525"/>
    <cellStyle name="Normal 70" xfId="7526"/>
    <cellStyle name="Normal 70 2" xfId="7527"/>
    <cellStyle name="Normal 70 3" xfId="7528"/>
    <cellStyle name="Normal 71" xfId="7529"/>
    <cellStyle name="Normal 72" xfId="7530"/>
    <cellStyle name="Normal 72 2" xfId="7531"/>
    <cellStyle name="Normal 72 2 2" xfId="7532"/>
    <cellStyle name="Normal 72 2 2 2" xfId="7533"/>
    <cellStyle name="Normal 72 2 2 2 2" xfId="7534"/>
    <cellStyle name="Normal 72 2 2 3" xfId="7535"/>
    <cellStyle name="Normal 72 2 2 3 2" xfId="7536"/>
    <cellStyle name="Normal 72 2 2 4" xfId="7537"/>
    <cellStyle name="Normal 72 2 3" xfId="7538"/>
    <cellStyle name="Normal 72 2 3 2" xfId="7539"/>
    <cellStyle name="Normal 72 2 4" xfId="7540"/>
    <cellStyle name="Normal 72 2 4 2" xfId="7541"/>
    <cellStyle name="Normal 72 2 5" xfId="7542"/>
    <cellStyle name="Normal 72 3" xfId="7543"/>
    <cellStyle name="Normal 72 3 2" xfId="7544"/>
    <cellStyle name="Normal 72 3 2 2" xfId="7545"/>
    <cellStyle name="Normal 72 3 3" xfId="7546"/>
    <cellStyle name="Normal 72 3 3 2" xfId="7547"/>
    <cellStyle name="Normal 72 3 4" xfId="7548"/>
    <cellStyle name="Normal 72 4" xfId="7549"/>
    <cellStyle name="Normal 72 4 2" xfId="7550"/>
    <cellStyle name="Normal 72 5" xfId="7551"/>
    <cellStyle name="Normal 72 5 2" xfId="7552"/>
    <cellStyle name="Normal 72 6" xfId="7553"/>
    <cellStyle name="Normal 73" xfId="7554"/>
    <cellStyle name="Normal 73 2" xfId="7555"/>
    <cellStyle name="Normal 74" xfId="7556"/>
    <cellStyle name="Normal 75" xfId="7557"/>
    <cellStyle name="Normal 76" xfId="7558"/>
    <cellStyle name="Normal 77" xfId="7559"/>
    <cellStyle name="Normal 78" xfId="7560"/>
    <cellStyle name="Normal 79" xfId="7561"/>
    <cellStyle name="Normal 8" xfId="104"/>
    <cellStyle name="Normal 8 10" xfId="7563"/>
    <cellStyle name="Normal 8 11" xfId="7562"/>
    <cellStyle name="Normal 8 2" xfId="237"/>
    <cellStyle name="Normal 8 2 10" xfId="7564"/>
    <cellStyle name="Normal 8 2 2" xfId="7565"/>
    <cellStyle name="Normal 8 2 2 2" xfId="7566"/>
    <cellStyle name="Normal 8 2 2 2 2" xfId="7567"/>
    <cellStyle name="Normal 8 2 2 2 2 2" xfId="7568"/>
    <cellStyle name="Normal 8 2 2 2 2 2 2" xfId="7569"/>
    <cellStyle name="Normal 8 2 2 2 2 2 2 2" xfId="7570"/>
    <cellStyle name="Normal 8 2 2 2 2 2 3" xfId="7571"/>
    <cellStyle name="Normal 8 2 2 2 2 2 3 2" xfId="7572"/>
    <cellStyle name="Normal 8 2 2 2 2 2 4" xfId="7573"/>
    <cellStyle name="Normal 8 2 2 2 2 3" xfId="7574"/>
    <cellStyle name="Normal 8 2 2 2 2 3 2" xfId="7575"/>
    <cellStyle name="Normal 8 2 2 2 2 4" xfId="7576"/>
    <cellStyle name="Normal 8 2 2 2 2 4 2" xfId="7577"/>
    <cellStyle name="Normal 8 2 2 2 2 5" xfId="7578"/>
    <cellStyle name="Normal 8 2 2 2 3" xfId="7579"/>
    <cellStyle name="Normal 8 2 2 2 3 2" xfId="7580"/>
    <cellStyle name="Normal 8 2 2 2 3 2 2" xfId="7581"/>
    <cellStyle name="Normal 8 2 2 2 3 3" xfId="7582"/>
    <cellStyle name="Normal 8 2 2 2 3 3 2" xfId="7583"/>
    <cellStyle name="Normal 8 2 2 2 3 4" xfId="7584"/>
    <cellStyle name="Normal 8 2 2 2 4" xfId="7585"/>
    <cellStyle name="Normal 8 2 2 2 4 2" xfId="7586"/>
    <cellStyle name="Normal 8 2 2 2 5" xfId="7587"/>
    <cellStyle name="Normal 8 2 2 2 5 2" xfId="7588"/>
    <cellStyle name="Normal 8 2 2 2 6" xfId="7589"/>
    <cellStyle name="Normal 8 2 2 3" xfId="7590"/>
    <cellStyle name="Normal 8 2 2 3 2" xfId="7591"/>
    <cellStyle name="Normal 8 2 2 3 2 2" xfId="7592"/>
    <cellStyle name="Normal 8 2 2 3 2 2 2" xfId="7593"/>
    <cellStyle name="Normal 8 2 2 3 2 3" xfId="7594"/>
    <cellStyle name="Normal 8 2 2 3 2 3 2" xfId="7595"/>
    <cellStyle name="Normal 8 2 2 3 2 4" xfId="7596"/>
    <cellStyle name="Normal 8 2 2 3 3" xfId="7597"/>
    <cellStyle name="Normal 8 2 2 3 3 2" xfId="7598"/>
    <cellStyle name="Normal 8 2 2 3 4" xfId="7599"/>
    <cellStyle name="Normal 8 2 2 3 4 2" xfId="7600"/>
    <cellStyle name="Normal 8 2 2 3 5" xfId="7601"/>
    <cellStyle name="Normal 8 2 2 4" xfId="7602"/>
    <cellStyle name="Normal 8 2 2 4 2" xfId="7603"/>
    <cellStyle name="Normal 8 2 2 4 2 2" xfId="7604"/>
    <cellStyle name="Normal 8 2 2 4 3" xfId="7605"/>
    <cellStyle name="Normal 8 2 2 4 3 2" xfId="7606"/>
    <cellStyle name="Normal 8 2 2 4 4" xfId="7607"/>
    <cellStyle name="Normal 8 2 2 5" xfId="7608"/>
    <cellStyle name="Normal 8 2 2 5 2" xfId="7609"/>
    <cellStyle name="Normal 8 2 2 6" xfId="7610"/>
    <cellStyle name="Normal 8 2 2 6 2" xfId="7611"/>
    <cellStyle name="Normal 8 2 2 7" xfId="7612"/>
    <cellStyle name="Normal 8 2 3" xfId="7613"/>
    <cellStyle name="Normal 8 2 3 2" xfId="7614"/>
    <cellStyle name="Normal 8 2 3 2 2" xfId="7615"/>
    <cellStyle name="Normal 8 2 3 2 2 2" xfId="7616"/>
    <cellStyle name="Normal 8 2 3 2 2 2 2" xfId="7617"/>
    <cellStyle name="Normal 8 2 3 2 2 3" xfId="7618"/>
    <cellStyle name="Normal 8 2 3 2 2 3 2" xfId="7619"/>
    <cellStyle name="Normal 8 2 3 2 2 4" xfId="7620"/>
    <cellStyle name="Normal 8 2 3 2 3" xfId="7621"/>
    <cellStyle name="Normal 8 2 3 2 3 2" xfId="7622"/>
    <cellStyle name="Normal 8 2 3 2 4" xfId="7623"/>
    <cellStyle name="Normal 8 2 3 2 4 2" xfId="7624"/>
    <cellStyle name="Normal 8 2 3 2 5" xfId="7625"/>
    <cellStyle name="Normal 8 2 3 3" xfId="7626"/>
    <cellStyle name="Normal 8 2 3 3 2" xfId="7627"/>
    <cellStyle name="Normal 8 2 3 3 2 2" xfId="7628"/>
    <cellStyle name="Normal 8 2 3 3 3" xfId="7629"/>
    <cellStyle name="Normal 8 2 3 3 3 2" xfId="7630"/>
    <cellStyle name="Normal 8 2 3 3 4" xfId="7631"/>
    <cellStyle name="Normal 8 2 3 4" xfId="7632"/>
    <cellStyle name="Normal 8 2 3 4 2" xfId="7633"/>
    <cellStyle name="Normal 8 2 3 5" xfId="7634"/>
    <cellStyle name="Normal 8 2 3 5 2" xfId="7635"/>
    <cellStyle name="Normal 8 2 3 6" xfId="7636"/>
    <cellStyle name="Normal 8 2 4" xfId="7637"/>
    <cellStyle name="Normal 8 2 4 2" xfId="7638"/>
    <cellStyle name="Normal 8 2 4 2 2" xfId="7639"/>
    <cellStyle name="Normal 8 2 4 2 2 2" xfId="7640"/>
    <cellStyle name="Normal 8 2 4 2 3" xfId="7641"/>
    <cellStyle name="Normal 8 2 4 2 3 2" xfId="7642"/>
    <cellStyle name="Normal 8 2 4 2 4" xfId="7643"/>
    <cellStyle name="Normal 8 2 4 3" xfId="7644"/>
    <cellStyle name="Normal 8 2 4 3 2" xfId="7645"/>
    <cellStyle name="Normal 8 2 4 4" xfId="7646"/>
    <cellStyle name="Normal 8 2 4 4 2" xfId="7647"/>
    <cellStyle name="Normal 8 2 4 5" xfId="7648"/>
    <cellStyle name="Normal 8 2 5" xfId="7649"/>
    <cellStyle name="Normal 8 2 5 2" xfId="7650"/>
    <cellStyle name="Normal 8 2 5 2 2" xfId="7651"/>
    <cellStyle name="Normal 8 2 5 3" xfId="7652"/>
    <cellStyle name="Normal 8 2 5 3 2" xfId="7653"/>
    <cellStyle name="Normal 8 2 5 4" xfId="7654"/>
    <cellStyle name="Normal 8 2 6" xfId="7655"/>
    <cellStyle name="Normal 8 2 6 2" xfId="7656"/>
    <cellStyle name="Normal 8 2 7" xfId="7657"/>
    <cellStyle name="Normal 8 2 7 2" xfId="7658"/>
    <cellStyle name="Normal 8 2 8" xfId="7659"/>
    <cellStyle name="Normal 8 2 9" xfId="7660"/>
    <cellStyle name="Normal 8 3" xfId="7661"/>
    <cellStyle name="Normal 8 3 2" xfId="7662"/>
    <cellStyle name="Normal 8 3 2 2" xfId="7663"/>
    <cellStyle name="Normal 8 3 2 2 2" xfId="7664"/>
    <cellStyle name="Normal 8 3 2 2 2 2" xfId="7665"/>
    <cellStyle name="Normal 8 3 2 2 2 2 2" xfId="7666"/>
    <cellStyle name="Normal 8 3 2 2 2 3" xfId="7667"/>
    <cellStyle name="Normal 8 3 2 2 2 3 2" xfId="7668"/>
    <cellStyle name="Normal 8 3 2 2 2 4" xfId="7669"/>
    <cellStyle name="Normal 8 3 2 2 3" xfId="7670"/>
    <cellStyle name="Normal 8 3 2 2 3 2" xfId="7671"/>
    <cellStyle name="Normal 8 3 2 2 4" xfId="7672"/>
    <cellStyle name="Normal 8 3 2 2 4 2" xfId="7673"/>
    <cellStyle name="Normal 8 3 2 2 5" xfId="7674"/>
    <cellStyle name="Normal 8 3 2 3" xfId="7675"/>
    <cellStyle name="Normal 8 3 2 3 2" xfId="7676"/>
    <cellStyle name="Normal 8 3 2 3 2 2" xfId="7677"/>
    <cellStyle name="Normal 8 3 2 3 3" xfId="7678"/>
    <cellStyle name="Normal 8 3 2 3 3 2" xfId="7679"/>
    <cellStyle name="Normal 8 3 2 3 4" xfId="7680"/>
    <cellStyle name="Normal 8 3 2 4" xfId="7681"/>
    <cellStyle name="Normal 8 3 2 4 2" xfId="7682"/>
    <cellStyle name="Normal 8 3 2 5" xfId="7683"/>
    <cellStyle name="Normal 8 3 2 5 2" xfId="7684"/>
    <cellStyle name="Normal 8 3 2 6" xfId="7685"/>
    <cellStyle name="Normal 8 3 3" xfId="7686"/>
    <cellStyle name="Normal 8 3 3 2" xfId="7687"/>
    <cellStyle name="Normal 8 3 3 2 2" xfId="7688"/>
    <cellStyle name="Normal 8 3 3 2 2 2" xfId="7689"/>
    <cellStyle name="Normal 8 3 3 2 3" xfId="7690"/>
    <cellStyle name="Normal 8 3 3 2 3 2" xfId="7691"/>
    <cellStyle name="Normal 8 3 3 2 4" xfId="7692"/>
    <cellStyle name="Normal 8 3 3 3" xfId="7693"/>
    <cellStyle name="Normal 8 3 3 3 2" xfId="7694"/>
    <cellStyle name="Normal 8 3 3 4" xfId="7695"/>
    <cellStyle name="Normal 8 3 3 4 2" xfId="7696"/>
    <cellStyle name="Normal 8 3 3 5" xfId="7697"/>
    <cellStyle name="Normal 8 3 4" xfId="7698"/>
    <cellStyle name="Normal 8 3 4 2" xfId="7699"/>
    <cellStyle name="Normal 8 3 4 2 2" xfId="7700"/>
    <cellStyle name="Normal 8 3 4 3" xfId="7701"/>
    <cellStyle name="Normal 8 3 4 3 2" xfId="7702"/>
    <cellStyle name="Normal 8 3 4 4" xfId="7703"/>
    <cellStyle name="Normal 8 3 5" xfId="7704"/>
    <cellStyle name="Normal 8 3 5 2" xfId="7705"/>
    <cellStyle name="Normal 8 3 6" xfId="7706"/>
    <cellStyle name="Normal 8 3 6 2" xfId="7707"/>
    <cellStyle name="Normal 8 3 7" xfId="7708"/>
    <cellStyle name="Normal 8 4" xfId="7709"/>
    <cellStyle name="Normal 8 4 2" xfId="7710"/>
    <cellStyle name="Normal 8 4 2 2" xfId="7711"/>
    <cellStyle name="Normal 8 4 2 2 2" xfId="7712"/>
    <cellStyle name="Normal 8 4 2 2 2 2" xfId="7713"/>
    <cellStyle name="Normal 8 4 2 2 2 2 2" xfId="7714"/>
    <cellStyle name="Normal 8 4 2 2 2 3" xfId="7715"/>
    <cellStyle name="Normal 8 4 2 2 2 3 2" xfId="7716"/>
    <cellStyle name="Normal 8 4 2 2 2 4" xfId="7717"/>
    <cellStyle name="Normal 8 4 2 2 3" xfId="7718"/>
    <cellStyle name="Normal 8 4 2 2 3 2" xfId="7719"/>
    <cellStyle name="Normal 8 4 2 2 4" xfId="7720"/>
    <cellStyle name="Normal 8 4 2 2 4 2" xfId="7721"/>
    <cellStyle name="Normal 8 4 2 2 5" xfId="7722"/>
    <cellStyle name="Normal 8 4 2 3" xfId="7723"/>
    <cellStyle name="Normal 8 4 2 3 2" xfId="7724"/>
    <cellStyle name="Normal 8 4 2 3 2 2" xfId="7725"/>
    <cellStyle name="Normal 8 4 2 3 3" xfId="7726"/>
    <cellStyle name="Normal 8 4 2 3 3 2" xfId="7727"/>
    <cellStyle name="Normal 8 4 2 3 4" xfId="7728"/>
    <cellStyle name="Normal 8 4 2 4" xfId="7729"/>
    <cellStyle name="Normal 8 4 2 4 2" xfId="7730"/>
    <cellStyle name="Normal 8 4 2 5" xfId="7731"/>
    <cellStyle name="Normal 8 4 2 5 2" xfId="7732"/>
    <cellStyle name="Normal 8 4 2 6" xfId="7733"/>
    <cellStyle name="Normal 8 4 3" xfId="7734"/>
    <cellStyle name="Normal 8 4 3 2" xfId="7735"/>
    <cellStyle name="Normal 8 4 3 2 2" xfId="7736"/>
    <cellStyle name="Normal 8 4 3 2 2 2" xfId="7737"/>
    <cellStyle name="Normal 8 4 3 2 3" xfId="7738"/>
    <cellStyle name="Normal 8 4 3 2 3 2" xfId="7739"/>
    <cellStyle name="Normal 8 4 3 2 4" xfId="7740"/>
    <cellStyle name="Normal 8 4 3 3" xfId="7741"/>
    <cellStyle name="Normal 8 4 3 3 2" xfId="7742"/>
    <cellStyle name="Normal 8 4 3 4" xfId="7743"/>
    <cellStyle name="Normal 8 4 3 4 2" xfId="7744"/>
    <cellStyle name="Normal 8 4 3 5" xfId="7745"/>
    <cellStyle name="Normal 8 4 4" xfId="7746"/>
    <cellStyle name="Normal 8 4 4 2" xfId="7747"/>
    <cellStyle name="Normal 8 4 4 2 2" xfId="7748"/>
    <cellStyle name="Normal 8 4 4 3" xfId="7749"/>
    <cellStyle name="Normal 8 4 4 3 2" xfId="7750"/>
    <cellStyle name="Normal 8 4 4 4" xfId="7751"/>
    <cellStyle name="Normal 8 4 5" xfId="7752"/>
    <cellStyle name="Normal 8 4 5 2" xfId="7753"/>
    <cellStyle name="Normal 8 4 6" xfId="7754"/>
    <cellStyle name="Normal 8 4 6 2" xfId="7755"/>
    <cellStyle name="Normal 8 4 7" xfId="7756"/>
    <cellStyle name="Normal 8 5" xfId="7757"/>
    <cellStyle name="Normal 8 5 2" xfId="7758"/>
    <cellStyle name="Normal 8 5 2 2" xfId="7759"/>
    <cellStyle name="Normal 8 5 2 2 2" xfId="7760"/>
    <cellStyle name="Normal 8 5 2 2 2 2" xfId="7761"/>
    <cellStyle name="Normal 8 5 2 2 3" xfId="7762"/>
    <cellStyle name="Normal 8 5 2 2 3 2" xfId="7763"/>
    <cellStyle name="Normal 8 5 2 2 4" xfId="7764"/>
    <cellStyle name="Normal 8 5 2 3" xfId="7765"/>
    <cellStyle name="Normal 8 5 2 3 2" xfId="7766"/>
    <cellStyle name="Normal 8 5 2 4" xfId="7767"/>
    <cellStyle name="Normal 8 5 2 4 2" xfId="7768"/>
    <cellStyle name="Normal 8 5 2 5" xfId="7769"/>
    <cellStyle name="Normal 8 5 3" xfId="7770"/>
    <cellStyle name="Normal 8 5 3 2" xfId="7771"/>
    <cellStyle name="Normal 8 5 3 2 2" xfId="7772"/>
    <cellStyle name="Normal 8 5 3 3" xfId="7773"/>
    <cellStyle name="Normal 8 5 3 3 2" xfId="7774"/>
    <cellStyle name="Normal 8 5 3 4" xfId="7775"/>
    <cellStyle name="Normal 8 5 4" xfId="7776"/>
    <cellStyle name="Normal 8 5 4 2" xfId="7777"/>
    <cellStyle name="Normal 8 5 5" xfId="7778"/>
    <cellStyle name="Normal 8 5 5 2" xfId="7779"/>
    <cellStyle name="Normal 8 5 6" xfId="7780"/>
    <cellStyle name="Normal 8 6" xfId="7781"/>
    <cellStyle name="Normal 8 6 2" xfId="7782"/>
    <cellStyle name="Normal 8 6 2 2" xfId="7783"/>
    <cellStyle name="Normal 8 6 2 2 2" xfId="7784"/>
    <cellStyle name="Normal 8 6 2 3" xfId="7785"/>
    <cellStyle name="Normal 8 6 2 3 2" xfId="7786"/>
    <cellStyle name="Normal 8 6 2 4" xfId="7787"/>
    <cellStyle name="Normal 8 6 3" xfId="7788"/>
    <cellStyle name="Normal 8 6 3 2" xfId="7789"/>
    <cellStyle name="Normal 8 6 4" xfId="7790"/>
    <cellStyle name="Normal 8 6 4 2" xfId="7791"/>
    <cellStyle name="Normal 8 6 5" xfId="7792"/>
    <cellStyle name="Normal 8 7" xfId="7793"/>
    <cellStyle name="Normal 8 7 2" xfId="7794"/>
    <cellStyle name="Normal 8 7 2 2" xfId="7795"/>
    <cellStyle name="Normal 8 7 3" xfId="7796"/>
    <cellStyle name="Normal 8 7 3 2" xfId="7797"/>
    <cellStyle name="Normal 8 7 4" xfId="7798"/>
    <cellStyle name="Normal 8 8" xfId="7799"/>
    <cellStyle name="Normal 8 8 2" xfId="7800"/>
    <cellStyle name="Normal 8 9" xfId="7801"/>
    <cellStyle name="Normal 8 9 2" xfId="7802"/>
    <cellStyle name="Normal 8_2180" xfId="7803"/>
    <cellStyle name="Normal 80" xfId="7804"/>
    <cellStyle name="Normal 81" xfId="7805"/>
    <cellStyle name="Normal 81 2" xfId="7806"/>
    <cellStyle name="Normal 81 2 2" xfId="7807"/>
    <cellStyle name="Normal 81 2 2 2" xfId="7808"/>
    <cellStyle name="Normal 81 2 3" xfId="7809"/>
    <cellStyle name="Normal 81 2 3 2" xfId="7810"/>
    <cellStyle name="Normal 81 2 4" xfId="7811"/>
    <cellStyle name="Normal 81 3" xfId="7812"/>
    <cellStyle name="Normal 81 3 2" xfId="7813"/>
    <cellStyle name="Normal 81 4" xfId="7814"/>
    <cellStyle name="Normal 81 4 2" xfId="7815"/>
    <cellStyle name="Normal 81 5" xfId="7816"/>
    <cellStyle name="Normal 82" xfId="7817"/>
    <cellStyle name="Normal 82 2" xfId="7818"/>
    <cellStyle name="Normal 82 2 2" xfId="7819"/>
    <cellStyle name="Normal 82 2 2 2" xfId="7820"/>
    <cellStyle name="Normal 82 2 3" xfId="7821"/>
    <cellStyle name="Normal 82 2 3 2" xfId="7822"/>
    <cellStyle name="Normal 82 2 4" xfId="7823"/>
    <cellStyle name="Normal 82 3" xfId="7824"/>
    <cellStyle name="Normal 82 3 2" xfId="7825"/>
    <cellStyle name="Normal 82 4" xfId="7826"/>
    <cellStyle name="Normal 82 4 2" xfId="7827"/>
    <cellStyle name="Normal 82 5" xfId="7828"/>
    <cellStyle name="Normal 83" xfId="7829"/>
    <cellStyle name="Normal 84" xfId="7830"/>
    <cellStyle name="Normal 84 2" xfId="7831"/>
    <cellStyle name="Normal 84 2 2" xfId="7832"/>
    <cellStyle name="Normal 84 2 2 2" xfId="7833"/>
    <cellStyle name="Normal 84 2 3" xfId="7834"/>
    <cellStyle name="Normal 84 2 3 2" xfId="7835"/>
    <cellStyle name="Normal 84 2 4" xfId="7836"/>
    <cellStyle name="Normal 84 3" xfId="7837"/>
    <cellStyle name="Normal 84 3 2" xfId="7838"/>
    <cellStyle name="Normal 84 4" xfId="7839"/>
    <cellStyle name="Normal 84 4 2" xfId="7840"/>
    <cellStyle name="Normal 84 5" xfId="7841"/>
    <cellStyle name="Normal 85" xfId="7842"/>
    <cellStyle name="Normal 85 2" xfId="7843"/>
    <cellStyle name="Normal 85 2 2" xfId="7844"/>
    <cellStyle name="Normal 85 3" xfId="7845"/>
    <cellStyle name="Normal 85 3 2" xfId="7846"/>
    <cellStyle name="Normal 85 4" xfId="7847"/>
    <cellStyle name="Normal 86" xfId="7848"/>
    <cellStyle name="Normal 86 2" xfId="7849"/>
    <cellStyle name="Normal 86 3" xfId="7850"/>
    <cellStyle name="Normal 87" xfId="7851"/>
    <cellStyle name="Normal 87 2" xfId="7852"/>
    <cellStyle name="Normal 88" xfId="7853"/>
    <cellStyle name="Normal 88 2" xfId="7854"/>
    <cellStyle name="Normal 89" xfId="7855"/>
    <cellStyle name="Normal 9" xfId="105"/>
    <cellStyle name="Normal 9 10" xfId="7857"/>
    <cellStyle name="Normal 9 11" xfId="7858"/>
    <cellStyle name="Normal 9 12" xfId="7859"/>
    <cellStyle name="Normal 9 13" xfId="7860"/>
    <cellStyle name="Normal 9 14" xfId="7856"/>
    <cellStyle name="Normal 9 2" xfId="238"/>
    <cellStyle name="Normal 9 2 10" xfId="7862"/>
    <cellStyle name="Normal 9 2 11" xfId="7863"/>
    <cellStyle name="Normal 9 2 12" xfId="7864"/>
    <cellStyle name="Normal 9 2 13" xfId="7861"/>
    <cellStyle name="Normal 9 2 2" xfId="7865"/>
    <cellStyle name="Normal 9 2 2 2" xfId="7866"/>
    <cellStyle name="Normal 9 2 2 2 2" xfId="7867"/>
    <cellStyle name="Normal 9 2 2 2 2 2" xfId="7868"/>
    <cellStyle name="Normal 9 2 2 2 2 2 2" xfId="7869"/>
    <cellStyle name="Normal 9 2 2 2 2 2 2 2" xfId="7870"/>
    <cellStyle name="Normal 9 2 2 2 2 2 3" xfId="7871"/>
    <cellStyle name="Normal 9 2 2 2 2 2 3 2" xfId="7872"/>
    <cellStyle name="Normal 9 2 2 2 2 2 4" xfId="7873"/>
    <cellStyle name="Normal 9 2 2 2 2 3" xfId="7874"/>
    <cellStyle name="Normal 9 2 2 2 2 3 2" xfId="7875"/>
    <cellStyle name="Normal 9 2 2 2 2 4" xfId="7876"/>
    <cellStyle name="Normal 9 2 2 2 2 4 2" xfId="7877"/>
    <cellStyle name="Normal 9 2 2 2 2 5" xfId="7878"/>
    <cellStyle name="Normal 9 2 2 2 3" xfId="7879"/>
    <cellStyle name="Normal 9 2 2 2 3 2" xfId="7880"/>
    <cellStyle name="Normal 9 2 2 2 3 2 2" xfId="7881"/>
    <cellStyle name="Normal 9 2 2 2 3 3" xfId="7882"/>
    <cellStyle name="Normal 9 2 2 2 3 3 2" xfId="7883"/>
    <cellStyle name="Normal 9 2 2 2 3 4" xfId="7884"/>
    <cellStyle name="Normal 9 2 2 2 4" xfId="7885"/>
    <cellStyle name="Normal 9 2 2 2 4 2" xfId="7886"/>
    <cellStyle name="Normal 9 2 2 2 5" xfId="7887"/>
    <cellStyle name="Normal 9 2 2 2 5 2" xfId="7888"/>
    <cellStyle name="Normal 9 2 2 2 6" xfId="7889"/>
    <cellStyle name="Normal 9 2 2 3" xfId="7890"/>
    <cellStyle name="Normal 9 2 2 3 2" xfId="7891"/>
    <cellStyle name="Normal 9 2 2 3 2 2" xfId="7892"/>
    <cellStyle name="Normal 9 2 2 3 2 2 2" xfId="7893"/>
    <cellStyle name="Normal 9 2 2 3 2 3" xfId="7894"/>
    <cellStyle name="Normal 9 2 2 3 2 3 2" xfId="7895"/>
    <cellStyle name="Normal 9 2 2 3 2 4" xfId="7896"/>
    <cellStyle name="Normal 9 2 2 3 3" xfId="7897"/>
    <cellStyle name="Normal 9 2 2 3 3 2" xfId="7898"/>
    <cellStyle name="Normal 9 2 2 3 4" xfId="7899"/>
    <cellStyle name="Normal 9 2 2 3 4 2" xfId="7900"/>
    <cellStyle name="Normal 9 2 2 3 5" xfId="7901"/>
    <cellStyle name="Normal 9 2 2 4" xfId="7902"/>
    <cellStyle name="Normal 9 2 2 4 2" xfId="7903"/>
    <cellStyle name="Normal 9 2 2 4 2 2" xfId="7904"/>
    <cellStyle name="Normal 9 2 2 4 3" xfId="7905"/>
    <cellStyle name="Normal 9 2 2 4 3 2" xfId="7906"/>
    <cellStyle name="Normal 9 2 2 4 4" xfId="7907"/>
    <cellStyle name="Normal 9 2 2 5" xfId="7908"/>
    <cellStyle name="Normal 9 2 2 5 2" xfId="7909"/>
    <cellStyle name="Normal 9 2 2 6" xfId="7910"/>
    <cellStyle name="Normal 9 2 2 6 2" xfId="7911"/>
    <cellStyle name="Normal 9 2 2 7" xfId="7912"/>
    <cellStyle name="Normal 9 2 3" xfId="7913"/>
    <cellStyle name="Normal 9 2 3 2" xfId="7914"/>
    <cellStyle name="Normal 9 2 3 2 2" xfId="7915"/>
    <cellStyle name="Normal 9 2 3 2 2 2" xfId="7916"/>
    <cellStyle name="Normal 9 2 3 2 2 2 2" xfId="7917"/>
    <cellStyle name="Normal 9 2 3 2 2 3" xfId="7918"/>
    <cellStyle name="Normal 9 2 3 2 2 3 2" xfId="7919"/>
    <cellStyle name="Normal 9 2 3 2 2 4" xfId="7920"/>
    <cellStyle name="Normal 9 2 3 2 3" xfId="7921"/>
    <cellStyle name="Normal 9 2 3 2 3 2" xfId="7922"/>
    <cellStyle name="Normal 9 2 3 2 4" xfId="7923"/>
    <cellStyle name="Normal 9 2 3 2 4 2" xfId="7924"/>
    <cellStyle name="Normal 9 2 3 2 5" xfId="7925"/>
    <cellStyle name="Normal 9 2 3 3" xfId="7926"/>
    <cellStyle name="Normal 9 2 3 3 2" xfId="7927"/>
    <cellStyle name="Normal 9 2 3 3 2 2" xfId="7928"/>
    <cellStyle name="Normal 9 2 3 3 3" xfId="7929"/>
    <cellStyle name="Normal 9 2 3 3 3 2" xfId="7930"/>
    <cellStyle name="Normal 9 2 3 3 4" xfId="7931"/>
    <cellStyle name="Normal 9 2 3 4" xfId="7932"/>
    <cellStyle name="Normal 9 2 3 4 2" xfId="7933"/>
    <cellStyle name="Normal 9 2 3 4 3" xfId="7934"/>
    <cellStyle name="Normal 9 2 3 5" xfId="7935"/>
    <cellStyle name="Normal 9 2 3 5 2" xfId="7936"/>
    <cellStyle name="Normal 9 2 3 6" xfId="7937"/>
    <cellStyle name="Normal 9 2 4" xfId="7938"/>
    <cellStyle name="Normal 9 2 4 2" xfId="7939"/>
    <cellStyle name="Normal 9 2 4 2 2" xfId="7940"/>
    <cellStyle name="Normal 9 2 4 2 2 2" xfId="7941"/>
    <cellStyle name="Normal 9 2 4 2 3" xfId="7942"/>
    <cellStyle name="Normal 9 2 4 2 3 2" xfId="7943"/>
    <cellStyle name="Normal 9 2 4 2 4" xfId="7944"/>
    <cellStyle name="Normal 9 2 4 2 5" xfId="7945"/>
    <cellStyle name="Normal 9 2 4 3" xfId="7946"/>
    <cellStyle name="Normal 9 2 4 3 2" xfId="7947"/>
    <cellStyle name="Normal 9 2 4 3 3" xfId="7948"/>
    <cellStyle name="Normal 9 2 4 4" xfId="7949"/>
    <cellStyle name="Normal 9 2 4 4 2" xfId="7950"/>
    <cellStyle name="Normal 9 2 4 4 3" xfId="7951"/>
    <cellStyle name="Normal 9 2 4 5" xfId="7952"/>
    <cellStyle name="Normal 9 2 4 6" xfId="7953"/>
    <cellStyle name="Normal 9 2 5" xfId="7954"/>
    <cellStyle name="Normal 9 2 5 2" xfId="7955"/>
    <cellStyle name="Normal 9 2 5 2 2" xfId="7956"/>
    <cellStyle name="Normal 9 2 5 2 2 2" xfId="7957"/>
    <cellStyle name="Normal 9 2 5 2 2 3" xfId="7958"/>
    <cellStyle name="Normal 9 2 5 2 2 4" xfId="7959"/>
    <cellStyle name="Normal 9 2 5 2 2 5" xfId="7960"/>
    <cellStyle name="Normal 9 2 5 2 3" xfId="7961"/>
    <cellStyle name="Normal 9 2 5 2 3 2" xfId="7962"/>
    <cellStyle name="Normal 9 2 5 2 3 3" xfId="7963"/>
    <cellStyle name="Normal 9 2 5 2 4" xfId="7964"/>
    <cellStyle name="Normal 9 2 5 2 4 2" xfId="7965"/>
    <cellStyle name="Normal 9 2 5 2 4 3" xfId="7966"/>
    <cellStyle name="Normal 9 2 5 2 5" xfId="7967"/>
    <cellStyle name="Normal 9 2 5 2 6" xfId="7968"/>
    <cellStyle name="Normal 9 2 5 3" xfId="7969"/>
    <cellStyle name="Normal 9 2 5 3 2" xfId="7970"/>
    <cellStyle name="Normal 9 2 5 3 2 2" xfId="7971"/>
    <cellStyle name="Normal 9 2 5 3 2 2 2" xfId="7972"/>
    <cellStyle name="Normal 9 2 5 3 2 2 3" xfId="7973"/>
    <cellStyle name="Normal 9 2 5 3 2 3" xfId="7974"/>
    <cellStyle name="Normal 9 2 5 3 2 3 2" xfId="7975"/>
    <cellStyle name="Normal 9 2 5 3 2 3 3" xfId="7976"/>
    <cellStyle name="Normal 9 2 5 3 2 4" xfId="7977"/>
    <cellStyle name="Normal 9 2 5 3 2 5" xfId="7978"/>
    <cellStyle name="Normal 9 2 5 3 3" xfId="7979"/>
    <cellStyle name="Normal 9 2 5 3 3 2" xfId="7980"/>
    <cellStyle name="Normal 9 2 5 3 3 3" xfId="7981"/>
    <cellStyle name="Normal 9 2 5 3 3 4" xfId="7982"/>
    <cellStyle name="Normal 9 2 5 3 3 5" xfId="7983"/>
    <cellStyle name="Normal 9 2 5 3 4" xfId="7984"/>
    <cellStyle name="Normal 9 2 5 3 4 2" xfId="7985"/>
    <cellStyle name="Normal 9 2 5 3 4 3" xfId="7986"/>
    <cellStyle name="Normal 9 2 5 3 5" xfId="7987"/>
    <cellStyle name="Normal 9 2 5 3 5 2" xfId="7988"/>
    <cellStyle name="Normal 9 2 5 3 5 3" xfId="7989"/>
    <cellStyle name="Normal 9 2 5 3 6" xfId="7990"/>
    <cellStyle name="Normal 9 2 5 3 7" xfId="7991"/>
    <cellStyle name="Normal 9 2 5 4" xfId="7992"/>
    <cellStyle name="Normal 9 2 5 4 2" xfId="7993"/>
    <cellStyle name="Normal 9 2 5 4 2 2" xfId="7994"/>
    <cellStyle name="Normal 9 2 5 4 2 3" xfId="7995"/>
    <cellStyle name="Normal 9 2 5 4 3" xfId="7996"/>
    <cellStyle name="Normal 9 2 5 4 3 2" xfId="7997"/>
    <cellStyle name="Normal 9 2 5 4 3 3" xfId="7998"/>
    <cellStyle name="Normal 9 2 5 4 4" xfId="7999"/>
    <cellStyle name="Normal 9 2 5 4 5" xfId="8000"/>
    <cellStyle name="Normal 9 2 5 5" xfId="8001"/>
    <cellStyle name="Normal 9 2 5 5 2" xfId="8002"/>
    <cellStyle name="Normal 9 2 5 5 3" xfId="8003"/>
    <cellStyle name="Normal 9 2 5 5 4" xfId="8004"/>
    <cellStyle name="Normal 9 2 5 5 5" xfId="8005"/>
    <cellStyle name="Normal 9 2 5 6" xfId="8006"/>
    <cellStyle name="Normal 9 2 5 6 2" xfId="8007"/>
    <cellStyle name="Normal 9 2 5 6 3" xfId="8008"/>
    <cellStyle name="Normal 9 2 5 7" xfId="8009"/>
    <cellStyle name="Normal 9 2 5 7 2" xfId="8010"/>
    <cellStyle name="Normal 9 2 5 7 3" xfId="8011"/>
    <cellStyle name="Normal 9 2 5 8" xfId="8012"/>
    <cellStyle name="Normal 9 2 5 9" xfId="8013"/>
    <cellStyle name="Normal 9 2 5_10070" xfId="8014"/>
    <cellStyle name="Normal 9 2 6" xfId="8015"/>
    <cellStyle name="Normal 9 2 6 2" xfId="8016"/>
    <cellStyle name="Normal 9 2 6 3" xfId="8017"/>
    <cellStyle name="Normal 9 2 6 4" xfId="8018"/>
    <cellStyle name="Normal 9 2 6 5" xfId="8019"/>
    <cellStyle name="Normal 9 2 7" xfId="8020"/>
    <cellStyle name="Normal 9 2 7 2" xfId="8021"/>
    <cellStyle name="Normal 9 2 7 3" xfId="8022"/>
    <cellStyle name="Normal 9 2 8" xfId="8023"/>
    <cellStyle name="Normal 9 2 8 2" xfId="8024"/>
    <cellStyle name="Normal 9 2 8 3" xfId="8025"/>
    <cellStyle name="Normal 9 2 9" xfId="8026"/>
    <cellStyle name="Normal 9 3" xfId="8027"/>
    <cellStyle name="Normal 9 3 2" xfId="8028"/>
    <cellStyle name="Normal 9 3 2 2" xfId="8029"/>
    <cellStyle name="Normal 9 3 2 2 2" xfId="8030"/>
    <cellStyle name="Normal 9 3 2 2 2 2" xfId="8031"/>
    <cellStyle name="Normal 9 3 2 2 2 2 2" xfId="8032"/>
    <cellStyle name="Normal 9 3 2 2 2 3" xfId="8033"/>
    <cellStyle name="Normal 9 3 2 2 2 3 2" xfId="8034"/>
    <cellStyle name="Normal 9 3 2 2 2 4" xfId="8035"/>
    <cellStyle name="Normal 9 3 2 2 3" xfId="8036"/>
    <cellStyle name="Normal 9 3 2 2 3 2" xfId="8037"/>
    <cellStyle name="Normal 9 3 2 2 4" xfId="8038"/>
    <cellStyle name="Normal 9 3 2 2 4 2" xfId="8039"/>
    <cellStyle name="Normal 9 3 2 2 5" xfId="8040"/>
    <cellStyle name="Normal 9 3 2 3" xfId="8041"/>
    <cellStyle name="Normal 9 3 2 3 2" xfId="8042"/>
    <cellStyle name="Normal 9 3 2 3 2 2" xfId="8043"/>
    <cellStyle name="Normal 9 3 2 3 3" xfId="8044"/>
    <cellStyle name="Normal 9 3 2 3 3 2" xfId="8045"/>
    <cellStyle name="Normal 9 3 2 3 4" xfId="8046"/>
    <cellStyle name="Normal 9 3 2 4" xfId="8047"/>
    <cellStyle name="Normal 9 3 2 4 2" xfId="8048"/>
    <cellStyle name="Normal 9 3 2 5" xfId="8049"/>
    <cellStyle name="Normal 9 3 2 5 2" xfId="8050"/>
    <cellStyle name="Normal 9 3 2 6" xfId="8051"/>
    <cellStyle name="Normal 9 3 3" xfId="8052"/>
    <cellStyle name="Normal 9 3 3 2" xfId="8053"/>
    <cellStyle name="Normal 9 3 3 2 2" xfId="8054"/>
    <cellStyle name="Normal 9 3 3 2 2 2" xfId="8055"/>
    <cellStyle name="Normal 9 3 3 2 3" xfId="8056"/>
    <cellStyle name="Normal 9 3 3 2 3 2" xfId="8057"/>
    <cellStyle name="Normal 9 3 3 2 4" xfId="8058"/>
    <cellStyle name="Normal 9 3 3 3" xfId="8059"/>
    <cellStyle name="Normal 9 3 3 3 2" xfId="8060"/>
    <cellStyle name="Normal 9 3 3 4" xfId="8061"/>
    <cellStyle name="Normal 9 3 3 4 2" xfId="8062"/>
    <cellStyle name="Normal 9 3 3 5" xfId="8063"/>
    <cellStyle name="Normal 9 3 4" xfId="8064"/>
    <cellStyle name="Normal 9 3 4 2" xfId="8065"/>
    <cellStyle name="Normal 9 3 4 2 2" xfId="8066"/>
    <cellStyle name="Normal 9 3 4 3" xfId="8067"/>
    <cellStyle name="Normal 9 3 4 3 2" xfId="8068"/>
    <cellStyle name="Normal 9 3 4 4" xfId="8069"/>
    <cellStyle name="Normal 9 3 5" xfId="8070"/>
    <cellStyle name="Normal 9 3 5 2" xfId="8071"/>
    <cellStyle name="Normal 9 3 6" xfId="8072"/>
    <cellStyle name="Normal 9 3 6 2" xfId="8073"/>
    <cellStyle name="Normal 9 3 7" xfId="8074"/>
    <cellStyle name="Normal 9 4" xfId="8075"/>
    <cellStyle name="Normal 9 4 2" xfId="8076"/>
    <cellStyle name="Normal 9 4 2 2" xfId="8077"/>
    <cellStyle name="Normal 9 4 2 2 2" xfId="8078"/>
    <cellStyle name="Normal 9 4 2 2 2 2" xfId="8079"/>
    <cellStyle name="Normal 9 4 2 2 2 2 2" xfId="8080"/>
    <cellStyle name="Normal 9 4 2 2 2 3" xfId="8081"/>
    <cellStyle name="Normal 9 4 2 2 2 3 2" xfId="8082"/>
    <cellStyle name="Normal 9 4 2 2 2 4" xfId="8083"/>
    <cellStyle name="Normal 9 4 2 2 3" xfId="8084"/>
    <cellStyle name="Normal 9 4 2 2 3 2" xfId="8085"/>
    <cellStyle name="Normal 9 4 2 2 4" xfId="8086"/>
    <cellStyle name="Normal 9 4 2 2 4 2" xfId="8087"/>
    <cellStyle name="Normal 9 4 2 2 5" xfId="8088"/>
    <cellStyle name="Normal 9 4 2 3" xfId="8089"/>
    <cellStyle name="Normal 9 4 2 3 2" xfId="8090"/>
    <cellStyle name="Normal 9 4 2 3 2 2" xfId="8091"/>
    <cellStyle name="Normal 9 4 2 3 3" xfId="8092"/>
    <cellStyle name="Normal 9 4 2 3 3 2" xfId="8093"/>
    <cellStyle name="Normal 9 4 2 3 4" xfId="8094"/>
    <cellStyle name="Normal 9 4 2 4" xfId="8095"/>
    <cellStyle name="Normal 9 4 2 4 2" xfId="8096"/>
    <cellStyle name="Normal 9 4 2 5" xfId="8097"/>
    <cellStyle name="Normal 9 4 2 5 2" xfId="8098"/>
    <cellStyle name="Normal 9 4 2 6" xfId="8099"/>
    <cellStyle name="Normal 9 4 3" xfId="8100"/>
    <cellStyle name="Normal 9 4 3 2" xfId="8101"/>
    <cellStyle name="Normal 9 4 3 2 2" xfId="8102"/>
    <cellStyle name="Normal 9 4 3 2 2 2" xfId="8103"/>
    <cellStyle name="Normal 9 4 3 2 3" xfId="8104"/>
    <cellStyle name="Normal 9 4 3 2 3 2" xfId="8105"/>
    <cellStyle name="Normal 9 4 3 2 4" xfId="8106"/>
    <cellStyle name="Normal 9 4 3 3" xfId="8107"/>
    <cellStyle name="Normal 9 4 3 3 2" xfId="8108"/>
    <cellStyle name="Normal 9 4 3 4" xfId="8109"/>
    <cellStyle name="Normal 9 4 3 4 2" xfId="8110"/>
    <cellStyle name="Normal 9 4 3 5" xfId="8111"/>
    <cellStyle name="Normal 9 4 4" xfId="8112"/>
    <cellStyle name="Normal 9 4 4 2" xfId="8113"/>
    <cellStyle name="Normal 9 4 4 2 2" xfId="8114"/>
    <cellStyle name="Normal 9 4 4 3" xfId="8115"/>
    <cellStyle name="Normal 9 4 4 3 2" xfId="8116"/>
    <cellStyle name="Normal 9 4 4 4" xfId="8117"/>
    <cellStyle name="Normal 9 4 5" xfId="8118"/>
    <cellStyle name="Normal 9 4 5 2" xfId="8119"/>
    <cellStyle name="Normal 9 4 6" xfId="8120"/>
    <cellStyle name="Normal 9 4 6 2" xfId="8121"/>
    <cellStyle name="Normal 9 4 7" xfId="8122"/>
    <cellStyle name="Normal 9 5" xfId="8123"/>
    <cellStyle name="Normal 9 5 2" xfId="8124"/>
    <cellStyle name="Normal 9 5 2 2" xfId="8125"/>
    <cellStyle name="Normal 9 5 2 2 2" xfId="8126"/>
    <cellStyle name="Normal 9 5 2 2 2 2" xfId="8127"/>
    <cellStyle name="Normal 9 5 2 2 3" xfId="8128"/>
    <cellStyle name="Normal 9 5 2 2 3 2" xfId="8129"/>
    <cellStyle name="Normal 9 5 2 2 4" xfId="8130"/>
    <cellStyle name="Normal 9 5 2 2 5" xfId="8131"/>
    <cellStyle name="Normal 9 5 2 3" xfId="8132"/>
    <cellStyle name="Normal 9 5 2 3 2" xfId="8133"/>
    <cellStyle name="Normal 9 5 2 3 3" xfId="8134"/>
    <cellStyle name="Normal 9 5 2 4" xfId="8135"/>
    <cellStyle name="Normal 9 5 2 4 2" xfId="8136"/>
    <cellStyle name="Normal 9 5 2 4 3" xfId="8137"/>
    <cellStyle name="Normal 9 5 2 5" xfId="8138"/>
    <cellStyle name="Normal 9 5 2 6" xfId="8139"/>
    <cellStyle name="Normal 9 5 3" xfId="8140"/>
    <cellStyle name="Normal 9 5 3 2" xfId="8141"/>
    <cellStyle name="Normal 9 5 3 2 2" xfId="8142"/>
    <cellStyle name="Normal 9 5 3 2 2 2" xfId="8143"/>
    <cellStyle name="Normal 9 5 3 2 2 3" xfId="8144"/>
    <cellStyle name="Normal 9 5 3 2 3" xfId="8145"/>
    <cellStyle name="Normal 9 5 3 2 3 2" xfId="8146"/>
    <cellStyle name="Normal 9 5 3 2 3 3" xfId="8147"/>
    <cellStyle name="Normal 9 5 3 2 4" xfId="8148"/>
    <cellStyle name="Normal 9 5 3 2 5" xfId="8149"/>
    <cellStyle name="Normal 9 5 3 3" xfId="8150"/>
    <cellStyle name="Normal 9 5 3 3 2" xfId="8151"/>
    <cellStyle name="Normal 9 5 3 3 3" xfId="8152"/>
    <cellStyle name="Normal 9 5 3 3 4" xfId="8153"/>
    <cellStyle name="Normal 9 5 3 3 5" xfId="8154"/>
    <cellStyle name="Normal 9 5 3 4" xfId="8155"/>
    <cellStyle name="Normal 9 5 3 4 2" xfId="8156"/>
    <cellStyle name="Normal 9 5 3 4 3" xfId="8157"/>
    <cellStyle name="Normal 9 5 3 5" xfId="8158"/>
    <cellStyle name="Normal 9 5 3 5 2" xfId="8159"/>
    <cellStyle name="Normal 9 5 3 5 3" xfId="8160"/>
    <cellStyle name="Normal 9 5 3 6" xfId="8161"/>
    <cellStyle name="Normal 9 5 3 7" xfId="8162"/>
    <cellStyle name="Normal 9 5 4" xfId="8163"/>
    <cellStyle name="Normal 9 5 4 2" xfId="8164"/>
    <cellStyle name="Normal 9 5 4 2 2" xfId="8165"/>
    <cellStyle name="Normal 9 5 4 2 3" xfId="8166"/>
    <cellStyle name="Normal 9 5 4 3" xfId="8167"/>
    <cellStyle name="Normal 9 5 4 3 2" xfId="8168"/>
    <cellStyle name="Normal 9 5 4 3 3" xfId="8169"/>
    <cellStyle name="Normal 9 5 4 4" xfId="8170"/>
    <cellStyle name="Normal 9 5 4 5" xfId="8171"/>
    <cellStyle name="Normal 9 5 5" xfId="8172"/>
    <cellStyle name="Normal 9 5 5 2" xfId="8173"/>
    <cellStyle name="Normal 9 5 5 3" xfId="8174"/>
    <cellStyle name="Normal 9 5 5 4" xfId="8175"/>
    <cellStyle name="Normal 9 5 5 5" xfId="8176"/>
    <cellStyle name="Normal 9 5 6" xfId="8177"/>
    <cellStyle name="Normal 9 5 6 2" xfId="8178"/>
    <cellStyle name="Normal 9 5 6 3" xfId="8179"/>
    <cellStyle name="Normal 9 5 7" xfId="8180"/>
    <cellStyle name="Normal 9 5 7 2" xfId="8181"/>
    <cellStyle name="Normal 9 5 7 3" xfId="8182"/>
    <cellStyle name="Normal 9 5 8" xfId="8183"/>
    <cellStyle name="Normal 9 5 9" xfId="8184"/>
    <cellStyle name="Normal 9 5_10070" xfId="8185"/>
    <cellStyle name="Normal 9 6" xfId="8186"/>
    <cellStyle name="Normal 9 6 2" xfId="8187"/>
    <cellStyle name="Normal 9 6 2 2" xfId="8188"/>
    <cellStyle name="Normal 9 6 2 2 2" xfId="8189"/>
    <cellStyle name="Normal 9 6 2 3" xfId="8190"/>
    <cellStyle name="Normal 9 6 2 3 2" xfId="8191"/>
    <cellStyle name="Normal 9 6 2 4" xfId="8192"/>
    <cellStyle name="Normal 9 6 3" xfId="8193"/>
    <cellStyle name="Normal 9 6 3 2" xfId="8194"/>
    <cellStyle name="Normal 9 6 3 3" xfId="8195"/>
    <cellStyle name="Normal 9 6 4" xfId="8196"/>
    <cellStyle name="Normal 9 6 4 2" xfId="8197"/>
    <cellStyle name="Normal 9 6 5" xfId="8198"/>
    <cellStyle name="Normal 9 7" xfId="8199"/>
    <cellStyle name="Normal 9 7 2" xfId="8200"/>
    <cellStyle name="Normal 9 7 2 2" xfId="8201"/>
    <cellStyle name="Normal 9 7 3" xfId="8202"/>
    <cellStyle name="Normal 9 7 3 2" xfId="8203"/>
    <cellStyle name="Normal 9 7 4" xfId="8204"/>
    <cellStyle name="Normal 9 7 5" xfId="8205"/>
    <cellStyle name="Normal 9 8" xfId="8206"/>
    <cellStyle name="Normal 9 8 2" xfId="8207"/>
    <cellStyle name="Normal 9 8 3" xfId="8208"/>
    <cellStyle name="Normal 9 9" xfId="8209"/>
    <cellStyle name="Normal 9 9 2" xfId="8210"/>
    <cellStyle name="Normal 9 9 3" xfId="8211"/>
    <cellStyle name="Normal 9_2180" xfId="8212"/>
    <cellStyle name="Normal 90" xfId="8213"/>
    <cellStyle name="Normal 90 2" xfId="8214"/>
    <cellStyle name="Normal 91" xfId="8215"/>
    <cellStyle name="Normal 92" xfId="8216"/>
    <cellStyle name="Normal 92 2" xfId="8217"/>
    <cellStyle name="Normal 92 2 2" xfId="8218"/>
    <cellStyle name="Normal 93" xfId="8219"/>
    <cellStyle name="Normal 93 2" xfId="8220"/>
    <cellStyle name="Normal 93 3" xfId="8221"/>
    <cellStyle name="Normal 94" xfId="8222"/>
    <cellStyle name="Normal 94 2" xfId="8223"/>
    <cellStyle name="Normal 94 3" xfId="8224"/>
    <cellStyle name="Normal 95" xfId="8225"/>
    <cellStyle name="Normal 95 2" xfId="8226"/>
    <cellStyle name="Normal 95 3" xfId="8227"/>
    <cellStyle name="Normal 96" xfId="8228"/>
    <cellStyle name="Normal 96 2" xfId="8229"/>
    <cellStyle name="Normal 96 3" xfId="8230"/>
    <cellStyle name="Normal 97" xfId="8231"/>
    <cellStyle name="Normal 97 2" xfId="8232"/>
    <cellStyle name="Normal 97 3" xfId="8233"/>
    <cellStyle name="Normal 98" xfId="8234"/>
    <cellStyle name="Normal 98 2" xfId="8235"/>
    <cellStyle name="Normal 98 2 2" xfId="8236"/>
    <cellStyle name="Normal 99" xfId="8237"/>
    <cellStyle name="Normal 99 2" xfId="8238"/>
    <cellStyle name="Normal 99 3" xfId="8239"/>
    <cellStyle name="Normal 99 4" xfId="8240"/>
    <cellStyle name="Normal_2149 Depr 12-31-10" xfId="2"/>
    <cellStyle name="Normal_Clark County Depr 12-31-10 R" xfId="239"/>
    <cellStyle name="Note 2" xfId="106"/>
    <cellStyle name="Note 2 2" xfId="241"/>
    <cellStyle name="Note 2 2 2" xfId="8243"/>
    <cellStyle name="Note 2 2 2 2" xfId="8244"/>
    <cellStyle name="Note 2 2 2 3" xfId="8245"/>
    <cellStyle name="Note 2 2 2 4" xfId="8246"/>
    <cellStyle name="Note 2 2 2 5" xfId="8247"/>
    <cellStyle name="Note 2 2 3" xfId="8248"/>
    <cellStyle name="Note 2 2 3 2" xfId="8249"/>
    <cellStyle name="Note 2 2 3 3" xfId="8250"/>
    <cellStyle name="Note 2 2 3 4" xfId="8251"/>
    <cellStyle name="Note 2 2 3 5" xfId="8252"/>
    <cellStyle name="Note 2 2 4" xfId="8242"/>
    <cellStyle name="Note 2 3" xfId="8253"/>
    <cellStyle name="Note 2 3 2" xfId="8254"/>
    <cellStyle name="Note 2 3 2 2" xfId="8255"/>
    <cellStyle name="Note 2 3 2 3" xfId="8256"/>
    <cellStyle name="Note 2 3 2 4" xfId="8257"/>
    <cellStyle name="Note 2 3 2 5" xfId="8258"/>
    <cellStyle name="Note 2 3 3" xfId="8259"/>
    <cellStyle name="Note 2 4" xfId="8260"/>
    <cellStyle name="Note 2 4 2" xfId="8261"/>
    <cellStyle name="Note 2 4 2 2" xfId="8262"/>
    <cellStyle name="Note 2 4 2 3" xfId="8263"/>
    <cellStyle name="Note 2 4 2 4" xfId="8264"/>
    <cellStyle name="Note 2 4 2 5" xfId="8265"/>
    <cellStyle name="Note 2 4 3" xfId="8266"/>
    <cellStyle name="Note 2 5" xfId="8267"/>
    <cellStyle name="Note 2 5 2" xfId="8268"/>
    <cellStyle name="Note 2 5 3" xfId="8269"/>
    <cellStyle name="Note 2 5 4" xfId="8270"/>
    <cellStyle name="Note 2 5 5" xfId="8271"/>
    <cellStyle name="Note 2 6" xfId="8272"/>
    <cellStyle name="Note 2 7" xfId="8241"/>
    <cellStyle name="Note 3" xfId="240"/>
    <cellStyle name="Note 3 2" xfId="8274"/>
    <cellStyle name="Note 3 2 2" xfId="8275"/>
    <cellStyle name="Note 3 2 2 2" xfId="8276"/>
    <cellStyle name="Note 3 2 2 3" xfId="8277"/>
    <cellStyle name="Note 3 2 2 4" xfId="8278"/>
    <cellStyle name="Note 3 2 2 5" xfId="8279"/>
    <cellStyle name="Note 3 2 3" xfId="8280"/>
    <cellStyle name="Note 3 2 3 2" xfId="8281"/>
    <cellStyle name="Note 3 2 3 3" xfId="8282"/>
    <cellStyle name="Note 3 2 3 4" xfId="8283"/>
    <cellStyle name="Note 3 2 3 5" xfId="8284"/>
    <cellStyle name="Note 3 3" xfId="8285"/>
    <cellStyle name="Note 3 3 2" xfId="8286"/>
    <cellStyle name="Note 3 3 2 2" xfId="8287"/>
    <cellStyle name="Note 3 3 2 3" xfId="8288"/>
    <cellStyle name="Note 3 3 2 4" xfId="8289"/>
    <cellStyle name="Note 3 3 2 5" xfId="8290"/>
    <cellStyle name="Note 3 3 3" xfId="8291"/>
    <cellStyle name="Note 3 4" xfId="8292"/>
    <cellStyle name="Note 3 4 2" xfId="8293"/>
    <cellStyle name="Note 3 4 2 2" xfId="8294"/>
    <cellStyle name="Note 3 4 2 3" xfId="8295"/>
    <cellStyle name="Note 3 4 2 4" xfId="8296"/>
    <cellStyle name="Note 3 4 2 5" xfId="8297"/>
    <cellStyle name="Note 3 4 3" xfId="8298"/>
    <cellStyle name="Note 3 5" xfId="8299"/>
    <cellStyle name="Note 3 5 2" xfId="8300"/>
    <cellStyle name="Note 3 5 3" xfId="8301"/>
    <cellStyle name="Note 3 5 4" xfId="8302"/>
    <cellStyle name="Note 3 5 5" xfId="8303"/>
    <cellStyle name="Note 3 6" xfId="8304"/>
    <cellStyle name="Note 3 7" xfId="8273"/>
    <cellStyle name="Note 4" xfId="8305"/>
    <cellStyle name="Note 4 2" xfId="8306"/>
    <cellStyle name="Note 4 3" xfId="8307"/>
    <cellStyle name="Note 4 3 2" xfId="8308"/>
    <cellStyle name="Note 4 3 3" xfId="8309"/>
    <cellStyle name="Note 4 3 4" xfId="8310"/>
    <cellStyle name="Note 4 3 5" xfId="8311"/>
    <cellStyle name="Note 4 4" xfId="8312"/>
    <cellStyle name="Note 4 5" xfId="8313"/>
    <cellStyle name="Note 5" xfId="8314"/>
    <cellStyle name="Note 5 2" xfId="8315"/>
    <cellStyle name="Note 5 2 2" xfId="8316"/>
    <cellStyle name="Note 5 2 3" xfId="8317"/>
    <cellStyle name="Note 5 2 4" xfId="8318"/>
    <cellStyle name="Note 5 2 5" xfId="8319"/>
    <cellStyle name="Note 6" xfId="8320"/>
    <cellStyle name="Notes" xfId="107"/>
    <cellStyle name="Notes 2" xfId="8321"/>
    <cellStyle name="Output 2" xfId="243"/>
    <cellStyle name="Output 2 2" xfId="8324"/>
    <cellStyle name="Output 2 2 2" xfId="8325"/>
    <cellStyle name="Output 2 2 2 2" xfId="8326"/>
    <cellStyle name="Output 2 2 2 2 2" xfId="8327"/>
    <cellStyle name="Output 2 2 2 2 3" xfId="8328"/>
    <cellStyle name="Output 2 2 2 2 4" xfId="8329"/>
    <cellStyle name="Output 2 2 2 2 5" xfId="8330"/>
    <cellStyle name="Output 2 2 2 3" xfId="8331"/>
    <cellStyle name="Output 2 2 3" xfId="8332"/>
    <cellStyle name="Output 2 2 3 2" xfId="8333"/>
    <cellStyle name="Output 2 2 3 3" xfId="8334"/>
    <cellStyle name="Output 2 2 3 4" xfId="8335"/>
    <cellStyle name="Output 2 2 3 5" xfId="8336"/>
    <cellStyle name="Output 2 2 4" xfId="8337"/>
    <cellStyle name="Output 2 3" xfId="8338"/>
    <cellStyle name="Output 2 3 2" xfId="8339"/>
    <cellStyle name="Output 2 3 2 2" xfId="8340"/>
    <cellStyle name="Output 2 3 2 3" xfId="8341"/>
    <cellStyle name="Output 2 3 2 4" xfId="8342"/>
    <cellStyle name="Output 2 3 2 5" xfId="8343"/>
    <cellStyle name="Output 2 3 3" xfId="8344"/>
    <cellStyle name="Output 2 4" xfId="8345"/>
    <cellStyle name="Output 2 4 2" xfId="8346"/>
    <cellStyle name="Output 2 4 3" xfId="8347"/>
    <cellStyle name="Output 2 4 4" xfId="8348"/>
    <cellStyle name="Output 2 4 5" xfId="8349"/>
    <cellStyle name="Output 2 5" xfId="8350"/>
    <cellStyle name="Output 2 6" xfId="8323"/>
    <cellStyle name="Output 3" xfId="242"/>
    <cellStyle name="Output 3 2" xfId="8352"/>
    <cellStyle name="Output 3 2 2" xfId="8353"/>
    <cellStyle name="Output 3 2 2 2" xfId="8354"/>
    <cellStyle name="Output 3 2 2 3" xfId="8355"/>
    <cellStyle name="Output 3 2 2 4" xfId="8356"/>
    <cellStyle name="Output 3 2 2 5" xfId="8357"/>
    <cellStyle name="Output 3 2 3" xfId="8358"/>
    <cellStyle name="Output 3 3" xfId="8359"/>
    <cellStyle name="Output 3 3 2" xfId="8360"/>
    <cellStyle name="Output 3 3 3" xfId="8361"/>
    <cellStyle name="Output 3 3 4" xfId="8362"/>
    <cellStyle name="Output 3 3 5" xfId="8363"/>
    <cellStyle name="Output 3 4" xfId="8364"/>
    <cellStyle name="Output 3 4 2" xfId="8365"/>
    <cellStyle name="Output 3 4 3" xfId="8366"/>
    <cellStyle name="Output 3 4 4" xfId="8367"/>
    <cellStyle name="Output 3 4 5" xfId="8368"/>
    <cellStyle name="Output 3 5" xfId="8369"/>
    <cellStyle name="Output 3 6" xfId="8351"/>
    <cellStyle name="Output 4" xfId="8370"/>
    <cellStyle name="Output 5" xfId="8322"/>
    <cellStyle name="Percent" xfId="9017" builtinId="5"/>
    <cellStyle name="Percent 10" xfId="8371"/>
    <cellStyle name="Percent 10 2" xfId="8372"/>
    <cellStyle name="Percent 10 3" xfId="8373"/>
    <cellStyle name="Percent 10 4" xfId="8374"/>
    <cellStyle name="Percent 11" xfId="8375"/>
    <cellStyle name="Percent 11 2" xfId="8376"/>
    <cellStyle name="Percent 11 2 2" xfId="8377"/>
    <cellStyle name="Percent 11 3" xfId="8378"/>
    <cellStyle name="Percent 11 3 2" xfId="8379"/>
    <cellStyle name="Percent 11 4" xfId="8380"/>
    <cellStyle name="Percent 12" xfId="8381"/>
    <cellStyle name="Percent 13" xfId="8382"/>
    <cellStyle name="Percent 14" xfId="8383"/>
    <cellStyle name="Percent 14 2" xfId="8384"/>
    <cellStyle name="Percent 14 2 2" xfId="8385"/>
    <cellStyle name="Percent 15" xfId="9014"/>
    <cellStyle name="Percent 16 2" xfId="8386"/>
    <cellStyle name="Percent 16 2 2" xfId="8387"/>
    <cellStyle name="Percent 2" xfId="108"/>
    <cellStyle name="Percent 2 2" xfId="109"/>
    <cellStyle name="Percent 2 2 2" xfId="8390"/>
    <cellStyle name="Percent 2 2 3" xfId="8391"/>
    <cellStyle name="Percent 2 2 3 2" xfId="8392"/>
    <cellStyle name="Percent 2 2 4" xfId="8389"/>
    <cellStyle name="Percent 2 3" xfId="8393"/>
    <cellStyle name="Percent 2 3 2" xfId="8394"/>
    <cellStyle name="Percent 2 3 3" xfId="8395"/>
    <cellStyle name="Percent 2 4" xfId="8396"/>
    <cellStyle name="Percent 2 4 2" xfId="8397"/>
    <cellStyle name="Percent 2 4 3" xfId="8398"/>
    <cellStyle name="Percent 2 5" xfId="8399"/>
    <cellStyle name="Percent 2 6" xfId="8400"/>
    <cellStyle name="Percent 2 7" xfId="8388"/>
    <cellStyle name="Percent 3" xfId="110"/>
    <cellStyle name="Percent 3 10" xfId="8402"/>
    <cellStyle name="Percent 3 11" xfId="8401"/>
    <cellStyle name="Percent 3 2" xfId="8403"/>
    <cellStyle name="Percent 3 2 2" xfId="8404"/>
    <cellStyle name="Percent 3 2 2 2" xfId="8405"/>
    <cellStyle name="Percent 3 2 2 2 2" xfId="8406"/>
    <cellStyle name="Percent 3 2 2 2 2 2" xfId="8407"/>
    <cellStyle name="Percent 3 2 2 2 2 2 2" xfId="8408"/>
    <cellStyle name="Percent 3 2 2 2 2 2 2 2" xfId="8409"/>
    <cellStyle name="Percent 3 2 2 2 2 2 3" xfId="8410"/>
    <cellStyle name="Percent 3 2 2 2 2 2 3 2" xfId="8411"/>
    <cellStyle name="Percent 3 2 2 2 2 2 4" xfId="8412"/>
    <cellStyle name="Percent 3 2 2 2 2 3" xfId="8413"/>
    <cellStyle name="Percent 3 2 2 2 2 3 2" xfId="8414"/>
    <cellStyle name="Percent 3 2 2 2 2 4" xfId="8415"/>
    <cellStyle name="Percent 3 2 2 2 2 4 2" xfId="8416"/>
    <cellStyle name="Percent 3 2 2 2 2 5" xfId="8417"/>
    <cellStyle name="Percent 3 2 2 2 3" xfId="8418"/>
    <cellStyle name="Percent 3 2 2 2 3 2" xfId="8419"/>
    <cellStyle name="Percent 3 2 2 2 3 2 2" xfId="8420"/>
    <cellStyle name="Percent 3 2 2 2 3 3" xfId="8421"/>
    <cellStyle name="Percent 3 2 2 2 3 3 2" xfId="8422"/>
    <cellStyle name="Percent 3 2 2 2 3 4" xfId="8423"/>
    <cellStyle name="Percent 3 2 2 2 4" xfId="8424"/>
    <cellStyle name="Percent 3 2 2 2 4 2" xfId="8425"/>
    <cellStyle name="Percent 3 2 2 2 5" xfId="8426"/>
    <cellStyle name="Percent 3 2 2 2 5 2" xfId="8427"/>
    <cellStyle name="Percent 3 2 2 2 6" xfId="8428"/>
    <cellStyle name="Percent 3 2 2 3" xfId="8429"/>
    <cellStyle name="Percent 3 2 2 3 2" xfId="8430"/>
    <cellStyle name="Percent 3 2 2 3 2 2" xfId="8431"/>
    <cellStyle name="Percent 3 2 2 3 2 2 2" xfId="8432"/>
    <cellStyle name="Percent 3 2 2 3 2 3" xfId="8433"/>
    <cellStyle name="Percent 3 2 2 3 2 3 2" xfId="8434"/>
    <cellStyle name="Percent 3 2 2 3 2 4" xfId="8435"/>
    <cellStyle name="Percent 3 2 2 3 3" xfId="8436"/>
    <cellStyle name="Percent 3 2 2 3 3 2" xfId="8437"/>
    <cellStyle name="Percent 3 2 2 3 4" xfId="8438"/>
    <cellStyle name="Percent 3 2 2 3 4 2" xfId="8439"/>
    <cellStyle name="Percent 3 2 2 3 5" xfId="8440"/>
    <cellStyle name="Percent 3 2 2 4" xfId="8441"/>
    <cellStyle name="Percent 3 2 2 4 2" xfId="8442"/>
    <cellStyle name="Percent 3 2 2 4 2 2" xfId="8443"/>
    <cellStyle name="Percent 3 2 2 4 3" xfId="8444"/>
    <cellStyle name="Percent 3 2 2 4 3 2" xfId="8445"/>
    <cellStyle name="Percent 3 2 2 4 4" xfId="8446"/>
    <cellStyle name="Percent 3 2 2 5" xfId="8447"/>
    <cellStyle name="Percent 3 2 2 5 2" xfId="8448"/>
    <cellStyle name="Percent 3 2 2 6" xfId="8449"/>
    <cellStyle name="Percent 3 2 2 6 2" xfId="8450"/>
    <cellStyle name="Percent 3 2 2 7" xfId="8451"/>
    <cellStyle name="Percent 3 2 3" xfId="8452"/>
    <cellStyle name="Percent 3 2 3 2" xfId="8453"/>
    <cellStyle name="Percent 3 2 3 2 2" xfId="8454"/>
    <cellStyle name="Percent 3 2 3 2 2 2" xfId="8455"/>
    <cellStyle name="Percent 3 2 3 2 2 2 2" xfId="8456"/>
    <cellStyle name="Percent 3 2 3 2 2 3" xfId="8457"/>
    <cellStyle name="Percent 3 2 3 2 2 3 2" xfId="8458"/>
    <cellStyle name="Percent 3 2 3 2 2 4" xfId="8459"/>
    <cellStyle name="Percent 3 2 3 2 3" xfId="8460"/>
    <cellStyle name="Percent 3 2 3 2 3 2" xfId="8461"/>
    <cellStyle name="Percent 3 2 3 2 4" xfId="8462"/>
    <cellStyle name="Percent 3 2 3 2 4 2" xfId="8463"/>
    <cellStyle name="Percent 3 2 3 2 5" xfId="8464"/>
    <cellStyle name="Percent 3 2 3 3" xfId="8465"/>
    <cellStyle name="Percent 3 2 3 3 2" xfId="8466"/>
    <cellStyle name="Percent 3 2 3 3 2 2" xfId="8467"/>
    <cellStyle name="Percent 3 2 3 3 3" xfId="8468"/>
    <cellStyle name="Percent 3 2 3 3 3 2" xfId="8469"/>
    <cellStyle name="Percent 3 2 3 3 4" xfId="8470"/>
    <cellStyle name="Percent 3 2 3 4" xfId="8471"/>
    <cellStyle name="Percent 3 2 3 4 2" xfId="8472"/>
    <cellStyle name="Percent 3 2 3 5" xfId="8473"/>
    <cellStyle name="Percent 3 2 3 5 2" xfId="8474"/>
    <cellStyle name="Percent 3 2 3 6" xfId="8475"/>
    <cellStyle name="Percent 3 2 4" xfId="8476"/>
    <cellStyle name="Percent 3 2 4 2" xfId="8477"/>
    <cellStyle name="Percent 3 2 4 2 2" xfId="8478"/>
    <cellStyle name="Percent 3 2 4 2 2 2" xfId="8479"/>
    <cellStyle name="Percent 3 2 4 2 3" xfId="8480"/>
    <cellStyle name="Percent 3 2 4 2 3 2" xfId="8481"/>
    <cellStyle name="Percent 3 2 4 2 4" xfId="8482"/>
    <cellStyle name="Percent 3 2 4 3" xfId="8483"/>
    <cellStyle name="Percent 3 2 4 3 2" xfId="8484"/>
    <cellStyle name="Percent 3 2 4 4" xfId="8485"/>
    <cellStyle name="Percent 3 2 4 4 2" xfId="8486"/>
    <cellStyle name="Percent 3 2 4 5" xfId="8487"/>
    <cellStyle name="Percent 3 2 5" xfId="8488"/>
    <cellStyle name="Percent 3 2 5 2" xfId="8489"/>
    <cellStyle name="Percent 3 2 5 2 2" xfId="8490"/>
    <cellStyle name="Percent 3 2 5 3" xfId="8491"/>
    <cellStyle name="Percent 3 2 5 3 2" xfId="8492"/>
    <cellStyle name="Percent 3 2 5 4" xfId="8493"/>
    <cellStyle name="Percent 3 2 6" xfId="8494"/>
    <cellStyle name="Percent 3 2 6 2" xfId="8495"/>
    <cellStyle name="Percent 3 2 7" xfId="8496"/>
    <cellStyle name="Percent 3 2 7 2" xfId="8497"/>
    <cellStyle name="Percent 3 2 8" xfId="8498"/>
    <cellStyle name="Percent 3 3" xfId="8499"/>
    <cellStyle name="Percent 3 3 2" xfId="8500"/>
    <cellStyle name="Percent 3 3 2 2" xfId="8501"/>
    <cellStyle name="Percent 3 3 2 2 2" xfId="8502"/>
    <cellStyle name="Percent 3 3 2 2 2 2" xfId="8503"/>
    <cellStyle name="Percent 3 3 2 2 2 2 2" xfId="8504"/>
    <cellStyle name="Percent 3 3 2 2 2 3" xfId="8505"/>
    <cellStyle name="Percent 3 3 2 2 2 3 2" xfId="8506"/>
    <cellStyle name="Percent 3 3 2 2 2 4" xfId="8507"/>
    <cellStyle name="Percent 3 3 2 2 3" xfId="8508"/>
    <cellStyle name="Percent 3 3 2 2 3 2" xfId="8509"/>
    <cellStyle name="Percent 3 3 2 2 4" xfId="8510"/>
    <cellStyle name="Percent 3 3 2 2 4 2" xfId="8511"/>
    <cellStyle name="Percent 3 3 2 2 5" xfId="8512"/>
    <cellStyle name="Percent 3 3 2 3" xfId="8513"/>
    <cellStyle name="Percent 3 3 2 3 2" xfId="8514"/>
    <cellStyle name="Percent 3 3 2 3 2 2" xfId="8515"/>
    <cellStyle name="Percent 3 3 2 3 3" xfId="8516"/>
    <cellStyle name="Percent 3 3 2 3 3 2" xfId="8517"/>
    <cellStyle name="Percent 3 3 2 3 4" xfId="8518"/>
    <cellStyle name="Percent 3 3 2 4" xfId="8519"/>
    <cellStyle name="Percent 3 3 2 4 2" xfId="8520"/>
    <cellStyle name="Percent 3 3 2 5" xfId="8521"/>
    <cellStyle name="Percent 3 3 2 5 2" xfId="8522"/>
    <cellStyle name="Percent 3 3 2 6" xfId="8523"/>
    <cellStyle name="Percent 3 3 3" xfId="8524"/>
    <cellStyle name="Percent 3 3 3 2" xfId="8525"/>
    <cellStyle name="Percent 3 3 3 2 2" xfId="8526"/>
    <cellStyle name="Percent 3 3 3 2 2 2" xfId="8527"/>
    <cellStyle name="Percent 3 3 3 2 3" xfId="8528"/>
    <cellStyle name="Percent 3 3 3 2 3 2" xfId="8529"/>
    <cellStyle name="Percent 3 3 3 2 4" xfId="8530"/>
    <cellStyle name="Percent 3 3 3 3" xfId="8531"/>
    <cellStyle name="Percent 3 3 3 3 2" xfId="8532"/>
    <cellStyle name="Percent 3 3 3 4" xfId="8533"/>
    <cellStyle name="Percent 3 3 3 4 2" xfId="8534"/>
    <cellStyle name="Percent 3 3 3 5" xfId="8535"/>
    <cellStyle name="Percent 3 3 4" xfId="8536"/>
    <cellStyle name="Percent 3 3 4 2" xfId="8537"/>
    <cellStyle name="Percent 3 3 4 2 2" xfId="8538"/>
    <cellStyle name="Percent 3 3 4 3" xfId="8539"/>
    <cellStyle name="Percent 3 3 4 3 2" xfId="8540"/>
    <cellStyle name="Percent 3 3 4 4" xfId="8541"/>
    <cellStyle name="Percent 3 3 5" xfId="8542"/>
    <cellStyle name="Percent 3 3 5 2" xfId="8543"/>
    <cellStyle name="Percent 3 3 6" xfId="8544"/>
    <cellStyle name="Percent 3 3 6 2" xfId="8545"/>
    <cellStyle name="Percent 3 3 7" xfId="8546"/>
    <cellStyle name="Percent 3 4" xfId="8547"/>
    <cellStyle name="Percent 3 4 2" xfId="8548"/>
    <cellStyle name="Percent 3 4 2 2" xfId="8549"/>
    <cellStyle name="Percent 3 4 2 2 2" xfId="8550"/>
    <cellStyle name="Percent 3 4 2 2 2 2" xfId="8551"/>
    <cellStyle name="Percent 3 4 2 2 2 2 2" xfId="8552"/>
    <cellStyle name="Percent 3 4 2 2 2 3" xfId="8553"/>
    <cellStyle name="Percent 3 4 2 2 2 3 2" xfId="8554"/>
    <cellStyle name="Percent 3 4 2 2 2 4" xfId="8555"/>
    <cellStyle name="Percent 3 4 2 2 3" xfId="8556"/>
    <cellStyle name="Percent 3 4 2 2 3 2" xfId="8557"/>
    <cellStyle name="Percent 3 4 2 2 4" xfId="8558"/>
    <cellStyle name="Percent 3 4 2 2 4 2" xfId="8559"/>
    <cellStyle name="Percent 3 4 2 2 5" xfId="8560"/>
    <cellStyle name="Percent 3 4 2 3" xfId="8561"/>
    <cellStyle name="Percent 3 4 2 3 2" xfId="8562"/>
    <cellStyle name="Percent 3 4 2 3 2 2" xfId="8563"/>
    <cellStyle name="Percent 3 4 2 3 3" xfId="8564"/>
    <cellStyle name="Percent 3 4 2 3 3 2" xfId="8565"/>
    <cellStyle name="Percent 3 4 2 3 4" xfId="8566"/>
    <cellStyle name="Percent 3 4 2 4" xfId="8567"/>
    <cellStyle name="Percent 3 4 2 4 2" xfId="8568"/>
    <cellStyle name="Percent 3 4 2 5" xfId="8569"/>
    <cellStyle name="Percent 3 4 2 5 2" xfId="8570"/>
    <cellStyle name="Percent 3 4 2 6" xfId="8571"/>
    <cellStyle name="Percent 3 4 3" xfId="8572"/>
    <cellStyle name="Percent 3 4 3 2" xfId="8573"/>
    <cellStyle name="Percent 3 4 3 2 2" xfId="8574"/>
    <cellStyle name="Percent 3 4 3 2 2 2" xfId="8575"/>
    <cellStyle name="Percent 3 4 3 2 3" xfId="8576"/>
    <cellStyle name="Percent 3 4 3 2 3 2" xfId="8577"/>
    <cellStyle name="Percent 3 4 3 2 4" xfId="8578"/>
    <cellStyle name="Percent 3 4 3 3" xfId="8579"/>
    <cellStyle name="Percent 3 4 3 3 2" xfId="8580"/>
    <cellStyle name="Percent 3 4 3 4" xfId="8581"/>
    <cellStyle name="Percent 3 4 3 4 2" xfId="8582"/>
    <cellStyle name="Percent 3 4 3 5" xfId="8583"/>
    <cellStyle name="Percent 3 4 4" xfId="8584"/>
    <cellStyle name="Percent 3 4 4 2" xfId="8585"/>
    <cellStyle name="Percent 3 4 4 2 2" xfId="8586"/>
    <cellStyle name="Percent 3 4 4 3" xfId="8587"/>
    <cellStyle name="Percent 3 4 4 3 2" xfId="8588"/>
    <cellStyle name="Percent 3 4 4 4" xfId="8589"/>
    <cellStyle name="Percent 3 4 5" xfId="8590"/>
    <cellStyle name="Percent 3 4 5 2" xfId="8591"/>
    <cellStyle name="Percent 3 4 6" xfId="8592"/>
    <cellStyle name="Percent 3 4 6 2" xfId="8593"/>
    <cellStyle name="Percent 3 4 7" xfId="8594"/>
    <cellStyle name="Percent 3 5" xfId="8595"/>
    <cellStyle name="Percent 3 5 2" xfId="8596"/>
    <cellStyle name="Percent 3 6" xfId="8597"/>
    <cellStyle name="Percent 3 6 2" xfId="8598"/>
    <cellStyle name="Percent 3 6 2 2" xfId="8599"/>
    <cellStyle name="Percent 3 6 2 2 2" xfId="8600"/>
    <cellStyle name="Percent 3 6 2 3" xfId="8601"/>
    <cellStyle name="Percent 3 6 2 3 2" xfId="8602"/>
    <cellStyle name="Percent 3 6 2 4" xfId="8603"/>
    <cellStyle name="Percent 3 6 3" xfId="8604"/>
    <cellStyle name="Percent 3 6 3 2" xfId="8605"/>
    <cellStyle name="Percent 3 6 4" xfId="8606"/>
    <cellStyle name="Percent 3 6 4 2" xfId="8607"/>
    <cellStyle name="Percent 3 6 5" xfId="8608"/>
    <cellStyle name="Percent 3 7" xfId="8609"/>
    <cellStyle name="Percent 3 7 2" xfId="8610"/>
    <cellStyle name="Percent 3 7 2 2" xfId="8611"/>
    <cellStyle name="Percent 3 7 3" xfId="8612"/>
    <cellStyle name="Percent 3 7 3 2" xfId="8613"/>
    <cellStyle name="Percent 3 7 4" xfId="8614"/>
    <cellStyle name="Percent 3 8" xfId="8615"/>
    <cellStyle name="Percent 3 8 2" xfId="8616"/>
    <cellStyle name="Percent 3 9" xfId="8617"/>
    <cellStyle name="Percent 3 9 2" xfId="8618"/>
    <cellStyle name="Percent 4" xfId="111"/>
    <cellStyle name="Percent 4 2" xfId="112"/>
    <cellStyle name="Percent 4 2 2" xfId="8621"/>
    <cellStyle name="Percent 4 2 3" xfId="8620"/>
    <cellStyle name="Percent 4 3" xfId="8622"/>
    <cellStyle name="Percent 4 3 2" xfId="8623"/>
    <cellStyle name="Percent 4 4" xfId="8624"/>
    <cellStyle name="Percent 4 4 2" xfId="8625"/>
    <cellStyle name="Percent 4 4 2 2" xfId="8626"/>
    <cellStyle name="Percent 4 4 3" xfId="8627"/>
    <cellStyle name="Percent 4 5" xfId="8628"/>
    <cellStyle name="Percent 4 6" xfId="8619"/>
    <cellStyle name="Percent 5" xfId="8629"/>
    <cellStyle name="Percent 5 2" xfId="8630"/>
    <cellStyle name="Percent 5 2 2" xfId="8631"/>
    <cellStyle name="Percent 5 2 2 2" xfId="8632"/>
    <cellStyle name="Percent 5 2 2 2 2" xfId="8633"/>
    <cellStyle name="Percent 5 2 2 2 2 2" xfId="8634"/>
    <cellStyle name="Percent 5 2 2 2 2 2 2" xfId="8635"/>
    <cellStyle name="Percent 5 2 2 2 2 3" xfId="8636"/>
    <cellStyle name="Percent 5 2 2 2 2 3 2" xfId="8637"/>
    <cellStyle name="Percent 5 2 2 2 2 4" xfId="8638"/>
    <cellStyle name="Percent 5 2 2 2 3" xfId="8639"/>
    <cellStyle name="Percent 5 2 2 2 3 2" xfId="8640"/>
    <cellStyle name="Percent 5 2 2 2 4" xfId="8641"/>
    <cellStyle name="Percent 5 2 2 2 4 2" xfId="8642"/>
    <cellStyle name="Percent 5 2 2 2 5" xfId="8643"/>
    <cellStyle name="Percent 5 2 2 3" xfId="8644"/>
    <cellStyle name="Percent 5 2 2 3 2" xfId="8645"/>
    <cellStyle name="Percent 5 2 2 3 2 2" xfId="8646"/>
    <cellStyle name="Percent 5 2 2 3 3" xfId="8647"/>
    <cellStyle name="Percent 5 2 2 3 3 2" xfId="8648"/>
    <cellStyle name="Percent 5 2 2 3 4" xfId="8649"/>
    <cellStyle name="Percent 5 2 2 4" xfId="8650"/>
    <cellStyle name="Percent 5 2 2 4 2" xfId="8651"/>
    <cellStyle name="Percent 5 2 2 5" xfId="8652"/>
    <cellStyle name="Percent 5 2 2 5 2" xfId="8653"/>
    <cellStyle name="Percent 5 2 2 6" xfId="8654"/>
    <cellStyle name="Percent 5 2 3" xfId="8655"/>
    <cellStyle name="Percent 5 2 3 2" xfId="8656"/>
    <cellStyle name="Percent 5 2 3 2 2" xfId="8657"/>
    <cellStyle name="Percent 5 2 3 2 2 2" xfId="8658"/>
    <cellStyle name="Percent 5 2 3 2 3" xfId="8659"/>
    <cellStyle name="Percent 5 2 3 2 3 2" xfId="8660"/>
    <cellStyle name="Percent 5 2 3 2 4" xfId="8661"/>
    <cellStyle name="Percent 5 2 3 3" xfId="8662"/>
    <cellStyle name="Percent 5 2 3 3 2" xfId="8663"/>
    <cellStyle name="Percent 5 2 3 4" xfId="8664"/>
    <cellStyle name="Percent 5 2 3 4 2" xfId="8665"/>
    <cellStyle name="Percent 5 2 3 5" xfId="8666"/>
    <cellStyle name="Percent 5 2 4" xfId="8667"/>
    <cellStyle name="Percent 5 2 4 2" xfId="8668"/>
    <cellStyle name="Percent 5 2 4 2 2" xfId="8669"/>
    <cellStyle name="Percent 5 2 4 3" xfId="8670"/>
    <cellStyle name="Percent 5 2 4 3 2" xfId="8671"/>
    <cellStyle name="Percent 5 2 4 4" xfId="8672"/>
    <cellStyle name="Percent 5 2 5" xfId="8673"/>
    <cellStyle name="Percent 5 2 5 2" xfId="8674"/>
    <cellStyle name="Percent 5 2 6" xfId="8675"/>
    <cellStyle name="Percent 5 2 6 2" xfId="8676"/>
    <cellStyle name="Percent 5 2 7" xfId="8677"/>
    <cellStyle name="Percent 5 3" xfId="8678"/>
    <cellStyle name="Percent 5 3 2" xfId="8679"/>
    <cellStyle name="Percent 5 3 2 2" xfId="8680"/>
    <cellStyle name="Percent 5 3 2 2 2" xfId="8681"/>
    <cellStyle name="Percent 5 3 2 2 2 2" xfId="8682"/>
    <cellStyle name="Percent 5 3 2 2 3" xfId="8683"/>
    <cellStyle name="Percent 5 3 2 2 3 2" xfId="8684"/>
    <cellStyle name="Percent 5 3 2 2 4" xfId="8685"/>
    <cellStyle name="Percent 5 3 2 3" xfId="8686"/>
    <cellStyle name="Percent 5 3 2 3 2" xfId="8687"/>
    <cellStyle name="Percent 5 3 2 4" xfId="8688"/>
    <cellStyle name="Percent 5 3 2 4 2" xfId="8689"/>
    <cellStyle name="Percent 5 3 2 5" xfId="8690"/>
    <cellStyle name="Percent 5 3 3" xfId="8691"/>
    <cellStyle name="Percent 5 3 3 2" xfId="8692"/>
    <cellStyle name="Percent 5 3 3 2 2" xfId="8693"/>
    <cellStyle name="Percent 5 3 3 3" xfId="8694"/>
    <cellStyle name="Percent 5 3 3 3 2" xfId="8695"/>
    <cellStyle name="Percent 5 3 3 4" xfId="8696"/>
    <cellStyle name="Percent 5 3 4" xfId="8697"/>
    <cellStyle name="Percent 5 3 4 2" xfId="8698"/>
    <cellStyle name="Percent 5 3 5" xfId="8699"/>
    <cellStyle name="Percent 5 3 5 2" xfId="8700"/>
    <cellStyle name="Percent 5 3 6" xfId="8701"/>
    <cellStyle name="Percent 5 4" xfId="8702"/>
    <cellStyle name="Percent 5 4 2" xfId="8703"/>
    <cellStyle name="Percent 5 4 2 2" xfId="8704"/>
    <cellStyle name="Percent 5 4 2 2 2" xfId="8705"/>
    <cellStyle name="Percent 5 4 2 3" xfId="8706"/>
    <cellStyle name="Percent 5 4 2 3 2" xfId="8707"/>
    <cellStyle name="Percent 5 4 2 4" xfId="8708"/>
    <cellStyle name="Percent 5 4 3" xfId="8709"/>
    <cellStyle name="Percent 5 4 3 2" xfId="8710"/>
    <cellStyle name="Percent 5 4 4" xfId="8711"/>
    <cellStyle name="Percent 5 4 4 2" xfId="8712"/>
    <cellStyle name="Percent 5 4 5" xfId="8713"/>
    <cellStyle name="Percent 5 5" xfId="8714"/>
    <cellStyle name="Percent 5 5 2" xfId="8715"/>
    <cellStyle name="Percent 5 5 2 2" xfId="8716"/>
    <cellStyle name="Percent 5 5 3" xfId="8717"/>
    <cellStyle name="Percent 5 5 3 2" xfId="8718"/>
    <cellStyle name="Percent 5 5 4" xfId="8719"/>
    <cellStyle name="Percent 5 6" xfId="8720"/>
    <cellStyle name="Percent 5 6 2" xfId="8721"/>
    <cellStyle name="Percent 5 7" xfId="8722"/>
    <cellStyle name="Percent 5 7 2" xfId="8723"/>
    <cellStyle name="Percent 5 8" xfId="8724"/>
    <cellStyle name="Percent 6" xfId="8725"/>
    <cellStyle name="Percent 6 2" xfId="8726"/>
    <cellStyle name="Percent 6 2 2" xfId="8727"/>
    <cellStyle name="Percent 6 2 2 2" xfId="8728"/>
    <cellStyle name="Percent 6 2 2 2 2" xfId="8729"/>
    <cellStyle name="Percent 6 2 2 2 2 2" xfId="8730"/>
    <cellStyle name="Percent 6 2 2 2 3" xfId="8731"/>
    <cellStyle name="Percent 6 2 2 2 3 2" xfId="8732"/>
    <cellStyle name="Percent 6 2 2 2 4" xfId="8733"/>
    <cellStyle name="Percent 6 2 2 3" xfId="8734"/>
    <cellStyle name="Percent 6 2 2 3 2" xfId="8735"/>
    <cellStyle name="Percent 6 2 2 4" xfId="8736"/>
    <cellStyle name="Percent 6 2 2 4 2" xfId="8737"/>
    <cellStyle name="Percent 6 2 2 5" xfId="8738"/>
    <cellStyle name="Percent 6 2 3" xfId="8739"/>
    <cellStyle name="Percent 6 2 3 2" xfId="8740"/>
    <cellStyle name="Percent 6 2 3 2 2" xfId="8741"/>
    <cellStyle name="Percent 6 2 3 3" xfId="8742"/>
    <cellStyle name="Percent 6 2 3 3 2" xfId="8743"/>
    <cellStyle name="Percent 6 2 3 4" xfId="8744"/>
    <cellStyle name="Percent 6 2 4" xfId="8745"/>
    <cellStyle name="Percent 6 2 4 2" xfId="8746"/>
    <cellStyle name="Percent 6 2 5" xfId="8747"/>
    <cellStyle name="Percent 6 2 5 2" xfId="8748"/>
    <cellStyle name="Percent 6 2 6" xfId="8749"/>
    <cellStyle name="Percent 6 3" xfId="8750"/>
    <cellStyle name="Percent 6 3 2" xfId="8751"/>
    <cellStyle name="Percent 6 3 2 2" xfId="8752"/>
    <cellStyle name="Percent 6 3 2 2 2" xfId="8753"/>
    <cellStyle name="Percent 6 3 2 3" xfId="8754"/>
    <cellStyle name="Percent 6 3 2 3 2" xfId="8755"/>
    <cellStyle name="Percent 6 3 2 4" xfId="8756"/>
    <cellStyle name="Percent 6 3 3" xfId="8757"/>
    <cellStyle name="Percent 6 3 3 2" xfId="8758"/>
    <cellStyle name="Percent 6 3 4" xfId="8759"/>
    <cellStyle name="Percent 6 3 4 2" xfId="8760"/>
    <cellStyle name="Percent 6 3 5" xfId="8761"/>
    <cellStyle name="Percent 6 4" xfId="8762"/>
    <cellStyle name="Percent 6 4 2" xfId="8763"/>
    <cellStyle name="Percent 6 4 2 2" xfId="8764"/>
    <cellStyle name="Percent 6 4 3" xfId="8765"/>
    <cellStyle name="Percent 6 4 3 2" xfId="8766"/>
    <cellStyle name="Percent 6 4 4" xfId="8767"/>
    <cellStyle name="Percent 6 5" xfId="8768"/>
    <cellStyle name="Percent 6 5 2" xfId="8769"/>
    <cellStyle name="Percent 6 6" xfId="8770"/>
    <cellStyle name="Percent 6 6 2" xfId="8771"/>
    <cellStyle name="Percent 6 7" xfId="8772"/>
    <cellStyle name="Percent 7" xfId="113"/>
    <cellStyle name="Percent 7 2" xfId="8774"/>
    <cellStyle name="Percent 7 2 2" xfId="8775"/>
    <cellStyle name="Percent 7 2 2 2" xfId="8776"/>
    <cellStyle name="Percent 7 2 2 2 2" xfId="8777"/>
    <cellStyle name="Percent 7 2 2 2 2 2" xfId="8778"/>
    <cellStyle name="Percent 7 2 2 2 3" xfId="8779"/>
    <cellStyle name="Percent 7 2 2 2 3 2" xfId="8780"/>
    <cellStyle name="Percent 7 2 2 2 4" xfId="8781"/>
    <cellStyle name="Percent 7 2 2 3" xfId="8782"/>
    <cellStyle name="Percent 7 2 2 3 2" xfId="8783"/>
    <cellStyle name="Percent 7 2 2 4" xfId="8784"/>
    <cellStyle name="Percent 7 2 2 4 2" xfId="8785"/>
    <cellStyle name="Percent 7 2 2 5" xfId="8786"/>
    <cellStyle name="Percent 7 2 3" xfId="8787"/>
    <cellStyle name="Percent 7 2 3 2" xfId="8788"/>
    <cellStyle name="Percent 7 2 3 2 2" xfId="8789"/>
    <cellStyle name="Percent 7 2 3 3" xfId="8790"/>
    <cellStyle name="Percent 7 2 3 3 2" xfId="8791"/>
    <cellStyle name="Percent 7 2 3 4" xfId="8792"/>
    <cellStyle name="Percent 7 2 4" xfId="8793"/>
    <cellStyle name="Percent 7 2 4 2" xfId="8794"/>
    <cellStyle name="Percent 7 2 5" xfId="8795"/>
    <cellStyle name="Percent 7 2 5 2" xfId="8796"/>
    <cellStyle name="Percent 7 2 6" xfId="8797"/>
    <cellStyle name="Percent 7 3" xfId="8798"/>
    <cellStyle name="Percent 7 3 2" xfId="8799"/>
    <cellStyle name="Percent 7 3 2 2" xfId="8800"/>
    <cellStyle name="Percent 7 3 2 2 2" xfId="8801"/>
    <cellStyle name="Percent 7 3 2 3" xfId="8802"/>
    <cellStyle name="Percent 7 3 2 3 2" xfId="8803"/>
    <cellStyle name="Percent 7 3 2 4" xfId="8804"/>
    <cellStyle name="Percent 7 3 3" xfId="8805"/>
    <cellStyle name="Percent 7 3 3 2" xfId="8806"/>
    <cellStyle name="Percent 7 3 4" xfId="8807"/>
    <cellStyle name="Percent 7 3 4 2" xfId="8808"/>
    <cellStyle name="Percent 7 3 5" xfId="8809"/>
    <cellStyle name="Percent 7 4" xfId="8810"/>
    <cellStyle name="Percent 7 4 2" xfId="8811"/>
    <cellStyle name="Percent 7 4 2 2" xfId="8812"/>
    <cellStyle name="Percent 7 4 3" xfId="8813"/>
    <cellStyle name="Percent 7 4 3 2" xfId="8814"/>
    <cellStyle name="Percent 7 4 4" xfId="8815"/>
    <cellStyle name="Percent 7 5" xfId="8816"/>
    <cellStyle name="Percent 7 5 2" xfId="8817"/>
    <cellStyle name="Percent 7 6" xfId="8818"/>
    <cellStyle name="Percent 7 6 2" xfId="8819"/>
    <cellStyle name="Percent 7 7" xfId="8820"/>
    <cellStyle name="Percent 7 8" xfId="8773"/>
    <cellStyle name="Percent 8" xfId="8821"/>
    <cellStyle name="Percent 8 2" xfId="8822"/>
    <cellStyle name="Percent 8 2 2" xfId="8823"/>
    <cellStyle name="Percent 8 2 2 2" xfId="8824"/>
    <cellStyle name="Percent 8 2 2 2 2" xfId="8825"/>
    <cellStyle name="Percent 8 2 2 3" xfId="8826"/>
    <cellStyle name="Percent 8 2 2 3 2" xfId="8827"/>
    <cellStyle name="Percent 8 2 2 4" xfId="8828"/>
    <cellStyle name="Percent 8 2 3" xfId="8829"/>
    <cellStyle name="Percent 8 2 3 2" xfId="8830"/>
    <cellStyle name="Percent 8 2 4" xfId="8831"/>
    <cellStyle name="Percent 8 2 4 2" xfId="8832"/>
    <cellStyle name="Percent 8 2 5" xfId="8833"/>
    <cellStyle name="Percent 8 3" xfId="8834"/>
    <cellStyle name="Percent 8 3 2" xfId="8835"/>
    <cellStyle name="Percent 8 3 2 2" xfId="8836"/>
    <cellStyle name="Percent 8 3 3" xfId="8837"/>
    <cellStyle name="Percent 8 3 3 2" xfId="8838"/>
    <cellStyle name="Percent 8 3 4" xfId="8839"/>
    <cellStyle name="Percent 8 4" xfId="8840"/>
    <cellStyle name="Percent 8 4 2" xfId="8841"/>
    <cellStyle name="Percent 8 5" xfId="8842"/>
    <cellStyle name="Percent 8 5 2" xfId="8843"/>
    <cellStyle name="Percent 8 6" xfId="8844"/>
    <cellStyle name="Percent 8 7" xfId="8845"/>
    <cellStyle name="Percent 9" xfId="8846"/>
    <cellStyle name="Percent 9 2" xfId="8847"/>
    <cellStyle name="Percent 9 3" xfId="8848"/>
    <cellStyle name="Percent 9 4" xfId="8849"/>
    <cellStyle name="Percent(1)" xfId="114"/>
    <cellStyle name="Percent(1) 2" xfId="8850"/>
    <cellStyle name="Percent(2)" xfId="115"/>
    <cellStyle name="Percent(2) 2" xfId="8851"/>
    <cellStyle name="Posting_Period" xfId="8852"/>
    <cellStyle name="PRM" xfId="116"/>
    <cellStyle name="PRM 2" xfId="8854"/>
    <cellStyle name="PRM 3" xfId="8855"/>
    <cellStyle name="PRM 4" xfId="8853"/>
    <cellStyle name="PRM_2011-11" xfId="8856"/>
    <cellStyle name="PS_Comma" xfId="8857"/>
    <cellStyle name="PSChar" xfId="117"/>
    <cellStyle name="PSChar 2" xfId="8858"/>
    <cellStyle name="PSDate" xfId="8859"/>
    <cellStyle name="PSDec" xfId="8860"/>
    <cellStyle name="PSHeading" xfId="118"/>
    <cellStyle name="PSHeading 2" xfId="8862"/>
    <cellStyle name="PSHeading 2 2" xfId="8863"/>
    <cellStyle name="PSHeading 3" xfId="8861"/>
    <cellStyle name="PSInt" xfId="8864"/>
    <cellStyle name="PSSpacer" xfId="8865"/>
    <cellStyle name="Reset  - Style4" xfId="8866"/>
    <cellStyle name="Reset  - Style7" xfId="8867"/>
    <cellStyle name="STYL0 - Style1" xfId="8868"/>
    <cellStyle name="STYL1 - Style2" xfId="8869"/>
    <cellStyle name="STYL2 - Style3" xfId="8870"/>
    <cellStyle name="STYL3 - Style4" xfId="8871"/>
    <cellStyle name="STYL4 - Style5" xfId="8872"/>
    <cellStyle name="STYL5 - Style6" xfId="8873"/>
    <cellStyle name="STYL6 - Style7" xfId="8874"/>
    <cellStyle name="STYL7 - Style8" xfId="8875"/>
    <cellStyle name="Style 1" xfId="119"/>
    <cellStyle name="Style 1 2" xfId="8877"/>
    <cellStyle name="Style 1 2 2" xfId="8878"/>
    <cellStyle name="Style 1 3" xfId="8879"/>
    <cellStyle name="Style 1 4" xfId="8880"/>
    <cellStyle name="Style 1 5" xfId="8876"/>
    <cellStyle name="Style 1_Recycle Center Commodities MRF" xfId="8881"/>
    <cellStyle name="STYLE1" xfId="120"/>
    <cellStyle name="STYLE1 2" xfId="244"/>
    <cellStyle name="STYLE1 2 2" xfId="8883"/>
    <cellStyle name="STYLE1 3" xfId="8882"/>
    <cellStyle name="sub heading" xfId="8884"/>
    <cellStyle name="Table  - Style5" xfId="8885"/>
    <cellStyle name="Table  - Style5 2" xfId="8886"/>
    <cellStyle name="Table  - Style5 3" xfId="8887"/>
    <cellStyle name="Table  - Style5 4" xfId="8888"/>
    <cellStyle name="Table  - Style5 5" xfId="8889"/>
    <cellStyle name="Table  - Style6" xfId="8890"/>
    <cellStyle name="Table  - Style6 2" xfId="8891"/>
    <cellStyle name="Table  - Style6 3" xfId="8892"/>
    <cellStyle name="Table  - Style6 4" xfId="8893"/>
    <cellStyle name="Table  - Style6 5" xfId="8894"/>
    <cellStyle name="Tax_Rate" xfId="8895"/>
    <cellStyle name="Title  - Style1" xfId="8897"/>
    <cellStyle name="Title  - Style6" xfId="8898"/>
    <cellStyle name="Title 10" xfId="8899"/>
    <cellStyle name="Title 11" xfId="8900"/>
    <cellStyle name="Title 12" xfId="8901"/>
    <cellStyle name="Title 13" xfId="8896"/>
    <cellStyle name="Title 14" xfId="9016"/>
    <cellStyle name="Title 2" xfId="246"/>
    <cellStyle name="Title 2 2" xfId="8903"/>
    <cellStyle name="Title 2 2 2" xfId="8904"/>
    <cellStyle name="Title 2 3" xfId="8905"/>
    <cellStyle name="Title 2 4" xfId="8902"/>
    <cellStyle name="Title 3" xfId="245"/>
    <cellStyle name="Title 3 2" xfId="8907"/>
    <cellStyle name="Title 3 3" xfId="8906"/>
    <cellStyle name="Title 4" xfId="8908"/>
    <cellStyle name="Title 5" xfId="8909"/>
    <cellStyle name="Title 6" xfId="8910"/>
    <cellStyle name="Title 7" xfId="8911"/>
    <cellStyle name="Title 8" xfId="8912"/>
    <cellStyle name="Title 9" xfId="8913"/>
    <cellStyle name="Total 2" xfId="121"/>
    <cellStyle name="Total 2 2" xfId="248"/>
    <cellStyle name="Total 2 2 2" xfId="8917"/>
    <cellStyle name="Total 2 2 2 2" xfId="8918"/>
    <cellStyle name="Total 2 2 2 3" xfId="8919"/>
    <cellStyle name="Total 2 2 2 4" xfId="8920"/>
    <cellStyle name="Total 2 2 2 5" xfId="8921"/>
    <cellStyle name="Total 2 2 3" xfId="8922"/>
    <cellStyle name="Total 2 2 3 2" xfId="8923"/>
    <cellStyle name="Total 2 2 3 3" xfId="8924"/>
    <cellStyle name="Total 2 2 3 4" xfId="8925"/>
    <cellStyle name="Total 2 2 3 5" xfId="8926"/>
    <cellStyle name="Total 2 2 4" xfId="8916"/>
    <cellStyle name="Total 2 3" xfId="8927"/>
    <cellStyle name="Total 2 3 2" xfId="8928"/>
    <cellStyle name="Total 2 3 2 2" xfId="8929"/>
    <cellStyle name="Total 2 3 2 3" xfId="8930"/>
    <cellStyle name="Total 2 3 2 4" xfId="8931"/>
    <cellStyle name="Total 2 3 2 5" xfId="8932"/>
    <cellStyle name="Total 2 3 3" xfId="8933"/>
    <cellStyle name="Total 2 3 4" xfId="8934"/>
    <cellStyle name="Total 2 3 5" xfId="8935"/>
    <cellStyle name="Total 2 3 6" xfId="8936"/>
    <cellStyle name="Total 2 4" xfId="8937"/>
    <cellStyle name="Total 2 4 2" xfId="8938"/>
    <cellStyle name="Total 2 4 2 2" xfId="8939"/>
    <cellStyle name="Total 2 4 2 3" xfId="8940"/>
    <cellStyle name="Total 2 4 2 4" xfId="8941"/>
    <cellStyle name="Total 2 4 2 5" xfId="8942"/>
    <cellStyle name="Total 2 4 3" xfId="8943"/>
    <cellStyle name="Total 2 4 4" xfId="8944"/>
    <cellStyle name="Total 2 4 5" xfId="8945"/>
    <cellStyle name="Total 2 4 6" xfId="8946"/>
    <cellStyle name="Total 2 5" xfId="8947"/>
    <cellStyle name="Total 2 5 2" xfId="8948"/>
    <cellStyle name="Total 2 5 3" xfId="8949"/>
    <cellStyle name="Total 2 5 4" xfId="8950"/>
    <cellStyle name="Total 2 5 5" xfId="8951"/>
    <cellStyle name="Total 2 6" xfId="8952"/>
    <cellStyle name="Total 2 7" xfId="8915"/>
    <cellStyle name="Total 3" xfId="247"/>
    <cellStyle name="Total 3 2" xfId="8954"/>
    <cellStyle name="Total 3 2 2" xfId="8955"/>
    <cellStyle name="Total 3 2 2 2" xfId="8956"/>
    <cellStyle name="Total 3 2 2 3" xfId="8957"/>
    <cellStyle name="Total 3 2 2 4" xfId="8958"/>
    <cellStyle name="Total 3 2 2 5" xfId="8959"/>
    <cellStyle name="Total 3 2 3" xfId="8960"/>
    <cellStyle name="Total 3 2 3 2" xfId="8961"/>
    <cellStyle name="Total 3 2 3 3" xfId="8962"/>
    <cellStyle name="Total 3 2 3 4" xfId="8963"/>
    <cellStyle name="Total 3 2 3 5" xfId="8964"/>
    <cellStyle name="Total 3 3" xfId="8965"/>
    <cellStyle name="Total 3 3 2" xfId="8966"/>
    <cellStyle name="Total 3 3 2 2" xfId="8967"/>
    <cellStyle name="Total 3 3 2 3" xfId="8968"/>
    <cellStyle name="Total 3 3 2 4" xfId="8969"/>
    <cellStyle name="Total 3 3 2 5" xfId="8970"/>
    <cellStyle name="Total 3 3 3" xfId="8971"/>
    <cellStyle name="Total 3 3 4" xfId="8972"/>
    <cellStyle name="Total 3 3 5" xfId="8973"/>
    <cellStyle name="Total 3 3 6" xfId="8974"/>
    <cellStyle name="Total 3 4" xfId="8975"/>
    <cellStyle name="Total 3 4 2" xfId="8976"/>
    <cellStyle name="Total 3 4 3" xfId="8977"/>
    <cellStyle name="Total 3 4 4" xfId="8978"/>
    <cellStyle name="Total 3 4 5" xfId="8979"/>
    <cellStyle name="Total 3 5" xfId="8980"/>
    <cellStyle name="Total 3 5 2" xfId="8981"/>
    <cellStyle name="Total 3 5 3" xfId="8982"/>
    <cellStyle name="Total 3 5 4" xfId="8983"/>
    <cellStyle name="Total 3 5 5" xfId="8984"/>
    <cellStyle name="Total 3 6" xfId="8953"/>
    <cellStyle name="Total 4" xfId="8985"/>
    <cellStyle name="Total 4 2" xfId="8986"/>
    <cellStyle name="Total 4 3" xfId="8987"/>
    <cellStyle name="Total 4 3 2" xfId="8988"/>
    <cellStyle name="Total 4 3 3" xfId="8989"/>
    <cellStyle name="Total 4 3 4" xfId="8990"/>
    <cellStyle name="Total 4 3 5" xfId="8991"/>
    <cellStyle name="Total 4 4" xfId="8992"/>
    <cellStyle name="Total 4 5" xfId="8993"/>
    <cellStyle name="Total 4 6" xfId="8994"/>
    <cellStyle name="Total 4 7" xfId="8995"/>
    <cellStyle name="Total 5" xfId="8914"/>
    <cellStyle name="TotCol - Style5" xfId="8996"/>
    <cellStyle name="TotCol - Style7" xfId="8997"/>
    <cellStyle name="TotRow - Style4" xfId="8998"/>
    <cellStyle name="TotRow - Style4 2" xfId="8999"/>
    <cellStyle name="TotRow - Style4 3" xfId="9000"/>
    <cellStyle name="TotRow - Style4 4" xfId="9001"/>
    <cellStyle name="TotRow - Style4 5" xfId="9002"/>
    <cellStyle name="TotRow - Style8" xfId="9003"/>
    <cellStyle name="TotRow - Style8 2" xfId="9004"/>
    <cellStyle name="TotRow - Style8 3" xfId="9005"/>
    <cellStyle name="TotRow - Style8 4" xfId="9006"/>
    <cellStyle name="TotRow - Style8 5" xfId="9007"/>
    <cellStyle name="Transcript_Date" xfId="9008"/>
    <cellStyle name="Warning Text 2" xfId="250"/>
    <cellStyle name="Warning Text 2 2" xfId="9010"/>
    <cellStyle name="Warning Text 3" xfId="249"/>
    <cellStyle name="Warning Text 3 2" xfId="9011"/>
    <cellStyle name="Warning Text 4" xfId="9012"/>
    <cellStyle name="Warning Text 5" xfId="9009"/>
    <cellStyle name="WM_STANDARD" xfId="90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</xdr:row>
          <xdr:rowOff>0</xdr:rowOff>
        </xdr:from>
        <xdr:to>
          <xdr:col>2</xdr:col>
          <xdr:colOff>180975</xdr:colOff>
          <xdr:row>7</xdr:row>
          <xdr:rowOff>76200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0</xdr:rowOff>
        </xdr:from>
        <xdr:to>
          <xdr:col>1</xdr:col>
          <xdr:colOff>180975</xdr:colOff>
          <xdr:row>7</xdr:row>
          <xdr:rowOff>76200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Northern_Washington\Fuel%20Rebate\Pen-Island-Mason\2149%20Fuel\2019\Q4%202019\2149%202019%20Q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  <sheetName val="WA PTO-Import"/>
      <sheetName val="IFTA PTO-Import"/>
      <sheetName val="Invoice-Import"/>
      <sheetName val="Instructions"/>
      <sheetName val="RTA"/>
      <sheetName val="Truck Listing"/>
      <sheetName val="APQuery"/>
      <sheetName val="Fuel Tracking"/>
      <sheetName val="Screensh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I11" t="str">
            <v>2149</v>
          </cell>
          <cell r="L11"/>
        </row>
        <row r="12">
          <cell r="I12"/>
          <cell r="L12"/>
        </row>
        <row r="13">
          <cell r="I13"/>
          <cell r="L13" t="str">
            <v>2149</v>
          </cell>
        </row>
        <row r="14">
          <cell r="I14" t="str">
            <v>VUS000011107</v>
          </cell>
        </row>
      </sheetData>
      <sheetData sheetId="8">
        <row r="15">
          <cell r="E15">
            <v>43738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11.42578125" defaultRowHeight="12"/>
  <cols>
    <col min="1" max="1" width="20.42578125" style="248" bestFit="1" customWidth="1"/>
    <col min="2" max="8" width="14.28515625" style="248" customWidth="1"/>
    <col min="9" max="16384" width="11.42578125" style="248"/>
  </cols>
  <sheetData>
    <row r="1" spans="1:8">
      <c r="A1" s="247" t="s">
        <v>0</v>
      </c>
    </row>
    <row r="2" spans="1:8">
      <c r="A2" s="247" t="s">
        <v>1</v>
      </c>
    </row>
    <row r="3" spans="1:8">
      <c r="A3" s="248" t="s">
        <v>2</v>
      </c>
      <c r="F3" s="248" t="s">
        <v>2</v>
      </c>
    </row>
    <row r="4" spans="1:8" ht="12.75">
      <c r="A4" s="249"/>
      <c r="B4" s="249"/>
      <c r="C4" s="249"/>
      <c r="D4" s="249"/>
      <c r="E4" s="249"/>
      <c r="F4" s="250" t="s">
        <v>3</v>
      </c>
      <c r="G4" s="250" t="s">
        <v>4</v>
      </c>
      <c r="H4" s="250" t="s">
        <v>5</v>
      </c>
    </row>
    <row r="5" spans="1:8" ht="12.75">
      <c r="A5" s="251" t="s">
        <v>520</v>
      </c>
      <c r="B5" s="251" t="s">
        <v>8</v>
      </c>
      <c r="C5" s="251" t="s">
        <v>9</v>
      </c>
      <c r="D5" s="251" t="s">
        <v>10</v>
      </c>
      <c r="E5" s="251" t="s">
        <v>11</v>
      </c>
      <c r="F5" s="251" t="s">
        <v>6</v>
      </c>
      <c r="G5" s="251" t="s">
        <v>6</v>
      </c>
      <c r="H5" s="251" t="s">
        <v>7</v>
      </c>
    </row>
    <row r="6" spans="1:8" ht="12.75">
      <c r="A6" s="252"/>
      <c r="B6" s="252"/>
      <c r="C6" s="252"/>
      <c r="D6" s="252"/>
      <c r="E6" s="252"/>
      <c r="F6" s="253">
        <v>43800</v>
      </c>
      <c r="G6" s="253">
        <v>44165</v>
      </c>
      <c r="H6" s="253">
        <f>+G6</f>
        <v>44165</v>
      </c>
    </row>
    <row r="7" spans="1:8">
      <c r="A7" s="247"/>
      <c r="B7" s="254"/>
      <c r="C7" s="254"/>
      <c r="D7" s="254"/>
      <c r="E7" s="254"/>
      <c r="F7" s="255"/>
      <c r="G7" s="255"/>
      <c r="H7" s="255"/>
    </row>
    <row r="8" spans="1:8">
      <c r="A8" s="248" t="s">
        <v>595</v>
      </c>
      <c r="B8" s="256">
        <f>Depreciation!M39</f>
        <v>2670118.3535897429</v>
      </c>
      <c r="C8" s="256">
        <f>B8-D8</f>
        <v>0</v>
      </c>
      <c r="D8" s="256">
        <f>Depreciation!N39</f>
        <v>2670118.3535897429</v>
      </c>
      <c r="E8" s="256">
        <f>Depreciation!Q39</f>
        <v>264490.03881318681</v>
      </c>
      <c r="F8" s="256">
        <f>Depreciation!S39</f>
        <v>886938.04091941402</v>
      </c>
      <c r="G8" s="256">
        <f>Depreciation!T39</f>
        <v>1151428.0797326004</v>
      </c>
      <c r="H8" s="256">
        <f>Depreciation!U39</f>
        <v>1518690.2738571428</v>
      </c>
    </row>
    <row r="9" spans="1:8">
      <c r="B9" s="256"/>
      <c r="C9" s="256"/>
      <c r="D9" s="256"/>
      <c r="E9" s="256"/>
      <c r="F9" s="256"/>
      <c r="G9" s="256"/>
      <c r="H9" s="256"/>
    </row>
    <row r="10" spans="1:8">
      <c r="A10" s="248" t="s">
        <v>596</v>
      </c>
      <c r="B10" s="256">
        <f>Depreciation!M51</f>
        <v>823200.49</v>
      </c>
      <c r="C10" s="256">
        <f>B10-D10</f>
        <v>0</v>
      </c>
      <c r="D10" s="256">
        <f>Depreciation!N51</f>
        <v>823200.49</v>
      </c>
      <c r="E10" s="256">
        <f>Depreciation!Q51</f>
        <v>83662.544523809513</v>
      </c>
      <c r="F10" s="256">
        <f>Depreciation!S51</f>
        <v>368356.33342857141</v>
      </c>
      <c r="G10" s="256">
        <f>Depreciation!T51</f>
        <v>452018.87795238092</v>
      </c>
      <c r="H10" s="256">
        <f>Depreciation!U51</f>
        <v>371181.61204761907</v>
      </c>
    </row>
    <row r="11" spans="1:8">
      <c r="B11" s="256"/>
      <c r="C11" s="256"/>
      <c r="D11" s="256"/>
      <c r="E11" s="256"/>
      <c r="F11" s="256"/>
      <c r="G11" s="256"/>
      <c r="H11" s="256"/>
    </row>
    <row r="12" spans="1:8">
      <c r="A12" s="248" t="s">
        <v>12</v>
      </c>
      <c r="B12" s="256">
        <f>Depreciation!M79</f>
        <v>1204344.9890256412</v>
      </c>
      <c r="C12" s="256">
        <f>B12-D12</f>
        <v>0</v>
      </c>
      <c r="D12" s="256">
        <f>Depreciation!N79</f>
        <v>1204344.9890256412</v>
      </c>
      <c r="E12" s="256">
        <f>Depreciation!Q79</f>
        <v>106196.85367179487</v>
      </c>
      <c r="F12" s="256">
        <f>Depreciation!S79</f>
        <v>699794.06108717981</v>
      </c>
      <c r="G12" s="256">
        <f>Depreciation!T79</f>
        <v>805990.91475897434</v>
      </c>
      <c r="H12" s="256">
        <f>Depreciation!U79</f>
        <v>398354.07426666666</v>
      </c>
    </row>
    <row r="13" spans="1:8" s="230" customFormat="1">
      <c r="B13" s="256"/>
      <c r="C13" s="256"/>
      <c r="D13" s="256"/>
      <c r="E13" s="256"/>
      <c r="F13" s="256"/>
      <c r="G13" s="256"/>
      <c r="H13" s="256"/>
    </row>
    <row r="14" spans="1:8">
      <c r="A14" s="248" t="s">
        <v>13</v>
      </c>
      <c r="B14" s="256">
        <f>Depreciation!M97</f>
        <v>220999.85</v>
      </c>
      <c r="C14" s="256">
        <f>B14-D14</f>
        <v>0</v>
      </c>
      <c r="D14" s="256">
        <f>Depreciation!N97</f>
        <v>220999.85</v>
      </c>
      <c r="E14" s="256">
        <f>Depreciation!Q97</f>
        <v>7721.253333333334</v>
      </c>
      <c r="F14" s="256">
        <f>Depreciation!S97</f>
        <v>197836.09</v>
      </c>
      <c r="G14" s="256">
        <f>Depreciation!T97</f>
        <v>205557.34333333335</v>
      </c>
      <c r="H14" s="256">
        <f>Depreciation!U97</f>
        <v>15442.506666666666</v>
      </c>
    </row>
    <row r="15" spans="1:8" s="230" customFormat="1">
      <c r="B15" s="256"/>
      <c r="C15" s="256"/>
      <c r="D15" s="256"/>
      <c r="E15" s="256"/>
      <c r="F15" s="256"/>
      <c r="G15" s="256"/>
      <c r="H15" s="256"/>
    </row>
    <row r="16" spans="1:8">
      <c r="A16" s="248" t="s">
        <v>597</v>
      </c>
      <c r="B16" s="256">
        <f>Depreciation!M114</f>
        <v>1520344.7436923075</v>
      </c>
      <c r="C16" s="256">
        <f>B16-D16</f>
        <v>0</v>
      </c>
      <c r="D16" s="256">
        <f>Depreciation!N114</f>
        <v>1520344.7436923075</v>
      </c>
      <c r="E16" s="256">
        <f>Depreciation!Q114</f>
        <v>133695.28920512821</v>
      </c>
      <c r="F16" s="256">
        <f>Depreciation!S114</f>
        <v>731109.27415384608</v>
      </c>
      <c r="G16" s="256">
        <f>Depreciation!T114</f>
        <v>864804.56335897429</v>
      </c>
      <c r="H16" s="256">
        <f>Depreciation!U114</f>
        <v>655540.18033333332</v>
      </c>
    </row>
    <row r="17" spans="1:8">
      <c r="B17" s="256"/>
      <c r="C17" s="256"/>
      <c r="D17" s="256"/>
      <c r="E17" s="256"/>
      <c r="F17" s="256"/>
      <c r="G17" s="256"/>
      <c r="H17" s="256"/>
    </row>
    <row r="18" spans="1:8">
      <c r="A18" s="248" t="s">
        <v>598</v>
      </c>
      <c r="B18" s="256">
        <f>Depreciation!M138</f>
        <v>751371.51369230764</v>
      </c>
      <c r="C18" s="256">
        <f>B18-D18</f>
        <v>0</v>
      </c>
      <c r="D18" s="256">
        <f>Depreciation!N138</f>
        <v>751371.51369230764</v>
      </c>
      <c r="E18" s="256">
        <f>Depreciation!Q138</f>
        <v>82714.32673323965</v>
      </c>
      <c r="F18" s="256">
        <f>Depreciation!S138</f>
        <v>444828.67893818044</v>
      </c>
      <c r="G18" s="256">
        <f>Depreciation!T138</f>
        <v>527543.00567142013</v>
      </c>
      <c r="H18" s="256">
        <f>Depreciation!U138</f>
        <v>223828.50802088753</v>
      </c>
    </row>
    <row r="19" spans="1:8">
      <c r="B19" s="256"/>
      <c r="C19" s="256"/>
      <c r="D19" s="256"/>
      <c r="E19" s="256"/>
      <c r="F19" s="256"/>
      <c r="G19" s="256"/>
      <c r="H19" s="256"/>
    </row>
    <row r="20" spans="1:8">
      <c r="A20" s="248" t="s">
        <v>448</v>
      </c>
      <c r="B20" s="256">
        <f>Depreciation!M148</f>
        <v>521571.06</v>
      </c>
      <c r="C20" s="256">
        <f>B20-D20</f>
        <v>0</v>
      </c>
      <c r="D20" s="256">
        <f>Depreciation!N148</f>
        <v>521571.06</v>
      </c>
      <c r="E20" s="256">
        <f>Depreciation!Q148</f>
        <v>58360.457333333332</v>
      </c>
      <c r="F20" s="256">
        <f>Depreciation!S148</f>
        <v>349623.26800000004</v>
      </c>
      <c r="G20" s="256">
        <f>Depreciation!T148</f>
        <v>407983.72533333336</v>
      </c>
      <c r="H20" s="256">
        <f>Depreciation!U148</f>
        <v>113587.33466666665</v>
      </c>
    </row>
    <row r="21" spans="1:8">
      <c r="B21" s="256"/>
      <c r="C21" s="256"/>
      <c r="D21" s="256"/>
      <c r="E21" s="256"/>
      <c r="F21" s="256"/>
      <c r="G21" s="256"/>
      <c r="H21" s="256"/>
    </row>
    <row r="22" spans="1:8">
      <c r="A22" s="248" t="s">
        <v>585</v>
      </c>
      <c r="B22" s="256">
        <f>Depreciation!M168</f>
        <v>200564.17</v>
      </c>
      <c r="C22" s="256">
        <f>B22-D22</f>
        <v>0</v>
      </c>
      <c r="D22" s="256">
        <f>Depreciation!N168</f>
        <v>200564.17</v>
      </c>
      <c r="E22" s="256">
        <f>Depreciation!Q168</f>
        <v>11711.924000000001</v>
      </c>
      <c r="F22" s="256">
        <f>Depreciation!S168</f>
        <v>165428.39800000002</v>
      </c>
      <c r="G22" s="256">
        <f>Depreciation!T168</f>
        <v>177140.32199999999</v>
      </c>
      <c r="H22" s="256">
        <f>Depreciation!U168</f>
        <v>23423.848000000002</v>
      </c>
    </row>
    <row r="23" spans="1:8">
      <c r="B23" s="257"/>
      <c r="C23" s="257"/>
      <c r="D23" s="257"/>
      <c r="E23" s="257"/>
      <c r="F23" s="257"/>
      <c r="G23" s="257"/>
      <c r="H23" s="257"/>
    </row>
    <row r="24" spans="1:8" s="247" customFormat="1">
      <c r="A24" s="258" t="s">
        <v>14</v>
      </c>
      <c r="B24" s="259">
        <f t="shared" ref="B24:H24" si="0">SUM(B8:B23)</f>
        <v>7912515.1699999981</v>
      </c>
      <c r="C24" s="259">
        <f t="shared" si="0"/>
        <v>0</v>
      </c>
      <c r="D24" s="259">
        <f t="shared" si="0"/>
        <v>7912515.1699999981</v>
      </c>
      <c r="E24" s="259">
        <f t="shared" si="0"/>
        <v>748552.68761382578</v>
      </c>
      <c r="F24" s="259">
        <f t="shared" si="0"/>
        <v>3843914.1445271913</v>
      </c>
      <c r="G24" s="259">
        <f t="shared" si="0"/>
        <v>4592466.8321410157</v>
      </c>
      <c r="H24" s="259">
        <f t="shared" si="0"/>
        <v>3320048.3378589828</v>
      </c>
    </row>
    <row r="25" spans="1:8">
      <c r="B25" s="257"/>
      <c r="C25" s="257"/>
      <c r="D25" s="257"/>
      <c r="E25" s="257">
        <f>E24-Depreciation!Q170</f>
        <v>0</v>
      </c>
      <c r="F25" s="257"/>
      <c r="G25" s="257"/>
      <c r="H25" s="257">
        <f>H24-Depreciation!U170</f>
        <v>0</v>
      </c>
    </row>
    <row r="26" spans="1:8" ht="12.75">
      <c r="A26" s="260" t="s">
        <v>15</v>
      </c>
      <c r="B26" s="260" t="s">
        <v>8</v>
      </c>
      <c r="C26" s="260" t="s">
        <v>9</v>
      </c>
      <c r="D26" s="260" t="s">
        <v>10</v>
      </c>
      <c r="E26" s="260" t="s">
        <v>11</v>
      </c>
      <c r="F26" s="260"/>
      <c r="G26" s="260"/>
      <c r="H26" s="260"/>
    </row>
    <row r="27" spans="1:8" s="230" customFormat="1" ht="12.75">
      <c r="A27" s="261"/>
      <c r="B27" s="261"/>
      <c r="C27" s="261"/>
      <c r="D27" s="261"/>
      <c r="E27" s="261"/>
      <c r="F27" s="261"/>
      <c r="G27" s="261"/>
      <c r="H27" s="261"/>
    </row>
    <row r="28" spans="1:8">
      <c r="A28" s="248" t="s">
        <v>16</v>
      </c>
      <c r="B28" s="256">
        <f>Depreciation!M228</f>
        <v>623992.17957264965</v>
      </c>
      <c r="C28" s="256">
        <f>B28-D28</f>
        <v>0</v>
      </c>
      <c r="D28" s="256">
        <f>Depreciation!N228</f>
        <v>623992.17957264965</v>
      </c>
      <c r="E28" s="256">
        <f>Depreciation!Q228</f>
        <v>30879.329666666672</v>
      </c>
      <c r="F28" s="256">
        <f>Depreciation!S228</f>
        <v>391501.25357264967</v>
      </c>
      <c r="G28" s="256">
        <f>Depreciation!T228</f>
        <v>422380.5832393163</v>
      </c>
      <c r="H28" s="256">
        <f>Depreciation!U228</f>
        <v>201611.59633333332</v>
      </c>
    </row>
    <row r="29" spans="1:8">
      <c r="B29" s="256"/>
      <c r="C29" s="256"/>
      <c r="D29" s="256"/>
      <c r="E29" s="256"/>
      <c r="F29" s="256"/>
      <c r="G29" s="256"/>
      <c r="H29" s="256"/>
    </row>
    <row r="30" spans="1:8">
      <c r="A30" s="248" t="s">
        <v>17</v>
      </c>
      <c r="B30" s="256">
        <f>Depreciation!M289</f>
        <v>628846.99999999988</v>
      </c>
      <c r="C30" s="256">
        <f>B30-D30</f>
        <v>0</v>
      </c>
      <c r="D30" s="256">
        <f>Depreciation!N289</f>
        <v>628846.99999999988</v>
      </c>
      <c r="E30" s="256">
        <f>Depreciation!Q289</f>
        <v>24585.922833333334</v>
      </c>
      <c r="F30" s="256">
        <f>Depreciation!S289</f>
        <v>420332.01183333341</v>
      </c>
      <c r="G30" s="256">
        <f>Depreciation!T289</f>
        <v>444917.93466666667</v>
      </c>
      <c r="H30" s="256">
        <f>Depreciation!U289</f>
        <v>183929.06533333333</v>
      </c>
    </row>
    <row r="31" spans="1:8">
      <c r="B31" s="256"/>
      <c r="C31" s="256"/>
      <c r="D31" s="256"/>
      <c r="E31" s="256"/>
      <c r="F31" s="256"/>
      <c r="G31" s="256"/>
      <c r="H31" s="256"/>
    </row>
    <row r="32" spans="1:8">
      <c r="A32" s="248" t="s">
        <v>607</v>
      </c>
      <c r="B32" s="256">
        <f>Depreciation!M335</f>
        <v>606241.04913043487</v>
      </c>
      <c r="C32" s="256">
        <f>B32-D32</f>
        <v>0</v>
      </c>
      <c r="D32" s="256">
        <f>Depreciation!N335</f>
        <v>606241.04913043487</v>
      </c>
      <c r="E32" s="256">
        <f>Depreciation!Q335</f>
        <v>56342.561666666661</v>
      </c>
      <c r="F32" s="256">
        <f>Depreciation!S335</f>
        <v>428306.63341614907</v>
      </c>
      <c r="G32" s="256">
        <f>Depreciation!T335</f>
        <v>484649.19508281571</v>
      </c>
      <c r="H32" s="256">
        <f>Depreciation!U335</f>
        <v>121591.85404761907</v>
      </c>
    </row>
    <row r="33" spans="1:8">
      <c r="B33" s="256"/>
      <c r="C33" s="256"/>
      <c r="D33" s="256"/>
      <c r="E33" s="256"/>
      <c r="F33" s="256"/>
      <c r="G33" s="256"/>
      <c r="H33" s="256"/>
    </row>
    <row r="34" spans="1:8">
      <c r="A34" s="248" t="s">
        <v>18</v>
      </c>
      <c r="B34" s="256">
        <f>Depreciation!M350</f>
        <v>669704.46086956514</v>
      </c>
      <c r="C34" s="256">
        <f>B34-D34</f>
        <v>0</v>
      </c>
      <c r="D34" s="256">
        <f>Depreciation!N350</f>
        <v>669704.46086956514</v>
      </c>
      <c r="E34" s="256">
        <f>Depreciation!Q350</f>
        <v>16813.940571428568</v>
      </c>
      <c r="F34" s="256">
        <f>Depreciation!S350</f>
        <v>596293.95058385085</v>
      </c>
      <c r="G34" s="256">
        <f>Depreciation!T350</f>
        <v>613107.89115527959</v>
      </c>
      <c r="H34" s="256">
        <f>Depreciation!U350</f>
        <v>56596.569714285724</v>
      </c>
    </row>
    <row r="35" spans="1:8">
      <c r="B35" s="256"/>
      <c r="C35" s="256"/>
      <c r="D35" s="256"/>
      <c r="E35" s="256"/>
      <c r="F35" s="256"/>
      <c r="G35" s="256"/>
      <c r="H35" s="256"/>
    </row>
    <row r="36" spans="1:8">
      <c r="A36" s="248" t="s">
        <v>577</v>
      </c>
      <c r="B36" s="256">
        <f>+Depreciation!M378</f>
        <v>216942.13000000003</v>
      </c>
      <c r="C36" s="256">
        <f>B36-D36</f>
        <v>0</v>
      </c>
      <c r="D36" s="256">
        <f>+Depreciation!N378</f>
        <v>216942.13000000003</v>
      </c>
      <c r="E36" s="256">
        <f>+Depreciation!Q378</f>
        <v>30991.732857142862</v>
      </c>
      <c r="F36" s="256">
        <f>+Depreciation!S378</f>
        <v>35885.737142857142</v>
      </c>
      <c r="G36" s="256">
        <f>+Depreciation!T378</f>
        <v>66877.47</v>
      </c>
      <c r="H36" s="256">
        <f>+Depreciation!U378</f>
        <v>150064.66000000003</v>
      </c>
    </row>
    <row r="37" spans="1:8">
      <c r="B37" s="256"/>
      <c r="C37" s="256"/>
      <c r="D37" s="256"/>
      <c r="E37" s="256"/>
      <c r="F37" s="256"/>
      <c r="G37" s="256"/>
      <c r="H37" s="256"/>
    </row>
    <row r="38" spans="1:8">
      <c r="A38" s="248" t="s">
        <v>578</v>
      </c>
      <c r="B38" s="256">
        <f>+Depreciation!M393</f>
        <v>175335.82000000004</v>
      </c>
      <c r="C38" s="256">
        <f>B38-D38</f>
        <v>0</v>
      </c>
      <c r="D38" s="256">
        <f>+Depreciation!N393</f>
        <v>175335.82000000004</v>
      </c>
      <c r="E38" s="256">
        <f>+Depreciation!P393</f>
        <v>25047.974285714288</v>
      </c>
      <c r="F38" s="256">
        <f>+Depreciation!S393</f>
        <v>28181.808571428573</v>
      </c>
      <c r="G38" s="256">
        <f>+Depreciation!T393</f>
        <v>53229.782857142862</v>
      </c>
      <c r="H38" s="256">
        <f>+Depreciation!U393</f>
        <v>122106.03714285712</v>
      </c>
    </row>
    <row r="39" spans="1:8">
      <c r="B39" s="256"/>
      <c r="C39" s="256"/>
      <c r="D39" s="256"/>
      <c r="E39" s="256"/>
      <c r="F39" s="256"/>
      <c r="G39" s="256"/>
      <c r="H39" s="256"/>
    </row>
    <row r="40" spans="1:8">
      <c r="A40" s="248" t="s">
        <v>19</v>
      </c>
      <c r="B40" s="256">
        <f>Depreciation!M409</f>
        <v>240064.7</v>
      </c>
      <c r="C40" s="256">
        <f>B40-D40</f>
        <v>0</v>
      </c>
      <c r="D40" s="256">
        <f>Depreciation!N409</f>
        <v>240064.7</v>
      </c>
      <c r="E40" s="256">
        <f>Depreciation!Q409</f>
        <v>18188</v>
      </c>
      <c r="F40" s="256">
        <f>Depreciation!S409</f>
        <v>132714.70000000001</v>
      </c>
      <c r="G40" s="256">
        <f>Depreciation!T409</f>
        <v>150902.70000000001</v>
      </c>
      <c r="H40" s="256">
        <f>Depreciation!U409</f>
        <v>89162</v>
      </c>
    </row>
    <row r="41" spans="1:8">
      <c r="B41" s="256"/>
      <c r="C41" s="256"/>
      <c r="D41" s="256"/>
      <c r="E41" s="256"/>
      <c r="F41" s="256"/>
      <c r="G41" s="256"/>
      <c r="H41" s="256"/>
    </row>
    <row r="42" spans="1:8">
      <c r="A42" s="185" t="s">
        <v>431</v>
      </c>
      <c r="B42" s="256">
        <f>Depreciation!M417</f>
        <v>73590.12</v>
      </c>
      <c r="C42" s="256">
        <f>B42-D42</f>
        <v>0</v>
      </c>
      <c r="D42" s="256">
        <f>Depreciation!N417</f>
        <v>73590.12</v>
      </c>
      <c r="E42" s="256">
        <f>Depreciation!Q417</f>
        <v>14718.024000000001</v>
      </c>
      <c r="F42" s="256">
        <f>Depreciation!S417</f>
        <v>44154.072</v>
      </c>
      <c r="G42" s="256">
        <f>Depreciation!T417</f>
        <v>58872.096000000005</v>
      </c>
      <c r="H42" s="256">
        <f>Depreciation!U417</f>
        <v>14718.023999999998</v>
      </c>
    </row>
    <row r="43" spans="1:8">
      <c r="B43" s="256"/>
      <c r="C43" s="256"/>
      <c r="D43" s="256"/>
      <c r="E43" s="256"/>
      <c r="F43" s="256"/>
      <c r="G43" s="256"/>
      <c r="H43" s="256"/>
    </row>
    <row r="44" spans="1:8">
      <c r="A44" s="185" t="s">
        <v>364</v>
      </c>
      <c r="B44" s="256">
        <f>Depreciation!M430</f>
        <v>176827.66999999998</v>
      </c>
      <c r="C44" s="256">
        <f>B44-D44</f>
        <v>0</v>
      </c>
      <c r="D44" s="256">
        <f>Depreciation!N430</f>
        <v>176827.66999999998</v>
      </c>
      <c r="E44" s="256">
        <f>Depreciation!Q430</f>
        <v>32313.595714285711</v>
      </c>
      <c r="F44" s="256">
        <f>Depreciation!S430</f>
        <v>83965.797142857133</v>
      </c>
      <c r="G44" s="256">
        <f>Depreciation!T430</f>
        <v>116279.39285714284</v>
      </c>
      <c r="H44" s="256">
        <f>Depreciation!U430</f>
        <v>60548.277142857143</v>
      </c>
    </row>
    <row r="45" spans="1:8">
      <c r="B45" s="256"/>
      <c r="C45" s="256"/>
      <c r="D45" s="256"/>
      <c r="E45" s="256"/>
      <c r="F45" s="256"/>
      <c r="G45" s="256"/>
      <c r="H45" s="256"/>
    </row>
    <row r="46" spans="1:8">
      <c r="A46" s="185" t="s">
        <v>370</v>
      </c>
      <c r="B46" s="256">
        <f>Depreciation!M436</f>
        <v>20071.59</v>
      </c>
      <c r="C46" s="256">
        <f>B46-D46</f>
        <v>0</v>
      </c>
      <c r="D46" s="256">
        <f>Depreciation!N436</f>
        <v>20071.59</v>
      </c>
      <c r="E46" s="256">
        <f>Depreciation!Q436</f>
        <v>3805.1202857142862</v>
      </c>
      <c r="F46" s="256">
        <f>Depreciation!S436</f>
        <v>10892.366571428573</v>
      </c>
      <c r="G46" s="256">
        <f>Depreciation!T436</f>
        <v>14697.486857142858</v>
      </c>
      <c r="H46" s="256">
        <f>Depreciation!U436</f>
        <v>5374.1031428571432</v>
      </c>
    </row>
    <row r="47" spans="1:8">
      <c r="B47" s="256"/>
      <c r="C47" s="256"/>
      <c r="D47" s="256"/>
      <c r="E47" s="256"/>
      <c r="F47" s="256"/>
      <c r="G47" s="256"/>
      <c r="H47" s="256"/>
    </row>
    <row r="48" spans="1:8">
      <c r="A48" s="185" t="s">
        <v>372</v>
      </c>
      <c r="B48" s="256">
        <f>Depreciation!M441</f>
        <v>24000</v>
      </c>
      <c r="C48" s="256">
        <f>B48-D48</f>
        <v>0</v>
      </c>
      <c r="D48" s="256">
        <f>Depreciation!N439</f>
        <v>24000</v>
      </c>
      <c r="E48" s="256">
        <f>Depreciation!Q439</f>
        <v>3428.5714285714284</v>
      </c>
      <c r="F48" s="256">
        <f>Depreciation!S439</f>
        <v>10285.714285714286</v>
      </c>
      <c r="G48" s="256">
        <f>Depreciation!T439</f>
        <v>13714.285714285714</v>
      </c>
      <c r="H48" s="256">
        <f>Depreciation!U439</f>
        <v>10285.714285714286</v>
      </c>
    </row>
    <row r="49" spans="1:13">
      <c r="B49" s="257"/>
      <c r="C49" s="257"/>
      <c r="D49" s="257"/>
      <c r="E49" s="257"/>
      <c r="F49" s="257"/>
      <c r="G49" s="257"/>
      <c r="H49" s="257"/>
    </row>
    <row r="50" spans="1:13" s="247" customFormat="1">
      <c r="A50" s="258" t="s">
        <v>20</v>
      </c>
      <c r="B50" s="259">
        <f t="shared" ref="B50:H50" si="1">SUM(B28:B49)</f>
        <v>3455616.7195726493</v>
      </c>
      <c r="C50" s="259">
        <f>SUM(C28:C49)</f>
        <v>0</v>
      </c>
      <c r="D50" s="259">
        <f t="shared" si="1"/>
        <v>3455616.7195726493</v>
      </c>
      <c r="E50" s="259">
        <f t="shared" si="1"/>
        <v>257114.77330952379</v>
      </c>
      <c r="F50" s="259">
        <f t="shared" si="1"/>
        <v>2182514.0451202686</v>
      </c>
      <c r="G50" s="259">
        <f t="shared" si="1"/>
        <v>2439628.8184297923</v>
      </c>
      <c r="H50" s="259">
        <f t="shared" si="1"/>
        <v>1015987.901142857</v>
      </c>
      <c r="I50" s="293"/>
    </row>
    <row r="51" spans="1:13" s="247" customFormat="1">
      <c r="B51" s="262"/>
      <c r="C51" s="262"/>
      <c r="D51" s="262"/>
      <c r="E51" s="262"/>
      <c r="F51" s="262"/>
      <c r="G51" s="262"/>
      <c r="H51" s="262"/>
    </row>
    <row r="52" spans="1:13" ht="12.75">
      <c r="A52" s="260" t="s">
        <v>519</v>
      </c>
      <c r="B52" s="260" t="s">
        <v>8</v>
      </c>
      <c r="C52" s="260" t="s">
        <v>9</v>
      </c>
      <c r="D52" s="260" t="s">
        <v>10</v>
      </c>
      <c r="E52" s="260" t="s">
        <v>11</v>
      </c>
      <c r="F52" s="260"/>
      <c r="G52" s="260"/>
      <c r="H52" s="260"/>
    </row>
    <row r="53" spans="1:13" s="230" customFormat="1" ht="12.75">
      <c r="A53" s="261"/>
      <c r="B53" s="261"/>
      <c r="C53" s="261"/>
      <c r="D53" s="261"/>
      <c r="E53" s="261"/>
      <c r="F53" s="261"/>
      <c r="G53" s="261"/>
      <c r="H53" s="261"/>
    </row>
    <row r="54" spans="1:13">
      <c r="A54" s="248" t="s">
        <v>21</v>
      </c>
      <c r="B54" s="256">
        <f>Depreciation!M449</f>
        <v>31923.599999999999</v>
      </c>
      <c r="C54" s="256">
        <f>B54-D54</f>
        <v>0</v>
      </c>
      <c r="D54" s="256">
        <f>Depreciation!N449</f>
        <v>31923.599999999999</v>
      </c>
      <c r="E54" s="256">
        <f>Depreciation!Q449</f>
        <v>0</v>
      </c>
      <c r="F54" s="256">
        <f>Depreciation!S449</f>
        <v>31923.599999999999</v>
      </c>
      <c r="G54" s="256">
        <f>Depreciation!T449</f>
        <v>31923.599999999999</v>
      </c>
      <c r="H54" s="256">
        <f>Depreciation!U449</f>
        <v>0</v>
      </c>
    </row>
    <row r="55" spans="1:13">
      <c r="B55" s="256"/>
      <c r="C55" s="256"/>
      <c r="D55" s="256"/>
      <c r="E55" s="256"/>
      <c r="F55" s="256"/>
      <c r="G55" s="256"/>
      <c r="H55" s="256"/>
    </row>
    <row r="56" spans="1:13">
      <c r="A56" s="248" t="s">
        <v>22</v>
      </c>
      <c r="B56" s="256">
        <f>Depreciation!M491</f>
        <v>326437.18</v>
      </c>
      <c r="C56" s="256">
        <f>B56-D56</f>
        <v>0</v>
      </c>
      <c r="D56" s="256">
        <f>Depreciation!N491</f>
        <v>326437.18</v>
      </c>
      <c r="E56" s="256">
        <f>Depreciation!Q491</f>
        <v>20184.281333333332</v>
      </c>
      <c r="F56" s="256">
        <f>Depreciation!S491</f>
        <v>279362.08400000003</v>
      </c>
      <c r="G56" s="256">
        <f>Depreciation!T491</f>
        <v>299546.36533333338</v>
      </c>
      <c r="H56" s="256">
        <f>Depreciation!U491</f>
        <v>26890.814666666665</v>
      </c>
    </row>
    <row r="57" spans="1:13">
      <c r="B57" s="256"/>
      <c r="C57" s="256"/>
      <c r="D57" s="256"/>
      <c r="E57" s="256"/>
      <c r="F57" s="256"/>
      <c r="G57" s="256"/>
      <c r="H57" s="256"/>
      <c r="K57" s="247"/>
      <c r="L57" s="247"/>
      <c r="M57" s="247"/>
    </row>
    <row r="58" spans="1:13">
      <c r="A58" s="248" t="s">
        <v>23</v>
      </c>
      <c r="B58" s="256">
        <f>Depreciation!M504</f>
        <v>8506.67</v>
      </c>
      <c r="C58" s="256">
        <f>B58-D58</f>
        <v>0</v>
      </c>
      <c r="D58" s="256">
        <f>Depreciation!N504</f>
        <v>8506.67</v>
      </c>
      <c r="E58" s="256">
        <f>Depreciation!Q504</f>
        <v>0</v>
      </c>
      <c r="F58" s="256">
        <f>Depreciation!S504</f>
        <v>8506.67</v>
      </c>
      <c r="G58" s="256">
        <f>Depreciation!T504</f>
        <v>8506.67</v>
      </c>
      <c r="H58" s="256">
        <f>Depreciation!U504</f>
        <v>0</v>
      </c>
    </row>
    <row r="59" spans="1:13">
      <c r="B59" s="256"/>
      <c r="C59" s="256"/>
      <c r="D59" s="256"/>
      <c r="E59" s="256"/>
      <c r="F59" s="256"/>
      <c r="G59" s="256"/>
      <c r="H59" s="256"/>
    </row>
    <row r="60" spans="1:13">
      <c r="A60" s="248" t="s">
        <v>24</v>
      </c>
      <c r="B60" s="256">
        <f>Depreciation!M530</f>
        <v>631741.70000000007</v>
      </c>
      <c r="C60" s="256"/>
      <c r="D60" s="256">
        <f>Depreciation!N530</f>
        <v>631741.70000000007</v>
      </c>
      <c r="E60" s="256">
        <f>Depreciation!Q530</f>
        <v>39556.989833333333</v>
      </c>
      <c r="F60" s="256">
        <f>Depreciation!S530</f>
        <v>272558.26449999993</v>
      </c>
      <c r="G60" s="256">
        <f>Depreciation!T530</f>
        <v>312115.2543333334</v>
      </c>
      <c r="H60" s="256">
        <f>Depreciation!U530</f>
        <v>319626.44566666667</v>
      </c>
    </row>
    <row r="61" spans="1:13">
      <c r="B61" s="257"/>
      <c r="C61" s="257"/>
      <c r="D61" s="257"/>
      <c r="E61" s="257"/>
      <c r="F61" s="257"/>
      <c r="G61" s="257"/>
      <c r="H61" s="257"/>
    </row>
    <row r="62" spans="1:13" s="247" customFormat="1">
      <c r="A62" s="258" t="s">
        <v>521</v>
      </c>
      <c r="B62" s="259">
        <f>SUM(B54:B60)</f>
        <v>998609.15</v>
      </c>
      <c r="C62" s="259">
        <f t="shared" ref="C62:H62" si="2">SUM(C54:C60)</f>
        <v>0</v>
      </c>
      <c r="D62" s="259">
        <f>SUM(D54:D60)</f>
        <v>998609.15</v>
      </c>
      <c r="E62" s="259">
        <f>SUM(E54:E60)</f>
        <v>59741.271166666666</v>
      </c>
      <c r="F62" s="259">
        <f t="shared" si="2"/>
        <v>592350.61849999987</v>
      </c>
      <c r="G62" s="259">
        <f t="shared" si="2"/>
        <v>652091.88966666674</v>
      </c>
      <c r="H62" s="259">
        <f t="shared" si="2"/>
        <v>346517.26033333334</v>
      </c>
      <c r="K62" s="266"/>
      <c r="L62" s="266"/>
      <c r="M62" s="266"/>
    </row>
    <row r="63" spans="1:13">
      <c r="B63" s="257"/>
      <c r="C63" s="257"/>
      <c r="D63" s="257"/>
      <c r="E63" s="257"/>
      <c r="F63" s="257"/>
      <c r="G63" s="257"/>
      <c r="H63" s="257"/>
      <c r="K63" s="267"/>
      <c r="L63" s="267"/>
      <c r="M63" s="267"/>
    </row>
    <row r="64" spans="1:13" ht="12.75" thickBot="1">
      <c r="A64" s="263" t="s">
        <v>26</v>
      </c>
      <c r="B64" s="264">
        <f t="shared" ref="B64:H64" si="3">B24+B50+B62</f>
        <v>12366741.039572647</v>
      </c>
      <c r="C64" s="264">
        <f t="shared" si="3"/>
        <v>0</v>
      </c>
      <c r="D64" s="264">
        <f t="shared" si="3"/>
        <v>12366741.039572647</v>
      </c>
      <c r="E64" s="264">
        <f t="shared" si="3"/>
        <v>1065408.7320900164</v>
      </c>
      <c r="F64" s="264">
        <f t="shared" si="3"/>
        <v>6618778.8081474602</v>
      </c>
      <c r="G64" s="264">
        <f t="shared" si="3"/>
        <v>7684187.5402374752</v>
      </c>
      <c r="H64" s="264">
        <f t="shared" si="3"/>
        <v>4682553.4993351735</v>
      </c>
    </row>
    <row r="65" spans="2:13" ht="12.75" thickTop="1">
      <c r="B65" s="292">
        <f>+B64-Depreciation!M532</f>
        <v>0</v>
      </c>
      <c r="D65" s="292"/>
    </row>
    <row r="66" spans="2:13">
      <c r="B66" s="265"/>
      <c r="C66" s="265"/>
      <c r="D66" s="265"/>
      <c r="E66" s="265"/>
      <c r="F66" s="265"/>
      <c r="G66" s="265"/>
      <c r="H66" s="265"/>
    </row>
    <row r="67" spans="2:13" s="266" customFormat="1">
      <c r="K67" s="248"/>
      <c r="L67" s="248"/>
      <c r="M67" s="248"/>
    </row>
    <row r="68" spans="2:13" s="267" customFormat="1">
      <c r="B68" s="268"/>
      <c r="C68" s="268"/>
      <c r="D68" s="268"/>
      <c r="E68" s="268"/>
      <c r="F68" s="268"/>
      <c r="G68" s="268"/>
      <c r="H68" s="268"/>
      <c r="K68" s="248"/>
      <c r="L68" s="248"/>
      <c r="M68" s="248"/>
    </row>
    <row r="72" spans="2:13">
      <c r="C72" s="269"/>
    </row>
  </sheetData>
  <pageMargins left="0.75" right="0.75" top="1" bottom="1" header="0.5" footer="0.5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3">
    <tabColor theme="6" tint="0.39997558519241921"/>
    <pageSetUpPr fitToPage="1"/>
  </sheetPr>
  <dimension ref="A1:AT586"/>
  <sheetViews>
    <sheetView showGridLines="0" tabSelected="1" zoomScaleNormal="100" workbookViewId="0">
      <pane ySplit="10" topLeftCell="A11" activePane="bottomLeft" state="frozen"/>
      <selection activeCell="J7" sqref="J7"/>
      <selection pane="bottomLeft" activeCell="J7" sqref="J7"/>
    </sheetView>
  </sheetViews>
  <sheetFormatPr defaultColWidth="12.5703125" defaultRowHeight="12"/>
  <cols>
    <col min="1" max="1" width="7.140625" style="230" customWidth="1"/>
    <col min="2" max="2" width="10.42578125" style="230" customWidth="1"/>
    <col min="3" max="3" width="9.42578125" style="230" bestFit="1" customWidth="1"/>
    <col min="4" max="4" width="5.28515625" style="230" bestFit="1" customWidth="1"/>
    <col min="5" max="5" width="35" style="230" customWidth="1"/>
    <col min="6" max="6" width="6.7109375" style="229" customWidth="1"/>
    <col min="7" max="7" width="6.140625" style="228" customWidth="1"/>
    <col min="8" max="8" width="8.5703125" style="228" customWidth="1"/>
    <col min="9" max="9" width="7.85546875" style="228" customWidth="1"/>
    <col min="10" max="10" width="6.140625" style="227" customWidth="1"/>
    <col min="11" max="11" width="8.42578125" style="229" customWidth="1"/>
    <col min="12" max="12" width="8.140625" style="230" customWidth="1"/>
    <col min="13" max="13" width="12.5703125" style="226" bestFit="1" customWidth="1"/>
    <col min="14" max="14" width="12" style="230" customWidth="1"/>
    <col min="15" max="15" width="12.28515625" style="230" customWidth="1"/>
    <col min="16" max="16" width="7.85546875" style="205" bestFit="1" customWidth="1"/>
    <col min="17" max="17" width="7.7109375" style="205" bestFit="1" customWidth="1"/>
    <col min="18" max="18" width="1.28515625" style="230" customWidth="1"/>
    <col min="19" max="20" width="10.140625" style="230" bestFit="1" customWidth="1"/>
    <col min="21" max="21" width="9" style="230" bestFit="1" customWidth="1"/>
    <col min="22" max="16384" width="12.5703125" style="230"/>
  </cols>
  <sheetData>
    <row r="1" spans="1:46">
      <c r="A1" s="231" t="s">
        <v>27</v>
      </c>
      <c r="N1" s="225"/>
      <c r="O1" s="225"/>
      <c r="P1" s="204"/>
      <c r="Q1" s="204"/>
    </row>
    <row r="2" spans="1:46" ht="15">
      <c r="A2" s="231" t="s">
        <v>28</v>
      </c>
      <c r="B2" s="231"/>
      <c r="E2" s="320"/>
      <c r="N2" s="318">
        <v>3</v>
      </c>
      <c r="O2" s="232" t="s">
        <v>453</v>
      </c>
      <c r="P2" s="281"/>
      <c r="Q2" s="281"/>
      <c r="AP2" s="230" t="s">
        <v>30</v>
      </c>
    </row>
    <row r="3" spans="1:46" ht="15.75">
      <c r="A3" s="331">
        <f>'Depr Summary'!H6</f>
        <v>44165</v>
      </c>
      <c r="B3" s="331"/>
      <c r="E3" s="222"/>
      <c r="H3" s="245"/>
      <c r="N3" s="318">
        <v>2020</v>
      </c>
      <c r="O3" s="232" t="s">
        <v>454</v>
      </c>
      <c r="P3" s="281"/>
      <c r="Q3" s="281"/>
    </row>
    <row r="4" spans="1:46" ht="15.75">
      <c r="E4" s="241" t="s">
        <v>489</v>
      </c>
      <c r="H4" s="245"/>
      <c r="N4" s="318">
        <v>2021</v>
      </c>
      <c r="O4" s="232" t="s">
        <v>455</v>
      </c>
      <c r="P4" s="281"/>
      <c r="Q4" s="281"/>
      <c r="AO4" s="230">
        <v>1</v>
      </c>
      <c r="AP4" s="230" t="s">
        <v>37</v>
      </c>
      <c r="AS4" s="230">
        <v>12</v>
      </c>
      <c r="AT4" s="230" t="s">
        <v>38</v>
      </c>
    </row>
    <row r="5" spans="1:46" ht="12" customHeight="1">
      <c r="E5" s="228"/>
      <c r="N5" s="319">
        <f>N4+N2/12</f>
        <v>2021.25</v>
      </c>
      <c r="O5" s="232" t="s">
        <v>456</v>
      </c>
      <c r="P5" s="281"/>
      <c r="Q5" s="281"/>
      <c r="AP5" s="230">
        <v>1993</v>
      </c>
      <c r="AS5" s="230">
        <v>0</v>
      </c>
      <c r="AT5" s="230" t="s">
        <v>41</v>
      </c>
    </row>
    <row r="6" spans="1:46" ht="12" customHeight="1">
      <c r="E6" s="228"/>
      <c r="AS6" s="230">
        <v>93</v>
      </c>
      <c r="AT6" s="230" t="s">
        <v>34</v>
      </c>
    </row>
    <row r="7" spans="1:46">
      <c r="S7" s="222" t="s">
        <v>48</v>
      </c>
      <c r="T7" s="222" t="s">
        <v>49</v>
      </c>
      <c r="U7" s="241"/>
      <c r="AS7" s="230">
        <v>94</v>
      </c>
      <c r="AT7" s="230" t="s">
        <v>46</v>
      </c>
    </row>
    <row r="8" spans="1:46">
      <c r="C8" s="222"/>
      <c r="D8" s="222" t="s">
        <v>2</v>
      </c>
      <c r="E8" s="216" t="s">
        <v>587</v>
      </c>
      <c r="F8" s="220" t="s">
        <v>51</v>
      </c>
      <c r="G8" s="222"/>
      <c r="H8" s="219" t="s">
        <v>9</v>
      </c>
      <c r="I8" s="222" t="s">
        <v>2</v>
      </c>
      <c r="J8" s="220"/>
      <c r="K8" s="220" t="s">
        <v>52</v>
      </c>
      <c r="L8" s="220" t="s">
        <v>2</v>
      </c>
      <c r="M8" s="218" t="s">
        <v>2</v>
      </c>
      <c r="N8" s="221" t="s">
        <v>2</v>
      </c>
      <c r="O8" s="221"/>
      <c r="P8" s="282"/>
      <c r="Q8" s="283" t="s">
        <v>54</v>
      </c>
      <c r="R8" s="222"/>
      <c r="S8" s="222" t="s">
        <v>56</v>
      </c>
      <c r="T8" s="222" t="s">
        <v>56</v>
      </c>
      <c r="U8" s="222" t="s">
        <v>5</v>
      </c>
    </row>
    <row r="9" spans="1:46">
      <c r="C9" s="222"/>
      <c r="D9" s="222" t="s">
        <v>59</v>
      </c>
      <c r="E9" s="221"/>
      <c r="F9" s="220" t="s">
        <v>60</v>
      </c>
      <c r="G9" s="222"/>
      <c r="H9" s="219" t="s">
        <v>61</v>
      </c>
      <c r="I9" s="222" t="s">
        <v>62</v>
      </c>
      <c r="J9" s="220" t="s">
        <v>63</v>
      </c>
      <c r="K9" s="220" t="s">
        <v>64</v>
      </c>
      <c r="L9" s="220" t="s">
        <v>450</v>
      </c>
      <c r="M9" s="218" t="s">
        <v>53</v>
      </c>
      <c r="N9" s="222" t="s">
        <v>11</v>
      </c>
      <c r="O9" s="222" t="s">
        <v>66</v>
      </c>
      <c r="P9" s="283" t="s">
        <v>452</v>
      </c>
      <c r="Q9" s="283" t="s">
        <v>52</v>
      </c>
      <c r="R9" s="222"/>
      <c r="S9" s="222" t="s">
        <v>71</v>
      </c>
      <c r="T9" s="222" t="s">
        <v>71</v>
      </c>
      <c r="U9" s="222" t="s">
        <v>7</v>
      </c>
      <c r="AO9" s="230">
        <v>2</v>
      </c>
      <c r="AP9" s="230" t="s">
        <v>75</v>
      </c>
    </row>
    <row r="10" spans="1:46">
      <c r="B10" s="217" t="s">
        <v>287</v>
      </c>
      <c r="C10" s="217" t="s">
        <v>76</v>
      </c>
      <c r="D10" s="217" t="s">
        <v>77</v>
      </c>
      <c r="E10" s="216" t="s">
        <v>78</v>
      </c>
      <c r="F10" s="215" t="s">
        <v>52</v>
      </c>
      <c r="G10" s="217" t="s">
        <v>79</v>
      </c>
      <c r="H10" s="214" t="s">
        <v>55</v>
      </c>
      <c r="I10" s="217" t="s">
        <v>81</v>
      </c>
      <c r="J10" s="215" t="s">
        <v>82</v>
      </c>
      <c r="K10" s="215" t="s">
        <v>11</v>
      </c>
      <c r="L10" s="215" t="s">
        <v>451</v>
      </c>
      <c r="M10" s="213" t="s">
        <v>8</v>
      </c>
      <c r="N10" s="217" t="s">
        <v>8</v>
      </c>
      <c r="O10" s="217" t="s">
        <v>11</v>
      </c>
      <c r="P10" s="284" t="s">
        <v>11</v>
      </c>
      <c r="Q10" s="284" t="s">
        <v>11</v>
      </c>
      <c r="R10" s="217"/>
      <c r="S10" s="212">
        <f>'Depr Summary'!F6</f>
        <v>43800</v>
      </c>
      <c r="T10" s="211">
        <f>+A3</f>
        <v>44165</v>
      </c>
      <c r="U10" s="211">
        <f>+A3</f>
        <v>44165</v>
      </c>
    </row>
    <row r="11" spans="1:46">
      <c r="C11" s="228" t="s">
        <v>84</v>
      </c>
      <c r="E11" s="210" t="s">
        <v>89</v>
      </c>
      <c r="F11" s="229">
        <v>2005</v>
      </c>
      <c r="G11" s="228">
        <v>12</v>
      </c>
      <c r="H11" s="209">
        <v>0</v>
      </c>
      <c r="I11" s="208" t="s">
        <v>86</v>
      </c>
      <c r="J11" s="227">
        <v>3</v>
      </c>
      <c r="K11" s="207">
        <f t="shared" ref="K11:K37" si="0">F11+J11</f>
        <v>2008</v>
      </c>
      <c r="L11" s="206">
        <f t="shared" ref="L11:L37" si="1">+K11+(G11/12)</f>
        <v>2009</v>
      </c>
      <c r="M11" s="205">
        <v>9887</v>
      </c>
      <c r="N11" s="204">
        <f t="shared" ref="N11:N27" si="2">M11-M11*H11</f>
        <v>9887</v>
      </c>
      <c r="O11" s="204">
        <f t="shared" ref="O11:O27" si="3">N11/J11/12</f>
        <v>274.63888888888886</v>
      </c>
      <c r="P11" s="204">
        <f t="shared" ref="P11:P27" si="4">+O11*12</f>
        <v>3295.6666666666661</v>
      </c>
      <c r="Q11" s="204">
        <f t="shared" ref="Q11:Q34" si="5">+IF(L11&lt;=$N$5,0,IF(K11&gt;$N$4,P11,(O11*G11)))</f>
        <v>0</v>
      </c>
      <c r="R11" s="204"/>
      <c r="S11" s="204">
        <f>+IF(Q11=0,M11,IF($N$3-F11&lt;1,0,(($N$3-F11)*P11)))</f>
        <v>9887</v>
      </c>
      <c r="T11" s="204">
        <f>+IF(Q11=0,S11,S11+Q11)</f>
        <v>9887</v>
      </c>
      <c r="U11" s="204">
        <f t="shared" ref="U11:U34" si="6">+M11-T11</f>
        <v>0</v>
      </c>
    </row>
    <row r="12" spans="1:46">
      <c r="C12" s="228" t="s">
        <v>94</v>
      </c>
      <c r="D12" s="230">
        <v>10</v>
      </c>
      <c r="E12" s="210" t="s">
        <v>95</v>
      </c>
      <c r="F12" s="229">
        <v>2007</v>
      </c>
      <c r="G12" s="228">
        <v>12</v>
      </c>
      <c r="H12" s="209">
        <v>0</v>
      </c>
      <c r="I12" s="208" t="s">
        <v>86</v>
      </c>
      <c r="J12" s="227">
        <v>7</v>
      </c>
      <c r="K12" s="207">
        <f t="shared" si="0"/>
        <v>2014</v>
      </c>
      <c r="L12" s="206">
        <f t="shared" si="1"/>
        <v>2015</v>
      </c>
      <c r="M12" s="205">
        <f>+'Depreciation - Orig.'!P14</f>
        <v>215424.24</v>
      </c>
      <c r="N12" s="204">
        <f t="shared" si="2"/>
        <v>215424.24</v>
      </c>
      <c r="O12" s="204">
        <f t="shared" si="3"/>
        <v>2564.5742857142855</v>
      </c>
      <c r="P12" s="204">
        <f t="shared" si="4"/>
        <v>30774.891428571427</v>
      </c>
      <c r="Q12" s="204">
        <f t="shared" si="5"/>
        <v>0</v>
      </c>
      <c r="R12" s="204"/>
      <c r="S12" s="204">
        <f t="shared" ref="S12:S27" si="7">+IF(Q12=0,M12,IF($N$3-F12&lt;1,0,(($N$3-F12)*P12)))</f>
        <v>215424.24</v>
      </c>
      <c r="T12" s="204">
        <f t="shared" ref="T12:T27" si="8">+IF(Q12=0,S12,S12+Q12)</f>
        <v>215424.24</v>
      </c>
      <c r="U12" s="204">
        <f t="shared" si="6"/>
        <v>0</v>
      </c>
    </row>
    <row r="13" spans="1:46">
      <c r="A13" s="270"/>
      <c r="B13" s="270"/>
      <c r="C13" s="271"/>
      <c r="D13" s="270"/>
      <c r="E13" s="272" t="s">
        <v>599</v>
      </c>
      <c r="F13" s="273">
        <v>2020</v>
      </c>
      <c r="G13" s="271">
        <v>12</v>
      </c>
      <c r="H13" s="274">
        <v>0</v>
      </c>
      <c r="I13" s="275" t="s">
        <v>86</v>
      </c>
      <c r="J13" s="276">
        <v>3</v>
      </c>
      <c r="K13" s="277">
        <f t="shared" si="0"/>
        <v>2023</v>
      </c>
      <c r="L13" s="278">
        <f>+K13+(G13/12)</f>
        <v>2024</v>
      </c>
      <c r="M13" s="279">
        <f>'Depreciation - Orig.'!N14-Depreciation!M12</f>
        <v>53856.06</v>
      </c>
      <c r="N13" s="280">
        <f t="shared" si="2"/>
        <v>53856.06</v>
      </c>
      <c r="O13" s="280">
        <f t="shared" si="3"/>
        <v>1496.0016666666668</v>
      </c>
      <c r="P13" s="280">
        <f>+O13*12</f>
        <v>17952.02</v>
      </c>
      <c r="Q13" s="280">
        <f t="shared" ref="Q13" si="9">+IF(L13&lt;=$N$5,0,IF(K13&gt;$N$4,P13,(O13*G13)))</f>
        <v>17952.02</v>
      </c>
      <c r="R13" s="280"/>
      <c r="S13" s="280">
        <f>+IF(Q13=0,M13,IF($N$3-F13&lt;1,0,(($N$3-F13)*P13)))</f>
        <v>0</v>
      </c>
      <c r="T13" s="280">
        <f>+IF(Q13=0,S13,S13+Q13)</f>
        <v>17952.02</v>
      </c>
      <c r="U13" s="280">
        <f t="shared" ref="U13" si="10">+M13-T13</f>
        <v>35904.039999999994</v>
      </c>
    </row>
    <row r="14" spans="1:46">
      <c r="B14" s="230" t="s">
        <v>398</v>
      </c>
      <c r="C14" s="228"/>
      <c r="D14" s="203">
        <v>16</v>
      </c>
      <c r="E14" s="210" t="s">
        <v>401</v>
      </c>
      <c r="F14" s="229">
        <v>2007</v>
      </c>
      <c r="G14" s="228">
        <v>11</v>
      </c>
      <c r="H14" s="209">
        <v>0</v>
      </c>
      <c r="I14" s="208" t="s">
        <v>86</v>
      </c>
      <c r="J14" s="227">
        <v>10</v>
      </c>
      <c r="K14" s="207">
        <f t="shared" si="0"/>
        <v>2017</v>
      </c>
      <c r="L14" s="206">
        <f t="shared" si="1"/>
        <v>2017.9166666666667</v>
      </c>
      <c r="M14" s="205">
        <v>861.33</v>
      </c>
      <c r="N14" s="204">
        <f t="shared" si="2"/>
        <v>861.33</v>
      </c>
      <c r="O14" s="204">
        <f t="shared" si="3"/>
        <v>7.1777500000000005</v>
      </c>
      <c r="P14" s="204">
        <f t="shared" si="4"/>
        <v>86.13300000000001</v>
      </c>
      <c r="Q14" s="204">
        <f t="shared" si="5"/>
        <v>0</v>
      </c>
      <c r="R14" s="204"/>
      <c r="S14" s="204">
        <f t="shared" si="7"/>
        <v>861.33</v>
      </c>
      <c r="T14" s="204">
        <f t="shared" si="8"/>
        <v>861.33</v>
      </c>
      <c r="U14" s="204">
        <f t="shared" si="6"/>
        <v>0</v>
      </c>
    </row>
    <row r="15" spans="1:46">
      <c r="B15" s="230">
        <v>174774</v>
      </c>
      <c r="C15" s="228" t="s">
        <v>331</v>
      </c>
      <c r="D15" s="203">
        <v>16</v>
      </c>
      <c r="E15" s="210" t="s">
        <v>397</v>
      </c>
      <c r="F15" s="229">
        <v>2007</v>
      </c>
      <c r="G15" s="228">
        <v>11</v>
      </c>
      <c r="H15" s="209">
        <v>0</v>
      </c>
      <c r="I15" s="208" t="s">
        <v>86</v>
      </c>
      <c r="J15" s="227">
        <v>10</v>
      </c>
      <c r="K15" s="207">
        <f t="shared" si="0"/>
        <v>2017</v>
      </c>
      <c r="L15" s="206">
        <f t="shared" si="1"/>
        <v>2017.9166666666667</v>
      </c>
      <c r="M15" s="205">
        <f>+'Depreciation - Orig.'!P16</f>
        <v>102718.6</v>
      </c>
      <c r="N15" s="204">
        <f t="shared" si="2"/>
        <v>102718.6</v>
      </c>
      <c r="O15" s="204">
        <f t="shared" si="3"/>
        <v>855.98833333333334</v>
      </c>
      <c r="P15" s="204">
        <f t="shared" si="4"/>
        <v>10271.86</v>
      </c>
      <c r="Q15" s="204">
        <f t="shared" si="5"/>
        <v>0</v>
      </c>
      <c r="R15" s="204"/>
      <c r="S15" s="204">
        <f t="shared" si="7"/>
        <v>102718.6</v>
      </c>
      <c r="T15" s="204">
        <f t="shared" si="8"/>
        <v>102718.6</v>
      </c>
      <c r="U15" s="204">
        <f t="shared" si="6"/>
        <v>0</v>
      </c>
    </row>
    <row r="16" spans="1:46">
      <c r="A16" s="270"/>
      <c r="B16" s="270"/>
      <c r="C16" s="271"/>
      <c r="D16" s="270"/>
      <c r="E16" s="272" t="s">
        <v>600</v>
      </c>
      <c r="F16" s="273">
        <v>2020</v>
      </c>
      <c r="G16" s="271">
        <v>12</v>
      </c>
      <c r="H16" s="274">
        <v>0</v>
      </c>
      <c r="I16" s="275" t="s">
        <v>86</v>
      </c>
      <c r="J16" s="276">
        <v>3</v>
      </c>
      <c r="K16" s="277">
        <f t="shared" ref="K16" si="11">F16+J16</f>
        <v>2023</v>
      </c>
      <c r="L16" s="278">
        <f>+K16+(G16/12)</f>
        <v>2024</v>
      </c>
      <c r="M16" s="279">
        <f>+'Depreciation - Orig.'!N16-Depreciation!M15</f>
        <v>25679.649999999994</v>
      </c>
      <c r="N16" s="280">
        <f t="shared" ref="N16" si="12">M16-M16*H16</f>
        <v>25679.649999999994</v>
      </c>
      <c r="O16" s="280">
        <f t="shared" ref="O16" si="13">N16/J16/12</f>
        <v>713.32361111111095</v>
      </c>
      <c r="P16" s="280">
        <f>+O16*12</f>
        <v>8559.8833333333314</v>
      </c>
      <c r="Q16" s="280">
        <f t="shared" si="5"/>
        <v>8559.8833333333314</v>
      </c>
      <c r="R16" s="280"/>
      <c r="S16" s="280">
        <f>+IF(Q16=0,M16,IF($N$3-F16&lt;1,0,(($N$3-F16)*P16)))</f>
        <v>0</v>
      </c>
      <c r="T16" s="280">
        <f>+IF(Q16=0,S16,S16+Q16)</f>
        <v>8559.8833333333314</v>
      </c>
      <c r="U16" s="280">
        <f t="shared" si="6"/>
        <v>17119.766666666663</v>
      </c>
    </row>
    <row r="17" spans="1:21">
      <c r="B17" s="230" t="s">
        <v>428</v>
      </c>
      <c r="C17" s="228" t="s">
        <v>331</v>
      </c>
      <c r="D17" s="203">
        <v>16</v>
      </c>
      <c r="E17" s="210" t="s">
        <v>429</v>
      </c>
      <c r="F17" s="229">
        <v>2008</v>
      </c>
      <c r="G17" s="228">
        <v>1</v>
      </c>
      <c r="H17" s="209">
        <v>0</v>
      </c>
      <c r="I17" s="208" t="s">
        <v>86</v>
      </c>
      <c r="J17" s="227">
        <v>9.11</v>
      </c>
      <c r="K17" s="244">
        <f t="shared" si="0"/>
        <v>2017.11</v>
      </c>
      <c r="L17" s="206">
        <f t="shared" si="1"/>
        <v>2017.1933333333332</v>
      </c>
      <c r="M17" s="205">
        <f>+'Depreciation - Orig.'!P17</f>
        <v>76906.415999999997</v>
      </c>
      <c r="N17" s="204">
        <f t="shared" ref="N17:N18" si="14">M17-M17*H17</f>
        <v>76906.415999999997</v>
      </c>
      <c r="O17" s="204">
        <f t="shared" ref="O17:O18" si="15">N17/J17/12</f>
        <v>703.49813391877058</v>
      </c>
      <c r="P17" s="204">
        <f t="shared" ref="P17" si="16">+O17*12</f>
        <v>8441.9776070252465</v>
      </c>
      <c r="Q17" s="204">
        <f t="shared" si="5"/>
        <v>0</v>
      </c>
      <c r="R17" s="204"/>
      <c r="S17" s="204">
        <f t="shared" ref="S17" si="17">+IF(Q17=0,M17,IF($N$3-F17&lt;1,0,(($N$3-F17)*P17)))</f>
        <v>76906.415999999997</v>
      </c>
      <c r="T17" s="204">
        <f t="shared" ref="T17" si="18">+IF(Q17=0,S17,S17+Q17)</f>
        <v>76906.415999999997</v>
      </c>
      <c r="U17" s="204">
        <f t="shared" si="6"/>
        <v>0</v>
      </c>
    </row>
    <row r="18" spans="1:21">
      <c r="A18" s="270"/>
      <c r="B18" s="270"/>
      <c r="C18" s="271"/>
      <c r="D18" s="270"/>
      <c r="E18" s="272" t="s">
        <v>600</v>
      </c>
      <c r="F18" s="273">
        <v>2020</v>
      </c>
      <c r="G18" s="271">
        <v>12</v>
      </c>
      <c r="H18" s="274">
        <v>0</v>
      </c>
      <c r="I18" s="275" t="s">
        <v>86</v>
      </c>
      <c r="J18" s="276">
        <v>3</v>
      </c>
      <c r="K18" s="277">
        <f t="shared" si="0"/>
        <v>2023</v>
      </c>
      <c r="L18" s="278">
        <f>+K18+(G18/12)</f>
        <v>2024</v>
      </c>
      <c r="M18" s="279">
        <f>+'Depreciation - Orig.'!N17-Depreciation!M17</f>
        <v>19226.604000000007</v>
      </c>
      <c r="N18" s="280">
        <f t="shared" si="14"/>
        <v>19226.604000000007</v>
      </c>
      <c r="O18" s="280">
        <f t="shared" si="15"/>
        <v>534.07233333333352</v>
      </c>
      <c r="P18" s="280">
        <f>+O18*12</f>
        <v>6408.8680000000022</v>
      </c>
      <c r="Q18" s="280">
        <f t="shared" ref="Q18" si="19">+IF(L18&lt;=$N$5,0,IF(K18&gt;$N$4,P18,(O18*G18)))</f>
        <v>6408.8680000000022</v>
      </c>
      <c r="R18" s="280"/>
      <c r="S18" s="280">
        <f>+IF(Q18=0,M18,IF($N$3-F18&lt;1,0,(($N$3-F18)*P18)))</f>
        <v>0</v>
      </c>
      <c r="T18" s="280">
        <f>+IF(Q18=0,S18,S18+Q18)</f>
        <v>6408.8680000000022</v>
      </c>
      <c r="U18" s="280">
        <f t="shared" ref="U18" si="20">+M18-T18</f>
        <v>12817.736000000004</v>
      </c>
    </row>
    <row r="19" spans="1:21">
      <c r="C19" s="228" t="s">
        <v>2</v>
      </c>
      <c r="E19" s="210" t="s">
        <v>96</v>
      </c>
      <c r="F19" s="229">
        <v>2008</v>
      </c>
      <c r="G19" s="228">
        <v>7</v>
      </c>
      <c r="H19" s="209">
        <v>0</v>
      </c>
      <c r="I19" s="208" t="s">
        <v>86</v>
      </c>
      <c r="J19" s="227">
        <v>7</v>
      </c>
      <c r="K19" s="207">
        <f t="shared" si="0"/>
        <v>2015</v>
      </c>
      <c r="L19" s="206">
        <f t="shared" si="1"/>
        <v>2015.5833333333333</v>
      </c>
      <c r="M19" s="205">
        <f>'Depreciation - Orig.'!P18</f>
        <v>3328</v>
      </c>
      <c r="N19" s="204">
        <f t="shared" si="2"/>
        <v>3328</v>
      </c>
      <c r="O19" s="204">
        <f t="shared" si="3"/>
        <v>39.61904761904762</v>
      </c>
      <c r="P19" s="204">
        <f t="shared" si="4"/>
        <v>475.42857142857144</v>
      </c>
      <c r="Q19" s="204">
        <f t="shared" si="5"/>
        <v>0</v>
      </c>
      <c r="R19" s="204"/>
      <c r="S19" s="204">
        <f t="shared" si="7"/>
        <v>3328</v>
      </c>
      <c r="T19" s="204">
        <f t="shared" si="8"/>
        <v>3328</v>
      </c>
      <c r="U19" s="204">
        <f t="shared" si="6"/>
        <v>0</v>
      </c>
    </row>
    <row r="20" spans="1:21">
      <c r="A20" s="270"/>
      <c r="B20" s="270"/>
      <c r="C20" s="271"/>
      <c r="D20" s="270"/>
      <c r="E20" s="272" t="s">
        <v>492</v>
      </c>
      <c r="F20" s="273">
        <v>2020</v>
      </c>
      <c r="G20" s="271">
        <v>12</v>
      </c>
      <c r="H20" s="274">
        <v>0</v>
      </c>
      <c r="I20" s="275" t="s">
        <v>86</v>
      </c>
      <c r="J20" s="276">
        <v>3</v>
      </c>
      <c r="K20" s="277">
        <f t="shared" ref="K20" si="21">F20+J20</f>
        <v>2023</v>
      </c>
      <c r="L20" s="278">
        <f>+K20+(G20/12)</f>
        <v>2024</v>
      </c>
      <c r="M20" s="279">
        <f>'Depreciation - Orig.'!N18-Depreciation!M19</f>
        <v>832</v>
      </c>
      <c r="N20" s="280">
        <f t="shared" ref="N20" si="22">M20-M20*H20</f>
        <v>832</v>
      </c>
      <c r="O20" s="280">
        <f t="shared" ref="O20" si="23">N20/J20/12</f>
        <v>23.111111111111111</v>
      </c>
      <c r="P20" s="280">
        <f>+O20*12</f>
        <v>277.33333333333331</v>
      </c>
      <c r="Q20" s="280">
        <f t="shared" si="5"/>
        <v>277.33333333333331</v>
      </c>
      <c r="R20" s="280"/>
      <c r="S20" s="280">
        <f>+IF(Q20=0,M20,IF($N$3-F20&lt;1,0,(($N$3-F20)*P20)))</f>
        <v>0</v>
      </c>
      <c r="T20" s="280">
        <f>+IF(Q20=0,S20,S20+Q20)</f>
        <v>277.33333333333331</v>
      </c>
      <c r="U20" s="280">
        <f t="shared" si="6"/>
        <v>554.66666666666674</v>
      </c>
    </row>
    <row r="21" spans="1:21">
      <c r="B21" s="230">
        <v>95491</v>
      </c>
      <c r="C21" s="228" t="s">
        <v>2</v>
      </c>
      <c r="D21" s="203"/>
      <c r="E21" s="210" t="s">
        <v>290</v>
      </c>
      <c r="F21" s="229">
        <v>2012</v>
      </c>
      <c r="G21" s="228">
        <v>7</v>
      </c>
      <c r="H21" s="209">
        <v>0</v>
      </c>
      <c r="I21" s="208" t="s">
        <v>86</v>
      </c>
      <c r="J21" s="227">
        <v>7</v>
      </c>
      <c r="K21" s="207">
        <f t="shared" si="0"/>
        <v>2019</v>
      </c>
      <c r="L21" s="206">
        <f t="shared" si="1"/>
        <v>2019.5833333333333</v>
      </c>
      <c r="M21" s="205">
        <f>'Depreciation - Orig.'!P25</f>
        <v>952</v>
      </c>
      <c r="N21" s="204">
        <f t="shared" si="2"/>
        <v>952</v>
      </c>
      <c r="O21" s="204">
        <f t="shared" si="3"/>
        <v>11.333333333333334</v>
      </c>
      <c r="P21" s="204">
        <f t="shared" si="4"/>
        <v>136</v>
      </c>
      <c r="Q21" s="204">
        <f t="shared" si="5"/>
        <v>0</v>
      </c>
      <c r="R21" s="204"/>
      <c r="S21" s="204">
        <f t="shared" si="7"/>
        <v>952</v>
      </c>
      <c r="T21" s="204">
        <f t="shared" si="8"/>
        <v>952</v>
      </c>
      <c r="U21" s="204">
        <f t="shared" si="6"/>
        <v>0</v>
      </c>
    </row>
    <row r="22" spans="1:21">
      <c r="A22" s="270"/>
      <c r="B22" s="270"/>
      <c r="C22" s="271"/>
      <c r="D22" s="270"/>
      <c r="E22" s="272" t="s">
        <v>499</v>
      </c>
      <c r="F22" s="273">
        <v>2020</v>
      </c>
      <c r="G22" s="271">
        <v>12</v>
      </c>
      <c r="H22" s="274">
        <v>0</v>
      </c>
      <c r="I22" s="275" t="s">
        <v>86</v>
      </c>
      <c r="J22" s="276">
        <v>3</v>
      </c>
      <c r="K22" s="277">
        <f t="shared" ref="K22" si="24">F22+J22</f>
        <v>2023</v>
      </c>
      <c r="L22" s="278">
        <f>+K22+(G22/12)</f>
        <v>2024</v>
      </c>
      <c r="M22" s="279">
        <f>'Depreciation - Orig.'!N25-Depreciation!M21</f>
        <v>238</v>
      </c>
      <c r="N22" s="280">
        <f>M22-M22*H22</f>
        <v>238</v>
      </c>
      <c r="O22" s="280">
        <f t="shared" ref="O22" si="25">N22/J22/12</f>
        <v>6.6111111111111107</v>
      </c>
      <c r="P22" s="280">
        <f>+O22*12</f>
        <v>79.333333333333329</v>
      </c>
      <c r="Q22" s="280">
        <f t="shared" si="5"/>
        <v>79.333333333333329</v>
      </c>
      <c r="R22" s="280"/>
      <c r="S22" s="280">
        <f>+IF(Q22=0,M22,IF($N$3-F22&lt;1,0,(($N$3-F22)*P22)))</f>
        <v>0</v>
      </c>
      <c r="T22" s="280">
        <f>+IF(Q22=0,S22,S22+Q22)</f>
        <v>79.333333333333329</v>
      </c>
      <c r="U22" s="280">
        <f t="shared" si="6"/>
        <v>158.66666666666669</v>
      </c>
    </row>
    <row r="23" spans="1:21">
      <c r="B23" s="230" t="s">
        <v>330</v>
      </c>
      <c r="C23" s="228" t="s">
        <v>331</v>
      </c>
      <c r="D23" s="203">
        <v>12</v>
      </c>
      <c r="E23" s="210" t="s">
        <v>332</v>
      </c>
      <c r="F23" s="229">
        <v>2015</v>
      </c>
      <c r="G23" s="228">
        <v>6</v>
      </c>
      <c r="H23" s="209">
        <v>0</v>
      </c>
      <c r="I23" s="208" t="s">
        <v>86</v>
      </c>
      <c r="J23" s="227">
        <v>7</v>
      </c>
      <c r="K23" s="207">
        <f t="shared" ref="K23" si="26">F23+J23</f>
        <v>2022</v>
      </c>
      <c r="L23" s="206">
        <f t="shared" ref="L23" si="27">+K23+(G23/12)</f>
        <v>2022.5</v>
      </c>
      <c r="M23" s="205">
        <v>314193.01</v>
      </c>
      <c r="N23" s="204">
        <f t="shared" ref="N23" si="28">M23-M23*H23</f>
        <v>314193.01</v>
      </c>
      <c r="O23" s="204">
        <f t="shared" ref="O23" si="29">N23/J23/12</f>
        <v>3740.3929761904765</v>
      </c>
      <c r="P23" s="204">
        <f t="shared" ref="P23" si="30">+O23*12</f>
        <v>44884.715714285718</v>
      </c>
      <c r="Q23" s="204">
        <f t="shared" si="5"/>
        <v>44884.715714285718</v>
      </c>
      <c r="R23" s="204"/>
      <c r="S23" s="204">
        <f t="shared" ref="S23" si="31">+IF(Q23=0,M23,IF($N$3-F23&lt;1,0,(($N$3-F23)*P23)))</f>
        <v>224423.5785714286</v>
      </c>
      <c r="T23" s="204">
        <f t="shared" ref="T23" si="32">+IF(Q23=0,S23,S23+Q23)</f>
        <v>269308.29428571434</v>
      </c>
      <c r="U23" s="204">
        <f t="shared" si="6"/>
        <v>44884.715714285674</v>
      </c>
    </row>
    <row r="24" spans="1:21">
      <c r="B24" s="230">
        <v>131544</v>
      </c>
      <c r="C24" s="228"/>
      <c r="D24" s="203"/>
      <c r="E24" s="210" t="s">
        <v>340</v>
      </c>
      <c r="F24" s="229">
        <v>2016</v>
      </c>
      <c r="G24" s="228">
        <v>3</v>
      </c>
      <c r="H24" s="209">
        <v>0</v>
      </c>
      <c r="I24" s="208" t="s">
        <v>86</v>
      </c>
      <c r="J24" s="227">
        <v>1</v>
      </c>
      <c r="K24" s="207">
        <f t="shared" si="0"/>
        <v>2017</v>
      </c>
      <c r="L24" s="206">
        <f t="shared" si="1"/>
        <v>2017.25</v>
      </c>
      <c r="M24" s="205">
        <f>5975.04/24*14</f>
        <v>3485.44</v>
      </c>
      <c r="N24" s="204">
        <f t="shared" si="2"/>
        <v>3485.44</v>
      </c>
      <c r="O24" s="204">
        <f t="shared" si="3"/>
        <v>290.45333333333332</v>
      </c>
      <c r="P24" s="204">
        <f t="shared" si="4"/>
        <v>3485.4399999999996</v>
      </c>
      <c r="Q24" s="204">
        <f t="shared" si="5"/>
        <v>0</v>
      </c>
      <c r="R24" s="204"/>
      <c r="S24" s="204">
        <f t="shared" si="7"/>
        <v>3485.44</v>
      </c>
      <c r="T24" s="204">
        <f t="shared" si="8"/>
        <v>3485.44</v>
      </c>
      <c r="U24" s="204">
        <f t="shared" si="6"/>
        <v>0</v>
      </c>
    </row>
    <row r="25" spans="1:21">
      <c r="B25" s="230">
        <v>165805</v>
      </c>
      <c r="C25" s="228"/>
      <c r="D25" s="203"/>
      <c r="E25" s="210" t="s">
        <v>348</v>
      </c>
      <c r="F25" s="229">
        <v>2016</v>
      </c>
      <c r="G25" s="228">
        <v>6</v>
      </c>
      <c r="H25" s="209">
        <v>0</v>
      </c>
      <c r="I25" s="208" t="s">
        <v>86</v>
      </c>
      <c r="J25" s="227">
        <v>1</v>
      </c>
      <c r="K25" s="207">
        <f t="shared" si="0"/>
        <v>2017</v>
      </c>
      <c r="L25" s="206">
        <f t="shared" si="1"/>
        <v>2017.5</v>
      </c>
      <c r="M25" s="205">
        <f>6255.46/30*20</f>
        <v>4170.3066666666664</v>
      </c>
      <c r="N25" s="204">
        <f t="shared" si="2"/>
        <v>4170.3066666666664</v>
      </c>
      <c r="O25" s="204">
        <f t="shared" si="3"/>
        <v>347.52555555555551</v>
      </c>
      <c r="P25" s="204">
        <f t="shared" si="4"/>
        <v>4170.3066666666664</v>
      </c>
      <c r="Q25" s="204">
        <f t="shared" si="5"/>
        <v>0</v>
      </c>
      <c r="R25" s="204"/>
      <c r="S25" s="204">
        <f t="shared" si="7"/>
        <v>4170.3066666666664</v>
      </c>
      <c r="T25" s="204">
        <f t="shared" si="8"/>
        <v>4170.3066666666664</v>
      </c>
      <c r="U25" s="204">
        <f t="shared" si="6"/>
        <v>0</v>
      </c>
    </row>
    <row r="26" spans="1:21">
      <c r="B26" s="230" t="s">
        <v>400</v>
      </c>
      <c r="C26" s="228"/>
      <c r="D26" s="203">
        <v>16</v>
      </c>
      <c r="E26" s="210" t="s">
        <v>399</v>
      </c>
      <c r="F26" s="229">
        <v>2016</v>
      </c>
      <c r="G26" s="228">
        <v>7</v>
      </c>
      <c r="H26" s="209">
        <v>0</v>
      </c>
      <c r="I26" s="208" t="s">
        <v>86</v>
      </c>
      <c r="J26" s="227">
        <v>10</v>
      </c>
      <c r="K26" s="207">
        <f t="shared" si="0"/>
        <v>2026</v>
      </c>
      <c r="L26" s="206">
        <f t="shared" si="1"/>
        <v>2026.5833333333333</v>
      </c>
      <c r="M26" s="205">
        <v>25528.62</v>
      </c>
      <c r="N26" s="204">
        <f t="shared" si="2"/>
        <v>25528.62</v>
      </c>
      <c r="O26" s="204">
        <f t="shared" si="3"/>
        <v>212.73850000000002</v>
      </c>
      <c r="P26" s="204">
        <f t="shared" si="4"/>
        <v>2552.8620000000001</v>
      </c>
      <c r="Q26" s="204">
        <f t="shared" si="5"/>
        <v>2552.8620000000001</v>
      </c>
      <c r="R26" s="204"/>
      <c r="S26" s="204">
        <f t="shared" si="7"/>
        <v>10211.448</v>
      </c>
      <c r="T26" s="204">
        <f t="shared" si="8"/>
        <v>12764.310000000001</v>
      </c>
      <c r="U26" s="204">
        <f t="shared" si="6"/>
        <v>12764.309999999998</v>
      </c>
    </row>
    <row r="27" spans="1:21">
      <c r="B27" s="230">
        <v>171078</v>
      </c>
      <c r="C27" s="228"/>
      <c r="D27" s="203"/>
      <c r="E27" s="210" t="s">
        <v>355</v>
      </c>
      <c r="F27" s="229">
        <v>2016</v>
      </c>
      <c r="G27" s="228">
        <v>12</v>
      </c>
      <c r="H27" s="209">
        <v>0</v>
      </c>
      <c r="I27" s="208" t="s">
        <v>86</v>
      </c>
      <c r="J27" s="227">
        <v>5</v>
      </c>
      <c r="K27" s="207">
        <f t="shared" si="0"/>
        <v>2021</v>
      </c>
      <c r="L27" s="206">
        <f t="shared" si="1"/>
        <v>2022</v>
      </c>
      <c r="M27" s="205">
        <f>22670.1/26*14</f>
        <v>12206.976923076922</v>
      </c>
      <c r="N27" s="204">
        <f t="shared" si="2"/>
        <v>12206.976923076922</v>
      </c>
      <c r="O27" s="204">
        <f t="shared" si="3"/>
        <v>203.44961538461538</v>
      </c>
      <c r="P27" s="204">
        <f t="shared" si="4"/>
        <v>2441.3953846153845</v>
      </c>
      <c r="Q27" s="204">
        <f t="shared" si="5"/>
        <v>2441.3953846153845</v>
      </c>
      <c r="R27" s="204"/>
      <c r="S27" s="204">
        <f t="shared" si="7"/>
        <v>9765.581538461538</v>
      </c>
      <c r="T27" s="204">
        <f t="shared" si="8"/>
        <v>12206.976923076923</v>
      </c>
      <c r="U27" s="204">
        <f t="shared" si="6"/>
        <v>0</v>
      </c>
    </row>
    <row r="28" spans="1:21">
      <c r="B28" s="230">
        <v>183685</v>
      </c>
      <c r="C28" s="228" t="s">
        <v>331</v>
      </c>
      <c r="D28" s="203">
        <v>42</v>
      </c>
      <c r="E28" s="210" t="s">
        <v>594</v>
      </c>
      <c r="F28" s="229">
        <v>2017</v>
      </c>
      <c r="G28" s="228">
        <v>6</v>
      </c>
      <c r="H28" s="209">
        <v>0</v>
      </c>
      <c r="I28" s="208" t="s">
        <v>86</v>
      </c>
      <c r="J28" s="227">
        <v>7</v>
      </c>
      <c r="K28" s="207">
        <f t="shared" ref="K28:K29" si="33">F28+J28</f>
        <v>2024</v>
      </c>
      <c r="L28" s="206">
        <f t="shared" ref="L28:L29" si="34">+K28+(G28/12)</f>
        <v>2024.5</v>
      </c>
      <c r="M28" s="205">
        <v>33000</v>
      </c>
      <c r="N28" s="204">
        <f t="shared" ref="N28:N29" si="35">M28-M28*H28</f>
        <v>33000</v>
      </c>
      <c r="O28" s="204">
        <f t="shared" ref="O28:O29" si="36">N28/J28/12</f>
        <v>392.85714285714289</v>
      </c>
      <c r="P28" s="204">
        <f t="shared" ref="P28:P29" si="37">+O28*12</f>
        <v>4714.2857142857147</v>
      </c>
      <c r="Q28" s="204">
        <f t="shared" ref="Q28:Q29" si="38">+IF(L28&lt;=$N$5,0,IF(K28&gt;$N$4,P28,(O28*G28)))</f>
        <v>4714.2857142857147</v>
      </c>
      <c r="R28" s="204"/>
      <c r="S28" s="204">
        <f t="shared" ref="S28:S29" si="39">+IF(Q28=0,M28,IF($N$3-F28&lt;1,0,(($N$3-F28)*P28)))</f>
        <v>14142.857142857145</v>
      </c>
      <c r="T28" s="204">
        <f t="shared" ref="T28:T29" si="40">+IF(Q28=0,S28,S28+Q28)</f>
        <v>18857.142857142859</v>
      </c>
      <c r="U28" s="204">
        <f t="shared" ref="U28:U29" si="41">M28-T28</f>
        <v>14142.857142857141</v>
      </c>
    </row>
    <row r="29" spans="1:21">
      <c r="B29" s="230" t="s">
        <v>410</v>
      </c>
      <c r="C29" s="228"/>
      <c r="D29" s="203">
        <v>42</v>
      </c>
      <c r="E29" s="210" t="s">
        <v>408</v>
      </c>
      <c r="F29" s="229">
        <v>2017</v>
      </c>
      <c r="G29" s="228">
        <v>6</v>
      </c>
      <c r="H29" s="209">
        <v>0</v>
      </c>
      <c r="I29" s="208" t="s">
        <v>86</v>
      </c>
      <c r="J29" s="227">
        <v>3</v>
      </c>
      <c r="K29" s="207">
        <f t="shared" si="33"/>
        <v>2020</v>
      </c>
      <c r="L29" s="206">
        <f t="shared" si="34"/>
        <v>2020.5</v>
      </c>
      <c r="M29" s="205">
        <v>2398.5</v>
      </c>
      <c r="N29" s="204">
        <f t="shared" si="35"/>
        <v>2398.5</v>
      </c>
      <c r="O29" s="204">
        <f t="shared" si="36"/>
        <v>66.625</v>
      </c>
      <c r="P29" s="204">
        <f t="shared" si="37"/>
        <v>799.5</v>
      </c>
      <c r="Q29" s="204">
        <f t="shared" si="38"/>
        <v>0</v>
      </c>
      <c r="R29" s="204"/>
      <c r="S29" s="204">
        <f t="shared" si="39"/>
        <v>2398.5</v>
      </c>
      <c r="T29" s="204">
        <f t="shared" si="40"/>
        <v>2398.5</v>
      </c>
      <c r="U29" s="204">
        <f t="shared" si="41"/>
        <v>0</v>
      </c>
    </row>
    <row r="30" spans="1:21">
      <c r="A30" s="230">
        <v>202835</v>
      </c>
      <c r="B30" s="230">
        <v>202595</v>
      </c>
      <c r="C30" s="228"/>
      <c r="D30" s="203">
        <v>38</v>
      </c>
      <c r="E30" s="210" t="s">
        <v>475</v>
      </c>
      <c r="F30" s="229">
        <v>2018</v>
      </c>
      <c r="G30" s="228">
        <v>8</v>
      </c>
      <c r="H30" s="209">
        <v>0</v>
      </c>
      <c r="I30" s="208" t="s">
        <v>86</v>
      </c>
      <c r="J30" s="227">
        <v>5</v>
      </c>
      <c r="K30" s="207">
        <f t="shared" si="0"/>
        <v>2023</v>
      </c>
      <c r="L30" s="206">
        <f t="shared" si="1"/>
        <v>2023.6666666666667</v>
      </c>
      <c r="M30" s="205">
        <v>967.82</v>
      </c>
      <c r="N30" s="204">
        <f t="shared" ref="N30:N34" si="42">M30-M30*H30</f>
        <v>967.82</v>
      </c>
      <c r="O30" s="204">
        <f t="shared" ref="O30:O34" si="43">N30/J30/12</f>
        <v>16.130333333333336</v>
      </c>
      <c r="P30" s="204">
        <f t="shared" ref="P30:P34" si="44">+O30*12</f>
        <v>193.56400000000002</v>
      </c>
      <c r="Q30" s="204">
        <f t="shared" si="5"/>
        <v>193.56400000000002</v>
      </c>
      <c r="R30" s="204"/>
      <c r="S30" s="204">
        <f t="shared" ref="S30:S34" si="45">+IF(Q30=0,M30,IF($N$3-F30&lt;1,0,(($N$3-F30)*P30)))</f>
        <v>387.12800000000004</v>
      </c>
      <c r="T30" s="204">
        <f t="shared" ref="T30:T34" si="46">+IF(Q30=0,S30,S30+Q30)</f>
        <v>580.69200000000001</v>
      </c>
      <c r="U30" s="204">
        <f t="shared" si="6"/>
        <v>387.12800000000004</v>
      </c>
    </row>
    <row r="31" spans="1:21">
      <c r="A31" s="230">
        <v>202836</v>
      </c>
      <c r="B31" s="230">
        <v>203682</v>
      </c>
      <c r="C31" s="228"/>
      <c r="D31" s="203">
        <v>39</v>
      </c>
      <c r="E31" s="210" t="s">
        <v>476</v>
      </c>
      <c r="F31" s="229">
        <v>2018</v>
      </c>
      <c r="G31" s="228">
        <v>9</v>
      </c>
      <c r="H31" s="209">
        <v>0</v>
      </c>
      <c r="I31" s="208" t="s">
        <v>86</v>
      </c>
      <c r="J31" s="227">
        <v>10</v>
      </c>
      <c r="K31" s="207">
        <f t="shared" si="0"/>
        <v>2028</v>
      </c>
      <c r="L31" s="206">
        <f t="shared" si="1"/>
        <v>2028.75</v>
      </c>
      <c r="M31" s="205">
        <v>957</v>
      </c>
      <c r="N31" s="204">
        <f t="shared" si="42"/>
        <v>957</v>
      </c>
      <c r="O31" s="204">
        <f t="shared" si="43"/>
        <v>7.9750000000000005</v>
      </c>
      <c r="P31" s="204">
        <f t="shared" si="44"/>
        <v>95.7</v>
      </c>
      <c r="Q31" s="204">
        <f t="shared" si="5"/>
        <v>95.7</v>
      </c>
      <c r="R31" s="204"/>
      <c r="S31" s="204">
        <f t="shared" si="45"/>
        <v>191.4</v>
      </c>
      <c r="T31" s="204">
        <f t="shared" si="46"/>
        <v>287.10000000000002</v>
      </c>
      <c r="U31" s="204">
        <f t="shared" si="6"/>
        <v>669.9</v>
      </c>
    </row>
    <row r="32" spans="1:21">
      <c r="A32" s="230">
        <v>202835</v>
      </c>
      <c r="B32" s="230">
        <v>203681</v>
      </c>
      <c r="C32" s="228"/>
      <c r="D32" s="203">
        <v>38</v>
      </c>
      <c r="E32" s="210" t="s">
        <v>476</v>
      </c>
      <c r="F32" s="229">
        <v>2018</v>
      </c>
      <c r="G32" s="228">
        <v>9</v>
      </c>
      <c r="H32" s="209">
        <v>0</v>
      </c>
      <c r="I32" s="208" t="s">
        <v>86</v>
      </c>
      <c r="J32" s="227">
        <v>10</v>
      </c>
      <c r="K32" s="207">
        <f t="shared" si="0"/>
        <v>2028</v>
      </c>
      <c r="L32" s="206">
        <f t="shared" si="1"/>
        <v>2028.75</v>
      </c>
      <c r="M32" s="205">
        <v>957</v>
      </c>
      <c r="N32" s="204">
        <f t="shared" si="42"/>
        <v>957</v>
      </c>
      <c r="O32" s="204">
        <f t="shared" si="43"/>
        <v>7.9750000000000005</v>
      </c>
      <c r="P32" s="204">
        <f t="shared" si="44"/>
        <v>95.7</v>
      </c>
      <c r="Q32" s="204">
        <f t="shared" si="5"/>
        <v>95.7</v>
      </c>
      <c r="R32" s="204"/>
      <c r="S32" s="204">
        <f t="shared" si="45"/>
        <v>191.4</v>
      </c>
      <c r="T32" s="204">
        <f t="shared" si="46"/>
        <v>287.10000000000002</v>
      </c>
      <c r="U32" s="204">
        <f t="shared" si="6"/>
        <v>669.9</v>
      </c>
    </row>
    <row r="33" spans="1:22">
      <c r="A33" s="230" t="s">
        <v>433</v>
      </c>
      <c r="B33" s="230">
        <v>202836</v>
      </c>
      <c r="C33" s="228"/>
      <c r="D33" s="203">
        <v>39</v>
      </c>
      <c r="E33" s="210" t="s">
        <v>477</v>
      </c>
      <c r="F33" s="229">
        <v>2018</v>
      </c>
      <c r="G33" s="228">
        <v>9</v>
      </c>
      <c r="H33" s="209">
        <v>0</v>
      </c>
      <c r="I33" s="208" t="s">
        <v>86</v>
      </c>
      <c r="J33" s="227">
        <v>10</v>
      </c>
      <c r="K33" s="207">
        <f t="shared" si="0"/>
        <v>2028</v>
      </c>
      <c r="L33" s="206">
        <f t="shared" si="1"/>
        <v>2028.75</v>
      </c>
      <c r="M33" s="205">
        <v>338950.96</v>
      </c>
      <c r="N33" s="204">
        <f t="shared" si="42"/>
        <v>338950.96</v>
      </c>
      <c r="O33" s="204">
        <f t="shared" si="43"/>
        <v>2824.5913333333338</v>
      </c>
      <c r="P33" s="204">
        <f t="shared" si="44"/>
        <v>33895.096000000005</v>
      </c>
      <c r="Q33" s="204">
        <f t="shared" si="5"/>
        <v>33895.096000000005</v>
      </c>
      <c r="R33" s="204"/>
      <c r="S33" s="204">
        <f t="shared" si="45"/>
        <v>67790.19200000001</v>
      </c>
      <c r="T33" s="204">
        <f t="shared" si="46"/>
        <v>101685.28800000002</v>
      </c>
      <c r="U33" s="204">
        <f t="shared" si="6"/>
        <v>237265.67200000002</v>
      </c>
    </row>
    <row r="34" spans="1:22">
      <c r="A34" s="230" t="s">
        <v>433</v>
      </c>
      <c r="B34" s="230">
        <v>202835</v>
      </c>
      <c r="C34" s="228"/>
      <c r="D34" s="203">
        <v>38</v>
      </c>
      <c r="E34" s="210" t="s">
        <v>477</v>
      </c>
      <c r="F34" s="229">
        <v>2018</v>
      </c>
      <c r="G34" s="228">
        <v>9</v>
      </c>
      <c r="H34" s="209">
        <v>0</v>
      </c>
      <c r="I34" s="208" t="s">
        <v>86</v>
      </c>
      <c r="J34" s="227">
        <v>10</v>
      </c>
      <c r="K34" s="207">
        <f t="shared" si="0"/>
        <v>2028</v>
      </c>
      <c r="L34" s="206">
        <f t="shared" si="1"/>
        <v>2028.75</v>
      </c>
      <c r="M34" s="205">
        <v>338950.96</v>
      </c>
      <c r="N34" s="204">
        <f t="shared" si="42"/>
        <v>338950.96</v>
      </c>
      <c r="O34" s="204">
        <f t="shared" si="43"/>
        <v>2824.5913333333338</v>
      </c>
      <c r="P34" s="204">
        <f t="shared" si="44"/>
        <v>33895.096000000005</v>
      </c>
      <c r="Q34" s="204">
        <f t="shared" si="5"/>
        <v>33895.096000000005</v>
      </c>
      <c r="R34" s="204"/>
      <c r="S34" s="204">
        <f t="shared" si="45"/>
        <v>67790.19200000001</v>
      </c>
      <c r="T34" s="204">
        <f t="shared" si="46"/>
        <v>101685.28800000002</v>
      </c>
      <c r="U34" s="204">
        <f t="shared" si="6"/>
        <v>237265.67200000002</v>
      </c>
    </row>
    <row r="35" spans="1:22">
      <c r="B35" s="230" t="s">
        <v>536</v>
      </c>
      <c r="C35" s="228"/>
      <c r="D35" s="203">
        <v>46</v>
      </c>
      <c r="E35" s="210" t="s">
        <v>537</v>
      </c>
      <c r="F35" s="229">
        <v>2019</v>
      </c>
      <c r="G35" s="228">
        <v>12</v>
      </c>
      <c r="H35" s="209">
        <v>0</v>
      </c>
      <c r="I35" s="208" t="s">
        <v>86</v>
      </c>
      <c r="J35" s="227">
        <v>10</v>
      </c>
      <c r="K35" s="207">
        <f t="shared" si="0"/>
        <v>2029</v>
      </c>
      <c r="L35" s="206">
        <f t="shared" si="1"/>
        <v>2030</v>
      </c>
      <c r="M35" s="205">
        <f>358392.25+1088.37</f>
        <v>359480.62</v>
      </c>
      <c r="N35" s="204">
        <f t="shared" ref="N35:N36" si="47">M35-M35*H35</f>
        <v>359480.62</v>
      </c>
      <c r="O35" s="204">
        <f t="shared" ref="O35:O36" si="48">N35/J35/12</f>
        <v>2995.6718333333333</v>
      </c>
      <c r="P35" s="204">
        <f t="shared" ref="P35:P36" si="49">+O35*12</f>
        <v>35948.061999999998</v>
      </c>
      <c r="Q35" s="204">
        <f t="shared" ref="Q35:Q36" si="50">+IF(L35&lt;=$N$5,0,IF(K35&gt;$N$4,P35,(O35*G35)))</f>
        <v>35948.061999999998</v>
      </c>
      <c r="R35" s="204"/>
      <c r="S35" s="204">
        <f t="shared" ref="S35:S36" si="51">+IF(Q35=0,M35,IF($N$3-F35&lt;1,0,(($N$3-F35)*P35)))</f>
        <v>35948.061999999998</v>
      </c>
      <c r="T35" s="204">
        <f t="shared" ref="T35:T36" si="52">+IF(Q35=0,S35,S35+Q35)</f>
        <v>71896.123999999996</v>
      </c>
      <c r="U35" s="204">
        <f t="shared" ref="U35:U36" si="53">+M35-T35</f>
        <v>287584.49599999998</v>
      </c>
    </row>
    <row r="36" spans="1:22">
      <c r="B36" s="230" t="s">
        <v>538</v>
      </c>
      <c r="C36" s="228"/>
      <c r="D36" s="203">
        <v>45</v>
      </c>
      <c r="E36" s="210" t="s">
        <v>539</v>
      </c>
      <c r="F36" s="229">
        <v>2019</v>
      </c>
      <c r="G36" s="228">
        <v>9</v>
      </c>
      <c r="H36" s="209">
        <v>0</v>
      </c>
      <c r="I36" s="208" t="s">
        <v>86</v>
      </c>
      <c r="J36" s="227">
        <v>10</v>
      </c>
      <c r="K36" s="207">
        <f t="shared" si="0"/>
        <v>2029</v>
      </c>
      <c r="L36" s="206">
        <f t="shared" si="1"/>
        <v>2029.75</v>
      </c>
      <c r="M36" s="205">
        <f>358392.24+1251.45</f>
        <v>359643.69</v>
      </c>
      <c r="N36" s="204">
        <f t="shared" si="47"/>
        <v>359643.69</v>
      </c>
      <c r="O36" s="204">
        <f t="shared" si="48"/>
        <v>2997.0307499999999</v>
      </c>
      <c r="P36" s="204">
        <f t="shared" si="49"/>
        <v>35964.368999999999</v>
      </c>
      <c r="Q36" s="204">
        <f t="shared" si="50"/>
        <v>35964.368999999999</v>
      </c>
      <c r="R36" s="204"/>
      <c r="S36" s="204">
        <f t="shared" si="51"/>
        <v>35964.368999999999</v>
      </c>
      <c r="T36" s="204">
        <f t="shared" si="52"/>
        <v>71928.737999999998</v>
      </c>
      <c r="U36" s="204">
        <f t="shared" si="53"/>
        <v>287714.95199999999</v>
      </c>
    </row>
    <row r="37" spans="1:22">
      <c r="B37" s="230">
        <v>243665</v>
      </c>
      <c r="C37" s="222"/>
      <c r="D37" s="203">
        <v>48</v>
      </c>
      <c r="E37" s="210" t="s">
        <v>605</v>
      </c>
      <c r="F37" s="229">
        <v>2020</v>
      </c>
      <c r="G37" s="228">
        <v>12</v>
      </c>
      <c r="H37" s="209">
        <v>0</v>
      </c>
      <c r="I37" s="208" t="s">
        <v>86</v>
      </c>
      <c r="J37" s="227">
        <v>10</v>
      </c>
      <c r="K37" s="207">
        <f t="shared" si="0"/>
        <v>2030</v>
      </c>
      <c r="L37" s="206">
        <f t="shared" si="1"/>
        <v>2031</v>
      </c>
      <c r="M37" s="205">
        <v>365317.55</v>
      </c>
      <c r="N37" s="204">
        <f t="shared" ref="N37" si="54">M37-M37*H37</f>
        <v>365317.55</v>
      </c>
      <c r="O37" s="204">
        <f t="shared" ref="O37" si="55">N37/J37/12</f>
        <v>3044.3129166666663</v>
      </c>
      <c r="P37" s="204">
        <f t="shared" ref="P37" si="56">+O37*12</f>
        <v>36531.754999999997</v>
      </c>
      <c r="Q37" s="204">
        <f t="shared" ref="Q37" si="57">+IF(L37&lt;=$N$5,0,IF(K37&gt;$N$4,P37,(O37*G37)))</f>
        <v>36531.754999999997</v>
      </c>
      <c r="R37" s="204"/>
      <c r="S37" s="204">
        <f t="shared" ref="S37" si="58">+IF(Q37=0,M37,IF($N$3-F37&lt;1,0,(($N$3-F37)*P37)))</f>
        <v>0</v>
      </c>
      <c r="T37" s="204">
        <f t="shared" ref="T37" si="59">+IF(Q37=0,S37,S37+Q37)</f>
        <v>36531.754999999997</v>
      </c>
      <c r="U37" s="204">
        <f t="shared" ref="U37" si="60">+M37-T37</f>
        <v>328785.79499999998</v>
      </c>
    </row>
    <row r="38" spans="1:22" ht="11.25" customHeight="1">
      <c r="A38" s="236"/>
      <c r="B38" s="237"/>
      <c r="C38" s="228"/>
      <c r="D38" s="203"/>
      <c r="E38" s="239"/>
      <c r="H38" s="209"/>
      <c r="I38" s="208"/>
      <c r="K38" s="207"/>
      <c r="L38" s="206"/>
      <c r="M38" s="238"/>
      <c r="N38" s="204"/>
      <c r="O38" s="204"/>
      <c r="P38" s="204"/>
      <c r="Q38" s="204"/>
      <c r="R38" s="204"/>
      <c r="S38" s="204"/>
      <c r="T38" s="204"/>
      <c r="U38" s="204"/>
    </row>
    <row r="39" spans="1:22" s="202" customFormat="1">
      <c r="C39" s="222"/>
      <c r="D39" s="224"/>
      <c r="E39" s="297" t="s">
        <v>589</v>
      </c>
      <c r="F39" s="298"/>
      <c r="G39" s="299"/>
      <c r="H39" s="299"/>
      <c r="I39" s="299"/>
      <c r="J39" s="300"/>
      <c r="K39" s="298"/>
      <c r="L39" s="301"/>
      <c r="M39" s="200">
        <f>SUM(M11:M38)</f>
        <v>2670118.3535897429</v>
      </c>
      <c r="N39" s="200">
        <f t="shared" ref="N39:U39" si="61">SUM(N11:N38)</f>
        <v>2670118.3535897429</v>
      </c>
      <c r="O39" s="200">
        <f t="shared" si="61"/>
        <v>27202.270229462116</v>
      </c>
      <c r="P39" s="200">
        <f t="shared" si="61"/>
        <v>326427.2427535454</v>
      </c>
      <c r="Q39" s="200">
        <f t="shared" si="61"/>
        <v>264490.03881318681</v>
      </c>
      <c r="R39" s="200">
        <f t="shared" si="61"/>
        <v>0</v>
      </c>
      <c r="S39" s="200">
        <f t="shared" si="61"/>
        <v>886938.04091941402</v>
      </c>
      <c r="T39" s="200">
        <f t="shared" si="61"/>
        <v>1151428.0797326004</v>
      </c>
      <c r="U39" s="200">
        <f t="shared" si="61"/>
        <v>1518690.2738571428</v>
      </c>
    </row>
    <row r="40" spans="1:22" s="202" customFormat="1">
      <c r="C40" s="222"/>
      <c r="D40" s="224"/>
      <c r="E40" s="231"/>
      <c r="F40" s="223"/>
      <c r="G40" s="201"/>
      <c r="H40" s="201"/>
      <c r="I40" s="201"/>
      <c r="J40" s="220"/>
      <c r="K40" s="223"/>
      <c r="M40" s="246"/>
      <c r="N40" s="246"/>
      <c r="O40" s="246"/>
      <c r="P40" s="246"/>
      <c r="Q40" s="246"/>
      <c r="R40" s="246"/>
      <c r="S40" s="246"/>
      <c r="T40" s="246"/>
      <c r="U40" s="246"/>
    </row>
    <row r="41" spans="1:22" s="202" customFormat="1">
      <c r="C41" s="222"/>
      <c r="D41" s="224"/>
      <c r="E41" s="231"/>
      <c r="F41" s="223"/>
      <c r="G41" s="201"/>
      <c r="H41" s="201"/>
      <c r="I41" s="201"/>
      <c r="J41" s="220"/>
      <c r="K41" s="223"/>
      <c r="M41" s="246"/>
      <c r="N41" s="246"/>
      <c r="O41" s="246"/>
      <c r="P41" s="246"/>
      <c r="Q41" s="246"/>
      <c r="R41" s="246"/>
      <c r="S41" s="246"/>
      <c r="T41" s="246"/>
      <c r="U41" s="246"/>
    </row>
    <row r="42" spans="1:22" s="202" customFormat="1">
      <c r="C42" s="222"/>
      <c r="D42" s="224"/>
      <c r="E42" s="303" t="s">
        <v>588</v>
      </c>
      <c r="F42" s="223"/>
      <c r="G42" s="201"/>
      <c r="H42" s="201"/>
      <c r="I42" s="201"/>
      <c r="J42" s="220"/>
      <c r="K42" s="223"/>
      <c r="M42" s="224"/>
      <c r="N42" s="199"/>
      <c r="O42" s="199"/>
      <c r="P42" s="246"/>
      <c r="Q42" s="246"/>
      <c r="R42" s="199"/>
      <c r="S42" s="199"/>
      <c r="T42" s="199"/>
      <c r="U42" s="199"/>
    </row>
    <row r="43" spans="1:22">
      <c r="C43" s="228"/>
      <c r="E43" s="210"/>
      <c r="H43" s="209"/>
      <c r="I43" s="208"/>
      <c r="K43" s="207"/>
      <c r="L43" s="206"/>
      <c r="M43" s="205"/>
      <c r="N43" s="204"/>
      <c r="O43" s="204"/>
      <c r="P43" s="204"/>
      <c r="Q43" s="204"/>
      <c r="R43" s="204"/>
      <c r="S43" s="204"/>
      <c r="T43" s="204"/>
      <c r="U43" s="204"/>
      <c r="V43" s="205"/>
    </row>
    <row r="44" spans="1:22">
      <c r="C44" s="228" t="s">
        <v>88</v>
      </c>
      <c r="D44" s="230">
        <v>23</v>
      </c>
      <c r="E44" s="210" t="s">
        <v>93</v>
      </c>
      <c r="F44" s="229">
        <v>2007</v>
      </c>
      <c r="G44" s="228">
        <v>8</v>
      </c>
      <c r="H44" s="209">
        <v>0</v>
      </c>
      <c r="I44" s="208" t="s">
        <v>86</v>
      </c>
      <c r="J44" s="227">
        <v>7</v>
      </c>
      <c r="K44" s="207">
        <f>F44+J44</f>
        <v>2014</v>
      </c>
      <c r="L44" s="206">
        <f t="shared" ref="L44:L49" si="62">+K44+(G44/12)</f>
        <v>2014.6666666666667</v>
      </c>
      <c r="M44" s="205">
        <f>+'Depreciation - Orig.'!P91</f>
        <v>123568.79199999999</v>
      </c>
      <c r="N44" s="204">
        <f t="shared" ref="N44:N49" si="63">M44-M44*H44</f>
        <v>123568.79199999999</v>
      </c>
      <c r="O44" s="204">
        <f>N44/J44/12</f>
        <v>1471.0570476190476</v>
      </c>
      <c r="P44" s="204">
        <f t="shared" ref="P44:P49" si="64">+O44*12</f>
        <v>17652.68457142857</v>
      </c>
      <c r="Q44" s="204">
        <f>+IF(L44&lt;=$N$5,0,IF(K44&gt;$N$4,P44,(O44*G44)))</f>
        <v>0</v>
      </c>
      <c r="R44" s="204"/>
      <c r="S44" s="204">
        <f t="shared" ref="S44:S49" si="65">+IF(Q44=0,M44,IF($N$3-F44&lt;1,0,(($N$3-F44)*P44)))</f>
        <v>123568.79199999999</v>
      </c>
      <c r="T44" s="204">
        <f t="shared" ref="T44:T49" si="66">+IF(Q44=0,S44,S44+Q44)</f>
        <v>123568.79199999999</v>
      </c>
      <c r="U44" s="204">
        <f>M44-T44</f>
        <v>0</v>
      </c>
    </row>
    <row r="45" spans="1:22">
      <c r="A45" s="270"/>
      <c r="B45" s="270"/>
      <c r="C45" s="271"/>
      <c r="D45" s="270"/>
      <c r="E45" s="272" t="s">
        <v>601</v>
      </c>
      <c r="F45" s="273">
        <v>2020</v>
      </c>
      <c r="G45" s="271">
        <v>12</v>
      </c>
      <c r="H45" s="274">
        <v>0</v>
      </c>
      <c r="I45" s="275" t="s">
        <v>86</v>
      </c>
      <c r="J45" s="276">
        <v>3</v>
      </c>
      <c r="K45" s="277">
        <f t="shared" ref="K45" si="67">F45+J45</f>
        <v>2023</v>
      </c>
      <c r="L45" s="278">
        <f t="shared" si="62"/>
        <v>2024</v>
      </c>
      <c r="M45" s="279">
        <f>+'Depreciation - Orig.'!N91-Depreciation!M44</f>
        <v>30892.198000000004</v>
      </c>
      <c r="N45" s="280">
        <f t="shared" si="63"/>
        <v>30892.198000000004</v>
      </c>
      <c r="O45" s="280">
        <f t="shared" ref="O45" si="68">N45/J45/12</f>
        <v>858.11661111111118</v>
      </c>
      <c r="P45" s="280">
        <f t="shared" si="64"/>
        <v>10297.399333333335</v>
      </c>
      <c r="Q45" s="280">
        <f t="shared" ref="Q45" si="69">+IF(L45&lt;=$N$5,0,IF(K45&gt;$N$4,P45,(O45*G45)))</f>
        <v>10297.399333333335</v>
      </c>
      <c r="R45" s="280"/>
      <c r="S45" s="280">
        <f t="shared" si="65"/>
        <v>0</v>
      </c>
      <c r="T45" s="280">
        <f t="shared" si="66"/>
        <v>10297.399333333335</v>
      </c>
      <c r="U45" s="280">
        <f t="shared" ref="U45" si="70">+M45-T45</f>
        <v>20594.798666666669</v>
      </c>
    </row>
    <row r="46" spans="1:22">
      <c r="B46" s="230">
        <v>117318</v>
      </c>
      <c r="C46" s="228" t="s">
        <v>318</v>
      </c>
      <c r="D46" s="203">
        <v>30</v>
      </c>
      <c r="E46" s="210" t="s">
        <v>319</v>
      </c>
      <c r="F46" s="229">
        <v>2014</v>
      </c>
      <c r="G46" s="228">
        <v>11</v>
      </c>
      <c r="H46" s="209">
        <v>0</v>
      </c>
      <c r="I46" s="208" t="s">
        <v>86</v>
      </c>
      <c r="J46" s="227">
        <v>7</v>
      </c>
      <c r="K46" s="207">
        <f>F46+J46</f>
        <v>2021</v>
      </c>
      <c r="L46" s="206">
        <f t="shared" si="62"/>
        <v>2021.9166666666667</v>
      </c>
      <c r="M46" s="205">
        <v>207432.32000000001</v>
      </c>
      <c r="N46" s="204">
        <f t="shared" si="63"/>
        <v>207432.32000000001</v>
      </c>
      <c r="O46" s="204">
        <f>N46/J46/12</f>
        <v>2469.4323809523808</v>
      </c>
      <c r="P46" s="204">
        <f t="shared" si="64"/>
        <v>29633.188571428567</v>
      </c>
      <c r="Q46" s="204">
        <f>+IF(L46&lt;=$N$5,0,IF(K46&gt;$N$4,P46,(O46*G46)))</f>
        <v>27163.75619047619</v>
      </c>
      <c r="R46" s="204"/>
      <c r="S46" s="204">
        <f t="shared" si="65"/>
        <v>177799.13142857142</v>
      </c>
      <c r="T46" s="204">
        <f t="shared" si="66"/>
        <v>204962.8876190476</v>
      </c>
      <c r="U46" s="204">
        <f>+M46-T46</f>
        <v>2469.4323809524067</v>
      </c>
    </row>
    <row r="47" spans="1:22">
      <c r="B47" s="230" t="s">
        <v>449</v>
      </c>
      <c r="C47" s="228" t="s">
        <v>318</v>
      </c>
      <c r="D47" s="203">
        <v>22</v>
      </c>
      <c r="E47" s="210" t="s">
        <v>396</v>
      </c>
      <c r="F47" s="229">
        <v>2017</v>
      </c>
      <c r="G47" s="228">
        <v>5</v>
      </c>
      <c r="H47" s="209">
        <v>0</v>
      </c>
      <c r="I47" s="208" t="s">
        <v>86</v>
      </c>
      <c r="J47" s="227">
        <v>10</v>
      </c>
      <c r="K47" s="207">
        <f>F47+J47</f>
        <v>2027</v>
      </c>
      <c r="L47" s="206">
        <f t="shared" si="62"/>
        <v>2027.4166666666667</v>
      </c>
      <c r="M47" s="205">
        <f>213770.91+1490.08+8033.71</f>
        <v>223294.69999999998</v>
      </c>
      <c r="N47" s="204">
        <f t="shared" si="63"/>
        <v>223294.69999999998</v>
      </c>
      <c r="O47" s="204">
        <f>N47/J47/12</f>
        <v>1860.7891666666665</v>
      </c>
      <c r="P47" s="204">
        <f t="shared" si="64"/>
        <v>22329.469999999998</v>
      </c>
      <c r="Q47" s="204">
        <f>+IF(L47&lt;=$N$5,0,IF(K47&gt;$N$4,P47,(O47*G47)))</f>
        <v>22329.469999999998</v>
      </c>
      <c r="R47" s="204"/>
      <c r="S47" s="204">
        <f t="shared" si="65"/>
        <v>66988.409999999989</v>
      </c>
      <c r="T47" s="204">
        <f t="shared" si="66"/>
        <v>89317.87999999999</v>
      </c>
      <c r="U47" s="204">
        <f>+M47-T47</f>
        <v>133976.82</v>
      </c>
    </row>
    <row r="48" spans="1:22">
      <c r="B48" s="230">
        <v>236165</v>
      </c>
      <c r="C48" s="228"/>
      <c r="D48" s="203">
        <v>21</v>
      </c>
      <c r="E48" s="210" t="s">
        <v>552</v>
      </c>
      <c r="F48" s="229">
        <v>2020</v>
      </c>
      <c r="G48" s="228">
        <v>8</v>
      </c>
      <c r="H48" s="209">
        <v>0</v>
      </c>
      <c r="I48" s="208" t="s">
        <v>86</v>
      </c>
      <c r="J48" s="227">
        <v>10</v>
      </c>
      <c r="K48" s="207">
        <f>F48+J48</f>
        <v>2030</v>
      </c>
      <c r="L48" s="206">
        <f t="shared" si="62"/>
        <v>2030.6666666666667</v>
      </c>
      <c r="M48" s="205">
        <v>237305.77</v>
      </c>
      <c r="N48" s="204">
        <f t="shared" si="63"/>
        <v>237305.77</v>
      </c>
      <c r="O48" s="204">
        <f>N48/J48/12</f>
        <v>1977.5480833333331</v>
      </c>
      <c r="P48" s="204">
        <f t="shared" si="64"/>
        <v>23730.576999999997</v>
      </c>
      <c r="Q48" s="204">
        <f>+IF(L48&lt;=$N$5,0,IF(K48&gt;$N$4,P48,(O48*G48)))</f>
        <v>23730.576999999997</v>
      </c>
      <c r="R48" s="204"/>
      <c r="S48" s="204">
        <f t="shared" si="65"/>
        <v>0</v>
      </c>
      <c r="T48" s="204">
        <f t="shared" si="66"/>
        <v>23730.576999999997</v>
      </c>
      <c r="U48" s="204">
        <f>+M48-T48</f>
        <v>213575.193</v>
      </c>
    </row>
    <row r="49" spans="1:22">
      <c r="B49" s="230" t="s">
        <v>566</v>
      </c>
      <c r="C49" s="228"/>
      <c r="D49" s="203">
        <v>21</v>
      </c>
      <c r="E49" s="210" t="s">
        <v>567</v>
      </c>
      <c r="F49" s="229">
        <v>2020</v>
      </c>
      <c r="G49" s="228">
        <v>8</v>
      </c>
      <c r="H49" s="209">
        <v>0</v>
      </c>
      <c r="I49" s="208" t="s">
        <v>86</v>
      </c>
      <c r="J49" s="227">
        <v>5</v>
      </c>
      <c r="K49" s="207">
        <f>F49+J49</f>
        <v>2025</v>
      </c>
      <c r="L49" s="206">
        <f t="shared" si="62"/>
        <v>2025.6666666666667</v>
      </c>
      <c r="M49" s="205">
        <v>706.71</v>
      </c>
      <c r="N49" s="204">
        <f t="shared" si="63"/>
        <v>706.71</v>
      </c>
      <c r="O49" s="204">
        <f>N49/J49/12</f>
        <v>11.778500000000001</v>
      </c>
      <c r="P49" s="204">
        <f t="shared" si="64"/>
        <v>141.34200000000001</v>
      </c>
      <c r="Q49" s="204">
        <f>+IF(L49&lt;=$N$5,0,IF(K49&gt;$N$4,P49,(O49*G49)))</f>
        <v>141.34200000000001</v>
      </c>
      <c r="R49" s="204"/>
      <c r="S49" s="204">
        <f t="shared" si="65"/>
        <v>0</v>
      </c>
      <c r="T49" s="204">
        <f t="shared" si="66"/>
        <v>141.34200000000001</v>
      </c>
      <c r="U49" s="204">
        <f>+M49-T49</f>
        <v>565.36800000000005</v>
      </c>
    </row>
    <row r="50" spans="1:22">
      <c r="C50" s="228"/>
      <c r="D50" s="228"/>
      <c r="E50" s="210"/>
      <c r="H50" s="209"/>
      <c r="I50" s="208"/>
      <c r="K50" s="207"/>
      <c r="M50" s="205"/>
      <c r="N50" s="204"/>
      <c r="O50" s="204"/>
      <c r="P50" s="204"/>
      <c r="Q50" s="204"/>
      <c r="R50" s="204"/>
      <c r="S50" s="204"/>
      <c r="T50" s="204"/>
      <c r="U50" s="204"/>
    </row>
    <row r="51" spans="1:22">
      <c r="C51" s="228"/>
      <c r="E51" s="304" t="s">
        <v>590</v>
      </c>
      <c r="F51" s="305"/>
      <c r="G51" s="306"/>
      <c r="H51" s="307"/>
      <c r="I51" s="308"/>
      <c r="J51" s="309"/>
      <c r="K51" s="310"/>
      <c r="L51" s="311"/>
      <c r="M51" s="243">
        <f>SUM(M43:M50)</f>
        <v>823200.49</v>
      </c>
      <c r="N51" s="243">
        <f>SUM(N43:N50)</f>
        <v>823200.49</v>
      </c>
      <c r="O51" s="243">
        <f>SUM(O43:O50)</f>
        <v>8648.7217896825387</v>
      </c>
      <c r="P51" s="243">
        <f>SUM(P43:P50)</f>
        <v>103784.66147619046</v>
      </c>
      <c r="Q51" s="243">
        <f>SUM(Q43:Q50)</f>
        <v>83662.544523809513</v>
      </c>
      <c r="R51" s="243"/>
      <c r="S51" s="243">
        <f>SUM(S43:S50)</f>
        <v>368356.33342857141</v>
      </c>
      <c r="T51" s="243">
        <f>SUM(T43:T50)</f>
        <v>452018.87795238092</v>
      </c>
      <c r="U51" s="243">
        <f>SUM(U43:U50)</f>
        <v>371181.61204761907</v>
      </c>
    </row>
    <row r="52" spans="1:22" s="202" customFormat="1">
      <c r="C52" s="222"/>
      <c r="D52" s="224"/>
      <c r="E52" s="199"/>
      <c r="F52" s="223"/>
      <c r="G52" s="201"/>
      <c r="H52" s="201"/>
      <c r="I52" s="201"/>
      <c r="J52" s="220"/>
      <c r="K52" s="223"/>
      <c r="M52" s="224"/>
      <c r="N52" s="199"/>
      <c r="O52" s="199"/>
      <c r="P52" s="246"/>
      <c r="Q52" s="246"/>
      <c r="R52" s="199"/>
      <c r="S52" s="199"/>
      <c r="T52" s="199"/>
      <c r="U52" s="199"/>
    </row>
    <row r="53" spans="1:22" s="202" customFormat="1">
      <c r="C53" s="222"/>
      <c r="D53" s="224"/>
      <c r="E53" s="303" t="s">
        <v>12</v>
      </c>
      <c r="F53" s="223"/>
      <c r="G53" s="201"/>
      <c r="H53" s="201"/>
      <c r="I53" s="201"/>
      <c r="J53" s="220"/>
      <c r="K53" s="223"/>
      <c r="M53" s="224"/>
      <c r="N53" s="199"/>
      <c r="O53" s="199"/>
      <c r="P53" s="246"/>
      <c r="Q53" s="246"/>
      <c r="R53" s="199"/>
      <c r="S53" s="199"/>
      <c r="T53" s="199"/>
      <c r="U53" s="199"/>
    </row>
    <row r="54" spans="1:22">
      <c r="C54" s="228" t="s">
        <v>109</v>
      </c>
      <c r="D54" s="230">
        <v>25</v>
      </c>
      <c r="E54" s="198" t="s">
        <v>110</v>
      </c>
      <c r="F54" s="229">
        <v>2004</v>
      </c>
      <c r="G54" s="228">
        <v>2</v>
      </c>
      <c r="H54" s="209">
        <v>0</v>
      </c>
      <c r="I54" s="208" t="s">
        <v>86</v>
      </c>
      <c r="J54" s="227">
        <v>7</v>
      </c>
      <c r="K54" s="207">
        <f t="shared" ref="K54:K76" si="71">F54+J54</f>
        <v>2011</v>
      </c>
      <c r="L54" s="206">
        <f t="shared" ref="L54:L76" si="72">+K54+(G54/12)</f>
        <v>2011.1666666666667</v>
      </c>
      <c r="M54" s="205">
        <f>'Depreciation - Orig.'!P40</f>
        <v>114019.2</v>
      </c>
      <c r="N54" s="204">
        <f t="shared" ref="N54:N74" si="73">M54-M54*H54</f>
        <v>114019.2</v>
      </c>
      <c r="O54" s="204">
        <f t="shared" ref="O54:O74" si="74">N54/J54/12</f>
        <v>1357.3714285714284</v>
      </c>
      <c r="P54" s="204">
        <f t="shared" ref="P54:P74" si="75">+O54*12</f>
        <v>16288.45714285714</v>
      </c>
      <c r="Q54" s="204">
        <f t="shared" ref="Q54:Q74" si="76">+IF(L54&lt;=$N$5,0,IF(K54&gt;$N$4,P54,(O54*G54)))</f>
        <v>0</v>
      </c>
      <c r="R54" s="204"/>
      <c r="S54" s="204">
        <f t="shared" ref="S54:S74" si="77">+IF(Q54=0,M54,IF($N$3-F54&lt;1,0,(($N$3-F54)*P54)))</f>
        <v>114019.2</v>
      </c>
      <c r="T54" s="204">
        <f t="shared" ref="T54:T74" si="78">+IF(Q54=0,S54,S54+Q54)</f>
        <v>114019.2</v>
      </c>
      <c r="U54" s="204">
        <f t="shared" ref="U54:U74" si="79">M54-T54</f>
        <v>0</v>
      </c>
    </row>
    <row r="55" spans="1:22">
      <c r="A55" s="270"/>
      <c r="B55" s="270"/>
      <c r="C55" s="271"/>
      <c r="D55" s="270"/>
      <c r="E55" s="272" t="s">
        <v>500</v>
      </c>
      <c r="F55" s="273">
        <v>2020</v>
      </c>
      <c r="G55" s="271">
        <v>12</v>
      </c>
      <c r="H55" s="274">
        <v>0</v>
      </c>
      <c r="I55" s="275" t="s">
        <v>86</v>
      </c>
      <c r="J55" s="276">
        <v>3</v>
      </c>
      <c r="K55" s="277">
        <f t="shared" si="71"/>
        <v>2023</v>
      </c>
      <c r="L55" s="278">
        <f>+K55+(G55/12)</f>
        <v>2024</v>
      </c>
      <c r="M55" s="279">
        <f>'Depreciation - Orig.'!N40-Depreciation!M54</f>
        <v>28504.800000000003</v>
      </c>
      <c r="N55" s="280">
        <f t="shared" si="73"/>
        <v>28504.800000000003</v>
      </c>
      <c r="O55" s="280">
        <f t="shared" si="74"/>
        <v>791.80000000000007</v>
      </c>
      <c r="P55" s="280">
        <f>+O55*12</f>
        <v>9501.6</v>
      </c>
      <c r="Q55" s="280">
        <f t="shared" si="76"/>
        <v>9501.6</v>
      </c>
      <c r="R55" s="280"/>
      <c r="S55" s="280">
        <f>+IF(Q55=0,M55,IF($N$3-F55&lt;1,0,(($N$3-F55)*P55)))</f>
        <v>0</v>
      </c>
      <c r="T55" s="280">
        <f>+IF(Q55=0,S55,S55+Q55)</f>
        <v>9501.6</v>
      </c>
      <c r="U55" s="280">
        <f t="shared" si="79"/>
        <v>19003.200000000004</v>
      </c>
    </row>
    <row r="56" spans="1:22">
      <c r="C56" s="228" t="s">
        <v>111</v>
      </c>
      <c r="D56" s="230">
        <v>7</v>
      </c>
      <c r="E56" s="210" t="s">
        <v>112</v>
      </c>
      <c r="F56" s="229">
        <v>2006</v>
      </c>
      <c r="G56" s="228">
        <v>10</v>
      </c>
      <c r="H56" s="209">
        <v>0</v>
      </c>
      <c r="I56" s="208" t="s">
        <v>86</v>
      </c>
      <c r="J56" s="227">
        <v>7</v>
      </c>
      <c r="K56" s="207">
        <f t="shared" si="71"/>
        <v>2013</v>
      </c>
      <c r="L56" s="206">
        <f t="shared" si="72"/>
        <v>2013.8333333333333</v>
      </c>
      <c r="M56" s="205">
        <f>'Depreciation - Orig.'!P41</f>
        <v>145931.52799999999</v>
      </c>
      <c r="N56" s="204">
        <f t="shared" si="73"/>
        <v>145931.52799999999</v>
      </c>
      <c r="O56" s="204">
        <f t="shared" si="74"/>
        <v>1737.2800952380951</v>
      </c>
      <c r="P56" s="204">
        <f t="shared" si="75"/>
        <v>20847.361142857142</v>
      </c>
      <c r="Q56" s="204">
        <f t="shared" si="76"/>
        <v>0</v>
      </c>
      <c r="R56" s="204"/>
      <c r="S56" s="204">
        <f t="shared" si="77"/>
        <v>145931.52799999999</v>
      </c>
      <c r="T56" s="204">
        <f t="shared" si="78"/>
        <v>145931.52799999999</v>
      </c>
      <c r="U56" s="204">
        <f t="shared" si="79"/>
        <v>0</v>
      </c>
    </row>
    <row r="57" spans="1:22">
      <c r="A57" s="270"/>
      <c r="B57" s="270"/>
      <c r="C57" s="271"/>
      <c r="D57" s="270"/>
      <c r="E57" s="272" t="s">
        <v>501</v>
      </c>
      <c r="F57" s="273">
        <v>2020</v>
      </c>
      <c r="G57" s="271">
        <v>12</v>
      </c>
      <c r="H57" s="274">
        <v>0</v>
      </c>
      <c r="I57" s="275" t="s">
        <v>86</v>
      </c>
      <c r="J57" s="276">
        <v>3</v>
      </c>
      <c r="K57" s="277">
        <f t="shared" si="71"/>
        <v>2023</v>
      </c>
      <c r="L57" s="278">
        <f>+K57+(G57/12)</f>
        <v>2024</v>
      </c>
      <c r="M57" s="279">
        <f>'Depreciation - Orig.'!N41-Depreciation!M56</f>
        <v>36482.882000000012</v>
      </c>
      <c r="N57" s="280">
        <f t="shared" si="73"/>
        <v>36482.882000000012</v>
      </c>
      <c r="O57" s="280">
        <f t="shared" si="74"/>
        <v>1013.4133888888892</v>
      </c>
      <c r="P57" s="280">
        <f>+O57*12</f>
        <v>12160.960666666671</v>
      </c>
      <c r="Q57" s="280">
        <f t="shared" si="76"/>
        <v>12160.960666666671</v>
      </c>
      <c r="R57" s="280"/>
      <c r="S57" s="280">
        <f>+IF(Q57=0,M57,IF($N$3-F57&lt;1,0,(($N$3-F57)*P57)))</f>
        <v>0</v>
      </c>
      <c r="T57" s="280">
        <f>+IF(Q57=0,S57,S57+Q57)</f>
        <v>12160.960666666671</v>
      </c>
      <c r="U57" s="280">
        <f t="shared" si="79"/>
        <v>24321.921333333339</v>
      </c>
    </row>
    <row r="58" spans="1:22">
      <c r="B58" s="230">
        <v>240077</v>
      </c>
      <c r="C58" s="228"/>
      <c r="D58" s="203">
        <v>4068</v>
      </c>
      <c r="E58" s="210" t="s">
        <v>557</v>
      </c>
      <c r="F58" s="229">
        <v>2008</v>
      </c>
      <c r="G58" s="228">
        <v>11</v>
      </c>
      <c r="H58" s="209">
        <v>0</v>
      </c>
      <c r="I58" s="208" t="s">
        <v>86</v>
      </c>
      <c r="J58" s="227">
        <v>10</v>
      </c>
      <c r="K58" s="207">
        <f>F58+J58</f>
        <v>2018</v>
      </c>
      <c r="L58" s="206">
        <f>+K58+(G58/12)</f>
        <v>2018.9166666666667</v>
      </c>
      <c r="M58" s="205">
        <v>132389</v>
      </c>
      <c r="N58" s="204">
        <f t="shared" ref="N58:N59" si="80">M58-M58*H58</f>
        <v>132389</v>
      </c>
      <c r="O58" s="204">
        <f t="shared" ref="O58:O59" si="81">N58/J58/12</f>
        <v>1103.2416666666666</v>
      </c>
      <c r="P58" s="204">
        <f t="shared" ref="P58" si="82">+O58*12</f>
        <v>13238.899999999998</v>
      </c>
      <c r="Q58" s="204">
        <f t="shared" ref="Q58:Q59" si="83">+IF(L58&lt;=$N$5,0,IF(K58&gt;$N$4,P58,(O58*G58)))</f>
        <v>0</v>
      </c>
      <c r="R58" s="204"/>
      <c r="S58" s="204">
        <f t="shared" ref="S58" si="84">+IF(Q58=0,M58,IF($N$3-F58&lt;1,0,(($N$3-F58)*P58)))</f>
        <v>132389</v>
      </c>
      <c r="T58" s="204">
        <f t="shared" ref="T58" si="85">+IF(Q58=0,S58,S58+Q58)</f>
        <v>132389</v>
      </c>
      <c r="U58" s="204">
        <f t="shared" ref="U58:U59" si="86">M58-T58</f>
        <v>0</v>
      </c>
      <c r="V58" s="230" t="s">
        <v>576</v>
      </c>
    </row>
    <row r="59" spans="1:22">
      <c r="A59" s="270"/>
      <c r="B59" s="270"/>
      <c r="C59" s="271"/>
      <c r="D59" s="270"/>
      <c r="E59" s="272" t="s">
        <v>581</v>
      </c>
      <c r="F59" s="316">
        <v>2019</v>
      </c>
      <c r="G59" s="317">
        <v>8</v>
      </c>
      <c r="H59" s="274">
        <v>0</v>
      </c>
      <c r="I59" s="275" t="s">
        <v>86</v>
      </c>
      <c r="J59" s="276">
        <v>3</v>
      </c>
      <c r="K59" s="277">
        <f t="shared" ref="K59" si="87">F59+J59</f>
        <v>2022</v>
      </c>
      <c r="L59" s="278">
        <f>+K59+(G59/12)</f>
        <v>2022.6666666666667</v>
      </c>
      <c r="M59" s="279">
        <f>165486-Depreciation!M58</f>
        <v>33097</v>
      </c>
      <c r="N59" s="280">
        <f t="shared" si="80"/>
        <v>33097</v>
      </c>
      <c r="O59" s="280">
        <f t="shared" si="81"/>
        <v>919.3611111111112</v>
      </c>
      <c r="P59" s="280">
        <f>+O59*12</f>
        <v>11032.333333333334</v>
      </c>
      <c r="Q59" s="280">
        <f t="shared" si="83"/>
        <v>11032.333333333334</v>
      </c>
      <c r="R59" s="280"/>
      <c r="S59" s="280">
        <f>+IF(Q59=0,M59,IF($N$3-F59&lt;1,0,(($N$3-F59)*P59)))</f>
        <v>11032.333333333334</v>
      </c>
      <c r="T59" s="280">
        <f>+IF(Q59=0,S59,S59+Q59)</f>
        <v>22064.666666666668</v>
      </c>
      <c r="U59" s="280">
        <f t="shared" si="86"/>
        <v>11032.333333333332</v>
      </c>
    </row>
    <row r="60" spans="1:22">
      <c r="B60" s="230" t="s">
        <v>580</v>
      </c>
      <c r="C60" s="228"/>
      <c r="D60" s="203">
        <v>4068</v>
      </c>
      <c r="E60" s="210" t="s">
        <v>564</v>
      </c>
      <c r="F60" s="229">
        <v>2009</v>
      </c>
      <c r="G60" s="228">
        <v>1</v>
      </c>
      <c r="H60" s="209">
        <v>0</v>
      </c>
      <c r="I60" s="208" t="s">
        <v>86</v>
      </c>
      <c r="J60" s="227">
        <v>3</v>
      </c>
      <c r="K60" s="207">
        <f>F60+J60</f>
        <v>2012</v>
      </c>
      <c r="L60" s="206">
        <f>+K60+(G60/12)</f>
        <v>2012.0833333333333</v>
      </c>
      <c r="M60" s="205">
        <v>3895.03</v>
      </c>
      <c r="N60" s="204">
        <f>M60-M60*H60</f>
        <v>3895.03</v>
      </c>
      <c r="O60" s="204">
        <f>N60/J60/12</f>
        <v>108.19527777777779</v>
      </c>
      <c r="P60" s="204">
        <f>+O60*12</f>
        <v>1298.3433333333335</v>
      </c>
      <c r="Q60" s="204">
        <f>+IF(L60&lt;=$N$5,0,IF(K60&gt;$N$4,P60,(O60*G60)))</f>
        <v>0</v>
      </c>
      <c r="R60" s="204"/>
      <c r="S60" s="204">
        <f>+IF(Q60=0,M60,IF($N$3-F60&lt;1,0,(($N$3-F60)*P60)))</f>
        <v>3895.03</v>
      </c>
      <c r="T60" s="204">
        <f>+IF(Q60=0,S60,S60+Q60)</f>
        <v>3895.03</v>
      </c>
      <c r="U60" s="204">
        <f>M60-T60</f>
        <v>0</v>
      </c>
      <c r="V60" s="230" t="s">
        <v>576</v>
      </c>
    </row>
    <row r="61" spans="1:22">
      <c r="C61" s="228" t="s">
        <v>111</v>
      </c>
      <c r="D61" s="230">
        <v>24</v>
      </c>
      <c r="E61" s="210" t="s">
        <v>113</v>
      </c>
      <c r="F61" s="229">
        <v>2009</v>
      </c>
      <c r="G61" s="228">
        <v>4</v>
      </c>
      <c r="H61" s="209">
        <v>0</v>
      </c>
      <c r="I61" s="208" t="s">
        <v>86</v>
      </c>
      <c r="J61" s="227">
        <v>5</v>
      </c>
      <c r="K61" s="207">
        <f t="shared" si="71"/>
        <v>2014</v>
      </c>
      <c r="L61" s="206">
        <f t="shared" si="72"/>
        <v>2014.3333333333333</v>
      </c>
      <c r="M61" s="205">
        <f>'Depreciation - Orig.'!P42</f>
        <v>107180.0876</v>
      </c>
      <c r="N61" s="204">
        <f t="shared" si="73"/>
        <v>107180.0876</v>
      </c>
      <c r="O61" s="204">
        <f t="shared" si="74"/>
        <v>1786.3347933333334</v>
      </c>
      <c r="P61" s="204">
        <f t="shared" si="75"/>
        <v>21436.017520000001</v>
      </c>
      <c r="Q61" s="204">
        <f t="shared" si="76"/>
        <v>0</v>
      </c>
      <c r="R61" s="204"/>
      <c r="S61" s="204">
        <f t="shared" si="77"/>
        <v>107180.0876</v>
      </c>
      <c r="T61" s="204">
        <f t="shared" si="78"/>
        <v>107180.0876</v>
      </c>
      <c r="U61" s="204">
        <f t="shared" si="79"/>
        <v>0</v>
      </c>
    </row>
    <row r="62" spans="1:22">
      <c r="A62" s="270"/>
      <c r="B62" s="270"/>
      <c r="C62" s="271"/>
      <c r="D62" s="270"/>
      <c r="E62" s="272" t="s">
        <v>502</v>
      </c>
      <c r="F62" s="273">
        <v>2020</v>
      </c>
      <c r="G62" s="271">
        <v>12</v>
      </c>
      <c r="H62" s="274">
        <v>0</v>
      </c>
      <c r="I62" s="275" t="s">
        <v>86</v>
      </c>
      <c r="J62" s="276">
        <v>3</v>
      </c>
      <c r="K62" s="277">
        <f t="shared" si="71"/>
        <v>2023</v>
      </c>
      <c r="L62" s="278">
        <f>+K62+(G62/12)</f>
        <v>2024</v>
      </c>
      <c r="M62" s="279">
        <f>'Depreciation - Orig.'!N42-Depreciation!M61</f>
        <v>52790.1924</v>
      </c>
      <c r="N62" s="280">
        <f t="shared" si="73"/>
        <v>52790.1924</v>
      </c>
      <c r="O62" s="280">
        <f t="shared" si="74"/>
        <v>1466.3942333333334</v>
      </c>
      <c r="P62" s="280">
        <f>+O62*12</f>
        <v>17596.730800000001</v>
      </c>
      <c r="Q62" s="280">
        <f t="shared" si="76"/>
        <v>17596.730800000001</v>
      </c>
      <c r="R62" s="280"/>
      <c r="S62" s="280">
        <f>+IF(Q62=0,M62,IF($N$3-F62&lt;1,0,(($N$3-F62)*P62)))</f>
        <v>0</v>
      </c>
      <c r="T62" s="280">
        <f>+IF(Q62=0,S62,S62+Q62)</f>
        <v>17596.730800000001</v>
      </c>
      <c r="U62" s="280">
        <f t="shared" si="79"/>
        <v>35193.461599999995</v>
      </c>
    </row>
    <row r="63" spans="1:22">
      <c r="C63" s="228" t="s">
        <v>111</v>
      </c>
      <c r="D63" s="230">
        <v>37</v>
      </c>
      <c r="E63" s="210" t="s">
        <v>114</v>
      </c>
      <c r="F63" s="229">
        <v>2009</v>
      </c>
      <c r="G63" s="228">
        <v>12</v>
      </c>
      <c r="H63" s="209">
        <v>0</v>
      </c>
      <c r="I63" s="208" t="s">
        <v>86</v>
      </c>
      <c r="J63" s="227">
        <v>7</v>
      </c>
      <c r="K63" s="207">
        <f t="shared" si="71"/>
        <v>2016</v>
      </c>
      <c r="L63" s="206">
        <f t="shared" si="72"/>
        <v>2017</v>
      </c>
      <c r="M63" s="205">
        <f>'Depreciation - Orig.'!P43</f>
        <v>145658.23200000002</v>
      </c>
      <c r="N63" s="204">
        <f t="shared" si="73"/>
        <v>145658.23200000002</v>
      </c>
      <c r="O63" s="204">
        <f t="shared" si="74"/>
        <v>1734.0265714285715</v>
      </c>
      <c r="P63" s="204">
        <f t="shared" si="75"/>
        <v>20808.318857142858</v>
      </c>
      <c r="Q63" s="204">
        <f t="shared" si="76"/>
        <v>0</v>
      </c>
      <c r="R63" s="204"/>
      <c r="S63" s="204">
        <f t="shared" si="77"/>
        <v>145658.23200000002</v>
      </c>
      <c r="T63" s="204">
        <f t="shared" si="78"/>
        <v>145658.23200000002</v>
      </c>
      <c r="U63" s="204">
        <f t="shared" si="79"/>
        <v>0</v>
      </c>
    </row>
    <row r="64" spans="1:22">
      <c r="A64" s="270"/>
      <c r="B64" s="270"/>
      <c r="C64" s="271"/>
      <c r="D64" s="270"/>
      <c r="E64" s="272" t="s">
        <v>503</v>
      </c>
      <c r="F64" s="273">
        <v>2020</v>
      </c>
      <c r="G64" s="271">
        <v>12</v>
      </c>
      <c r="H64" s="274">
        <v>0</v>
      </c>
      <c r="I64" s="275" t="s">
        <v>86</v>
      </c>
      <c r="J64" s="276">
        <v>3</v>
      </c>
      <c r="K64" s="277">
        <f t="shared" si="71"/>
        <v>2023</v>
      </c>
      <c r="L64" s="278">
        <f>+K64+(G64/12)</f>
        <v>2024</v>
      </c>
      <c r="M64" s="279">
        <f>'Depreciation - Orig.'!N43-Depreciation!M63</f>
        <v>36414.55799999999</v>
      </c>
      <c r="N64" s="280">
        <f t="shared" si="73"/>
        <v>36414.55799999999</v>
      </c>
      <c r="O64" s="280">
        <f t="shared" si="74"/>
        <v>1011.5154999999996</v>
      </c>
      <c r="P64" s="280">
        <f>+O64*12</f>
        <v>12138.185999999996</v>
      </c>
      <c r="Q64" s="280">
        <f t="shared" si="76"/>
        <v>12138.185999999996</v>
      </c>
      <c r="R64" s="280"/>
      <c r="S64" s="280">
        <f>+IF(Q64=0,M64,IF($N$3-F64&lt;1,0,(($N$3-F64)*P64)))</f>
        <v>0</v>
      </c>
      <c r="T64" s="280">
        <f>+IF(Q64=0,S64,S64+Q64)</f>
        <v>12138.185999999996</v>
      </c>
      <c r="U64" s="280">
        <f t="shared" si="79"/>
        <v>24276.371999999996</v>
      </c>
    </row>
    <row r="65" spans="1:22">
      <c r="C65" s="228" t="s">
        <v>2</v>
      </c>
      <c r="D65" s="203">
        <v>3</v>
      </c>
      <c r="E65" s="210" t="s">
        <v>115</v>
      </c>
      <c r="F65" s="229">
        <v>2010</v>
      </c>
      <c r="G65" s="228">
        <v>3</v>
      </c>
      <c r="H65" s="209">
        <v>0</v>
      </c>
      <c r="I65" s="208" t="s">
        <v>86</v>
      </c>
      <c r="J65" s="227">
        <v>7</v>
      </c>
      <c r="K65" s="207">
        <f t="shared" si="71"/>
        <v>2017</v>
      </c>
      <c r="L65" s="206">
        <f t="shared" si="72"/>
        <v>2017.25</v>
      </c>
      <c r="M65" s="205">
        <f>'Depreciation - Orig.'!P44</f>
        <v>1862.616</v>
      </c>
      <c r="N65" s="204">
        <f t="shared" si="73"/>
        <v>1862.616</v>
      </c>
      <c r="O65" s="204">
        <f t="shared" si="74"/>
        <v>22.174000000000003</v>
      </c>
      <c r="P65" s="204">
        <f t="shared" si="75"/>
        <v>266.08800000000002</v>
      </c>
      <c r="Q65" s="204">
        <f t="shared" si="76"/>
        <v>0</v>
      </c>
      <c r="R65" s="204"/>
      <c r="S65" s="204">
        <f t="shared" si="77"/>
        <v>1862.616</v>
      </c>
      <c r="T65" s="204">
        <f t="shared" si="78"/>
        <v>1862.616</v>
      </c>
      <c r="U65" s="204">
        <f t="shared" si="79"/>
        <v>0</v>
      </c>
    </row>
    <row r="66" spans="1:22">
      <c r="A66" s="270"/>
      <c r="B66" s="270"/>
      <c r="C66" s="271"/>
      <c r="D66" s="270"/>
      <c r="E66" s="272" t="s">
        <v>504</v>
      </c>
      <c r="F66" s="273">
        <v>2020</v>
      </c>
      <c r="G66" s="271">
        <v>12</v>
      </c>
      <c r="H66" s="274">
        <v>0</v>
      </c>
      <c r="I66" s="275" t="s">
        <v>86</v>
      </c>
      <c r="J66" s="276">
        <v>3</v>
      </c>
      <c r="K66" s="277">
        <f t="shared" si="71"/>
        <v>2023</v>
      </c>
      <c r="L66" s="278">
        <f>+K66+(G66/12)</f>
        <v>2024</v>
      </c>
      <c r="M66" s="279">
        <f>'Depreciation - Orig.'!N44-Depreciation!M65</f>
        <v>465.654</v>
      </c>
      <c r="N66" s="280">
        <f t="shared" si="73"/>
        <v>465.654</v>
      </c>
      <c r="O66" s="280">
        <f t="shared" si="74"/>
        <v>12.934833333333332</v>
      </c>
      <c r="P66" s="280">
        <f>+O66*12</f>
        <v>155.21799999999999</v>
      </c>
      <c r="Q66" s="280">
        <f t="shared" si="76"/>
        <v>155.21799999999999</v>
      </c>
      <c r="R66" s="280"/>
      <c r="S66" s="280">
        <f>+IF(Q66=0,M66,IF($N$3-F66&lt;1,0,(($N$3-F66)*P66)))</f>
        <v>0</v>
      </c>
      <c r="T66" s="280">
        <f>+IF(Q66=0,S66,S66+Q66)</f>
        <v>155.21799999999999</v>
      </c>
      <c r="U66" s="280">
        <f t="shared" si="79"/>
        <v>310.43600000000004</v>
      </c>
    </row>
    <row r="67" spans="1:22">
      <c r="C67" s="228" t="s">
        <v>2</v>
      </c>
      <c r="D67" s="203">
        <v>25</v>
      </c>
      <c r="E67" s="210" t="s">
        <v>116</v>
      </c>
      <c r="F67" s="229">
        <v>2010</v>
      </c>
      <c r="G67" s="228">
        <v>6</v>
      </c>
      <c r="H67" s="209">
        <v>0</v>
      </c>
      <c r="I67" s="208" t="s">
        <v>86</v>
      </c>
      <c r="J67" s="227">
        <v>3</v>
      </c>
      <c r="K67" s="207">
        <f t="shared" si="71"/>
        <v>2013</v>
      </c>
      <c r="L67" s="206">
        <f t="shared" si="72"/>
        <v>2013.5</v>
      </c>
      <c r="M67" s="205">
        <f>5125.25</f>
        <v>5125.25</v>
      </c>
      <c r="N67" s="204">
        <f t="shared" si="73"/>
        <v>5125.25</v>
      </c>
      <c r="O67" s="204">
        <f t="shared" si="74"/>
        <v>142.36805555555557</v>
      </c>
      <c r="P67" s="204">
        <f t="shared" si="75"/>
        <v>1708.416666666667</v>
      </c>
      <c r="Q67" s="204">
        <f t="shared" si="76"/>
        <v>0</v>
      </c>
      <c r="R67" s="204"/>
      <c r="S67" s="204">
        <f t="shared" si="77"/>
        <v>5125.25</v>
      </c>
      <c r="T67" s="204">
        <f t="shared" si="78"/>
        <v>5125.25</v>
      </c>
      <c r="U67" s="204">
        <f t="shared" si="79"/>
        <v>0</v>
      </c>
    </row>
    <row r="68" spans="1:22">
      <c r="B68" s="230">
        <v>95491</v>
      </c>
      <c r="C68" s="228"/>
      <c r="D68" s="203">
        <v>37</v>
      </c>
      <c r="E68" s="210" t="s">
        <v>225</v>
      </c>
      <c r="F68" s="229">
        <v>2012</v>
      </c>
      <c r="G68" s="228">
        <v>7</v>
      </c>
      <c r="H68" s="209">
        <v>0</v>
      </c>
      <c r="I68" s="208" t="s">
        <v>86</v>
      </c>
      <c r="J68" s="227">
        <v>7</v>
      </c>
      <c r="K68" s="207">
        <f t="shared" si="71"/>
        <v>2019</v>
      </c>
      <c r="L68" s="206">
        <f t="shared" si="72"/>
        <v>2019.5833333333333</v>
      </c>
      <c r="M68" s="205">
        <f>+'Depreciation - Orig.'!P46</f>
        <v>476</v>
      </c>
      <c r="N68" s="204">
        <f t="shared" si="73"/>
        <v>476</v>
      </c>
      <c r="O68" s="204">
        <f t="shared" si="74"/>
        <v>5.666666666666667</v>
      </c>
      <c r="P68" s="204">
        <f t="shared" si="75"/>
        <v>68</v>
      </c>
      <c r="Q68" s="204">
        <f t="shared" si="76"/>
        <v>0</v>
      </c>
      <c r="R68" s="204"/>
      <c r="S68" s="204">
        <f t="shared" si="77"/>
        <v>476</v>
      </c>
      <c r="T68" s="204">
        <f t="shared" si="78"/>
        <v>476</v>
      </c>
      <c r="U68" s="204">
        <f t="shared" si="79"/>
        <v>0</v>
      </c>
    </row>
    <row r="69" spans="1:22">
      <c r="A69" s="270"/>
      <c r="B69" s="270"/>
      <c r="C69" s="271"/>
      <c r="D69" s="270"/>
      <c r="E69" s="272" t="s">
        <v>522</v>
      </c>
      <c r="F69" s="273">
        <v>2020</v>
      </c>
      <c r="G69" s="271">
        <v>12</v>
      </c>
      <c r="H69" s="274">
        <v>0</v>
      </c>
      <c r="I69" s="275" t="s">
        <v>86</v>
      </c>
      <c r="J69" s="276">
        <v>3</v>
      </c>
      <c r="K69" s="277">
        <f t="shared" ref="K69" si="88">F69+J69</f>
        <v>2023</v>
      </c>
      <c r="L69" s="278">
        <f>+K69+(G69/12)</f>
        <v>2024</v>
      </c>
      <c r="M69" s="279">
        <f>+'Depreciation - Orig.'!N46-Depreciation!M68</f>
        <v>119</v>
      </c>
      <c r="N69" s="280">
        <f t="shared" ref="N69" si="89">M69-M69*H69</f>
        <v>119</v>
      </c>
      <c r="O69" s="280">
        <f t="shared" ref="O69" si="90">N69/J69/12</f>
        <v>3.3055555555555554</v>
      </c>
      <c r="P69" s="280">
        <f>+O69*12</f>
        <v>39.666666666666664</v>
      </c>
      <c r="Q69" s="280">
        <f t="shared" ref="Q69" si="91">+IF(L69&lt;=$N$5,0,IF(K69&gt;$N$4,P69,(O69*G69)))</f>
        <v>39.666666666666664</v>
      </c>
      <c r="R69" s="280"/>
      <c r="S69" s="280">
        <f>+IF(Q69=0,M69,IF($N$3-F69&lt;1,0,(($N$3-F69)*P69)))</f>
        <v>0</v>
      </c>
      <c r="T69" s="280">
        <f>+IF(Q69=0,S69,S69+Q69)</f>
        <v>39.666666666666664</v>
      </c>
      <c r="U69" s="280">
        <f t="shared" ref="U69" si="92">M69-T69</f>
        <v>79.333333333333343</v>
      </c>
    </row>
    <row r="70" spans="1:22">
      <c r="B70" s="230" t="s">
        <v>562</v>
      </c>
      <c r="C70" s="228"/>
      <c r="D70" s="203">
        <v>4068</v>
      </c>
      <c r="E70" s="210" t="s">
        <v>563</v>
      </c>
      <c r="F70" s="229">
        <v>2013</v>
      </c>
      <c r="G70" s="228">
        <v>11</v>
      </c>
      <c r="H70" s="209">
        <v>0</v>
      </c>
      <c r="I70" s="208" t="s">
        <v>86</v>
      </c>
      <c r="J70" s="227">
        <v>3</v>
      </c>
      <c r="K70" s="207">
        <f>F70+J70</f>
        <v>2016</v>
      </c>
      <c r="L70" s="206">
        <f>+K70+(G70/12)</f>
        <v>2016.9166666666667</v>
      </c>
      <c r="M70" s="205">
        <v>8837.86</v>
      </c>
      <c r="N70" s="204">
        <f>M70-M70*H70</f>
        <v>8837.86</v>
      </c>
      <c r="O70" s="204">
        <f>N70/J70/12</f>
        <v>245.49611111111111</v>
      </c>
      <c r="P70" s="204">
        <f>+O70*12</f>
        <v>2945.9533333333334</v>
      </c>
      <c r="Q70" s="204">
        <f>+IF(L70&lt;=$N$5,0,IF(K70&gt;$N$4,P70,(O70*G70)))</f>
        <v>0</v>
      </c>
      <c r="R70" s="204"/>
      <c r="S70" s="204">
        <f>+IF(Q70=0,M70,IF($N$3-F70&lt;1,0,(($N$3-F70)*P70)))</f>
        <v>8837.86</v>
      </c>
      <c r="T70" s="204">
        <f>+IF(Q70=0,S70,S70+Q70)</f>
        <v>8837.86</v>
      </c>
      <c r="U70" s="204">
        <f>M70-T70</f>
        <v>0</v>
      </c>
      <c r="V70" s="230" t="s">
        <v>576</v>
      </c>
    </row>
    <row r="71" spans="1:22">
      <c r="B71" s="230">
        <v>131501</v>
      </c>
      <c r="C71" s="228"/>
      <c r="D71" s="203">
        <v>7</v>
      </c>
      <c r="E71" s="210" t="s">
        <v>337</v>
      </c>
      <c r="F71" s="229">
        <v>2016</v>
      </c>
      <c r="G71" s="228">
        <v>1</v>
      </c>
      <c r="H71" s="209">
        <v>0</v>
      </c>
      <c r="I71" s="208" t="s">
        <v>86</v>
      </c>
      <c r="J71" s="227">
        <v>3</v>
      </c>
      <c r="K71" s="207">
        <f t="shared" si="71"/>
        <v>2019</v>
      </c>
      <c r="L71" s="206">
        <f t="shared" si="72"/>
        <v>2019.0833333333333</v>
      </c>
      <c r="M71" s="205">
        <v>6050.04</v>
      </c>
      <c r="N71" s="204">
        <f t="shared" si="73"/>
        <v>6050.04</v>
      </c>
      <c r="O71" s="204">
        <f t="shared" si="74"/>
        <v>168.05666666666667</v>
      </c>
      <c r="P71" s="204">
        <f t="shared" si="75"/>
        <v>2016.68</v>
      </c>
      <c r="Q71" s="204">
        <f t="shared" si="76"/>
        <v>0</v>
      </c>
      <c r="R71" s="204"/>
      <c r="S71" s="204">
        <f t="shared" si="77"/>
        <v>6050.04</v>
      </c>
      <c r="T71" s="204">
        <f t="shared" si="78"/>
        <v>6050.04</v>
      </c>
      <c r="U71" s="204">
        <f t="shared" si="79"/>
        <v>0</v>
      </c>
    </row>
    <row r="72" spans="1:22">
      <c r="B72" s="230">
        <v>131544</v>
      </c>
      <c r="C72" s="228"/>
      <c r="D72" s="203"/>
      <c r="E72" s="210" t="s">
        <v>338</v>
      </c>
      <c r="F72" s="229">
        <v>2016</v>
      </c>
      <c r="G72" s="228">
        <v>3</v>
      </c>
      <c r="H72" s="209">
        <v>0</v>
      </c>
      <c r="I72" s="208" t="s">
        <v>86</v>
      </c>
      <c r="J72" s="227">
        <v>1</v>
      </c>
      <c r="K72" s="207">
        <f t="shared" si="71"/>
        <v>2017</v>
      </c>
      <c r="L72" s="206">
        <f t="shared" si="72"/>
        <v>2017.25</v>
      </c>
      <c r="M72" s="205">
        <f>5975.04/24*4</f>
        <v>995.84</v>
      </c>
      <c r="N72" s="204">
        <f t="shared" si="73"/>
        <v>995.84</v>
      </c>
      <c r="O72" s="204">
        <f t="shared" si="74"/>
        <v>82.986666666666665</v>
      </c>
      <c r="P72" s="204">
        <f t="shared" si="75"/>
        <v>995.83999999999992</v>
      </c>
      <c r="Q72" s="204">
        <f t="shared" si="76"/>
        <v>0</v>
      </c>
      <c r="R72" s="204"/>
      <c r="S72" s="204">
        <f t="shared" si="77"/>
        <v>995.84</v>
      </c>
      <c r="T72" s="204">
        <f t="shared" si="78"/>
        <v>995.84</v>
      </c>
      <c r="U72" s="204">
        <f t="shared" si="79"/>
        <v>0</v>
      </c>
    </row>
    <row r="73" spans="1:22">
      <c r="B73" s="230">
        <v>165805</v>
      </c>
      <c r="C73" s="228"/>
      <c r="D73" s="203"/>
      <c r="E73" s="210" t="s">
        <v>347</v>
      </c>
      <c r="F73" s="229">
        <v>2016</v>
      </c>
      <c r="G73" s="228">
        <v>6</v>
      </c>
      <c r="H73" s="209">
        <v>0</v>
      </c>
      <c r="I73" s="208" t="s">
        <v>86</v>
      </c>
      <c r="J73" s="227">
        <v>1</v>
      </c>
      <c r="K73" s="207">
        <f t="shared" si="71"/>
        <v>2017</v>
      </c>
      <c r="L73" s="206">
        <f t="shared" si="72"/>
        <v>2017.5</v>
      </c>
      <c r="M73" s="205">
        <f>6255.46/30*4</f>
        <v>834.06133333333332</v>
      </c>
      <c r="N73" s="204">
        <f t="shared" si="73"/>
        <v>834.06133333333332</v>
      </c>
      <c r="O73" s="204">
        <f t="shared" si="74"/>
        <v>69.505111111111106</v>
      </c>
      <c r="P73" s="204">
        <f t="shared" si="75"/>
        <v>834.06133333333332</v>
      </c>
      <c r="Q73" s="204">
        <f t="shared" si="76"/>
        <v>0</v>
      </c>
      <c r="R73" s="204"/>
      <c r="S73" s="204">
        <f t="shared" si="77"/>
        <v>834.06133333333332</v>
      </c>
      <c r="T73" s="204">
        <f t="shared" si="78"/>
        <v>834.06133333333332</v>
      </c>
      <c r="U73" s="204">
        <f t="shared" si="79"/>
        <v>0</v>
      </c>
    </row>
    <row r="74" spans="1:22">
      <c r="B74" s="230">
        <v>171078</v>
      </c>
      <c r="C74" s="228"/>
      <c r="D74" s="203"/>
      <c r="E74" s="210" t="s">
        <v>356</v>
      </c>
      <c r="F74" s="229">
        <v>2016</v>
      </c>
      <c r="G74" s="228">
        <v>12</v>
      </c>
      <c r="H74" s="209">
        <v>0</v>
      </c>
      <c r="I74" s="208" t="s">
        <v>86</v>
      </c>
      <c r="J74" s="227">
        <v>5</v>
      </c>
      <c r="K74" s="207">
        <f t="shared" si="71"/>
        <v>2021</v>
      </c>
      <c r="L74" s="206">
        <f t="shared" si="72"/>
        <v>2022</v>
      </c>
      <c r="M74" s="205">
        <f>22670.1/26*4</f>
        <v>3487.707692307692</v>
      </c>
      <c r="N74" s="204">
        <f t="shared" si="73"/>
        <v>3487.707692307692</v>
      </c>
      <c r="O74" s="204">
        <f t="shared" si="74"/>
        <v>58.128461538461529</v>
      </c>
      <c r="P74" s="204">
        <f t="shared" si="75"/>
        <v>697.54153846153838</v>
      </c>
      <c r="Q74" s="204">
        <f t="shared" si="76"/>
        <v>697.54153846153838</v>
      </c>
      <c r="R74" s="204"/>
      <c r="S74" s="204">
        <f t="shared" si="77"/>
        <v>2790.1661538461535</v>
      </c>
      <c r="T74" s="204">
        <f t="shared" si="78"/>
        <v>3487.707692307692</v>
      </c>
      <c r="U74" s="204">
        <f t="shared" si="79"/>
        <v>0</v>
      </c>
    </row>
    <row r="75" spans="1:22">
      <c r="B75" s="230" t="s">
        <v>558</v>
      </c>
      <c r="C75" s="228"/>
      <c r="D75" s="203">
        <v>4068</v>
      </c>
      <c r="E75" s="210" t="s">
        <v>559</v>
      </c>
      <c r="F75" s="229">
        <v>2019</v>
      </c>
      <c r="G75" s="228">
        <v>7</v>
      </c>
      <c r="H75" s="209">
        <v>0</v>
      </c>
      <c r="I75" s="208" t="s">
        <v>86</v>
      </c>
      <c r="J75" s="227">
        <v>3</v>
      </c>
      <c r="K75" s="207">
        <f t="shared" si="71"/>
        <v>2022</v>
      </c>
      <c r="L75" s="206">
        <f t="shared" si="72"/>
        <v>2022.5833333333333</v>
      </c>
      <c r="M75" s="205">
        <v>2748.77</v>
      </c>
      <c r="N75" s="204">
        <f t="shared" ref="N75" si="93">M75-M75*H75</f>
        <v>2748.77</v>
      </c>
      <c r="O75" s="204">
        <f t="shared" ref="O75" si="94">N75/J75/12</f>
        <v>76.354722222222222</v>
      </c>
      <c r="P75" s="204">
        <f t="shared" ref="P75" si="95">+O75*12</f>
        <v>916.25666666666666</v>
      </c>
      <c r="Q75" s="204">
        <f t="shared" ref="Q75" si="96">+IF(L75&lt;=$N$5,0,IF(K75&gt;$N$4,P75,(O75*G75)))</f>
        <v>916.25666666666666</v>
      </c>
      <c r="R75" s="204"/>
      <c r="S75" s="204">
        <f t="shared" ref="S75" si="97">+IF(Q75=0,M75,IF($N$3-F75&lt;1,0,(($N$3-F75)*P75)))</f>
        <v>916.25666666666666</v>
      </c>
      <c r="T75" s="204">
        <f t="shared" ref="T75" si="98">+IF(Q75=0,S75,S75+Q75)</f>
        <v>1832.5133333333333</v>
      </c>
      <c r="U75" s="204">
        <f t="shared" ref="U75" si="99">M75-T75</f>
        <v>916.25666666666666</v>
      </c>
      <c r="V75" s="230" t="s">
        <v>576</v>
      </c>
    </row>
    <row r="76" spans="1:22">
      <c r="B76" s="230" t="s">
        <v>560</v>
      </c>
      <c r="C76" s="228"/>
      <c r="D76" s="203">
        <v>4068</v>
      </c>
      <c r="E76" s="210" t="s">
        <v>561</v>
      </c>
      <c r="F76" s="229">
        <v>2019</v>
      </c>
      <c r="G76" s="228">
        <v>6</v>
      </c>
      <c r="H76" s="209">
        <v>0</v>
      </c>
      <c r="I76" s="208" t="s">
        <v>86</v>
      </c>
      <c r="J76" s="227">
        <v>3</v>
      </c>
      <c r="K76" s="207">
        <f t="shared" si="71"/>
        <v>2022</v>
      </c>
      <c r="L76" s="206">
        <f t="shared" si="72"/>
        <v>2022.5</v>
      </c>
      <c r="M76" s="205">
        <v>35401.68</v>
      </c>
      <c r="N76" s="204">
        <f t="shared" ref="N76" si="100">M76-M76*H76</f>
        <v>35401.68</v>
      </c>
      <c r="O76" s="204">
        <f t="shared" ref="O76" si="101">N76/J76/12</f>
        <v>983.38</v>
      </c>
      <c r="P76" s="204">
        <f t="shared" ref="P76" si="102">+O76*12</f>
        <v>11800.56</v>
      </c>
      <c r="Q76" s="204">
        <f t="shared" ref="Q76" si="103">+IF(L76&lt;=$N$5,0,IF(K76&gt;$N$4,P76,(O76*G76)))</f>
        <v>11800.56</v>
      </c>
      <c r="R76" s="204"/>
      <c r="S76" s="204">
        <f t="shared" ref="S76" si="104">+IF(Q76=0,M76,IF($N$3-F76&lt;1,0,(($N$3-F76)*P76)))</f>
        <v>11800.56</v>
      </c>
      <c r="T76" s="204">
        <f t="shared" ref="T76" si="105">+IF(Q76=0,S76,S76+Q76)</f>
        <v>23601.119999999999</v>
      </c>
      <c r="U76" s="204">
        <f t="shared" ref="U76" si="106">M76-T76</f>
        <v>11800.560000000001</v>
      </c>
      <c r="V76" s="230" t="s">
        <v>576</v>
      </c>
    </row>
    <row r="77" spans="1:22">
      <c r="C77" s="228" t="s">
        <v>555</v>
      </c>
      <c r="D77" s="203"/>
      <c r="E77" s="210" t="s">
        <v>584</v>
      </c>
      <c r="F77" s="229">
        <v>2021</v>
      </c>
      <c r="G77" s="228">
        <v>5</v>
      </c>
      <c r="H77" s="209">
        <v>0</v>
      </c>
      <c r="I77" s="208" t="s">
        <v>86</v>
      </c>
      <c r="J77" s="227">
        <v>10</v>
      </c>
      <c r="K77" s="207">
        <f t="shared" ref="K77" si="107">F77+J77</f>
        <v>2031</v>
      </c>
      <c r="L77" s="206">
        <f t="shared" ref="L77" si="108">+K77+(G77/12)</f>
        <v>2031.4166666666667</v>
      </c>
      <c r="M77" s="205">
        <v>301578</v>
      </c>
      <c r="N77" s="204">
        <f t="shared" ref="N77" si="109">M77-M77*H77</f>
        <v>301578</v>
      </c>
      <c r="O77" s="204">
        <f t="shared" ref="O77" si="110">N77/J77/12</f>
        <v>2513.15</v>
      </c>
      <c r="P77" s="204">
        <f t="shared" ref="P77" si="111">+O77*12</f>
        <v>30157.800000000003</v>
      </c>
      <c r="Q77" s="204">
        <f t="shared" ref="Q77" si="112">+IF(L77&lt;=$N$5,0,IF(K77&gt;$N$4,P77,(O77*G77)))</f>
        <v>30157.800000000003</v>
      </c>
      <c r="R77" s="204"/>
      <c r="S77" s="204">
        <f t="shared" ref="S77" si="113">+IF(Q77=0,M77,IF($N$3-F77&lt;1,0,(($N$3-F77)*P77)))</f>
        <v>0</v>
      </c>
      <c r="T77" s="204">
        <f t="shared" ref="T77" si="114">+IF(Q77=0,S77,S77+Q77)</f>
        <v>30157.800000000003</v>
      </c>
      <c r="U77" s="204">
        <f t="shared" ref="U77" si="115">M77-T77</f>
        <v>271420.2</v>
      </c>
    </row>
    <row r="78" spans="1:22">
      <c r="C78" s="228"/>
      <c r="E78" s="210"/>
      <c r="H78" s="209"/>
      <c r="I78" s="208"/>
      <c r="K78" s="207"/>
      <c r="N78" s="225"/>
      <c r="O78" s="225"/>
      <c r="P78" s="204"/>
      <c r="Q78" s="204"/>
      <c r="R78" s="225"/>
      <c r="S78" s="225"/>
      <c r="T78" s="225"/>
      <c r="U78" s="225"/>
    </row>
    <row r="79" spans="1:22" s="202" customFormat="1">
      <c r="C79" s="222"/>
      <c r="E79" s="304" t="s">
        <v>117</v>
      </c>
      <c r="F79" s="312"/>
      <c r="G79" s="313"/>
      <c r="H79" s="314"/>
      <c r="I79" s="299"/>
      <c r="J79" s="300"/>
      <c r="K79" s="298"/>
      <c r="L79" s="301"/>
      <c r="M79" s="195">
        <f>SUM(M54:M78)</f>
        <v>1204344.9890256412</v>
      </c>
      <c r="N79" s="195">
        <f>SUM(N54:N78)</f>
        <v>1204344.9890256412</v>
      </c>
      <c r="O79" s="195">
        <f>SUM(O54:O78)</f>
        <v>17412.440916776555</v>
      </c>
      <c r="P79" s="243">
        <f>SUM(P54:P78)</f>
        <v>208949.29100131866</v>
      </c>
      <c r="Q79" s="243">
        <f>SUM(Q54:Q78)</f>
        <v>106196.85367179487</v>
      </c>
      <c r="R79" s="195"/>
      <c r="S79" s="195">
        <f>SUM(S54:S78)</f>
        <v>699794.06108717981</v>
      </c>
      <c r="T79" s="195">
        <f>SUM(T54:T78)</f>
        <v>805990.91475897434</v>
      </c>
      <c r="U79" s="195">
        <f>SUM(U54:U78)</f>
        <v>398354.07426666666</v>
      </c>
    </row>
    <row r="80" spans="1:22" s="202" customFormat="1">
      <c r="C80" s="222"/>
      <c r="D80" s="224"/>
      <c r="E80" s="210"/>
      <c r="F80" s="223"/>
      <c r="G80" s="201"/>
      <c r="H80" s="201"/>
      <c r="I80" s="201"/>
      <c r="J80" s="220"/>
      <c r="K80" s="223"/>
      <c r="M80" s="224"/>
      <c r="N80" s="199"/>
      <c r="O80" s="199"/>
      <c r="P80" s="246"/>
      <c r="Q80" s="246"/>
      <c r="R80" s="199"/>
      <c r="S80" s="199"/>
      <c r="T80" s="199"/>
      <c r="U80" s="199"/>
    </row>
    <row r="81" spans="1:21" s="202" customFormat="1">
      <c r="C81" s="222"/>
      <c r="D81" s="224"/>
      <c r="E81" s="302" t="s">
        <v>582</v>
      </c>
      <c r="F81" s="223"/>
      <c r="G81" s="201"/>
      <c r="H81" s="201"/>
      <c r="I81" s="201"/>
      <c r="J81" s="220"/>
      <c r="K81" s="223"/>
      <c r="M81" s="224"/>
      <c r="N81" s="199"/>
      <c r="O81" s="199"/>
      <c r="P81" s="246"/>
      <c r="Q81" s="246"/>
      <c r="R81" s="199"/>
      <c r="S81" s="199"/>
      <c r="T81" s="199"/>
      <c r="U81" s="199"/>
    </row>
    <row r="82" spans="1:21" s="202" customFormat="1">
      <c r="B82" s="230">
        <v>174656</v>
      </c>
      <c r="C82" s="228"/>
      <c r="D82" s="203"/>
      <c r="E82" s="210" t="s">
        <v>416</v>
      </c>
      <c r="F82" s="229">
        <v>2004</v>
      </c>
      <c r="G82" s="228">
        <v>4</v>
      </c>
      <c r="H82" s="209">
        <v>0</v>
      </c>
      <c r="I82" s="208" t="s">
        <v>86</v>
      </c>
      <c r="J82" s="227">
        <v>3</v>
      </c>
      <c r="K82" s="207">
        <f t="shared" ref="K82:K95" si="116">F82+J82</f>
        <v>2007</v>
      </c>
      <c r="L82" s="206">
        <f t="shared" ref="L82:L95" si="117">+K82+(G82/12)</f>
        <v>2007.3333333333333</v>
      </c>
      <c r="M82" s="204">
        <v>35000</v>
      </c>
      <c r="N82" s="204">
        <f>M82-M82*H82</f>
        <v>35000</v>
      </c>
      <c r="O82" s="204">
        <f t="shared" ref="O82:O95" si="118">N82/J82/12</f>
        <v>972.22222222222217</v>
      </c>
      <c r="P82" s="204">
        <f t="shared" ref="P82:P95" si="119">+O82*12</f>
        <v>11666.666666666666</v>
      </c>
      <c r="Q82" s="204">
        <f t="shared" ref="Q82:Q95" si="120">+IF(L82&lt;=$N$5,0,IF(K82&gt;$N$4,P82,(O82*G82)))</f>
        <v>0</v>
      </c>
      <c r="R82" s="204"/>
      <c r="S82" s="204">
        <f t="shared" ref="S82:S95" si="121">+IF(Q82=0,M82,IF($N$3-F82&lt;1,0,(($N$3-F82)*P82)))</f>
        <v>35000</v>
      </c>
      <c r="T82" s="204">
        <f t="shared" ref="T82:T95" si="122">+IF(Q82=0,S82,S82+Q82)</f>
        <v>35000</v>
      </c>
      <c r="U82" s="204">
        <f t="shared" ref="U82:U95" si="123">M82-T82</f>
        <v>0</v>
      </c>
    </row>
    <row r="83" spans="1:21" s="202" customFormat="1">
      <c r="B83" s="230" t="s">
        <v>421</v>
      </c>
      <c r="C83" s="228"/>
      <c r="D83" s="203"/>
      <c r="E83" s="210" t="s">
        <v>422</v>
      </c>
      <c r="F83" s="229">
        <v>2004</v>
      </c>
      <c r="G83" s="228">
        <v>9</v>
      </c>
      <c r="H83" s="209">
        <v>0</v>
      </c>
      <c r="I83" s="208" t="s">
        <v>86</v>
      </c>
      <c r="J83" s="227">
        <v>3</v>
      </c>
      <c r="K83" s="207">
        <f t="shared" si="116"/>
        <v>2007</v>
      </c>
      <c r="L83" s="206">
        <f t="shared" si="117"/>
        <v>2007.75</v>
      </c>
      <c r="M83" s="204">
        <v>2064</v>
      </c>
      <c r="N83" s="204">
        <f t="shared" ref="N83:N95" si="124">M83-M83*H83</f>
        <v>2064</v>
      </c>
      <c r="O83" s="204">
        <f t="shared" si="118"/>
        <v>57.333333333333336</v>
      </c>
      <c r="P83" s="204">
        <f t="shared" si="119"/>
        <v>688</v>
      </c>
      <c r="Q83" s="204">
        <f t="shared" si="120"/>
        <v>0</v>
      </c>
      <c r="R83" s="204"/>
      <c r="S83" s="204">
        <f t="shared" si="121"/>
        <v>2064</v>
      </c>
      <c r="T83" s="204">
        <f t="shared" si="122"/>
        <v>2064</v>
      </c>
      <c r="U83" s="204">
        <f t="shared" si="123"/>
        <v>0</v>
      </c>
    </row>
    <row r="84" spans="1:21" s="202" customFormat="1">
      <c r="B84" s="230" t="s">
        <v>423</v>
      </c>
      <c r="C84" s="228"/>
      <c r="D84" s="203"/>
      <c r="E84" s="210" t="s">
        <v>424</v>
      </c>
      <c r="F84" s="229">
        <v>2004</v>
      </c>
      <c r="G84" s="228">
        <v>8</v>
      </c>
      <c r="H84" s="209">
        <v>0</v>
      </c>
      <c r="I84" s="208" t="s">
        <v>86</v>
      </c>
      <c r="J84" s="227">
        <v>3</v>
      </c>
      <c r="K84" s="207">
        <f t="shared" si="116"/>
        <v>2007</v>
      </c>
      <c r="L84" s="206">
        <f t="shared" si="117"/>
        <v>2007.6666666666667</v>
      </c>
      <c r="M84" s="204">
        <v>1465.21</v>
      </c>
      <c r="N84" s="204">
        <f t="shared" si="124"/>
        <v>1465.21</v>
      </c>
      <c r="O84" s="204">
        <f t="shared" si="118"/>
        <v>40.700277777777778</v>
      </c>
      <c r="P84" s="204">
        <f t="shared" si="119"/>
        <v>488.40333333333331</v>
      </c>
      <c r="Q84" s="204">
        <f t="shared" si="120"/>
        <v>0</v>
      </c>
      <c r="R84" s="204"/>
      <c r="S84" s="204">
        <f t="shared" si="121"/>
        <v>1465.21</v>
      </c>
      <c r="T84" s="204">
        <f t="shared" si="122"/>
        <v>1465.21</v>
      </c>
      <c r="U84" s="204">
        <f t="shared" si="123"/>
        <v>0</v>
      </c>
    </row>
    <row r="85" spans="1:21" s="202" customFormat="1">
      <c r="B85" s="230" t="s">
        <v>425</v>
      </c>
      <c r="C85" s="228"/>
      <c r="D85" s="203"/>
      <c r="E85" s="210" t="s">
        <v>424</v>
      </c>
      <c r="F85" s="229">
        <v>2004</v>
      </c>
      <c r="G85" s="228">
        <v>9</v>
      </c>
      <c r="H85" s="209">
        <v>0</v>
      </c>
      <c r="I85" s="208" t="s">
        <v>86</v>
      </c>
      <c r="J85" s="227">
        <v>3</v>
      </c>
      <c r="K85" s="207">
        <f t="shared" si="116"/>
        <v>2007</v>
      </c>
      <c r="L85" s="206">
        <f t="shared" si="117"/>
        <v>2007.75</v>
      </c>
      <c r="M85" s="204">
        <v>156.86000000000001</v>
      </c>
      <c r="N85" s="204">
        <f t="shared" si="124"/>
        <v>156.86000000000001</v>
      </c>
      <c r="O85" s="204">
        <f t="shared" si="118"/>
        <v>4.3572222222222221</v>
      </c>
      <c r="P85" s="204">
        <f t="shared" si="119"/>
        <v>52.286666666666662</v>
      </c>
      <c r="Q85" s="204">
        <f t="shared" si="120"/>
        <v>0</v>
      </c>
      <c r="R85" s="204"/>
      <c r="S85" s="204">
        <f t="shared" si="121"/>
        <v>156.86000000000001</v>
      </c>
      <c r="T85" s="204">
        <f t="shared" si="122"/>
        <v>156.86000000000001</v>
      </c>
      <c r="U85" s="204">
        <f t="shared" si="123"/>
        <v>0</v>
      </c>
    </row>
    <row r="86" spans="1:21" s="202" customFormat="1">
      <c r="B86" s="230" t="s">
        <v>426</v>
      </c>
      <c r="C86" s="228"/>
      <c r="D86" s="203"/>
      <c r="E86" s="210" t="s">
        <v>422</v>
      </c>
      <c r="F86" s="229">
        <v>2004</v>
      </c>
      <c r="G86" s="228">
        <v>8</v>
      </c>
      <c r="H86" s="209">
        <v>0</v>
      </c>
      <c r="I86" s="208" t="s">
        <v>86</v>
      </c>
      <c r="J86" s="227">
        <v>3</v>
      </c>
      <c r="K86" s="207">
        <f t="shared" si="116"/>
        <v>2007</v>
      </c>
      <c r="L86" s="206">
        <f t="shared" si="117"/>
        <v>2007.6666666666667</v>
      </c>
      <c r="M86" s="204">
        <v>19279.099999999999</v>
      </c>
      <c r="N86" s="204">
        <f t="shared" si="124"/>
        <v>19279.099999999999</v>
      </c>
      <c r="O86" s="204">
        <f t="shared" si="118"/>
        <v>535.53055555555545</v>
      </c>
      <c r="P86" s="204">
        <f t="shared" si="119"/>
        <v>6426.366666666665</v>
      </c>
      <c r="Q86" s="204">
        <f t="shared" si="120"/>
        <v>0</v>
      </c>
      <c r="R86" s="204"/>
      <c r="S86" s="204">
        <f t="shared" si="121"/>
        <v>19279.099999999999</v>
      </c>
      <c r="T86" s="204">
        <f t="shared" si="122"/>
        <v>19279.099999999999</v>
      </c>
      <c r="U86" s="204">
        <f t="shared" si="123"/>
        <v>0</v>
      </c>
    </row>
    <row r="87" spans="1:21" s="202" customFormat="1">
      <c r="B87" s="230">
        <v>222118</v>
      </c>
      <c r="C87" s="228"/>
      <c r="D87" s="203"/>
      <c r="E87" s="210" t="s">
        <v>551</v>
      </c>
      <c r="F87" s="229">
        <v>2008</v>
      </c>
      <c r="G87" s="228">
        <v>11</v>
      </c>
      <c r="H87" s="209">
        <v>0</v>
      </c>
      <c r="I87" s="208" t="s">
        <v>86</v>
      </c>
      <c r="J87" s="227">
        <v>3</v>
      </c>
      <c r="K87" s="207">
        <f t="shared" ref="K87" si="125">F87+J87</f>
        <v>2011</v>
      </c>
      <c r="L87" s="206">
        <f t="shared" ref="L87" si="126">+K87+(G87/12)</f>
        <v>2011.9166666666667</v>
      </c>
      <c r="M87" s="204">
        <v>2500</v>
      </c>
      <c r="N87" s="204">
        <f t="shared" ref="N87" si="127">M87-M87*H87</f>
        <v>2500</v>
      </c>
      <c r="O87" s="204">
        <f t="shared" ref="O87" si="128">N87/J87/12</f>
        <v>69.444444444444443</v>
      </c>
      <c r="P87" s="204">
        <f t="shared" ref="P87" si="129">+O87*12</f>
        <v>833.33333333333326</v>
      </c>
      <c r="Q87" s="204">
        <f t="shared" ref="Q87" si="130">+IF(L87&lt;=$N$5,0,IF(K87&gt;$N$4,P87,(O87*G87)))</f>
        <v>0</v>
      </c>
      <c r="R87" s="204"/>
      <c r="S87" s="204">
        <f t="shared" ref="S87" si="131">+IF(Q87=0,M87,IF($N$3-F87&lt;1,0,(($N$3-F87)*P87)))</f>
        <v>2500</v>
      </c>
      <c r="T87" s="204">
        <f t="shared" ref="T87" si="132">+IF(Q87=0,S87,S87+Q87)</f>
        <v>2500</v>
      </c>
      <c r="U87" s="204">
        <f t="shared" ref="U87" si="133">M87-T87</f>
        <v>0</v>
      </c>
    </row>
    <row r="88" spans="1:21">
      <c r="C88" s="228" t="s">
        <v>127</v>
      </c>
      <c r="D88" s="203">
        <v>8010</v>
      </c>
      <c r="E88" s="210" t="s">
        <v>128</v>
      </c>
      <c r="F88" s="229">
        <v>2009</v>
      </c>
      <c r="G88" s="228">
        <v>7</v>
      </c>
      <c r="H88" s="209">
        <v>0</v>
      </c>
      <c r="I88" s="208" t="s">
        <v>86</v>
      </c>
      <c r="J88" s="227">
        <v>7</v>
      </c>
      <c r="K88" s="207">
        <f>F88+J88</f>
        <v>2016</v>
      </c>
      <c r="L88" s="206">
        <f>+K88+(G88/12)</f>
        <v>2016.5833333333333</v>
      </c>
      <c r="M88" s="205">
        <f>'Depreciation - Orig.'!P77</f>
        <v>58345.599999999999</v>
      </c>
      <c r="N88" s="204">
        <f>M88-M88*H88</f>
        <v>58345.599999999999</v>
      </c>
      <c r="O88" s="204">
        <f>N88/J88/12</f>
        <v>694.59047619047624</v>
      </c>
      <c r="P88" s="204">
        <f>+O88*12</f>
        <v>8335.0857142857149</v>
      </c>
      <c r="Q88" s="204">
        <f>+IF(L88&lt;=$N$5,0,IF(K88&gt;$N$4,P88,(O88*G88)))</f>
        <v>0</v>
      </c>
      <c r="R88" s="204"/>
      <c r="S88" s="204">
        <f>+IF(Q88=0,M88,IF($N$3-F88&lt;1,0,(($N$3-F88)*P88)))</f>
        <v>58345.599999999999</v>
      </c>
      <c r="T88" s="204">
        <f>+IF(Q88=0,S88,S88+Q88)</f>
        <v>58345.599999999999</v>
      </c>
      <c r="U88" s="204">
        <f>M88-T88</f>
        <v>0</v>
      </c>
    </row>
    <row r="89" spans="1:21">
      <c r="A89" s="270"/>
      <c r="B89" s="270"/>
      <c r="C89" s="271"/>
      <c r="D89" s="270"/>
      <c r="E89" s="272" t="s">
        <v>510</v>
      </c>
      <c r="F89" s="273">
        <v>2020</v>
      </c>
      <c r="G89" s="271">
        <v>12</v>
      </c>
      <c r="H89" s="274">
        <v>0</v>
      </c>
      <c r="I89" s="275" t="s">
        <v>86</v>
      </c>
      <c r="J89" s="276">
        <v>3</v>
      </c>
      <c r="K89" s="277">
        <f t="shared" ref="K89" si="134">F89+J89</f>
        <v>2023</v>
      </c>
      <c r="L89" s="278">
        <f>+K89+(G89/12)</f>
        <v>2024</v>
      </c>
      <c r="M89" s="279">
        <f>'Depreciation - Orig.'!N77-Depreciation!M88</f>
        <v>14586.400000000001</v>
      </c>
      <c r="N89" s="280">
        <f t="shared" ref="N89" si="135">M89-M89*H89</f>
        <v>14586.400000000001</v>
      </c>
      <c r="O89" s="280">
        <f t="shared" ref="O89" si="136">N89/J89/12</f>
        <v>405.17777777777786</v>
      </c>
      <c r="P89" s="280">
        <f>+O89*12</f>
        <v>4862.1333333333341</v>
      </c>
      <c r="Q89" s="280">
        <f>+IF(L89&lt;=$N$5,0,IF(K89&gt;$N$4,P89,(O89*G89)))</f>
        <v>4862.1333333333341</v>
      </c>
      <c r="R89" s="280"/>
      <c r="S89" s="280">
        <f>+IF(Q89=0,M89,IF($N$3-F89&lt;1,0,(($N$3-F89)*P89)))</f>
        <v>0</v>
      </c>
      <c r="T89" s="280">
        <f>+IF(Q89=0,S89,S89+Q89)</f>
        <v>4862.1333333333341</v>
      </c>
      <c r="U89" s="280">
        <f>M89-T89</f>
        <v>9724.2666666666664</v>
      </c>
    </row>
    <row r="90" spans="1:21" s="202" customFormat="1">
      <c r="C90" s="228" t="s">
        <v>118</v>
      </c>
      <c r="D90" s="203">
        <v>17</v>
      </c>
      <c r="E90" s="210" t="s">
        <v>119</v>
      </c>
      <c r="F90" s="229">
        <v>2011</v>
      </c>
      <c r="G90" s="228">
        <v>3</v>
      </c>
      <c r="H90" s="209">
        <v>0</v>
      </c>
      <c r="I90" s="208" t="s">
        <v>86</v>
      </c>
      <c r="J90" s="227">
        <v>5</v>
      </c>
      <c r="K90" s="207">
        <f t="shared" si="116"/>
        <v>2016</v>
      </c>
      <c r="L90" s="206">
        <f t="shared" si="117"/>
        <v>2016.25</v>
      </c>
      <c r="M90" s="204">
        <f>'Depreciation - Orig.'!P62</f>
        <v>17414.64</v>
      </c>
      <c r="N90" s="204">
        <f t="shared" si="124"/>
        <v>17414.64</v>
      </c>
      <c r="O90" s="204">
        <f t="shared" si="118"/>
        <v>290.24399999999997</v>
      </c>
      <c r="P90" s="204">
        <f t="shared" si="119"/>
        <v>3482.9279999999999</v>
      </c>
      <c r="Q90" s="204">
        <f t="shared" si="120"/>
        <v>0</v>
      </c>
      <c r="R90" s="204"/>
      <c r="S90" s="204">
        <f t="shared" si="121"/>
        <v>17414.64</v>
      </c>
      <c r="T90" s="204">
        <f t="shared" si="122"/>
        <v>17414.64</v>
      </c>
      <c r="U90" s="204">
        <f t="shared" si="123"/>
        <v>0</v>
      </c>
    </row>
    <row r="91" spans="1:21">
      <c r="A91" s="270"/>
      <c r="B91" s="270"/>
      <c r="C91" s="271"/>
      <c r="D91" s="270"/>
      <c r="E91" s="272" t="s">
        <v>505</v>
      </c>
      <c r="F91" s="273">
        <v>2020</v>
      </c>
      <c r="G91" s="271">
        <v>12</v>
      </c>
      <c r="H91" s="274">
        <v>0</v>
      </c>
      <c r="I91" s="275" t="s">
        <v>86</v>
      </c>
      <c r="J91" s="276">
        <v>3</v>
      </c>
      <c r="K91" s="277">
        <f t="shared" si="116"/>
        <v>2023</v>
      </c>
      <c r="L91" s="278">
        <f>+K91+(G91/12)</f>
        <v>2024</v>
      </c>
      <c r="M91" s="279">
        <f>'Depreciation - Orig.'!N62-Depreciation!M90</f>
        <v>8577.36</v>
      </c>
      <c r="N91" s="280">
        <f t="shared" si="124"/>
        <v>8577.36</v>
      </c>
      <c r="O91" s="280">
        <f t="shared" si="118"/>
        <v>238.26000000000002</v>
      </c>
      <c r="P91" s="280">
        <f>+O91*12</f>
        <v>2859.1200000000003</v>
      </c>
      <c r="Q91" s="280">
        <f t="shared" si="120"/>
        <v>2859.1200000000003</v>
      </c>
      <c r="R91" s="280"/>
      <c r="S91" s="280">
        <f>+IF(Q91=0,M91,IF($N$3-F91&lt;1,0,(($N$3-F91)*P91)))</f>
        <v>0</v>
      </c>
      <c r="T91" s="280">
        <f>+IF(Q91=0,S91,S91+Q91)</f>
        <v>2859.1200000000003</v>
      </c>
      <c r="U91" s="280">
        <f t="shared" si="123"/>
        <v>5718.24</v>
      </c>
    </row>
    <row r="92" spans="1:21" s="202" customFormat="1">
      <c r="B92" s="230" t="s">
        <v>417</v>
      </c>
      <c r="C92" s="228"/>
      <c r="D92" s="203"/>
      <c r="E92" s="210" t="s">
        <v>420</v>
      </c>
      <c r="F92" s="229">
        <v>2012</v>
      </c>
      <c r="G92" s="228">
        <v>9</v>
      </c>
      <c r="H92" s="209">
        <v>0</v>
      </c>
      <c r="I92" s="208" t="s">
        <v>86</v>
      </c>
      <c r="J92" s="227">
        <v>3</v>
      </c>
      <c r="K92" s="207">
        <f t="shared" si="116"/>
        <v>2015</v>
      </c>
      <c r="L92" s="206">
        <f t="shared" si="117"/>
        <v>2015.75</v>
      </c>
      <c r="M92" s="204">
        <v>10263.469999999999</v>
      </c>
      <c r="N92" s="204">
        <f t="shared" si="124"/>
        <v>10263.469999999999</v>
      </c>
      <c r="O92" s="204">
        <f t="shared" si="118"/>
        <v>285.09638888888884</v>
      </c>
      <c r="P92" s="204">
        <f t="shared" si="119"/>
        <v>3421.1566666666658</v>
      </c>
      <c r="Q92" s="204">
        <f t="shared" si="120"/>
        <v>0</v>
      </c>
      <c r="R92" s="204"/>
      <c r="S92" s="204">
        <f t="shared" si="121"/>
        <v>10263.469999999999</v>
      </c>
      <c r="T92" s="204">
        <f t="shared" si="122"/>
        <v>10263.469999999999</v>
      </c>
      <c r="U92" s="204">
        <f t="shared" si="123"/>
        <v>0</v>
      </c>
    </row>
    <row r="93" spans="1:21" s="202" customFormat="1">
      <c r="B93" s="230" t="s">
        <v>419</v>
      </c>
      <c r="C93" s="228"/>
      <c r="D93" s="203"/>
      <c r="E93" s="210" t="s">
        <v>418</v>
      </c>
      <c r="F93" s="229">
        <v>2012</v>
      </c>
      <c r="G93" s="228">
        <v>9</v>
      </c>
      <c r="H93" s="209">
        <v>0</v>
      </c>
      <c r="I93" s="208" t="s">
        <v>86</v>
      </c>
      <c r="J93" s="227">
        <v>3</v>
      </c>
      <c r="K93" s="207">
        <f t="shared" si="116"/>
        <v>2015</v>
      </c>
      <c r="L93" s="206">
        <f t="shared" si="117"/>
        <v>2015.75</v>
      </c>
      <c r="M93" s="204">
        <v>25500</v>
      </c>
      <c r="N93" s="204">
        <f t="shared" si="124"/>
        <v>25500</v>
      </c>
      <c r="O93" s="204">
        <f t="shared" si="118"/>
        <v>708.33333333333337</v>
      </c>
      <c r="P93" s="204">
        <f t="shared" si="119"/>
        <v>8500</v>
      </c>
      <c r="Q93" s="204">
        <f t="shared" si="120"/>
        <v>0</v>
      </c>
      <c r="R93" s="204"/>
      <c r="S93" s="204">
        <f t="shared" si="121"/>
        <v>25500</v>
      </c>
      <c r="T93" s="204">
        <f t="shared" si="122"/>
        <v>25500</v>
      </c>
      <c r="U93" s="204">
        <f t="shared" si="123"/>
        <v>0</v>
      </c>
    </row>
    <row r="94" spans="1:21" s="202" customFormat="1">
      <c r="B94" s="230" t="s">
        <v>413</v>
      </c>
      <c r="C94" s="228" t="s">
        <v>118</v>
      </c>
      <c r="D94" s="203">
        <v>17</v>
      </c>
      <c r="E94" s="210" t="s">
        <v>412</v>
      </c>
      <c r="F94" s="229">
        <v>2017</v>
      </c>
      <c r="G94" s="228">
        <v>4</v>
      </c>
      <c r="H94" s="209">
        <v>0</v>
      </c>
      <c r="I94" s="208" t="s">
        <v>86</v>
      </c>
      <c r="J94" s="227">
        <v>3</v>
      </c>
      <c r="K94" s="207">
        <f t="shared" si="116"/>
        <v>2020</v>
      </c>
      <c r="L94" s="206">
        <f t="shared" si="117"/>
        <v>2020.3333333333333</v>
      </c>
      <c r="M94" s="204">
        <v>23393.360000000001</v>
      </c>
      <c r="N94" s="204">
        <f t="shared" si="124"/>
        <v>23393.360000000001</v>
      </c>
      <c r="O94" s="204">
        <f t="shared" si="118"/>
        <v>649.81555555555553</v>
      </c>
      <c r="P94" s="204">
        <f t="shared" si="119"/>
        <v>7797.7866666666669</v>
      </c>
      <c r="Q94" s="204">
        <f t="shared" si="120"/>
        <v>0</v>
      </c>
      <c r="R94" s="204"/>
      <c r="S94" s="204">
        <f t="shared" si="121"/>
        <v>23393.360000000001</v>
      </c>
      <c r="T94" s="204">
        <f t="shared" si="122"/>
        <v>23393.360000000001</v>
      </c>
      <c r="U94" s="204">
        <f t="shared" si="123"/>
        <v>0</v>
      </c>
    </row>
    <row r="95" spans="1:21" s="202" customFormat="1">
      <c r="B95" s="230" t="s">
        <v>414</v>
      </c>
      <c r="C95" s="228" t="s">
        <v>118</v>
      </c>
      <c r="D95" s="203">
        <v>17</v>
      </c>
      <c r="E95" s="210" t="s">
        <v>415</v>
      </c>
      <c r="F95" s="229">
        <v>2017</v>
      </c>
      <c r="G95" s="228">
        <v>4</v>
      </c>
      <c r="H95" s="209">
        <v>0</v>
      </c>
      <c r="I95" s="208" t="s">
        <v>86</v>
      </c>
      <c r="J95" s="227">
        <v>3</v>
      </c>
      <c r="K95" s="207">
        <f t="shared" si="116"/>
        <v>2020</v>
      </c>
      <c r="L95" s="206">
        <f t="shared" si="117"/>
        <v>2020.3333333333333</v>
      </c>
      <c r="M95" s="204">
        <v>2453.85</v>
      </c>
      <c r="N95" s="204">
        <f t="shared" si="124"/>
        <v>2453.85</v>
      </c>
      <c r="O95" s="204">
        <f t="shared" si="118"/>
        <v>68.162499999999994</v>
      </c>
      <c r="P95" s="204">
        <f t="shared" si="119"/>
        <v>817.94999999999993</v>
      </c>
      <c r="Q95" s="204">
        <f t="shared" si="120"/>
        <v>0</v>
      </c>
      <c r="R95" s="204"/>
      <c r="S95" s="204">
        <f t="shared" si="121"/>
        <v>2453.85</v>
      </c>
      <c r="T95" s="204">
        <f t="shared" si="122"/>
        <v>2453.85</v>
      </c>
      <c r="U95" s="204">
        <f t="shared" si="123"/>
        <v>0</v>
      </c>
    </row>
    <row r="96" spans="1:21" s="202" customFormat="1">
      <c r="B96" s="230"/>
      <c r="C96" s="228"/>
      <c r="D96" s="203"/>
      <c r="E96" s="210"/>
      <c r="F96" s="229"/>
      <c r="G96" s="228"/>
      <c r="H96" s="209"/>
      <c r="I96" s="208"/>
      <c r="J96" s="227"/>
      <c r="K96" s="207"/>
      <c r="M96" s="194"/>
      <c r="N96" s="225"/>
      <c r="O96" s="225"/>
      <c r="P96" s="204"/>
      <c r="Q96" s="204"/>
      <c r="R96" s="225"/>
      <c r="S96" s="225"/>
      <c r="T96" s="225"/>
      <c r="U96" s="225"/>
    </row>
    <row r="97" spans="1:22">
      <c r="C97" s="228"/>
      <c r="D97" s="203"/>
      <c r="E97" s="304" t="s">
        <v>583</v>
      </c>
      <c r="F97" s="305"/>
      <c r="G97" s="306"/>
      <c r="H97" s="307"/>
      <c r="I97" s="308"/>
      <c r="J97" s="309"/>
      <c r="K97" s="310"/>
      <c r="L97" s="311"/>
      <c r="M97" s="195">
        <f t="shared" ref="M97:U97" si="137">+SUM(M82:M96)</f>
        <v>220999.85</v>
      </c>
      <c r="N97" s="195">
        <f t="shared" si="137"/>
        <v>220999.85</v>
      </c>
      <c r="O97" s="195">
        <f t="shared" si="137"/>
        <v>5019.2680873015879</v>
      </c>
      <c r="P97" s="243">
        <f t="shared" si="137"/>
        <v>60231.217047619037</v>
      </c>
      <c r="Q97" s="243">
        <f t="shared" si="137"/>
        <v>7721.253333333334</v>
      </c>
      <c r="R97" s="195">
        <f t="shared" si="137"/>
        <v>0</v>
      </c>
      <c r="S97" s="195">
        <f t="shared" si="137"/>
        <v>197836.09</v>
      </c>
      <c r="T97" s="195">
        <f t="shared" si="137"/>
        <v>205557.34333333335</v>
      </c>
      <c r="U97" s="195">
        <f t="shared" si="137"/>
        <v>15442.506666666666</v>
      </c>
    </row>
    <row r="98" spans="1:22" s="202" customFormat="1">
      <c r="C98" s="222"/>
      <c r="D98" s="224"/>
      <c r="E98" s="210"/>
      <c r="F98" s="223"/>
      <c r="G98" s="201"/>
      <c r="H98" s="201"/>
      <c r="I98" s="201"/>
      <c r="J98" s="220"/>
      <c r="K98" s="223"/>
      <c r="M98" s="224"/>
      <c r="N98" s="199"/>
      <c r="O98" s="199"/>
      <c r="P98" s="246"/>
      <c r="Q98" s="246"/>
      <c r="R98" s="199"/>
      <c r="S98" s="199"/>
      <c r="T98" s="199"/>
      <c r="U98" s="199"/>
    </row>
    <row r="99" spans="1:22" s="202" customFormat="1">
      <c r="C99" s="222"/>
      <c r="D99" s="224"/>
      <c r="E99" s="303" t="s">
        <v>120</v>
      </c>
      <c r="F99" s="223"/>
      <c r="G99" s="201"/>
      <c r="H99" s="201"/>
      <c r="I99" s="201"/>
      <c r="J99" s="220"/>
      <c r="K99" s="223"/>
      <c r="M99" s="224"/>
      <c r="N99" s="199"/>
      <c r="O99" s="199"/>
      <c r="P99" s="246"/>
      <c r="Q99" s="246"/>
      <c r="R99" s="199"/>
      <c r="S99" s="199"/>
      <c r="T99" s="199"/>
      <c r="U99" s="199"/>
    </row>
    <row r="100" spans="1:22">
      <c r="C100" s="228" t="s">
        <v>121</v>
      </c>
      <c r="D100" s="230">
        <v>28</v>
      </c>
      <c r="E100" s="210" t="s">
        <v>122</v>
      </c>
      <c r="F100" s="229">
        <v>2009</v>
      </c>
      <c r="G100" s="228">
        <v>7</v>
      </c>
      <c r="H100" s="209">
        <v>0</v>
      </c>
      <c r="I100" s="208" t="s">
        <v>86</v>
      </c>
      <c r="J100" s="227">
        <v>7</v>
      </c>
      <c r="K100" s="207">
        <f t="shared" ref="K100:K110" si="138">F100+J100</f>
        <v>2016</v>
      </c>
      <c r="L100" s="206">
        <f t="shared" ref="L100:L110" si="139">+K100+(G100/12)</f>
        <v>2016.5833333333333</v>
      </c>
      <c r="M100" s="205">
        <f>'Depreciation - Orig.'!P72</f>
        <v>200604</v>
      </c>
      <c r="N100" s="204">
        <f t="shared" ref="N100:N110" si="140">M100-M100*H100</f>
        <v>200604</v>
      </c>
      <c r="O100" s="204">
        <f t="shared" ref="O100:O110" si="141">N100/J100/12</f>
        <v>2388.1428571428573</v>
      </c>
      <c r="P100" s="204">
        <f t="shared" ref="P100:P110" si="142">+O100*12</f>
        <v>28657.71428571429</v>
      </c>
      <c r="Q100" s="204">
        <f t="shared" ref="Q100:Q110" si="143">+IF(L100&lt;=$N$5,0,IF(K100&gt;$N$4,P100,(O100*G100)))</f>
        <v>0</v>
      </c>
      <c r="R100" s="204"/>
      <c r="S100" s="204">
        <f t="shared" ref="S100:S110" si="144">+IF(Q100=0,M100,IF($N$3-F100&lt;1,0,(($N$3-F100)*P100)))</f>
        <v>200604</v>
      </c>
      <c r="T100" s="204">
        <f t="shared" ref="T100:T110" si="145">+IF(Q100=0,S100,S100+Q100)</f>
        <v>200604</v>
      </c>
      <c r="U100" s="204">
        <f t="shared" ref="U100:U110" si="146">M100-T100</f>
        <v>0</v>
      </c>
      <c r="V100" s="205"/>
    </row>
    <row r="101" spans="1:22">
      <c r="A101" s="270"/>
      <c r="B101" s="270"/>
      <c r="C101" s="271"/>
      <c r="D101" s="270"/>
      <c r="E101" s="272" t="s">
        <v>506</v>
      </c>
      <c r="F101" s="273">
        <v>2020</v>
      </c>
      <c r="G101" s="271">
        <v>12</v>
      </c>
      <c r="H101" s="274">
        <v>0</v>
      </c>
      <c r="I101" s="275" t="s">
        <v>86</v>
      </c>
      <c r="J101" s="276">
        <v>3</v>
      </c>
      <c r="K101" s="277">
        <f t="shared" si="138"/>
        <v>2023</v>
      </c>
      <c r="L101" s="278">
        <f>+K101+(G101/12)</f>
        <v>2024</v>
      </c>
      <c r="M101" s="279">
        <f>'Depreciation - Orig.'!N72-Depreciation!M100</f>
        <v>50151</v>
      </c>
      <c r="N101" s="280">
        <f t="shared" si="140"/>
        <v>50151</v>
      </c>
      <c r="O101" s="280">
        <f t="shared" si="141"/>
        <v>1393.0833333333333</v>
      </c>
      <c r="P101" s="280">
        <f>+O101*12</f>
        <v>16717</v>
      </c>
      <c r="Q101" s="280">
        <f t="shared" si="143"/>
        <v>16717</v>
      </c>
      <c r="R101" s="280"/>
      <c r="S101" s="280">
        <f>+IF(Q101=0,M101,IF($N$3-F101&lt;1,0,(($N$3-F101)*P101)))</f>
        <v>0</v>
      </c>
      <c r="T101" s="280">
        <f>+IF(Q101=0,S101,S101+Q101)</f>
        <v>16717</v>
      </c>
      <c r="U101" s="280">
        <f t="shared" si="146"/>
        <v>33434</v>
      </c>
    </row>
    <row r="102" spans="1:22">
      <c r="C102" s="228" t="s">
        <v>121</v>
      </c>
      <c r="D102" s="230">
        <v>29</v>
      </c>
      <c r="E102" s="210" t="s">
        <v>122</v>
      </c>
      <c r="F102" s="229">
        <v>2009</v>
      </c>
      <c r="G102" s="228">
        <v>7</v>
      </c>
      <c r="H102" s="209">
        <v>0</v>
      </c>
      <c r="I102" s="208" t="s">
        <v>86</v>
      </c>
      <c r="J102" s="227">
        <v>7</v>
      </c>
      <c r="K102" s="207">
        <f t="shared" si="138"/>
        <v>2016</v>
      </c>
      <c r="L102" s="206">
        <f t="shared" si="139"/>
        <v>2016.5833333333333</v>
      </c>
      <c r="M102" s="205">
        <f>'Depreciation - Orig.'!P73</f>
        <v>199821.6</v>
      </c>
      <c r="N102" s="204">
        <f t="shared" si="140"/>
        <v>199821.6</v>
      </c>
      <c r="O102" s="204">
        <f t="shared" si="141"/>
        <v>2378.8285714285716</v>
      </c>
      <c r="P102" s="204">
        <f t="shared" si="142"/>
        <v>28545.942857142858</v>
      </c>
      <c r="Q102" s="204">
        <f t="shared" si="143"/>
        <v>0</v>
      </c>
      <c r="R102" s="204"/>
      <c r="S102" s="204">
        <f t="shared" si="144"/>
        <v>199821.6</v>
      </c>
      <c r="T102" s="204">
        <f t="shared" si="145"/>
        <v>199821.6</v>
      </c>
      <c r="U102" s="204">
        <f t="shared" si="146"/>
        <v>0</v>
      </c>
      <c r="V102" s="205"/>
    </row>
    <row r="103" spans="1:22">
      <c r="A103" s="270"/>
      <c r="B103" s="270"/>
      <c r="C103" s="271"/>
      <c r="D103" s="270"/>
      <c r="E103" s="272" t="s">
        <v>506</v>
      </c>
      <c r="F103" s="273">
        <v>2020</v>
      </c>
      <c r="G103" s="271">
        <v>12</v>
      </c>
      <c r="H103" s="274">
        <v>0</v>
      </c>
      <c r="I103" s="275" t="s">
        <v>86</v>
      </c>
      <c r="J103" s="276">
        <v>3</v>
      </c>
      <c r="K103" s="277">
        <f t="shared" ref="K103" si="147">F103+J103</f>
        <v>2023</v>
      </c>
      <c r="L103" s="278">
        <f>+K103+(G103/12)</f>
        <v>2024</v>
      </c>
      <c r="M103" s="279">
        <f>'Depreciation - Orig.'!N73-Depreciation!M102</f>
        <v>49955.399999999994</v>
      </c>
      <c r="N103" s="280">
        <f t="shared" ref="N103" si="148">M103-M103*H103</f>
        <v>49955.399999999994</v>
      </c>
      <c r="O103" s="280">
        <f t="shared" ref="O103" si="149">N103/J103/12</f>
        <v>1387.6499999999999</v>
      </c>
      <c r="P103" s="280">
        <f>+O103*12</f>
        <v>16651.8</v>
      </c>
      <c r="Q103" s="280">
        <f t="shared" si="143"/>
        <v>16651.8</v>
      </c>
      <c r="R103" s="280"/>
      <c r="S103" s="280">
        <f>+IF(Q103=0,M103,IF($N$3-F103&lt;1,0,(($N$3-F103)*P103)))</f>
        <v>0</v>
      </c>
      <c r="T103" s="280">
        <f>+IF(Q103=0,S103,S103+Q103)</f>
        <v>16651.8</v>
      </c>
      <c r="U103" s="280">
        <f t="shared" si="146"/>
        <v>33303.599999999991</v>
      </c>
    </row>
    <row r="104" spans="1:22">
      <c r="C104" s="228" t="s">
        <v>121</v>
      </c>
      <c r="D104" s="230">
        <v>27</v>
      </c>
      <c r="E104" s="210" t="s">
        <v>123</v>
      </c>
      <c r="F104" s="229">
        <v>2009</v>
      </c>
      <c r="G104" s="228">
        <v>7</v>
      </c>
      <c r="H104" s="209">
        <v>0</v>
      </c>
      <c r="I104" s="208" t="s">
        <v>86</v>
      </c>
      <c r="J104" s="227">
        <v>7</v>
      </c>
      <c r="K104" s="207">
        <f t="shared" si="138"/>
        <v>2016</v>
      </c>
      <c r="L104" s="206">
        <f t="shared" si="139"/>
        <v>2016.5833333333333</v>
      </c>
      <c r="M104" s="205">
        <f>'Depreciation - Orig.'!P74</f>
        <v>188638.4</v>
      </c>
      <c r="N104" s="204">
        <f t="shared" si="140"/>
        <v>188638.4</v>
      </c>
      <c r="O104" s="204">
        <f t="shared" si="141"/>
        <v>2245.695238095238</v>
      </c>
      <c r="P104" s="204">
        <f t="shared" si="142"/>
        <v>26948.342857142856</v>
      </c>
      <c r="Q104" s="204">
        <f t="shared" si="143"/>
        <v>0</v>
      </c>
      <c r="R104" s="204"/>
      <c r="S104" s="204">
        <f t="shared" si="144"/>
        <v>188638.4</v>
      </c>
      <c r="T104" s="204">
        <f t="shared" si="145"/>
        <v>188638.4</v>
      </c>
      <c r="U104" s="204">
        <f t="shared" si="146"/>
        <v>0</v>
      </c>
      <c r="V104" s="205"/>
    </row>
    <row r="105" spans="1:22">
      <c r="A105" s="270"/>
      <c r="B105" s="270"/>
      <c r="C105" s="271"/>
      <c r="D105" s="270"/>
      <c r="E105" s="272" t="s">
        <v>507</v>
      </c>
      <c r="F105" s="273">
        <v>2020</v>
      </c>
      <c r="G105" s="271">
        <v>12</v>
      </c>
      <c r="H105" s="274">
        <v>0</v>
      </c>
      <c r="I105" s="275" t="s">
        <v>86</v>
      </c>
      <c r="J105" s="276">
        <v>3</v>
      </c>
      <c r="K105" s="277">
        <f t="shared" ref="K105" si="150">F105+J105</f>
        <v>2023</v>
      </c>
      <c r="L105" s="278">
        <f>+K105+(G105/12)</f>
        <v>2024</v>
      </c>
      <c r="M105" s="279">
        <f>'Depreciation - Orig.'!N74-Depreciation!M104</f>
        <v>47159.600000000006</v>
      </c>
      <c r="N105" s="280">
        <f t="shared" ref="N105" si="151">M105-M105*H105</f>
        <v>47159.600000000006</v>
      </c>
      <c r="O105" s="280">
        <f t="shared" ref="O105" si="152">N105/J105/12</f>
        <v>1309.9888888888891</v>
      </c>
      <c r="P105" s="280">
        <f>+O105*12</f>
        <v>15719.866666666669</v>
      </c>
      <c r="Q105" s="280">
        <f t="shared" si="143"/>
        <v>15719.866666666669</v>
      </c>
      <c r="R105" s="280"/>
      <c r="S105" s="280">
        <f>+IF(Q105=0,M105,IF($N$3-F105&lt;1,0,(($N$3-F105)*P105)))</f>
        <v>0</v>
      </c>
      <c r="T105" s="280">
        <f>+IF(Q105=0,S105,S105+Q105)</f>
        <v>15719.866666666669</v>
      </c>
      <c r="U105" s="280">
        <f t="shared" si="146"/>
        <v>31439.733333333337</v>
      </c>
    </row>
    <row r="106" spans="1:22">
      <c r="B106" s="230">
        <v>184363</v>
      </c>
      <c r="C106" s="228" t="s">
        <v>331</v>
      </c>
      <c r="D106" s="203">
        <v>9</v>
      </c>
      <c r="E106" s="210" t="s">
        <v>395</v>
      </c>
      <c r="F106" s="229">
        <v>2017</v>
      </c>
      <c r="G106" s="228">
        <v>7</v>
      </c>
      <c r="H106" s="209">
        <v>0</v>
      </c>
      <c r="I106" s="208" t="s">
        <v>86</v>
      </c>
      <c r="J106" s="227">
        <v>10</v>
      </c>
      <c r="K106" s="207">
        <f>F106+J106</f>
        <v>2027</v>
      </c>
      <c r="L106" s="206">
        <f>+K106+(G106/12)</f>
        <v>2027.5833333333333</v>
      </c>
      <c r="M106" s="205">
        <v>338304.94</v>
      </c>
      <c r="N106" s="204">
        <f>M106-M106*H106</f>
        <v>338304.94</v>
      </c>
      <c r="O106" s="204">
        <f>N106/J106/12</f>
        <v>2819.2078333333334</v>
      </c>
      <c r="P106" s="204">
        <f>+O106*12</f>
        <v>33830.493999999999</v>
      </c>
      <c r="Q106" s="204">
        <f>+IF(L106&lt;=$N$5,0,IF(K106&gt;$N$4,P106,(O106*G106)))</f>
        <v>33830.493999999999</v>
      </c>
      <c r="R106" s="204"/>
      <c r="S106" s="204">
        <f>+IF(Q106=0,M106,IF($N$3-F106&lt;1,0,(($N$3-F106)*P106)))</f>
        <v>101491.48199999999</v>
      </c>
      <c r="T106" s="204">
        <f>+IF(Q106=0,S106,S106+Q106)</f>
        <v>135321.976</v>
      </c>
      <c r="U106" s="204">
        <f>+M106-T106</f>
        <v>202982.96400000001</v>
      </c>
    </row>
    <row r="107" spans="1:22">
      <c r="B107" s="230">
        <v>131544</v>
      </c>
      <c r="C107" s="228"/>
      <c r="D107" s="203"/>
      <c r="E107" s="210" t="s">
        <v>339</v>
      </c>
      <c r="F107" s="229">
        <v>2016</v>
      </c>
      <c r="G107" s="228">
        <v>3</v>
      </c>
      <c r="H107" s="209">
        <v>0</v>
      </c>
      <c r="I107" s="208" t="s">
        <v>86</v>
      </c>
      <c r="J107" s="227">
        <v>1</v>
      </c>
      <c r="K107" s="207">
        <f t="shared" si="138"/>
        <v>2017</v>
      </c>
      <c r="L107" s="206">
        <f t="shared" si="139"/>
        <v>2017.25</v>
      </c>
      <c r="M107" s="205">
        <f>5975.04/24*3</f>
        <v>746.88</v>
      </c>
      <c r="N107" s="204">
        <f t="shared" si="140"/>
        <v>746.88</v>
      </c>
      <c r="O107" s="204">
        <f t="shared" si="141"/>
        <v>62.24</v>
      </c>
      <c r="P107" s="204">
        <f t="shared" si="142"/>
        <v>746.88</v>
      </c>
      <c r="Q107" s="204">
        <f t="shared" si="143"/>
        <v>0</v>
      </c>
      <c r="R107" s="204"/>
      <c r="S107" s="204">
        <f t="shared" si="144"/>
        <v>746.88</v>
      </c>
      <c r="T107" s="204">
        <f t="shared" si="145"/>
        <v>746.88</v>
      </c>
      <c r="U107" s="204">
        <f t="shared" si="146"/>
        <v>0</v>
      </c>
    </row>
    <row r="108" spans="1:22">
      <c r="B108" s="230">
        <v>165805</v>
      </c>
      <c r="C108" s="228"/>
      <c r="D108" s="203"/>
      <c r="E108" s="210" t="s">
        <v>346</v>
      </c>
      <c r="F108" s="229">
        <v>2016</v>
      </c>
      <c r="G108" s="228">
        <v>6</v>
      </c>
      <c r="H108" s="209">
        <v>0</v>
      </c>
      <c r="I108" s="208" t="s">
        <v>86</v>
      </c>
      <c r="J108" s="227">
        <v>1</v>
      </c>
      <c r="K108" s="207">
        <f t="shared" si="138"/>
        <v>2017</v>
      </c>
      <c r="L108" s="206">
        <f t="shared" si="139"/>
        <v>2017.5</v>
      </c>
      <c r="M108" s="205">
        <f>6255.46/30*3</f>
        <v>625.54600000000005</v>
      </c>
      <c r="N108" s="204">
        <f t="shared" si="140"/>
        <v>625.54600000000005</v>
      </c>
      <c r="O108" s="204">
        <f t="shared" si="141"/>
        <v>52.12883333333334</v>
      </c>
      <c r="P108" s="204">
        <f t="shared" si="142"/>
        <v>625.54600000000005</v>
      </c>
      <c r="Q108" s="204">
        <f t="shared" si="143"/>
        <v>0</v>
      </c>
      <c r="R108" s="204"/>
      <c r="S108" s="204">
        <f t="shared" si="144"/>
        <v>625.54600000000005</v>
      </c>
      <c r="T108" s="204">
        <f t="shared" si="145"/>
        <v>625.54600000000005</v>
      </c>
      <c r="U108" s="204">
        <f t="shared" si="146"/>
        <v>0</v>
      </c>
    </row>
    <row r="109" spans="1:22">
      <c r="B109" s="230">
        <v>169240</v>
      </c>
      <c r="C109" s="228" t="s">
        <v>127</v>
      </c>
      <c r="D109" s="203"/>
      <c r="E109" s="210" t="s">
        <v>357</v>
      </c>
      <c r="F109" s="229">
        <v>2016</v>
      </c>
      <c r="G109" s="228">
        <v>10</v>
      </c>
      <c r="H109" s="209">
        <v>0</v>
      </c>
      <c r="I109" s="208" t="s">
        <v>86</v>
      </c>
      <c r="J109" s="227">
        <v>5</v>
      </c>
      <c r="K109" s="207">
        <f t="shared" si="138"/>
        <v>2021</v>
      </c>
      <c r="L109" s="206">
        <f t="shared" si="139"/>
        <v>2021.8333333333333</v>
      </c>
      <c r="M109" s="205">
        <v>45489</v>
      </c>
      <c r="N109" s="204">
        <f t="shared" si="140"/>
        <v>45489</v>
      </c>
      <c r="O109" s="204">
        <f t="shared" si="141"/>
        <v>758.15</v>
      </c>
      <c r="P109" s="204">
        <f t="shared" si="142"/>
        <v>9097.7999999999993</v>
      </c>
      <c r="Q109" s="204">
        <f t="shared" si="143"/>
        <v>7581.5</v>
      </c>
      <c r="R109" s="204"/>
      <c r="S109" s="204">
        <f t="shared" si="144"/>
        <v>36391.199999999997</v>
      </c>
      <c r="T109" s="204">
        <f t="shared" si="145"/>
        <v>43972.7</v>
      </c>
      <c r="U109" s="204">
        <f t="shared" si="146"/>
        <v>1516.3000000000029</v>
      </c>
    </row>
    <row r="110" spans="1:22">
      <c r="B110" s="230">
        <v>171078</v>
      </c>
      <c r="C110" s="228"/>
      <c r="D110" s="203"/>
      <c r="E110" s="210" t="s">
        <v>356</v>
      </c>
      <c r="F110" s="229">
        <v>2016</v>
      </c>
      <c r="G110" s="228">
        <v>12</v>
      </c>
      <c r="H110" s="209">
        <v>0</v>
      </c>
      <c r="I110" s="208" t="s">
        <v>86</v>
      </c>
      <c r="J110" s="227">
        <v>5</v>
      </c>
      <c r="K110" s="207">
        <f t="shared" si="138"/>
        <v>2021</v>
      </c>
      <c r="L110" s="206">
        <f t="shared" si="139"/>
        <v>2022</v>
      </c>
      <c r="M110" s="205">
        <f>22670.1/26*4</f>
        <v>3487.707692307692</v>
      </c>
      <c r="N110" s="204">
        <f t="shared" si="140"/>
        <v>3487.707692307692</v>
      </c>
      <c r="O110" s="204">
        <f t="shared" si="141"/>
        <v>58.128461538461529</v>
      </c>
      <c r="P110" s="204">
        <f t="shared" si="142"/>
        <v>697.54153846153838</v>
      </c>
      <c r="Q110" s="204">
        <f t="shared" si="143"/>
        <v>697.54153846153838</v>
      </c>
      <c r="R110" s="204"/>
      <c r="S110" s="204">
        <f t="shared" si="144"/>
        <v>2790.1661538461535</v>
      </c>
      <c r="T110" s="204">
        <f t="shared" si="145"/>
        <v>3487.707692307692</v>
      </c>
      <c r="U110" s="204">
        <f t="shared" si="146"/>
        <v>0</v>
      </c>
    </row>
    <row r="111" spans="1:22">
      <c r="B111" s="230">
        <v>240179</v>
      </c>
      <c r="C111" s="228"/>
      <c r="D111" s="203">
        <v>47</v>
      </c>
      <c r="E111" s="210" t="s">
        <v>537</v>
      </c>
      <c r="F111" s="229">
        <v>2020</v>
      </c>
      <c r="G111" s="228">
        <v>8</v>
      </c>
      <c r="H111" s="209">
        <v>0</v>
      </c>
      <c r="I111" s="208" t="s">
        <v>86</v>
      </c>
      <c r="J111" s="227">
        <v>10</v>
      </c>
      <c r="K111" s="207">
        <f>F111+J111</f>
        <v>2030</v>
      </c>
      <c r="L111" s="206">
        <f>+K111+(G111/12)</f>
        <v>2030.6666666666667</v>
      </c>
      <c r="M111" s="205">
        <v>365750.47</v>
      </c>
      <c r="N111" s="204">
        <f t="shared" ref="N111" si="153">M111-M111*H111</f>
        <v>365750.47</v>
      </c>
      <c r="O111" s="204">
        <f t="shared" ref="O111" si="154">N111/J111/12</f>
        <v>3047.9205833333331</v>
      </c>
      <c r="P111" s="204">
        <f t="shared" ref="P111" si="155">+O111*12</f>
        <v>36575.046999999999</v>
      </c>
      <c r="Q111" s="204">
        <f t="shared" ref="Q111" si="156">+IF(L111&lt;=$N$5,0,IF(K111&gt;$N$4,P111,(O111*G111)))</f>
        <v>36575.046999999999</v>
      </c>
      <c r="R111" s="204"/>
      <c r="S111" s="204">
        <f t="shared" ref="S111" si="157">+IF(Q111=0,M111,IF($N$3-F111&lt;1,0,(($N$3-F111)*P111)))</f>
        <v>0</v>
      </c>
      <c r="T111" s="204">
        <f t="shared" ref="T111" si="158">+IF(Q111=0,S111,S111+Q111)</f>
        <v>36575.046999999999</v>
      </c>
      <c r="U111" s="204">
        <f t="shared" ref="U111" si="159">+M111-T111</f>
        <v>329175.42299999995</v>
      </c>
    </row>
    <row r="112" spans="1:22">
      <c r="B112" s="230">
        <v>240612</v>
      </c>
      <c r="C112" s="228"/>
      <c r="D112" s="203"/>
      <c r="E112" s="210" t="s">
        <v>565</v>
      </c>
      <c r="F112" s="229">
        <v>2020</v>
      </c>
      <c r="G112" s="228">
        <v>9</v>
      </c>
      <c r="H112" s="209">
        <v>0</v>
      </c>
      <c r="I112" s="208" t="s">
        <v>86</v>
      </c>
      <c r="J112" s="227">
        <v>5</v>
      </c>
      <c r="K112" s="207">
        <f t="shared" ref="K112" si="160">F112+J112</f>
        <v>2025</v>
      </c>
      <c r="L112" s="206">
        <f t="shared" ref="L112" si="161">+K112+(G112/12)</f>
        <v>2025.75</v>
      </c>
      <c r="M112" s="205">
        <v>29610.2</v>
      </c>
      <c r="N112" s="204">
        <f t="shared" ref="N112" si="162">M112-M112*H112</f>
        <v>29610.2</v>
      </c>
      <c r="O112" s="204">
        <f t="shared" ref="O112" si="163">N112/J112/12</f>
        <v>493.50333333333333</v>
      </c>
      <c r="P112" s="204">
        <f t="shared" ref="P112" si="164">+O112*12</f>
        <v>5922.04</v>
      </c>
      <c r="Q112" s="204">
        <f t="shared" ref="Q112" si="165">+IF(L112&lt;=$N$5,0,IF(K112&gt;$N$4,P112,(O112*G112)))</f>
        <v>5922.04</v>
      </c>
      <c r="R112" s="204"/>
      <c r="S112" s="204">
        <f t="shared" ref="S112" si="166">+IF(Q112=0,M112,IF($N$3-F112&lt;1,0,(($N$3-F112)*P112)))</f>
        <v>0</v>
      </c>
      <c r="T112" s="204">
        <f t="shared" ref="T112" si="167">+IF(Q112=0,S112,S112+Q112)</f>
        <v>5922.04</v>
      </c>
      <c r="U112" s="204">
        <f t="shared" ref="U112" si="168">+M112-T112</f>
        <v>23688.16</v>
      </c>
    </row>
    <row r="113" spans="1:42">
      <c r="C113" s="228"/>
      <c r="D113" s="228"/>
      <c r="E113" s="210"/>
      <c r="H113" s="209"/>
      <c r="I113" s="208"/>
      <c r="K113" s="207"/>
      <c r="M113" s="205"/>
      <c r="N113" s="204"/>
      <c r="O113" s="204"/>
      <c r="P113" s="204"/>
      <c r="Q113" s="204"/>
      <c r="R113" s="204"/>
      <c r="S113" s="204"/>
      <c r="T113" s="204"/>
      <c r="U113" s="204"/>
    </row>
    <row r="114" spans="1:42">
      <c r="C114" s="228"/>
      <c r="E114" s="304" t="s">
        <v>130</v>
      </c>
      <c r="F114" s="305"/>
      <c r="G114" s="306"/>
      <c r="H114" s="307"/>
      <c r="I114" s="308"/>
      <c r="J114" s="309"/>
      <c r="K114" s="310"/>
      <c r="L114" s="311"/>
      <c r="M114" s="243">
        <f>SUM(M100:M113)</f>
        <v>1520344.7436923075</v>
      </c>
      <c r="N114" s="243">
        <f>SUM(N100:N113)</f>
        <v>1520344.7436923075</v>
      </c>
      <c r="O114" s="243">
        <f>SUM(O100:O113)</f>
        <v>18394.667933760687</v>
      </c>
      <c r="P114" s="243">
        <f>SUM(P100:P113)</f>
        <v>220736.01520512823</v>
      </c>
      <c r="Q114" s="243">
        <f>SUM(Q100:Q113)</f>
        <v>133695.28920512821</v>
      </c>
      <c r="R114" s="243"/>
      <c r="S114" s="243">
        <f>SUM(S100:S113)</f>
        <v>731109.27415384608</v>
      </c>
      <c r="T114" s="243">
        <f>SUM(T100:T113)</f>
        <v>864804.56335897429</v>
      </c>
      <c r="U114" s="243">
        <f>SUM(U100:U113)</f>
        <v>655540.18033333332</v>
      </c>
    </row>
    <row r="115" spans="1:42">
      <c r="C115" s="192"/>
      <c r="E115" s="210"/>
      <c r="H115" s="209"/>
      <c r="I115" s="191"/>
      <c r="K115" s="207"/>
      <c r="N115" s="225"/>
      <c r="O115" s="225"/>
      <c r="P115" s="204"/>
      <c r="Q115" s="204"/>
      <c r="R115" s="225"/>
      <c r="S115" s="225"/>
      <c r="T115" s="225"/>
      <c r="U115" s="225"/>
    </row>
    <row r="116" spans="1:42">
      <c r="C116" s="228"/>
      <c r="D116" s="194"/>
      <c r="E116" s="225"/>
      <c r="F116" s="207"/>
      <c r="G116" s="208"/>
      <c r="H116" s="208"/>
      <c r="I116" s="208"/>
      <c r="K116" s="207"/>
      <c r="M116" s="194"/>
      <c r="N116" s="225"/>
      <c r="O116" s="225"/>
      <c r="P116" s="204"/>
      <c r="Q116" s="204"/>
      <c r="R116" s="225"/>
      <c r="S116" s="225"/>
      <c r="T116" s="225"/>
      <c r="U116" s="225"/>
    </row>
    <row r="117" spans="1:42">
      <c r="C117" s="228"/>
      <c r="E117" s="303" t="s">
        <v>591</v>
      </c>
      <c r="I117" s="208"/>
      <c r="K117" s="207"/>
      <c r="M117" s="190"/>
      <c r="N117" s="225"/>
      <c r="O117" s="225"/>
      <c r="P117" s="204"/>
      <c r="Q117" s="204"/>
      <c r="R117" s="225"/>
      <c r="S117" s="225"/>
      <c r="T117" s="225"/>
      <c r="U117" s="225"/>
    </row>
    <row r="118" spans="1:42">
      <c r="C118" s="228" t="s">
        <v>132</v>
      </c>
      <c r="D118" s="230">
        <v>20</v>
      </c>
      <c r="E118" s="198" t="s">
        <v>133</v>
      </c>
      <c r="F118" s="229">
        <v>1999</v>
      </c>
      <c r="G118" s="228">
        <v>12</v>
      </c>
      <c r="H118" s="209">
        <v>0</v>
      </c>
      <c r="I118" s="208" t="s">
        <v>86</v>
      </c>
      <c r="J118" s="227">
        <v>5</v>
      </c>
      <c r="K118" s="207">
        <v>2004</v>
      </c>
      <c r="L118" s="206">
        <f t="shared" ref="L118:L134" si="169">+K118+(G118/12)</f>
        <v>2005</v>
      </c>
      <c r="M118" s="235">
        <f>'Depreciation - Orig.'!P90</f>
        <v>15505.81</v>
      </c>
      <c r="N118" s="204">
        <f t="shared" ref="N118:N134" si="170">M118-M118*H118</f>
        <v>15505.81</v>
      </c>
      <c r="O118" s="204">
        <v>258.43016666666665</v>
      </c>
      <c r="P118" s="204">
        <f t="shared" ref="P118:P134" si="171">+O118*12</f>
        <v>3101.1619999999998</v>
      </c>
      <c r="Q118" s="204">
        <f t="shared" ref="Q118:Q134" si="172">+IF(L118&lt;=$N$5,0,IF(K118&gt;$N$4,P118,(O118*G118)))</f>
        <v>0</v>
      </c>
      <c r="R118" s="204"/>
      <c r="S118" s="204">
        <f t="shared" ref="S118:S134" si="173">+IF(Q118=0,M118,IF($N$3-F118&lt;1,0,(($N$3-F118)*P118)))</f>
        <v>15505.81</v>
      </c>
      <c r="T118" s="204">
        <f t="shared" ref="T118:T134" si="174">+IF(Q118=0,S118,S118+Q118)</f>
        <v>15505.81</v>
      </c>
      <c r="U118" s="204">
        <f t="shared" ref="U118:U134" si="175">M118-T118</f>
        <v>0</v>
      </c>
    </row>
    <row r="119" spans="1:42">
      <c r="A119" s="270"/>
      <c r="B119" s="270"/>
      <c r="C119" s="271"/>
      <c r="D119" s="270"/>
      <c r="E119" s="272" t="s">
        <v>513</v>
      </c>
      <c r="F119" s="273">
        <v>2020</v>
      </c>
      <c r="G119" s="271">
        <v>12</v>
      </c>
      <c r="H119" s="274">
        <v>0</v>
      </c>
      <c r="I119" s="275" t="s">
        <v>86</v>
      </c>
      <c r="J119" s="276">
        <v>3</v>
      </c>
      <c r="K119" s="277">
        <f t="shared" ref="K119" si="176">F119+J119</f>
        <v>2023</v>
      </c>
      <c r="L119" s="278">
        <f>+K119+(G119/12)</f>
        <v>2024</v>
      </c>
      <c r="M119" s="279">
        <f>'Depreciation - Orig.'!N90-Depreciation!M118</f>
        <v>26235.190000000002</v>
      </c>
      <c r="N119" s="280">
        <f t="shared" ref="N119" si="177">M119-M119*H119</f>
        <v>26235.190000000002</v>
      </c>
      <c r="O119" s="280">
        <f t="shared" ref="O119" si="178">N119/J119/12</f>
        <v>728.75527777777779</v>
      </c>
      <c r="P119" s="280">
        <f>+O119*12</f>
        <v>8745.0633333333335</v>
      </c>
      <c r="Q119" s="280">
        <f t="shared" si="172"/>
        <v>8745.0633333333335</v>
      </c>
      <c r="R119" s="280"/>
      <c r="S119" s="280">
        <f>+IF(Q119=0,M119,IF($N$3-F119&lt;1,0,(($N$3-F119)*P119)))</f>
        <v>0</v>
      </c>
      <c r="T119" s="280">
        <f>+IF(Q119=0,S119,S119+Q119)</f>
        <v>8745.0633333333335</v>
      </c>
      <c r="U119" s="280">
        <f t="shared" si="175"/>
        <v>17490.126666666671</v>
      </c>
    </row>
    <row r="120" spans="1:42">
      <c r="C120" s="228" t="s">
        <v>132</v>
      </c>
      <c r="D120" s="230">
        <v>26</v>
      </c>
      <c r="E120" s="210" t="s">
        <v>136</v>
      </c>
      <c r="F120" s="229">
        <v>2008</v>
      </c>
      <c r="G120" s="228">
        <v>8</v>
      </c>
      <c r="H120" s="209">
        <v>0</v>
      </c>
      <c r="I120" s="208" t="s">
        <v>86</v>
      </c>
      <c r="J120" s="227">
        <v>5</v>
      </c>
      <c r="K120" s="207">
        <f t="shared" ref="K120:K134" si="179">F120+J120</f>
        <v>2013</v>
      </c>
      <c r="L120" s="206">
        <f t="shared" si="169"/>
        <v>2013.6666666666667</v>
      </c>
      <c r="M120" s="205">
        <f>'Depreciation - Orig.'!P93</f>
        <v>53603.102100000004</v>
      </c>
      <c r="N120" s="204">
        <f t="shared" si="170"/>
        <v>53603.102100000004</v>
      </c>
      <c r="O120" s="204">
        <f t="shared" ref="O120:O134" si="180">N120/J120/12</f>
        <v>893.38503500000013</v>
      </c>
      <c r="P120" s="204">
        <f t="shared" si="171"/>
        <v>10720.620420000001</v>
      </c>
      <c r="Q120" s="204">
        <f t="shared" si="172"/>
        <v>0</v>
      </c>
      <c r="R120" s="204"/>
      <c r="S120" s="204">
        <f t="shared" si="173"/>
        <v>53603.102100000004</v>
      </c>
      <c r="T120" s="204">
        <f t="shared" si="174"/>
        <v>53603.102100000004</v>
      </c>
      <c r="U120" s="204">
        <f t="shared" si="175"/>
        <v>0</v>
      </c>
    </row>
    <row r="121" spans="1:42">
      <c r="A121" s="270"/>
      <c r="B121" s="270"/>
      <c r="C121" s="271"/>
      <c r="D121" s="270"/>
      <c r="E121" s="272" t="s">
        <v>515</v>
      </c>
      <c r="F121" s="273">
        <v>2020</v>
      </c>
      <c r="G121" s="271">
        <v>12</v>
      </c>
      <c r="H121" s="274">
        <v>0</v>
      </c>
      <c r="I121" s="275" t="s">
        <v>86</v>
      </c>
      <c r="J121" s="276">
        <v>3</v>
      </c>
      <c r="K121" s="277">
        <f t="shared" si="179"/>
        <v>2023</v>
      </c>
      <c r="L121" s="278">
        <f>+K121+(G121/12)</f>
        <v>2024</v>
      </c>
      <c r="M121" s="279">
        <f>'Depreciation - Orig.'!N93-Depreciation!M120</f>
        <v>26401.527900000001</v>
      </c>
      <c r="N121" s="280">
        <f t="shared" si="170"/>
        <v>26401.527900000001</v>
      </c>
      <c r="O121" s="280">
        <f t="shared" si="180"/>
        <v>733.37577499999998</v>
      </c>
      <c r="P121" s="280">
        <f>+O121*12</f>
        <v>8800.5092999999997</v>
      </c>
      <c r="Q121" s="280">
        <f t="shared" si="172"/>
        <v>8800.5092999999997</v>
      </c>
      <c r="R121" s="280"/>
      <c r="S121" s="280">
        <f>+IF(Q121=0,M121,IF($N$3-F121&lt;1,0,(($N$3-F121)*P121)))</f>
        <v>0</v>
      </c>
      <c r="T121" s="280">
        <f>+IF(Q121=0,S121,S121+Q121)</f>
        <v>8800.5092999999997</v>
      </c>
      <c r="U121" s="280">
        <f t="shared" si="175"/>
        <v>17601.018600000003</v>
      </c>
    </row>
    <row r="122" spans="1:42">
      <c r="C122" s="228" t="s">
        <v>99</v>
      </c>
      <c r="D122" s="230">
        <v>35</v>
      </c>
      <c r="E122" s="210" t="s">
        <v>104</v>
      </c>
      <c r="F122" s="229">
        <v>2009</v>
      </c>
      <c r="G122" s="228">
        <v>12</v>
      </c>
      <c r="H122" s="209">
        <v>0</v>
      </c>
      <c r="I122" s="208" t="s">
        <v>86</v>
      </c>
      <c r="J122" s="227">
        <v>7</v>
      </c>
      <c r="K122" s="207">
        <f>F122+J122</f>
        <v>2016</v>
      </c>
      <c r="L122" s="206">
        <f>+K122+(G122/12)</f>
        <v>2017</v>
      </c>
      <c r="M122" s="205">
        <f>'Depreciation - Orig.'!P22</f>
        <v>114562.84</v>
      </c>
      <c r="N122" s="204">
        <f>M122-M122*H122</f>
        <v>114562.84</v>
      </c>
      <c r="O122" s="204">
        <f>N122/J122/12</f>
        <v>1363.8433333333332</v>
      </c>
      <c r="P122" s="204">
        <f>+O122*12</f>
        <v>16366.119999999999</v>
      </c>
      <c r="Q122" s="204">
        <f>+IF(L122&lt;=$N$5,0,IF(K122&gt;$N$4,P122,(O122*G122)))</f>
        <v>0</v>
      </c>
      <c r="R122" s="204"/>
      <c r="S122" s="204">
        <f>+IF(Q122=0,M122,IF($N$3-F122&lt;1,0,(($N$3-F122)*P122)))</f>
        <v>114562.84</v>
      </c>
      <c r="T122" s="204">
        <f>+IF(Q122=0,S122,S122+Q122)</f>
        <v>114562.84</v>
      </c>
      <c r="U122" s="204">
        <f>+M122-T122</f>
        <v>0</v>
      </c>
    </row>
    <row r="123" spans="1:42">
      <c r="A123" s="270"/>
      <c r="B123" s="270"/>
      <c r="C123" s="271"/>
      <c r="D123" s="270"/>
      <c r="E123" s="272" t="s">
        <v>496</v>
      </c>
      <c r="F123" s="273">
        <v>2020</v>
      </c>
      <c r="G123" s="271">
        <v>12</v>
      </c>
      <c r="H123" s="274">
        <v>0</v>
      </c>
      <c r="I123" s="275" t="s">
        <v>86</v>
      </c>
      <c r="J123" s="276">
        <v>3</v>
      </c>
      <c r="K123" s="277">
        <f t="shared" ref="K123" si="181">F123+J123</f>
        <v>2023</v>
      </c>
      <c r="L123" s="278">
        <f>+K123+(G123/12)</f>
        <v>2024</v>
      </c>
      <c r="M123" s="279">
        <f>'Depreciation - Orig.'!N22-Depreciation!M122</f>
        <v>28640.709999999992</v>
      </c>
      <c r="N123" s="280">
        <f t="shared" ref="N123" si="182">M123-M123*H123</f>
        <v>28640.709999999992</v>
      </c>
      <c r="O123" s="280">
        <f t="shared" ref="O123" si="183">N123/J123/12</f>
        <v>795.5752777777775</v>
      </c>
      <c r="P123" s="280">
        <f>+O123*12</f>
        <v>9546.90333333333</v>
      </c>
      <c r="Q123" s="280">
        <f>+IF(L123&lt;=$N$5,0,IF(K123&gt;$N$4,P123,(O123*G123)))</f>
        <v>9546.90333333333</v>
      </c>
      <c r="R123" s="280"/>
      <c r="S123" s="280">
        <f>+IF(Q123=0,M123,IF($N$3-F123&lt;1,0,(($N$3-F123)*P123)))</f>
        <v>0</v>
      </c>
      <c r="T123" s="280">
        <f>+IF(Q123=0,S123,S123+Q123)</f>
        <v>9546.90333333333</v>
      </c>
      <c r="U123" s="280">
        <f>+M123-T123</f>
        <v>19093.806666666664</v>
      </c>
    </row>
    <row r="124" spans="1:42">
      <c r="C124" s="228" t="s">
        <v>99</v>
      </c>
      <c r="D124" s="230">
        <v>36</v>
      </c>
      <c r="E124" s="210" t="s">
        <v>105</v>
      </c>
      <c r="F124" s="229">
        <v>2009</v>
      </c>
      <c r="G124" s="228">
        <v>12</v>
      </c>
      <c r="H124" s="209">
        <v>0</v>
      </c>
      <c r="I124" s="208" t="s">
        <v>86</v>
      </c>
      <c r="J124" s="227">
        <v>7</v>
      </c>
      <c r="K124" s="207">
        <f>F124+J124</f>
        <v>2016</v>
      </c>
      <c r="L124" s="206">
        <f>+K124+(G124/12)</f>
        <v>2017</v>
      </c>
      <c r="M124" s="205">
        <f>'Depreciation - Orig.'!P23</f>
        <v>108040.84</v>
      </c>
      <c r="N124" s="204">
        <f>M124-M124*H124</f>
        <v>108040.84</v>
      </c>
      <c r="O124" s="204">
        <f>N124/J124/12</f>
        <v>1286.2004761904761</v>
      </c>
      <c r="P124" s="204">
        <f>+O124*12</f>
        <v>15434.405714285713</v>
      </c>
      <c r="Q124" s="204">
        <f>+IF(L124&lt;=$N$5,0,IF(K124&gt;$N$4,P124,(O124*G124)))</f>
        <v>0</v>
      </c>
      <c r="R124" s="204"/>
      <c r="S124" s="204">
        <f>+IF(Q124=0,M124,IF($N$3-F124&lt;1,0,(($N$3-F124)*P124)))</f>
        <v>108040.84</v>
      </c>
      <c r="T124" s="204">
        <f>+IF(Q124=0,S124,S124+Q124)</f>
        <v>108040.84</v>
      </c>
      <c r="U124" s="204">
        <f>+M124-T124</f>
        <v>0</v>
      </c>
    </row>
    <row r="125" spans="1:42">
      <c r="A125" s="270"/>
      <c r="B125" s="270"/>
      <c r="C125" s="271"/>
      <c r="D125" s="270"/>
      <c r="E125" s="272" t="s">
        <v>497</v>
      </c>
      <c r="F125" s="273">
        <v>2020</v>
      </c>
      <c r="G125" s="271">
        <v>12</v>
      </c>
      <c r="H125" s="274">
        <v>0</v>
      </c>
      <c r="I125" s="275" t="s">
        <v>86</v>
      </c>
      <c r="J125" s="276">
        <v>3</v>
      </c>
      <c r="K125" s="277">
        <f t="shared" ref="K125" si="184">F125+J125</f>
        <v>2023</v>
      </c>
      <c r="L125" s="278">
        <f>+K125+(G125/12)</f>
        <v>2024</v>
      </c>
      <c r="M125" s="279">
        <f>'Depreciation - Orig.'!N23-Depreciation!M124</f>
        <v>27010.209999999992</v>
      </c>
      <c r="N125" s="280">
        <f t="shared" ref="N125" si="185">M125-M125*H125</f>
        <v>27010.209999999992</v>
      </c>
      <c r="O125" s="280">
        <f t="shared" ref="O125" si="186">N125/J125/12</f>
        <v>750.28361111111087</v>
      </c>
      <c r="P125" s="280">
        <f>+O125*12</f>
        <v>9003.40333333333</v>
      </c>
      <c r="Q125" s="280">
        <f>+IF(L125&lt;=$N$5,0,IF(K125&gt;$N$4,P125,(O125*G125)))</f>
        <v>9003.40333333333</v>
      </c>
      <c r="R125" s="280"/>
      <c r="S125" s="280">
        <f>+IF(Q125=0,M125,IF($N$3-F125&lt;1,0,(($N$3-F125)*P125)))</f>
        <v>0</v>
      </c>
      <c r="T125" s="280">
        <f>+IF(Q125=0,S125,S125+Q125)</f>
        <v>9003.40333333333</v>
      </c>
      <c r="U125" s="280">
        <f>+M125-T125</f>
        <v>18006.806666666664</v>
      </c>
    </row>
    <row r="126" spans="1:42">
      <c r="C126" s="228" t="s">
        <v>137</v>
      </c>
      <c r="D126" s="230">
        <v>8009</v>
      </c>
      <c r="E126" s="210" t="s">
        <v>138</v>
      </c>
      <c r="F126" s="229">
        <v>2010</v>
      </c>
      <c r="G126" s="228">
        <v>1</v>
      </c>
      <c r="H126" s="209">
        <v>0</v>
      </c>
      <c r="I126" s="208" t="s">
        <v>86</v>
      </c>
      <c r="J126" s="189">
        <v>5</v>
      </c>
      <c r="K126" s="207">
        <f t="shared" si="179"/>
        <v>2015</v>
      </c>
      <c r="L126" s="206">
        <f t="shared" si="169"/>
        <v>2015.0833333333333</v>
      </c>
      <c r="M126" s="235">
        <f>'Depreciation - Orig.'!P94</f>
        <v>3631.3999999999996</v>
      </c>
      <c r="N126" s="204">
        <f t="shared" si="170"/>
        <v>3631.3999999999996</v>
      </c>
      <c r="O126" s="204">
        <f t="shared" si="180"/>
        <v>60.523333333333333</v>
      </c>
      <c r="P126" s="204">
        <f t="shared" si="171"/>
        <v>726.28</v>
      </c>
      <c r="Q126" s="204">
        <f t="shared" si="172"/>
        <v>0</v>
      </c>
      <c r="R126" s="204"/>
      <c r="S126" s="204">
        <f t="shared" si="173"/>
        <v>3631.3999999999996</v>
      </c>
      <c r="T126" s="204">
        <f t="shared" si="174"/>
        <v>3631.3999999999996</v>
      </c>
      <c r="U126" s="204">
        <f t="shared" si="175"/>
        <v>0</v>
      </c>
      <c r="AP126" s="230" t="s">
        <v>139</v>
      </c>
    </row>
    <row r="127" spans="1:42">
      <c r="A127" s="270"/>
      <c r="B127" s="270"/>
      <c r="C127" s="271"/>
      <c r="D127" s="270"/>
      <c r="E127" s="272" t="s">
        <v>516</v>
      </c>
      <c r="F127" s="273">
        <v>2020</v>
      </c>
      <c r="G127" s="271">
        <v>12</v>
      </c>
      <c r="H127" s="274">
        <v>0</v>
      </c>
      <c r="I127" s="275" t="s">
        <v>86</v>
      </c>
      <c r="J127" s="276">
        <v>3</v>
      </c>
      <c r="K127" s="277">
        <f t="shared" si="179"/>
        <v>2023</v>
      </c>
      <c r="L127" s="278">
        <f>+K127+(G127/12)</f>
        <v>2024</v>
      </c>
      <c r="M127" s="279">
        <f>'Depreciation - Orig.'!N94-Depreciation!M126</f>
        <v>1788.6000000000004</v>
      </c>
      <c r="N127" s="280">
        <f t="shared" si="170"/>
        <v>1788.6000000000004</v>
      </c>
      <c r="O127" s="280">
        <f t="shared" si="180"/>
        <v>49.683333333333344</v>
      </c>
      <c r="P127" s="280">
        <f>+O127*12</f>
        <v>596.20000000000016</v>
      </c>
      <c r="Q127" s="280">
        <f t="shared" si="172"/>
        <v>596.20000000000016</v>
      </c>
      <c r="R127" s="280"/>
      <c r="S127" s="280">
        <f>+IF(Q127=0,M127,IF($N$3-F127&lt;1,0,(($N$3-F127)*P127)))</f>
        <v>0</v>
      </c>
      <c r="T127" s="280">
        <f>+IF(Q127=0,S127,S127+Q127)</f>
        <v>596.20000000000016</v>
      </c>
      <c r="U127" s="280">
        <f t="shared" si="175"/>
        <v>1192.4000000000001</v>
      </c>
    </row>
    <row r="128" spans="1:42">
      <c r="C128" s="228" t="s">
        <v>2</v>
      </c>
      <c r="D128" s="203">
        <v>3</v>
      </c>
      <c r="E128" s="210" t="s">
        <v>140</v>
      </c>
      <c r="F128" s="229">
        <v>2010</v>
      </c>
      <c r="G128" s="228">
        <v>3</v>
      </c>
      <c r="H128" s="209">
        <v>0</v>
      </c>
      <c r="I128" s="208" t="s">
        <v>86</v>
      </c>
      <c r="J128" s="227">
        <v>7</v>
      </c>
      <c r="K128" s="207">
        <f t="shared" si="179"/>
        <v>2017</v>
      </c>
      <c r="L128" s="206">
        <f t="shared" si="169"/>
        <v>2017.25</v>
      </c>
      <c r="M128" s="205">
        <f>'Depreciation - Orig.'!P95</f>
        <v>1862.616</v>
      </c>
      <c r="N128" s="204">
        <f t="shared" si="170"/>
        <v>1862.616</v>
      </c>
      <c r="O128" s="204">
        <f t="shared" si="180"/>
        <v>22.174000000000003</v>
      </c>
      <c r="P128" s="204">
        <f t="shared" si="171"/>
        <v>266.08800000000002</v>
      </c>
      <c r="Q128" s="204">
        <f t="shared" si="172"/>
        <v>0</v>
      </c>
      <c r="R128" s="204"/>
      <c r="S128" s="204">
        <f t="shared" si="173"/>
        <v>1862.616</v>
      </c>
      <c r="T128" s="204">
        <f t="shared" si="174"/>
        <v>1862.616</v>
      </c>
      <c r="U128" s="204">
        <f t="shared" si="175"/>
        <v>0</v>
      </c>
    </row>
    <row r="129" spans="1:21">
      <c r="A129" s="270"/>
      <c r="B129" s="270"/>
      <c r="C129" s="271"/>
      <c r="D129" s="270"/>
      <c r="E129" s="272" t="s">
        <v>517</v>
      </c>
      <c r="F129" s="273">
        <v>2020</v>
      </c>
      <c r="G129" s="271">
        <v>12</v>
      </c>
      <c r="H129" s="274">
        <v>0</v>
      </c>
      <c r="I129" s="275" t="s">
        <v>86</v>
      </c>
      <c r="J129" s="276">
        <v>3</v>
      </c>
      <c r="K129" s="277">
        <f t="shared" si="179"/>
        <v>2023</v>
      </c>
      <c r="L129" s="278">
        <f>+K129+(G129/12)</f>
        <v>2024</v>
      </c>
      <c r="M129" s="279">
        <f>'Depreciation - Orig.'!N95-Depreciation!M128</f>
        <v>465.654</v>
      </c>
      <c r="N129" s="280">
        <f t="shared" si="170"/>
        <v>465.654</v>
      </c>
      <c r="O129" s="280">
        <f t="shared" si="180"/>
        <v>12.934833333333332</v>
      </c>
      <c r="P129" s="280">
        <f>+O129*12</f>
        <v>155.21799999999999</v>
      </c>
      <c r="Q129" s="280">
        <f t="shared" si="172"/>
        <v>155.21799999999999</v>
      </c>
      <c r="R129" s="280"/>
      <c r="S129" s="280">
        <f>+IF(Q129=0,M129,IF($N$3-F129&lt;1,0,(($N$3-F129)*P129)))</f>
        <v>0</v>
      </c>
      <c r="T129" s="280">
        <f>+IF(Q129=0,S129,S129+Q129)</f>
        <v>155.21799999999999</v>
      </c>
      <c r="U129" s="280">
        <f t="shared" si="175"/>
        <v>310.43600000000004</v>
      </c>
    </row>
    <row r="130" spans="1:21">
      <c r="B130" s="230">
        <v>131544</v>
      </c>
      <c r="C130" s="228"/>
      <c r="D130" s="203"/>
      <c r="E130" s="210" t="s">
        <v>339</v>
      </c>
      <c r="F130" s="229">
        <v>2016</v>
      </c>
      <c r="G130" s="228">
        <v>3</v>
      </c>
      <c r="H130" s="209">
        <v>0</v>
      </c>
      <c r="I130" s="208" t="s">
        <v>86</v>
      </c>
      <c r="J130" s="227">
        <v>1</v>
      </c>
      <c r="K130" s="207">
        <f t="shared" si="179"/>
        <v>2017</v>
      </c>
      <c r="L130" s="206">
        <f t="shared" si="169"/>
        <v>2017.25</v>
      </c>
      <c r="M130" s="205">
        <f>5975.04/24*3</f>
        <v>746.88</v>
      </c>
      <c r="N130" s="204">
        <f t="shared" si="170"/>
        <v>746.88</v>
      </c>
      <c r="O130" s="204">
        <f t="shared" si="180"/>
        <v>62.24</v>
      </c>
      <c r="P130" s="204">
        <f t="shared" si="171"/>
        <v>746.88</v>
      </c>
      <c r="Q130" s="204">
        <f t="shared" si="172"/>
        <v>0</v>
      </c>
      <c r="R130" s="204"/>
      <c r="S130" s="204">
        <f t="shared" si="173"/>
        <v>746.88</v>
      </c>
      <c r="T130" s="204">
        <f t="shared" si="174"/>
        <v>746.88</v>
      </c>
      <c r="U130" s="204">
        <f t="shared" si="175"/>
        <v>0</v>
      </c>
    </row>
    <row r="131" spans="1:21">
      <c r="B131" s="230">
        <v>165805</v>
      </c>
      <c r="C131" s="228"/>
      <c r="D131" s="203"/>
      <c r="E131" s="210" t="s">
        <v>346</v>
      </c>
      <c r="F131" s="229">
        <v>2016</v>
      </c>
      <c r="G131" s="228">
        <v>6</v>
      </c>
      <c r="H131" s="209">
        <v>0</v>
      </c>
      <c r="I131" s="208" t="s">
        <v>86</v>
      </c>
      <c r="J131" s="227">
        <v>1</v>
      </c>
      <c r="K131" s="207">
        <f t="shared" si="179"/>
        <v>2017</v>
      </c>
      <c r="L131" s="206">
        <f t="shared" si="169"/>
        <v>2017.5</v>
      </c>
      <c r="M131" s="205">
        <f>6255.46/30*3</f>
        <v>625.54600000000005</v>
      </c>
      <c r="N131" s="204">
        <f t="shared" si="170"/>
        <v>625.54600000000005</v>
      </c>
      <c r="O131" s="204">
        <f t="shared" si="180"/>
        <v>52.12883333333334</v>
      </c>
      <c r="P131" s="204">
        <f t="shared" si="171"/>
        <v>625.54600000000005</v>
      </c>
      <c r="Q131" s="204">
        <f t="shared" si="172"/>
        <v>0</v>
      </c>
      <c r="R131" s="204"/>
      <c r="S131" s="204">
        <f t="shared" si="173"/>
        <v>625.54600000000005</v>
      </c>
      <c r="T131" s="204">
        <f t="shared" si="174"/>
        <v>625.54600000000005</v>
      </c>
      <c r="U131" s="204">
        <f t="shared" si="175"/>
        <v>0</v>
      </c>
    </row>
    <row r="132" spans="1:21">
      <c r="B132" s="230">
        <v>171078</v>
      </c>
      <c r="C132" s="228"/>
      <c r="D132" s="203"/>
      <c r="E132" s="210" t="s">
        <v>356</v>
      </c>
      <c r="F132" s="229">
        <v>2016</v>
      </c>
      <c r="G132" s="228">
        <v>12</v>
      </c>
      <c r="H132" s="209">
        <v>0</v>
      </c>
      <c r="I132" s="208" t="s">
        <v>86</v>
      </c>
      <c r="J132" s="227">
        <v>5</v>
      </c>
      <c r="K132" s="207">
        <f t="shared" si="179"/>
        <v>2021</v>
      </c>
      <c r="L132" s="206">
        <f t="shared" si="169"/>
        <v>2022</v>
      </c>
      <c r="M132" s="205">
        <f>22670.1/26*4</f>
        <v>3487.707692307692</v>
      </c>
      <c r="N132" s="204">
        <f t="shared" si="170"/>
        <v>3487.707692307692</v>
      </c>
      <c r="O132" s="204">
        <f t="shared" si="180"/>
        <v>58.128461538461529</v>
      </c>
      <c r="P132" s="204">
        <f t="shared" si="171"/>
        <v>697.54153846153838</v>
      </c>
      <c r="Q132" s="204">
        <f t="shared" si="172"/>
        <v>697.54153846153838</v>
      </c>
      <c r="R132" s="204"/>
      <c r="S132" s="204">
        <f t="shared" si="173"/>
        <v>2790.1661538461535</v>
      </c>
      <c r="T132" s="204">
        <f t="shared" si="174"/>
        <v>3487.707692307692</v>
      </c>
      <c r="U132" s="204">
        <f t="shared" si="175"/>
        <v>0</v>
      </c>
    </row>
    <row r="133" spans="1:21">
      <c r="B133" s="230">
        <v>171238</v>
      </c>
      <c r="C133" s="228"/>
      <c r="E133" s="210" t="s">
        <v>358</v>
      </c>
      <c r="F133" s="229">
        <v>2016</v>
      </c>
      <c r="G133" s="228">
        <v>11</v>
      </c>
      <c r="H133" s="209">
        <v>0</v>
      </c>
      <c r="I133" s="208" t="s">
        <v>86</v>
      </c>
      <c r="J133" s="227">
        <v>10</v>
      </c>
      <c r="K133" s="207">
        <f t="shared" si="179"/>
        <v>2026</v>
      </c>
      <c r="L133" s="206">
        <f t="shared" si="169"/>
        <v>2026.9166666666667</v>
      </c>
      <c r="M133" s="205">
        <v>79510.149999999994</v>
      </c>
      <c r="N133" s="204">
        <f t="shared" si="170"/>
        <v>79510.149999999994</v>
      </c>
      <c r="O133" s="204">
        <f t="shared" si="180"/>
        <v>662.58458333333328</v>
      </c>
      <c r="P133" s="204">
        <f t="shared" si="171"/>
        <v>7951.0149999999994</v>
      </c>
      <c r="Q133" s="204">
        <f t="shared" si="172"/>
        <v>7951.0149999999994</v>
      </c>
      <c r="R133" s="204"/>
      <c r="S133" s="204">
        <f t="shared" si="173"/>
        <v>31804.059999999998</v>
      </c>
      <c r="T133" s="204">
        <f t="shared" si="174"/>
        <v>39755.074999999997</v>
      </c>
      <c r="U133" s="204">
        <f t="shared" si="175"/>
        <v>39755.074999999997</v>
      </c>
    </row>
    <row r="134" spans="1:21">
      <c r="B134" s="230" t="s">
        <v>387</v>
      </c>
      <c r="C134" s="228"/>
      <c r="E134" s="210" t="s">
        <v>388</v>
      </c>
      <c r="F134" s="229">
        <v>2017</v>
      </c>
      <c r="G134" s="228">
        <v>1</v>
      </c>
      <c r="H134" s="209">
        <v>0</v>
      </c>
      <c r="I134" s="208" t="s">
        <v>86</v>
      </c>
      <c r="J134" s="227">
        <v>9.11</v>
      </c>
      <c r="K134" s="244">
        <f t="shared" si="179"/>
        <v>2026.11</v>
      </c>
      <c r="L134" s="206">
        <f t="shared" si="169"/>
        <v>2026.1933333333332</v>
      </c>
      <c r="M134" s="205">
        <v>8492.0300000000007</v>
      </c>
      <c r="N134" s="204">
        <f t="shared" si="170"/>
        <v>8492.0300000000007</v>
      </c>
      <c r="O134" s="204">
        <f t="shared" si="180"/>
        <v>77.680479326747175</v>
      </c>
      <c r="P134" s="204">
        <f t="shared" si="171"/>
        <v>932.16575192096616</v>
      </c>
      <c r="Q134" s="204">
        <f t="shared" si="172"/>
        <v>932.16575192096616</v>
      </c>
      <c r="R134" s="204"/>
      <c r="S134" s="204">
        <f t="shared" si="173"/>
        <v>2796.4972557628985</v>
      </c>
      <c r="T134" s="204">
        <f t="shared" si="174"/>
        <v>3728.6630076838646</v>
      </c>
      <c r="U134" s="204">
        <f t="shared" si="175"/>
        <v>4763.366992316136</v>
      </c>
    </row>
    <row r="135" spans="1:21">
      <c r="B135" s="230">
        <v>183684</v>
      </c>
      <c r="C135" s="228" t="s">
        <v>331</v>
      </c>
      <c r="D135" s="203">
        <v>40</v>
      </c>
      <c r="E135" s="210" t="s">
        <v>404</v>
      </c>
      <c r="F135" s="229">
        <v>2017</v>
      </c>
      <c r="G135" s="228">
        <v>6</v>
      </c>
      <c r="H135" s="209">
        <v>0</v>
      </c>
      <c r="I135" s="208" t="s">
        <v>86</v>
      </c>
      <c r="J135" s="227">
        <v>7</v>
      </c>
      <c r="K135" s="207">
        <f>F135+J135</f>
        <v>2024</v>
      </c>
      <c r="L135" s="206">
        <f>+K135+(G135/12)</f>
        <v>2024.5</v>
      </c>
      <c r="M135" s="205">
        <v>231300</v>
      </c>
      <c r="N135" s="204">
        <f>M135-M135*H135</f>
        <v>231300</v>
      </c>
      <c r="O135" s="204">
        <f>N135/J135/12</f>
        <v>2753.5714285714289</v>
      </c>
      <c r="P135" s="204">
        <f>+O135*12</f>
        <v>33042.857142857145</v>
      </c>
      <c r="Q135" s="204">
        <f>+IF(L135&lt;=$N$5,0,IF(K135&gt;$N$4,P135,(O135*G135)))</f>
        <v>33042.857142857145</v>
      </c>
      <c r="R135" s="204"/>
      <c r="S135" s="204">
        <f>+IF(Q135=0,M135,IF($N$3-F135&lt;1,0,(($N$3-F135)*P135)))</f>
        <v>99128.571428571435</v>
      </c>
      <c r="T135" s="204">
        <f>+IF(Q135=0,S135,S135+Q135)</f>
        <v>132171.42857142858</v>
      </c>
      <c r="U135" s="204">
        <f>M135-T135</f>
        <v>99128.57142857142</v>
      </c>
    </row>
    <row r="136" spans="1:21">
      <c r="B136" s="230" t="s">
        <v>409</v>
      </c>
      <c r="C136" s="228"/>
      <c r="D136" s="203">
        <v>40</v>
      </c>
      <c r="E136" s="210" t="s">
        <v>408</v>
      </c>
      <c r="F136" s="229">
        <v>2017</v>
      </c>
      <c r="G136" s="228">
        <v>6</v>
      </c>
      <c r="H136" s="209">
        <v>0</v>
      </c>
      <c r="I136" s="208" t="s">
        <v>86</v>
      </c>
      <c r="J136" s="227">
        <v>6</v>
      </c>
      <c r="K136" s="207">
        <f>F136+J136</f>
        <v>2023</v>
      </c>
      <c r="L136" s="206">
        <f>+K136+(G136/12)</f>
        <v>2023.5</v>
      </c>
      <c r="M136" s="205">
        <v>19460.7</v>
      </c>
      <c r="N136" s="204">
        <f>M136-M136*H136</f>
        <v>19460.7</v>
      </c>
      <c r="O136" s="204">
        <f>N136/J136/12</f>
        <v>270.28750000000002</v>
      </c>
      <c r="P136" s="204">
        <f>+O136*12</f>
        <v>3243.4500000000003</v>
      </c>
      <c r="Q136" s="204">
        <f>+IF(L136&lt;=$N$5,0,IF(K136&gt;$N$4,P136,(O136*G136)))</f>
        <v>3243.4500000000003</v>
      </c>
      <c r="R136" s="204"/>
      <c r="S136" s="204">
        <f>+IF(Q136=0,M136,IF($N$3-F136&lt;1,0,(($N$3-F136)*P136)))</f>
        <v>9730.35</v>
      </c>
      <c r="T136" s="204">
        <f>+IF(Q136=0,S136,S136+Q136)</f>
        <v>12973.800000000001</v>
      </c>
      <c r="U136" s="204">
        <f>M136-T136</f>
        <v>6486.9</v>
      </c>
    </row>
    <row r="137" spans="1:21">
      <c r="C137" s="228"/>
      <c r="E137" s="210"/>
      <c r="H137" s="209"/>
      <c r="I137" s="208"/>
      <c r="K137" s="207"/>
      <c r="M137" s="188"/>
      <c r="N137" s="225"/>
      <c r="O137" s="225"/>
      <c r="P137" s="204"/>
      <c r="Q137" s="204"/>
      <c r="R137" s="225"/>
      <c r="S137" s="225"/>
      <c r="T137" s="225"/>
      <c r="U137" s="225"/>
    </row>
    <row r="138" spans="1:21">
      <c r="C138" s="228"/>
      <c r="E138" s="304" t="s">
        <v>593</v>
      </c>
      <c r="F138" s="305"/>
      <c r="G138" s="306"/>
      <c r="H138" s="307"/>
      <c r="I138" s="308"/>
      <c r="J138" s="309"/>
      <c r="K138" s="310"/>
      <c r="L138" s="311"/>
      <c r="M138" s="187">
        <f t="shared" ref="M138:U138" si="187">SUM(M118:M137)</f>
        <v>751371.51369230764</v>
      </c>
      <c r="N138" s="187">
        <f t="shared" si="187"/>
        <v>751371.51369230764</v>
      </c>
      <c r="O138" s="187">
        <f t="shared" si="187"/>
        <v>10891.785738960447</v>
      </c>
      <c r="P138" s="200">
        <f t="shared" si="187"/>
        <v>130701.42886752535</v>
      </c>
      <c r="Q138" s="200">
        <f t="shared" si="187"/>
        <v>82714.32673323965</v>
      </c>
      <c r="R138" s="187">
        <f t="shared" si="187"/>
        <v>0</v>
      </c>
      <c r="S138" s="187">
        <f t="shared" si="187"/>
        <v>444828.67893818044</v>
      </c>
      <c r="T138" s="187">
        <f t="shared" si="187"/>
        <v>527543.00567142013</v>
      </c>
      <c r="U138" s="187">
        <f t="shared" si="187"/>
        <v>223828.50802088753</v>
      </c>
    </row>
    <row r="139" spans="1:21">
      <c r="C139" s="228"/>
      <c r="E139" s="197"/>
      <c r="H139" s="209"/>
      <c r="I139" s="208"/>
      <c r="K139" s="207"/>
      <c r="M139" s="224"/>
      <c r="N139" s="199"/>
      <c r="O139" s="199"/>
      <c r="P139" s="246"/>
      <c r="Q139" s="246"/>
      <c r="R139" s="199"/>
      <c r="S139" s="225"/>
      <c r="T139" s="225"/>
      <c r="U139" s="225"/>
    </row>
    <row r="140" spans="1:21">
      <c r="C140" s="228"/>
      <c r="E140" s="302" t="s">
        <v>447</v>
      </c>
      <c r="H140" s="209"/>
      <c r="I140" s="208"/>
      <c r="K140" s="207"/>
      <c r="M140" s="224"/>
      <c r="N140" s="199"/>
      <c r="O140" s="199"/>
      <c r="P140" s="246"/>
      <c r="Q140" s="246"/>
      <c r="R140" s="199"/>
      <c r="S140" s="225"/>
      <c r="T140" s="225"/>
      <c r="U140" s="225"/>
    </row>
    <row r="141" spans="1:21">
      <c r="C141" s="228" t="s">
        <v>121</v>
      </c>
      <c r="D141" s="230">
        <v>11</v>
      </c>
      <c r="E141" s="210" t="s">
        <v>135</v>
      </c>
      <c r="F141" s="229">
        <v>2007</v>
      </c>
      <c r="G141" s="228">
        <v>12</v>
      </c>
      <c r="H141" s="209">
        <v>0</v>
      </c>
      <c r="I141" s="208" t="s">
        <v>86</v>
      </c>
      <c r="J141" s="227">
        <v>7</v>
      </c>
      <c r="K141" s="207">
        <f>F141+J141</f>
        <v>2014</v>
      </c>
      <c r="L141" s="206">
        <f>+K141+(G141/12)</f>
        <v>2015</v>
      </c>
      <c r="M141" s="205">
        <f>'Depreciation - Orig.'!P92</f>
        <v>225272.04800000001</v>
      </c>
      <c r="N141" s="204">
        <f>M141-M141*H141</f>
        <v>225272.04800000001</v>
      </c>
      <c r="O141" s="204">
        <f>N141/J141/12</f>
        <v>2681.8100952380951</v>
      </c>
      <c r="P141" s="204">
        <f>+O141*12</f>
        <v>32181.721142857139</v>
      </c>
      <c r="Q141" s="204">
        <f>+IF(L141&lt;=$N$5,0,IF(K141&gt;$N$4,P141,(O141*G141)))</f>
        <v>0</v>
      </c>
      <c r="R141" s="204"/>
      <c r="S141" s="204">
        <f>+IF(Q141=0,M141,IF($N$3-F141&lt;1,0,(($N$3-F141)*P141)))</f>
        <v>225272.04800000001</v>
      </c>
      <c r="T141" s="204">
        <f>+IF(Q141=0,S141,S141+Q141)</f>
        <v>225272.04800000001</v>
      </c>
      <c r="U141" s="204">
        <f>M141-T141</f>
        <v>0</v>
      </c>
    </row>
    <row r="142" spans="1:21">
      <c r="A142" s="270"/>
      <c r="B142" s="270"/>
      <c r="C142" s="271"/>
      <c r="D142" s="270"/>
      <c r="E142" s="272" t="s">
        <v>514</v>
      </c>
      <c r="F142" s="273">
        <v>2020</v>
      </c>
      <c r="G142" s="271">
        <v>12</v>
      </c>
      <c r="H142" s="274">
        <v>0</v>
      </c>
      <c r="I142" s="275" t="s">
        <v>86</v>
      </c>
      <c r="J142" s="276">
        <v>3</v>
      </c>
      <c r="K142" s="277">
        <f>F142+J142</f>
        <v>2023</v>
      </c>
      <c r="L142" s="278">
        <f>+K142+(G142/12)</f>
        <v>2024</v>
      </c>
      <c r="M142" s="279">
        <f>'Depreciation - Orig.'!N92-Depreciation!M141</f>
        <v>56318.011999999988</v>
      </c>
      <c r="N142" s="280">
        <f>M142-M142*H142</f>
        <v>56318.011999999988</v>
      </c>
      <c r="O142" s="280">
        <f>N142/J142/12</f>
        <v>1564.3892222222219</v>
      </c>
      <c r="P142" s="280">
        <f>+O142*12</f>
        <v>18772.670666666661</v>
      </c>
      <c r="Q142" s="280">
        <f>+IF(L142&lt;=$N$5,0,IF(K142&gt;$N$4,P142,(O142*G142)))</f>
        <v>18772.670666666661</v>
      </c>
      <c r="R142" s="280"/>
      <c r="S142" s="280">
        <f>+IF(Q142=0,M142,IF($N$3-F142&lt;1,0,(($N$3-F142)*P142)))</f>
        <v>0</v>
      </c>
      <c r="T142" s="280">
        <f>+IF(Q142=0,S142,S142+Q142)</f>
        <v>18772.670666666661</v>
      </c>
      <c r="U142" s="280">
        <f>M142-T142</f>
        <v>37545.34133333333</v>
      </c>
    </row>
    <row r="143" spans="1:21">
      <c r="C143" s="228" t="s">
        <v>2</v>
      </c>
      <c r="D143" s="230">
        <v>11</v>
      </c>
      <c r="E143" s="210" t="s">
        <v>106</v>
      </c>
      <c r="F143" s="229">
        <v>2010</v>
      </c>
      <c r="G143" s="228">
        <v>3</v>
      </c>
      <c r="H143" s="209">
        <v>0</v>
      </c>
      <c r="I143" s="208" t="s">
        <v>86</v>
      </c>
      <c r="J143" s="227">
        <v>7</v>
      </c>
      <c r="K143" s="207">
        <f>F143+J143</f>
        <v>2017</v>
      </c>
      <c r="L143" s="206">
        <f>+K143+(G143/12)</f>
        <v>2017.25</v>
      </c>
      <c r="M143" s="205">
        <f>'Depreciation - Orig.'!P24</f>
        <v>7450.4800000000005</v>
      </c>
      <c r="N143" s="204">
        <f>M143-M143*H143</f>
        <v>7450.4800000000005</v>
      </c>
      <c r="O143" s="204">
        <f>N143/J143/12</f>
        <v>88.696190476190495</v>
      </c>
      <c r="P143" s="204">
        <f>+O143*12</f>
        <v>1064.3542857142859</v>
      </c>
      <c r="Q143" s="204">
        <f>+IF(L143&lt;=$N$5,0,IF(K143&gt;$N$4,P143,(O143*G143)))</f>
        <v>0</v>
      </c>
      <c r="R143" s="204"/>
      <c r="S143" s="204">
        <f>+IF(Q143=0,M143,IF($N$3-F143&lt;1,0,(($N$3-F143)*P143)))</f>
        <v>7450.4800000000005</v>
      </c>
      <c r="T143" s="204">
        <f>+IF(Q143=0,S143,S143+Q143)</f>
        <v>7450.4800000000005</v>
      </c>
      <c r="U143" s="204">
        <f>+M143-T143</f>
        <v>0</v>
      </c>
    </row>
    <row r="144" spans="1:21">
      <c r="A144" s="270"/>
      <c r="B144" s="270"/>
      <c r="C144" s="271"/>
      <c r="D144" s="270"/>
      <c r="E144" s="272" t="s">
        <v>498</v>
      </c>
      <c r="F144" s="273">
        <v>2020</v>
      </c>
      <c r="G144" s="271">
        <v>12</v>
      </c>
      <c r="H144" s="274">
        <v>0</v>
      </c>
      <c r="I144" s="275" t="s">
        <v>86</v>
      </c>
      <c r="J144" s="276">
        <v>3</v>
      </c>
      <c r="K144" s="277">
        <f t="shared" ref="K144" si="188">F144+J144</f>
        <v>2023</v>
      </c>
      <c r="L144" s="278">
        <f>+K144+(G144/12)</f>
        <v>2024</v>
      </c>
      <c r="M144" s="279">
        <f>'Depreciation - Orig.'!N24-Depreciation!M143</f>
        <v>1862.62</v>
      </c>
      <c r="N144" s="280">
        <f t="shared" ref="N144" si="189">M144-M144*H144</f>
        <v>1862.62</v>
      </c>
      <c r="O144" s="280">
        <f t="shared" ref="O144" si="190">N144/J144/12</f>
        <v>51.739444444444445</v>
      </c>
      <c r="P144" s="280">
        <f>+O144*12</f>
        <v>620.87333333333333</v>
      </c>
      <c r="Q144" s="280">
        <f>+IF(L144&lt;=$N$5,0,IF(K144&gt;$N$4,P144,(O144*G144)))</f>
        <v>620.87333333333333</v>
      </c>
      <c r="R144" s="280"/>
      <c r="S144" s="280">
        <f>+IF(Q144=0,M144,IF($N$3-F144&lt;1,0,(($N$3-F144)*P144)))</f>
        <v>0</v>
      </c>
      <c r="T144" s="280">
        <f>+IF(Q144=0,S144,S144+Q144)</f>
        <v>620.87333333333333</v>
      </c>
      <c r="U144" s="280">
        <f>+M144-T144</f>
        <v>1241.7466666666664</v>
      </c>
    </row>
    <row r="145" spans="1:22" s="164" customFormat="1">
      <c r="B145" s="164">
        <v>183682</v>
      </c>
      <c r="C145" s="162" t="s">
        <v>331</v>
      </c>
      <c r="D145" s="288">
        <v>41</v>
      </c>
      <c r="E145" s="156" t="s">
        <v>406</v>
      </c>
      <c r="F145" s="163">
        <v>2017</v>
      </c>
      <c r="G145" s="162">
        <v>6</v>
      </c>
      <c r="H145" s="161">
        <v>0</v>
      </c>
      <c r="I145" s="160" t="s">
        <v>86</v>
      </c>
      <c r="J145" s="159">
        <v>6</v>
      </c>
      <c r="K145" s="158">
        <f t="shared" ref="K145:K146" si="191">F145+J145</f>
        <v>2023</v>
      </c>
      <c r="L145" s="289">
        <f t="shared" ref="L145:L146" si="192">+K145+(G145/12)</f>
        <v>2023.5</v>
      </c>
      <c r="M145" s="290">
        <v>215000</v>
      </c>
      <c r="N145" s="291">
        <f t="shared" ref="N145:N146" si="193">M145-M145*H145</f>
        <v>215000</v>
      </c>
      <c r="O145" s="291">
        <f t="shared" ref="O145:O146" si="194">N145/J145/12</f>
        <v>2986.1111111111113</v>
      </c>
      <c r="P145" s="291">
        <f t="shared" ref="P145:P146" si="195">+O145*12</f>
        <v>35833.333333333336</v>
      </c>
      <c r="Q145" s="291">
        <f t="shared" ref="Q145:Q146" si="196">+IF(L145&lt;=$N$5,0,IF(K145&gt;$N$4,P145,(O145*G145)))</f>
        <v>35833.333333333336</v>
      </c>
      <c r="R145" s="291"/>
      <c r="S145" s="291">
        <f t="shared" ref="S145:S146" si="197">+IF(Q145=0,M145,IF($N$3-F145&lt;1,0,(($N$3-F145)*P145)))</f>
        <v>107500</v>
      </c>
      <c r="T145" s="291">
        <f t="shared" ref="T145:T146" si="198">+IF(Q145=0,S145,S145+Q145)</f>
        <v>143333.33333333334</v>
      </c>
      <c r="U145" s="291">
        <f t="shared" ref="U145:U146" si="199">M145-T145</f>
        <v>71666.666666666657</v>
      </c>
    </row>
    <row r="146" spans="1:22" s="164" customFormat="1">
      <c r="B146" s="164" t="s">
        <v>407</v>
      </c>
      <c r="C146" s="162"/>
      <c r="D146" s="288">
        <v>41</v>
      </c>
      <c r="E146" s="156" t="s">
        <v>408</v>
      </c>
      <c r="F146" s="163">
        <v>2017</v>
      </c>
      <c r="G146" s="162">
        <v>6</v>
      </c>
      <c r="H146" s="161">
        <v>0</v>
      </c>
      <c r="I146" s="160" t="s">
        <v>86</v>
      </c>
      <c r="J146" s="159">
        <v>5</v>
      </c>
      <c r="K146" s="158">
        <f t="shared" si="191"/>
        <v>2022</v>
      </c>
      <c r="L146" s="289">
        <f t="shared" si="192"/>
        <v>2022.5</v>
      </c>
      <c r="M146" s="290">
        <v>15667.9</v>
      </c>
      <c r="N146" s="291">
        <f t="shared" si="193"/>
        <v>15667.9</v>
      </c>
      <c r="O146" s="291">
        <f t="shared" si="194"/>
        <v>261.13166666666666</v>
      </c>
      <c r="P146" s="291">
        <f t="shared" si="195"/>
        <v>3133.58</v>
      </c>
      <c r="Q146" s="291">
        <f t="shared" si="196"/>
        <v>3133.58</v>
      </c>
      <c r="R146" s="291"/>
      <c r="S146" s="291">
        <f t="shared" si="197"/>
        <v>9400.74</v>
      </c>
      <c r="T146" s="291">
        <f t="shared" si="198"/>
        <v>12534.32</v>
      </c>
      <c r="U146" s="291">
        <f t="shared" si="199"/>
        <v>3133.58</v>
      </c>
    </row>
    <row r="147" spans="1:22">
      <c r="C147" s="228"/>
      <c r="E147" s="197"/>
      <c r="H147" s="209"/>
      <c r="I147" s="208"/>
      <c r="K147" s="207"/>
      <c r="M147" s="246"/>
      <c r="N147" s="246"/>
      <c r="O147" s="246"/>
      <c r="P147" s="246"/>
      <c r="Q147" s="246"/>
      <c r="R147" s="246"/>
      <c r="S147" s="204"/>
      <c r="T147" s="204"/>
      <c r="U147" s="204"/>
    </row>
    <row r="148" spans="1:22">
      <c r="C148" s="228"/>
      <c r="E148" s="304" t="s">
        <v>447</v>
      </c>
      <c r="F148" s="305"/>
      <c r="G148" s="306"/>
      <c r="H148" s="307"/>
      <c r="I148" s="308"/>
      <c r="J148" s="309"/>
      <c r="K148" s="310"/>
      <c r="L148" s="311"/>
      <c r="M148" s="200">
        <f>SUM(M141:M147)</f>
        <v>521571.06</v>
      </c>
      <c r="N148" s="200">
        <f t="shared" ref="N148:U148" si="200">SUM(N141:N147)</f>
        <v>521571.06</v>
      </c>
      <c r="O148" s="200">
        <f t="shared" si="200"/>
        <v>7633.8777301587288</v>
      </c>
      <c r="P148" s="200">
        <f t="shared" si="200"/>
        <v>91606.532761904775</v>
      </c>
      <c r="Q148" s="200">
        <f t="shared" si="200"/>
        <v>58360.457333333332</v>
      </c>
      <c r="R148" s="200">
        <f t="shared" si="200"/>
        <v>0</v>
      </c>
      <c r="S148" s="200">
        <f t="shared" si="200"/>
        <v>349623.26800000004</v>
      </c>
      <c r="T148" s="200">
        <f t="shared" si="200"/>
        <v>407983.72533333336</v>
      </c>
      <c r="U148" s="200">
        <f t="shared" si="200"/>
        <v>113587.33466666665</v>
      </c>
    </row>
    <row r="149" spans="1:22">
      <c r="C149" s="228"/>
      <c r="E149" s="197"/>
      <c r="H149" s="209"/>
      <c r="I149" s="208"/>
      <c r="K149" s="207"/>
      <c r="M149" s="224"/>
      <c r="N149" s="224"/>
      <c r="O149" s="224"/>
      <c r="P149" s="246"/>
      <c r="Q149" s="246"/>
      <c r="R149" s="224"/>
      <c r="S149" s="224"/>
      <c r="T149" s="224"/>
      <c r="U149" s="224"/>
    </row>
    <row r="150" spans="1:22">
      <c r="C150" s="228"/>
      <c r="E150" s="302" t="s">
        <v>586</v>
      </c>
      <c r="H150" s="209"/>
      <c r="I150" s="208"/>
      <c r="K150" s="207"/>
      <c r="M150" s="224"/>
      <c r="N150" s="224"/>
      <c r="O150" s="224"/>
      <c r="P150" s="246"/>
      <c r="Q150" s="246"/>
      <c r="R150" s="224"/>
      <c r="S150" s="224"/>
      <c r="T150" s="224"/>
      <c r="U150" s="224"/>
    </row>
    <row r="151" spans="1:22">
      <c r="C151" s="228"/>
      <c r="D151" s="230">
        <v>8008</v>
      </c>
      <c r="E151" s="210" t="s">
        <v>126</v>
      </c>
      <c r="F151" s="229">
        <v>2009</v>
      </c>
      <c r="G151" s="228">
        <v>7</v>
      </c>
      <c r="H151" s="209">
        <v>0</v>
      </c>
      <c r="I151" s="208" t="s">
        <v>86</v>
      </c>
      <c r="J151" s="227">
        <v>7</v>
      </c>
      <c r="K151" s="207">
        <f>F151+J151</f>
        <v>2016</v>
      </c>
      <c r="L151" s="206">
        <f>+K151+(G151/12)</f>
        <v>2016.5833333333333</v>
      </c>
      <c r="M151" s="205">
        <f>'Depreciation - Orig.'!P76</f>
        <v>5567.2</v>
      </c>
      <c r="N151" s="204">
        <f>M151-M151*H151</f>
        <v>5567.2</v>
      </c>
      <c r="O151" s="204">
        <f>N151/J151/12</f>
        <v>66.276190476190479</v>
      </c>
      <c r="P151" s="204">
        <f>+O151*12</f>
        <v>795.31428571428569</v>
      </c>
      <c r="Q151" s="204">
        <f>+IF(L151&lt;=$N$5,0,IF(K151&gt;$N$4,P151,(O151*G151)))</f>
        <v>0</v>
      </c>
      <c r="R151" s="204"/>
      <c r="S151" s="204">
        <f>+IF(Q151=0,M151,IF($N$3-F151&lt;1,0,(($N$3-F151)*P151)))</f>
        <v>5567.2</v>
      </c>
      <c r="T151" s="204">
        <f>+IF(Q151=0,S151,S151+Q151)</f>
        <v>5567.2</v>
      </c>
      <c r="U151" s="204">
        <f>M151-T151</f>
        <v>0</v>
      </c>
    </row>
    <row r="152" spans="1:22">
      <c r="A152" s="270"/>
      <c r="B152" s="270"/>
      <c r="C152" s="271"/>
      <c r="D152" s="270"/>
      <c r="E152" s="272" t="s">
        <v>509</v>
      </c>
      <c r="F152" s="273">
        <v>2020</v>
      </c>
      <c r="G152" s="271">
        <v>12</v>
      </c>
      <c r="H152" s="274">
        <v>0</v>
      </c>
      <c r="I152" s="275" t="s">
        <v>86</v>
      </c>
      <c r="J152" s="276">
        <v>3</v>
      </c>
      <c r="K152" s="277">
        <f t="shared" ref="K152" si="201">F152+J152</f>
        <v>2023</v>
      </c>
      <c r="L152" s="278">
        <f>+K152+(G152/12)</f>
        <v>2024</v>
      </c>
      <c r="M152" s="279">
        <f>'Depreciation - Orig.'!N76-Depreciation!M151</f>
        <v>1391.8000000000002</v>
      </c>
      <c r="N152" s="280">
        <f t="shared" ref="N152" si="202">M152-M152*H152</f>
        <v>1391.8000000000002</v>
      </c>
      <c r="O152" s="280">
        <f t="shared" ref="O152" si="203">N152/J152/12</f>
        <v>38.661111111111119</v>
      </c>
      <c r="P152" s="280">
        <f>+O152*12</f>
        <v>463.93333333333339</v>
      </c>
      <c r="Q152" s="280">
        <f>+IF(L152&lt;=$N$5,0,IF(K152&gt;$N$4,P152,(O152*G152)))</f>
        <v>463.93333333333339</v>
      </c>
      <c r="R152" s="280"/>
      <c r="S152" s="280">
        <f>+IF(Q152=0,M152,IF($N$3-F152&lt;1,0,(($N$3-F152)*P152)))</f>
        <v>0</v>
      </c>
      <c r="T152" s="280">
        <f>+IF(Q152=0,S152,S152+Q152)</f>
        <v>463.93333333333339</v>
      </c>
      <c r="U152" s="280">
        <f>M152-T152</f>
        <v>927.86666666666679</v>
      </c>
    </row>
    <row r="153" spans="1:22">
      <c r="D153" s="203" t="s">
        <v>223</v>
      </c>
      <c r="E153" s="210" t="s">
        <v>224</v>
      </c>
      <c r="F153" s="229">
        <v>2011</v>
      </c>
      <c r="G153" s="228">
        <v>12</v>
      </c>
      <c r="H153" s="209">
        <v>0</v>
      </c>
      <c r="I153" s="208" t="s">
        <v>86</v>
      </c>
      <c r="J153" s="227">
        <v>5</v>
      </c>
      <c r="K153" s="207">
        <f>F153+J153</f>
        <v>2016</v>
      </c>
      <c r="L153" s="206">
        <f t="shared" ref="L153:L166" si="204">+K153+(G153/12)</f>
        <v>2017</v>
      </c>
      <c r="M153" s="190">
        <v>5000</v>
      </c>
      <c r="N153" s="225">
        <f>M153-M153*H153</f>
        <v>5000</v>
      </c>
      <c r="O153" s="225">
        <f>N153/J153/12</f>
        <v>83.333333333333329</v>
      </c>
      <c r="P153" s="204">
        <f t="shared" ref="P153:P166" si="205">+O153*12</f>
        <v>1000</v>
      </c>
      <c r="Q153" s="204">
        <f t="shared" ref="Q153:Q166" si="206">+IF(L153&lt;=$N$5,0,IF(K153&gt;$N$4,P153,(O153*G153)))</f>
        <v>0</v>
      </c>
      <c r="R153" s="225"/>
      <c r="S153" s="204">
        <f t="shared" ref="S153:S154" si="207">+IF(Q153=0,M153,IF($N$3-F153&lt;1,0,(($N$3-F153)*P153)))</f>
        <v>5000</v>
      </c>
      <c r="T153" s="204">
        <f t="shared" ref="T153:T154" si="208">+IF(Q153=0,S153,S153+Q153)</f>
        <v>5000</v>
      </c>
      <c r="U153" s="204">
        <f t="shared" ref="U153:U159" si="209">M153-T153</f>
        <v>0</v>
      </c>
    </row>
    <row r="154" spans="1:22">
      <c r="C154" s="228" t="s">
        <v>2</v>
      </c>
      <c r="D154" s="203" t="s">
        <v>223</v>
      </c>
      <c r="E154" s="210" t="s">
        <v>225</v>
      </c>
      <c r="F154" s="229">
        <v>2012</v>
      </c>
      <c r="G154" s="228">
        <v>7</v>
      </c>
      <c r="H154" s="209">
        <v>0</v>
      </c>
      <c r="I154" s="208" t="s">
        <v>86</v>
      </c>
      <c r="J154" s="227">
        <v>7</v>
      </c>
      <c r="K154" s="207">
        <f>F154+J154</f>
        <v>2019</v>
      </c>
      <c r="L154" s="206">
        <f t="shared" si="204"/>
        <v>2019.5833333333333</v>
      </c>
      <c r="M154" s="226">
        <f>'Depreciation - Orig.'!P393</f>
        <v>476</v>
      </c>
      <c r="N154" s="225">
        <f>M154-M154*H154</f>
        <v>476</v>
      </c>
      <c r="O154" s="225">
        <f>N154/J154/12</f>
        <v>5.666666666666667</v>
      </c>
      <c r="P154" s="204">
        <f t="shared" si="205"/>
        <v>68</v>
      </c>
      <c r="Q154" s="204">
        <f t="shared" si="206"/>
        <v>0</v>
      </c>
      <c r="R154" s="225"/>
      <c r="S154" s="204">
        <f t="shared" si="207"/>
        <v>476</v>
      </c>
      <c r="T154" s="204">
        <f t="shared" si="208"/>
        <v>476</v>
      </c>
      <c r="U154" s="204">
        <f t="shared" si="209"/>
        <v>0</v>
      </c>
    </row>
    <row r="155" spans="1:22">
      <c r="A155" s="270"/>
      <c r="B155" s="270"/>
      <c r="C155" s="271"/>
      <c r="D155" s="270"/>
      <c r="E155" s="272" t="s">
        <v>522</v>
      </c>
      <c r="F155" s="273">
        <v>2020</v>
      </c>
      <c r="G155" s="271">
        <v>12</v>
      </c>
      <c r="H155" s="274">
        <v>0</v>
      </c>
      <c r="I155" s="275" t="s">
        <v>86</v>
      </c>
      <c r="J155" s="276">
        <v>3</v>
      </c>
      <c r="K155" s="277">
        <f t="shared" ref="K155" si="210">F155+J155</f>
        <v>2023</v>
      </c>
      <c r="L155" s="278">
        <f t="shared" si="204"/>
        <v>2024</v>
      </c>
      <c r="M155" s="279">
        <f>'Depreciation - Orig.'!N393-Depreciation!M154</f>
        <v>119</v>
      </c>
      <c r="N155" s="280">
        <f t="shared" ref="N155" si="211">M155-M155*H155</f>
        <v>119</v>
      </c>
      <c r="O155" s="280">
        <f t="shared" ref="O155" si="212">N155/J155/12</f>
        <v>3.3055555555555554</v>
      </c>
      <c r="P155" s="280">
        <f t="shared" si="205"/>
        <v>39.666666666666664</v>
      </c>
      <c r="Q155" s="280">
        <f t="shared" si="206"/>
        <v>39.666666666666664</v>
      </c>
      <c r="R155" s="280"/>
      <c r="S155" s="280">
        <f t="shared" ref="S155:S166" si="213">+IF(Q155=0,M155,IF($N$3-F155&lt;1,0,(($N$3-F155)*P155)))</f>
        <v>0</v>
      </c>
      <c r="T155" s="280">
        <f t="shared" ref="T155:T166" si="214">+IF(Q155=0,S155,S155+Q155)</f>
        <v>39.666666666666664</v>
      </c>
      <c r="U155" s="280">
        <f t="shared" si="209"/>
        <v>79.333333333333343</v>
      </c>
    </row>
    <row r="156" spans="1:22">
      <c r="C156" s="228"/>
      <c r="D156" s="193" t="s">
        <v>124</v>
      </c>
      <c r="E156" s="210" t="s">
        <v>125</v>
      </c>
      <c r="F156" s="229">
        <v>2009</v>
      </c>
      <c r="G156" s="228">
        <v>7</v>
      </c>
      <c r="H156" s="209">
        <v>0</v>
      </c>
      <c r="I156" s="208" t="s">
        <v>86</v>
      </c>
      <c r="J156" s="227">
        <v>7</v>
      </c>
      <c r="K156" s="207">
        <f>F156+J156</f>
        <v>2016</v>
      </c>
      <c r="L156" s="206">
        <f t="shared" si="204"/>
        <v>2016.5833333333333</v>
      </c>
      <c r="M156" s="205">
        <f>'Depreciation - Orig.'!P75</f>
        <v>17248.8</v>
      </c>
      <c r="N156" s="204">
        <f>M156-M156*H156</f>
        <v>17248.8</v>
      </c>
      <c r="O156" s="204">
        <f>N156/J156/12</f>
        <v>205.34285714285713</v>
      </c>
      <c r="P156" s="204">
        <f t="shared" si="205"/>
        <v>2464.1142857142854</v>
      </c>
      <c r="Q156" s="204">
        <f t="shared" si="206"/>
        <v>0</v>
      </c>
      <c r="R156" s="204"/>
      <c r="S156" s="204">
        <f t="shared" si="213"/>
        <v>17248.8</v>
      </c>
      <c r="T156" s="204">
        <f t="shared" si="214"/>
        <v>17248.8</v>
      </c>
      <c r="U156" s="204">
        <f t="shared" si="209"/>
        <v>0</v>
      </c>
      <c r="V156" s="205"/>
    </row>
    <row r="157" spans="1:22">
      <c r="A157" s="270"/>
      <c r="B157" s="270"/>
      <c r="C157" s="271"/>
      <c r="D157" s="270"/>
      <c r="E157" s="272" t="s">
        <v>508</v>
      </c>
      <c r="F157" s="273">
        <v>2020</v>
      </c>
      <c r="G157" s="271">
        <v>12</v>
      </c>
      <c r="H157" s="274">
        <v>0</v>
      </c>
      <c r="I157" s="275" t="s">
        <v>86</v>
      </c>
      <c r="J157" s="276">
        <v>3</v>
      </c>
      <c r="K157" s="277">
        <f t="shared" ref="K157" si="215">F157+J157</f>
        <v>2023</v>
      </c>
      <c r="L157" s="278">
        <f t="shared" si="204"/>
        <v>2024</v>
      </c>
      <c r="M157" s="279">
        <f>'Depreciation - Orig.'!N75-Depreciation!M156</f>
        <v>4312.2000000000007</v>
      </c>
      <c r="N157" s="280">
        <f t="shared" ref="N157" si="216">M157-M157*H157</f>
        <v>4312.2000000000007</v>
      </c>
      <c r="O157" s="280">
        <f t="shared" ref="O157" si="217">N157/J157/12</f>
        <v>119.78333333333336</v>
      </c>
      <c r="P157" s="280">
        <f t="shared" si="205"/>
        <v>1437.4000000000003</v>
      </c>
      <c r="Q157" s="280">
        <f t="shared" si="206"/>
        <v>1437.4000000000003</v>
      </c>
      <c r="R157" s="280"/>
      <c r="S157" s="280">
        <f t="shared" si="213"/>
        <v>0</v>
      </c>
      <c r="T157" s="280">
        <f t="shared" si="214"/>
        <v>1437.4000000000003</v>
      </c>
      <c r="U157" s="280">
        <f t="shared" si="209"/>
        <v>2874.8</v>
      </c>
      <c r="V157" s="205"/>
    </row>
    <row r="158" spans="1:22">
      <c r="B158" s="230">
        <v>95491</v>
      </c>
      <c r="C158" s="228" t="s">
        <v>2</v>
      </c>
      <c r="D158" s="203" t="s">
        <v>124</v>
      </c>
      <c r="E158" s="210" t="s">
        <v>107</v>
      </c>
      <c r="F158" s="229">
        <v>2012</v>
      </c>
      <c r="G158" s="228">
        <v>7</v>
      </c>
      <c r="H158" s="209">
        <v>0</v>
      </c>
      <c r="I158" s="208" t="s">
        <v>86</v>
      </c>
      <c r="J158" s="227">
        <v>7</v>
      </c>
      <c r="K158" s="207">
        <f>F158+J158</f>
        <v>2019</v>
      </c>
      <c r="L158" s="206">
        <f t="shared" si="204"/>
        <v>2019.5833333333333</v>
      </c>
      <c r="M158" s="205">
        <f>'Depreciation - Orig.'!P79</f>
        <v>476</v>
      </c>
      <c r="N158" s="204">
        <f>M158-M158*H158</f>
        <v>476</v>
      </c>
      <c r="O158" s="204">
        <f>N158/J158/12</f>
        <v>5.666666666666667</v>
      </c>
      <c r="P158" s="204">
        <f t="shared" si="205"/>
        <v>68</v>
      </c>
      <c r="Q158" s="204">
        <f t="shared" si="206"/>
        <v>0</v>
      </c>
      <c r="R158" s="204"/>
      <c r="S158" s="204">
        <f t="shared" si="213"/>
        <v>476</v>
      </c>
      <c r="T158" s="204">
        <f t="shared" si="214"/>
        <v>476</v>
      </c>
      <c r="U158" s="204">
        <f t="shared" si="209"/>
        <v>0</v>
      </c>
      <c r="V158" s="205"/>
    </row>
    <row r="159" spans="1:22">
      <c r="A159" s="270"/>
      <c r="B159" s="270"/>
      <c r="C159" s="271"/>
      <c r="D159" s="270"/>
      <c r="E159" s="272" t="s">
        <v>512</v>
      </c>
      <c r="F159" s="273">
        <v>2020</v>
      </c>
      <c r="G159" s="271">
        <v>12</v>
      </c>
      <c r="H159" s="274">
        <v>0</v>
      </c>
      <c r="I159" s="275" t="s">
        <v>86</v>
      </c>
      <c r="J159" s="276">
        <v>3</v>
      </c>
      <c r="K159" s="277">
        <f t="shared" ref="K159" si="218">F159+J159</f>
        <v>2023</v>
      </c>
      <c r="L159" s="278">
        <f t="shared" si="204"/>
        <v>2024</v>
      </c>
      <c r="M159" s="279">
        <f>'Depreciation - Orig.'!N79-Depreciation!M158</f>
        <v>119</v>
      </c>
      <c r="N159" s="280">
        <f t="shared" ref="N159" si="219">M159-M159*H159</f>
        <v>119</v>
      </c>
      <c r="O159" s="280">
        <f t="shared" ref="O159" si="220">N159/J159/12</f>
        <v>3.3055555555555554</v>
      </c>
      <c r="P159" s="280">
        <f t="shared" si="205"/>
        <v>39.666666666666664</v>
      </c>
      <c r="Q159" s="280">
        <f t="shared" si="206"/>
        <v>39.666666666666664</v>
      </c>
      <c r="R159" s="280"/>
      <c r="S159" s="280">
        <f t="shared" si="213"/>
        <v>0</v>
      </c>
      <c r="T159" s="280">
        <f t="shared" si="214"/>
        <v>39.666666666666664</v>
      </c>
      <c r="U159" s="280">
        <f t="shared" si="209"/>
        <v>79.333333333333343</v>
      </c>
      <c r="V159" s="205"/>
    </row>
    <row r="160" spans="1:22">
      <c r="C160" s="228" t="s">
        <v>90</v>
      </c>
      <c r="D160" s="203" t="s">
        <v>91</v>
      </c>
      <c r="E160" s="210" t="s">
        <v>92</v>
      </c>
      <c r="F160" s="229">
        <v>2007</v>
      </c>
      <c r="G160" s="228">
        <v>1</v>
      </c>
      <c r="H160" s="209">
        <v>0</v>
      </c>
      <c r="I160" s="208" t="s">
        <v>86</v>
      </c>
      <c r="J160" s="227">
        <v>7</v>
      </c>
      <c r="K160" s="207">
        <f>F160+J160</f>
        <v>2014</v>
      </c>
      <c r="L160" s="206">
        <f t="shared" si="204"/>
        <v>2014.0833333333333</v>
      </c>
      <c r="M160" s="205">
        <f>'Depreciation - Orig.'!P13</f>
        <v>23932.400000000001</v>
      </c>
      <c r="N160" s="204">
        <f>M160-M160*H160</f>
        <v>23932.400000000001</v>
      </c>
      <c r="O160" s="204">
        <f>N160/J160/12</f>
        <v>284.90952380952382</v>
      </c>
      <c r="P160" s="204">
        <f t="shared" si="205"/>
        <v>3418.9142857142861</v>
      </c>
      <c r="Q160" s="204">
        <f t="shared" si="206"/>
        <v>0</v>
      </c>
      <c r="R160" s="204"/>
      <c r="S160" s="204">
        <f t="shared" si="213"/>
        <v>23932.400000000001</v>
      </c>
      <c r="T160" s="204">
        <f t="shared" si="214"/>
        <v>23932.400000000001</v>
      </c>
      <c r="U160" s="204">
        <f>+M160-T160</f>
        <v>0</v>
      </c>
      <c r="V160" s="205"/>
    </row>
    <row r="161" spans="1:22">
      <c r="A161" s="270"/>
      <c r="B161" s="270"/>
      <c r="C161" s="271"/>
      <c r="D161" s="270"/>
      <c r="E161" s="272" t="s">
        <v>491</v>
      </c>
      <c r="F161" s="273">
        <v>2020</v>
      </c>
      <c r="G161" s="271">
        <v>12</v>
      </c>
      <c r="H161" s="274">
        <v>0</v>
      </c>
      <c r="I161" s="275" t="s">
        <v>86</v>
      </c>
      <c r="J161" s="276">
        <v>3</v>
      </c>
      <c r="K161" s="277">
        <f>F161+J161</f>
        <v>2023</v>
      </c>
      <c r="L161" s="278">
        <f t="shared" si="204"/>
        <v>2024</v>
      </c>
      <c r="M161" s="279">
        <f>'Depreciation - Orig.'!N13-Depreciation!M160</f>
        <v>5983.0999999999985</v>
      </c>
      <c r="N161" s="280">
        <f>M161-M161*H161</f>
        <v>5983.0999999999985</v>
      </c>
      <c r="O161" s="280">
        <f>N161/J161/12</f>
        <v>166.19722222222217</v>
      </c>
      <c r="P161" s="280">
        <f t="shared" si="205"/>
        <v>1994.3666666666659</v>
      </c>
      <c r="Q161" s="280">
        <f t="shared" si="206"/>
        <v>1994.3666666666659</v>
      </c>
      <c r="R161" s="280"/>
      <c r="S161" s="280">
        <f t="shared" si="213"/>
        <v>0</v>
      </c>
      <c r="T161" s="280">
        <f t="shared" si="214"/>
        <v>1994.3666666666659</v>
      </c>
      <c r="U161" s="280">
        <f>+M161-T161</f>
        <v>3988.7333333333327</v>
      </c>
      <c r="V161" s="205"/>
    </row>
    <row r="162" spans="1:22">
      <c r="C162" s="228" t="s">
        <v>316</v>
      </c>
      <c r="D162" s="230">
        <v>4</v>
      </c>
      <c r="E162" s="210" t="s">
        <v>317</v>
      </c>
      <c r="F162" s="229">
        <v>2004</v>
      </c>
      <c r="G162" s="228">
        <v>9</v>
      </c>
      <c r="H162" s="209">
        <v>0</v>
      </c>
      <c r="I162" s="208" t="s">
        <v>86</v>
      </c>
      <c r="J162" s="227">
        <v>7</v>
      </c>
      <c r="K162" s="207">
        <f>F162+J162</f>
        <v>2011</v>
      </c>
      <c r="L162" s="206">
        <f t="shared" si="204"/>
        <v>2011.75</v>
      </c>
      <c r="M162" s="205">
        <f>'Depreciation - Orig.'!P11</f>
        <v>90359.2</v>
      </c>
      <c r="N162" s="204">
        <f>M162-M162*H162</f>
        <v>90359.2</v>
      </c>
      <c r="O162" s="204">
        <f>N162/J162/12</f>
        <v>1075.7047619047619</v>
      </c>
      <c r="P162" s="204">
        <f t="shared" si="205"/>
        <v>12908.457142857143</v>
      </c>
      <c r="Q162" s="204">
        <f t="shared" si="206"/>
        <v>0</v>
      </c>
      <c r="R162" s="204"/>
      <c r="S162" s="204">
        <f t="shared" si="213"/>
        <v>90359.2</v>
      </c>
      <c r="T162" s="204">
        <f t="shared" si="214"/>
        <v>90359.2</v>
      </c>
      <c r="U162" s="204">
        <f>+M162-T162</f>
        <v>0</v>
      </c>
    </row>
    <row r="163" spans="1:22">
      <c r="A163" s="270"/>
      <c r="B163" s="270"/>
      <c r="C163" s="271"/>
      <c r="D163" s="270"/>
      <c r="E163" s="272" t="s">
        <v>490</v>
      </c>
      <c r="F163" s="273">
        <v>2020</v>
      </c>
      <c r="G163" s="271">
        <v>12</v>
      </c>
      <c r="H163" s="274">
        <v>0</v>
      </c>
      <c r="I163" s="275" t="s">
        <v>86</v>
      </c>
      <c r="J163" s="276">
        <v>3</v>
      </c>
      <c r="K163" s="277">
        <f t="shared" ref="K163" si="221">F163+J163</f>
        <v>2023</v>
      </c>
      <c r="L163" s="278">
        <f t="shared" si="204"/>
        <v>2024</v>
      </c>
      <c r="M163" s="279">
        <f>'Depreciation - Orig.'!N11-Depreciation!M162</f>
        <v>22589.800000000003</v>
      </c>
      <c r="N163" s="280">
        <f t="shared" ref="N163" si="222">M163-M163*H163</f>
        <v>22589.800000000003</v>
      </c>
      <c r="O163" s="280">
        <f t="shared" ref="O163" si="223">N163/J163/12</f>
        <v>627.49444444444453</v>
      </c>
      <c r="P163" s="280">
        <f t="shared" si="205"/>
        <v>7529.9333333333343</v>
      </c>
      <c r="Q163" s="280">
        <f t="shared" si="206"/>
        <v>7529.9333333333343</v>
      </c>
      <c r="R163" s="280"/>
      <c r="S163" s="280">
        <f t="shared" si="213"/>
        <v>0</v>
      </c>
      <c r="T163" s="280">
        <f t="shared" si="214"/>
        <v>7529.9333333333343</v>
      </c>
      <c r="U163" s="280">
        <f>+M163-T163</f>
        <v>15059.866666666669</v>
      </c>
    </row>
    <row r="164" spans="1:22">
      <c r="C164" s="228" t="s">
        <v>2</v>
      </c>
      <c r="D164" s="203">
        <v>4</v>
      </c>
      <c r="E164" s="210" t="s">
        <v>129</v>
      </c>
      <c r="F164" s="229">
        <v>2010</v>
      </c>
      <c r="G164" s="228">
        <v>3</v>
      </c>
      <c r="H164" s="209">
        <v>0</v>
      </c>
      <c r="I164" s="208" t="s">
        <v>86</v>
      </c>
      <c r="J164" s="227">
        <v>7</v>
      </c>
      <c r="K164" s="207">
        <f>F164+J164</f>
        <v>2017</v>
      </c>
      <c r="L164" s="206">
        <f t="shared" si="204"/>
        <v>2017.25</v>
      </c>
      <c r="M164" s="205">
        <f>'Depreciation - Orig.'!P78</f>
        <v>2483.4880000000003</v>
      </c>
      <c r="N164" s="204">
        <f>M164-M164*H164</f>
        <v>2483.4880000000003</v>
      </c>
      <c r="O164" s="204">
        <f>N164/J164/12</f>
        <v>29.565333333333339</v>
      </c>
      <c r="P164" s="204">
        <f t="shared" si="205"/>
        <v>354.78400000000005</v>
      </c>
      <c r="Q164" s="204">
        <f t="shared" si="206"/>
        <v>0</v>
      </c>
      <c r="R164" s="204"/>
      <c r="S164" s="204">
        <f t="shared" si="213"/>
        <v>2483.4880000000003</v>
      </c>
      <c r="T164" s="204">
        <f t="shared" si="214"/>
        <v>2483.4880000000003</v>
      </c>
      <c r="U164" s="204">
        <f>M164-T164</f>
        <v>0</v>
      </c>
    </row>
    <row r="165" spans="1:22">
      <c r="A165" s="270"/>
      <c r="B165" s="270"/>
      <c r="C165" s="271"/>
      <c r="D165" s="270"/>
      <c r="E165" s="272" t="s">
        <v>511</v>
      </c>
      <c r="F165" s="273">
        <v>2020</v>
      </c>
      <c r="G165" s="271">
        <v>12</v>
      </c>
      <c r="H165" s="274">
        <v>0</v>
      </c>
      <c r="I165" s="275" t="s">
        <v>86</v>
      </c>
      <c r="J165" s="276">
        <v>3</v>
      </c>
      <c r="K165" s="277">
        <f t="shared" ref="K165" si="224">F165+J165</f>
        <v>2023</v>
      </c>
      <c r="L165" s="278">
        <f t="shared" si="204"/>
        <v>2024</v>
      </c>
      <c r="M165" s="279">
        <f>'Depreciation - Orig.'!N78-Depreciation!M164</f>
        <v>620.87199999999984</v>
      </c>
      <c r="N165" s="280">
        <f t="shared" ref="N165" si="225">M165-M165*H165</f>
        <v>620.87199999999984</v>
      </c>
      <c r="O165" s="280">
        <f t="shared" ref="O165" si="226">N165/J165/12</f>
        <v>17.246444444444439</v>
      </c>
      <c r="P165" s="280">
        <f t="shared" si="205"/>
        <v>206.95733333333328</v>
      </c>
      <c r="Q165" s="280">
        <f t="shared" si="206"/>
        <v>206.95733333333328</v>
      </c>
      <c r="R165" s="280"/>
      <c r="S165" s="280">
        <f t="shared" si="213"/>
        <v>0</v>
      </c>
      <c r="T165" s="280">
        <f t="shared" si="214"/>
        <v>206.95733333333328</v>
      </c>
      <c r="U165" s="280">
        <f>M165-T165</f>
        <v>413.91466666666656</v>
      </c>
    </row>
    <row r="166" spans="1:22">
      <c r="B166" s="230" t="s">
        <v>307</v>
      </c>
      <c r="C166" s="228" t="s">
        <v>303</v>
      </c>
      <c r="D166" s="203">
        <v>4</v>
      </c>
      <c r="E166" s="210" t="s">
        <v>306</v>
      </c>
      <c r="F166" s="229">
        <v>2013</v>
      </c>
      <c r="G166" s="228">
        <v>12</v>
      </c>
      <c r="H166" s="209">
        <v>0</v>
      </c>
      <c r="I166" s="208" t="s">
        <v>86</v>
      </c>
      <c r="J166" s="227">
        <v>5</v>
      </c>
      <c r="K166" s="207">
        <f>F166+J166</f>
        <v>2018</v>
      </c>
      <c r="L166" s="206">
        <f t="shared" si="204"/>
        <v>2019</v>
      </c>
      <c r="M166" s="205">
        <v>19885.309999999998</v>
      </c>
      <c r="N166" s="204">
        <f>M166-M166*H166</f>
        <v>19885.309999999998</v>
      </c>
      <c r="O166" s="204">
        <f>N166/J166/12</f>
        <v>331.42183333333327</v>
      </c>
      <c r="P166" s="204">
        <f t="shared" si="205"/>
        <v>3977.061999999999</v>
      </c>
      <c r="Q166" s="204">
        <f t="shared" si="206"/>
        <v>0</v>
      </c>
      <c r="R166" s="204"/>
      <c r="S166" s="204">
        <f t="shared" si="213"/>
        <v>19885.309999999998</v>
      </c>
      <c r="T166" s="204">
        <f t="shared" si="214"/>
        <v>19885.309999999998</v>
      </c>
      <c r="U166" s="204">
        <f>+M166-T166</f>
        <v>0</v>
      </c>
    </row>
    <row r="167" spans="1:22">
      <c r="C167" s="228"/>
      <c r="E167" s="197"/>
      <c r="H167" s="209"/>
      <c r="I167" s="208"/>
      <c r="K167" s="207"/>
      <c r="M167" s="224"/>
      <c r="N167" s="224"/>
      <c r="O167" s="224"/>
      <c r="P167" s="246"/>
      <c r="Q167" s="246"/>
      <c r="R167" s="224"/>
      <c r="S167" s="224"/>
      <c r="T167" s="224"/>
      <c r="U167" s="224"/>
    </row>
    <row r="168" spans="1:22">
      <c r="C168" s="228"/>
      <c r="E168" s="304" t="s">
        <v>592</v>
      </c>
      <c r="F168" s="305"/>
      <c r="G168" s="306"/>
      <c r="H168" s="307"/>
      <c r="I168" s="308"/>
      <c r="J168" s="309"/>
      <c r="K168" s="310"/>
      <c r="L168" s="311"/>
      <c r="M168" s="187">
        <f>SUM(M151:M167)</f>
        <v>200564.17</v>
      </c>
      <c r="N168" s="187">
        <f t="shared" ref="N168:U168" si="227">SUM(N151:N167)</f>
        <v>200564.17</v>
      </c>
      <c r="O168" s="187">
        <f t="shared" si="227"/>
        <v>3063.8808333333336</v>
      </c>
      <c r="P168" s="187">
        <f t="shared" si="227"/>
        <v>36766.57</v>
      </c>
      <c r="Q168" s="187">
        <f t="shared" si="227"/>
        <v>11711.924000000001</v>
      </c>
      <c r="R168" s="187">
        <f t="shared" si="227"/>
        <v>0</v>
      </c>
      <c r="S168" s="187">
        <f t="shared" si="227"/>
        <v>165428.39800000002</v>
      </c>
      <c r="T168" s="187">
        <f t="shared" si="227"/>
        <v>177140.32199999999</v>
      </c>
      <c r="U168" s="187">
        <f t="shared" si="227"/>
        <v>23423.848000000002</v>
      </c>
    </row>
    <row r="169" spans="1:22">
      <c r="C169" s="228"/>
      <c r="E169" s="197"/>
      <c r="H169" s="209"/>
      <c r="I169" s="208"/>
      <c r="K169" s="207"/>
      <c r="M169" s="224"/>
      <c r="N169" s="224"/>
      <c r="O169" s="224"/>
      <c r="P169" s="246"/>
      <c r="Q169" s="246"/>
      <c r="R169" s="224"/>
      <c r="S169" s="224"/>
      <c r="T169" s="224"/>
      <c r="U169" s="224"/>
    </row>
    <row r="170" spans="1:22">
      <c r="C170" s="228"/>
      <c r="E170" s="304" t="s">
        <v>14</v>
      </c>
      <c r="F170" s="305"/>
      <c r="G170" s="306"/>
      <c r="H170" s="307"/>
      <c r="I170" s="308"/>
      <c r="J170" s="309"/>
      <c r="K170" s="310"/>
      <c r="L170" s="311"/>
      <c r="M170" s="187">
        <f t="shared" ref="M170:U170" si="228">M39+M79+M114+M138+M97+M148+M168+M51</f>
        <v>7912515.1699999981</v>
      </c>
      <c r="N170" s="187">
        <f t="shared" si="228"/>
        <v>7912515.1699999981</v>
      </c>
      <c r="O170" s="187">
        <f t="shared" si="228"/>
        <v>98266.913259435998</v>
      </c>
      <c r="P170" s="187">
        <f t="shared" si="228"/>
        <v>1179202.9591132319</v>
      </c>
      <c r="Q170" s="187">
        <f t="shared" si="228"/>
        <v>748552.68761382578</v>
      </c>
      <c r="R170" s="187">
        <f t="shared" si="228"/>
        <v>0</v>
      </c>
      <c r="S170" s="187">
        <f t="shared" si="228"/>
        <v>3843914.1445271918</v>
      </c>
      <c r="T170" s="187">
        <f t="shared" si="228"/>
        <v>4592466.8321410166</v>
      </c>
      <c r="U170" s="187">
        <f t="shared" si="228"/>
        <v>3320048.3378589828</v>
      </c>
    </row>
    <row r="171" spans="1:22">
      <c r="C171" s="228"/>
      <c r="D171" s="194"/>
      <c r="E171" s="225"/>
      <c r="F171" s="207"/>
      <c r="G171" s="208"/>
      <c r="H171" s="208"/>
      <c r="I171" s="208"/>
      <c r="K171" s="207"/>
      <c r="M171" s="224"/>
      <c r="N171" s="225"/>
      <c r="O171" s="225"/>
      <c r="P171" s="204"/>
      <c r="Q171" s="204"/>
      <c r="R171" s="225"/>
      <c r="S171" s="225"/>
      <c r="T171" s="225"/>
      <c r="U171" s="225"/>
    </row>
    <row r="172" spans="1:22">
      <c r="C172" s="228"/>
      <c r="E172" s="321" t="s">
        <v>608</v>
      </c>
      <c r="I172" s="208"/>
      <c r="K172" s="207"/>
      <c r="M172" s="194"/>
      <c r="N172" s="225"/>
      <c r="O172" s="225"/>
      <c r="P172" s="204"/>
      <c r="Q172" s="204"/>
      <c r="R172" s="225"/>
      <c r="S172" s="225"/>
      <c r="T172" s="225"/>
      <c r="U172" s="225"/>
    </row>
    <row r="173" spans="1:22">
      <c r="D173" s="230">
        <v>142</v>
      </c>
      <c r="E173" s="198" t="s">
        <v>16</v>
      </c>
      <c r="F173" s="229">
        <v>2000</v>
      </c>
      <c r="G173" s="228">
        <v>1</v>
      </c>
      <c r="H173" s="209">
        <v>0</v>
      </c>
      <c r="I173" s="208" t="s">
        <v>86</v>
      </c>
      <c r="J173" s="227">
        <v>10</v>
      </c>
      <c r="K173" s="207">
        <f t="shared" ref="K173:K185" si="229">F173+J173</f>
        <v>2010</v>
      </c>
      <c r="L173" s="206">
        <f t="shared" ref="L173:L182" si="230">+K173+(G173/12)</f>
        <v>2010.0833333333333</v>
      </c>
      <c r="M173" s="190">
        <v>25912</v>
      </c>
      <c r="N173" s="225">
        <f t="shared" ref="N173:N185" si="231">M173-M173*H173</f>
        <v>25912</v>
      </c>
      <c r="O173" s="225">
        <f t="shared" ref="O173:O185" si="232">N173/J173/12</f>
        <v>215.93333333333331</v>
      </c>
      <c r="P173" s="204">
        <f t="shared" ref="P173:P182" si="233">+O173*12</f>
        <v>2591.1999999999998</v>
      </c>
      <c r="Q173" s="204">
        <f t="shared" ref="Q173:Q185" si="234">+IF(L173&lt;=$N$5,0,IF(K173&gt;$N$4,P173,(O173*G173)))</f>
        <v>0</v>
      </c>
      <c r="R173" s="225"/>
      <c r="S173" s="204">
        <f t="shared" ref="S173:S182" si="235">+IF(Q173=0,M173,IF($N$3-F173&lt;1,0,(($N$3-F173)*P173)))</f>
        <v>25912</v>
      </c>
      <c r="T173" s="204">
        <f t="shared" ref="T173:T182" si="236">+IF(Q173=0,S173,S173+Q173)</f>
        <v>25912</v>
      </c>
      <c r="U173" s="204">
        <f t="shared" ref="U173:U185" si="237">M173-T173</f>
        <v>0</v>
      </c>
    </row>
    <row r="174" spans="1:22">
      <c r="E174" s="198" t="s">
        <v>16</v>
      </c>
      <c r="F174" s="229">
        <v>2000</v>
      </c>
      <c r="G174" s="228">
        <v>1</v>
      </c>
      <c r="H174" s="209">
        <v>0</v>
      </c>
      <c r="I174" s="208" t="s">
        <v>86</v>
      </c>
      <c r="J174" s="227">
        <v>10</v>
      </c>
      <c r="K174" s="207">
        <f t="shared" si="229"/>
        <v>2010</v>
      </c>
      <c r="L174" s="206">
        <f t="shared" si="230"/>
        <v>2010.0833333333333</v>
      </c>
      <c r="M174" s="190">
        <v>2529</v>
      </c>
      <c r="N174" s="225">
        <f t="shared" si="231"/>
        <v>2529</v>
      </c>
      <c r="O174" s="225">
        <f t="shared" si="232"/>
        <v>21.074999999999999</v>
      </c>
      <c r="P174" s="204">
        <f t="shared" si="233"/>
        <v>252.89999999999998</v>
      </c>
      <c r="Q174" s="204">
        <f t="shared" si="234"/>
        <v>0</v>
      </c>
      <c r="R174" s="225"/>
      <c r="S174" s="204">
        <f t="shared" si="235"/>
        <v>2529</v>
      </c>
      <c r="T174" s="204">
        <f t="shared" si="236"/>
        <v>2529</v>
      </c>
      <c r="U174" s="204">
        <f t="shared" si="237"/>
        <v>0</v>
      </c>
    </row>
    <row r="175" spans="1:22">
      <c r="E175" s="198" t="s">
        <v>16</v>
      </c>
      <c r="F175" s="229">
        <v>2000</v>
      </c>
      <c r="G175" s="228">
        <v>6</v>
      </c>
      <c r="H175" s="209">
        <v>0</v>
      </c>
      <c r="I175" s="208" t="s">
        <v>86</v>
      </c>
      <c r="J175" s="227">
        <v>10</v>
      </c>
      <c r="K175" s="207">
        <f t="shared" si="229"/>
        <v>2010</v>
      </c>
      <c r="L175" s="206">
        <f t="shared" si="230"/>
        <v>2010.5</v>
      </c>
      <c r="M175" s="190">
        <v>10080</v>
      </c>
      <c r="N175" s="225">
        <f t="shared" si="231"/>
        <v>10080</v>
      </c>
      <c r="O175" s="225">
        <f t="shared" si="232"/>
        <v>84</v>
      </c>
      <c r="P175" s="204">
        <f t="shared" si="233"/>
        <v>1008</v>
      </c>
      <c r="Q175" s="204">
        <f t="shared" si="234"/>
        <v>0</v>
      </c>
      <c r="R175" s="225"/>
      <c r="S175" s="204">
        <f t="shared" si="235"/>
        <v>10080</v>
      </c>
      <c r="T175" s="204">
        <f t="shared" si="236"/>
        <v>10080</v>
      </c>
      <c r="U175" s="204">
        <f t="shared" si="237"/>
        <v>0</v>
      </c>
    </row>
    <row r="176" spans="1:22">
      <c r="E176" s="198" t="s">
        <v>16</v>
      </c>
      <c r="F176" s="229">
        <v>2000</v>
      </c>
      <c r="G176" s="228">
        <v>9</v>
      </c>
      <c r="H176" s="209">
        <v>0</v>
      </c>
      <c r="I176" s="208" t="s">
        <v>86</v>
      </c>
      <c r="J176" s="227">
        <v>10</v>
      </c>
      <c r="K176" s="207">
        <f t="shared" si="229"/>
        <v>2010</v>
      </c>
      <c r="L176" s="206">
        <f t="shared" si="230"/>
        <v>2010.75</v>
      </c>
      <c r="M176" s="190">
        <v>25912</v>
      </c>
      <c r="N176" s="225">
        <f t="shared" si="231"/>
        <v>25912</v>
      </c>
      <c r="O176" s="225">
        <f t="shared" si="232"/>
        <v>215.93333333333331</v>
      </c>
      <c r="P176" s="204">
        <f t="shared" si="233"/>
        <v>2591.1999999999998</v>
      </c>
      <c r="Q176" s="204">
        <f t="shared" si="234"/>
        <v>0</v>
      </c>
      <c r="R176" s="225"/>
      <c r="S176" s="204">
        <f t="shared" si="235"/>
        <v>25912</v>
      </c>
      <c r="T176" s="204">
        <f t="shared" si="236"/>
        <v>25912</v>
      </c>
      <c r="U176" s="204">
        <f t="shared" si="237"/>
        <v>0</v>
      </c>
    </row>
    <row r="177" spans="4:21">
      <c r="E177" s="198" t="s">
        <v>16</v>
      </c>
      <c r="F177" s="229">
        <v>2000</v>
      </c>
      <c r="G177" s="228">
        <v>10</v>
      </c>
      <c r="H177" s="209">
        <v>0</v>
      </c>
      <c r="I177" s="208" t="s">
        <v>86</v>
      </c>
      <c r="J177" s="227">
        <v>10</v>
      </c>
      <c r="K177" s="207">
        <f t="shared" si="229"/>
        <v>2010</v>
      </c>
      <c r="L177" s="206">
        <f t="shared" si="230"/>
        <v>2010.8333333333333</v>
      </c>
      <c r="M177" s="190">
        <v>25912</v>
      </c>
      <c r="N177" s="225">
        <f t="shared" si="231"/>
        <v>25912</v>
      </c>
      <c r="O177" s="225">
        <f t="shared" si="232"/>
        <v>215.93333333333331</v>
      </c>
      <c r="P177" s="204">
        <f t="shared" si="233"/>
        <v>2591.1999999999998</v>
      </c>
      <c r="Q177" s="204">
        <f t="shared" si="234"/>
        <v>0</v>
      </c>
      <c r="R177" s="225"/>
      <c r="S177" s="204">
        <f t="shared" si="235"/>
        <v>25912</v>
      </c>
      <c r="T177" s="204">
        <f t="shared" si="236"/>
        <v>25912</v>
      </c>
      <c r="U177" s="204">
        <f t="shared" si="237"/>
        <v>0</v>
      </c>
    </row>
    <row r="178" spans="4:21">
      <c r="D178" s="230">
        <v>15</v>
      </c>
      <c r="E178" s="210" t="s">
        <v>151</v>
      </c>
      <c r="F178" s="229">
        <v>2002</v>
      </c>
      <c r="G178" s="228">
        <v>12</v>
      </c>
      <c r="H178" s="209">
        <v>0</v>
      </c>
      <c r="I178" s="208" t="s">
        <v>86</v>
      </c>
      <c r="J178" s="227">
        <v>5</v>
      </c>
      <c r="K178" s="207">
        <f t="shared" si="229"/>
        <v>2007</v>
      </c>
      <c r="L178" s="206">
        <f t="shared" si="230"/>
        <v>2008</v>
      </c>
      <c r="M178" s="190">
        <v>849</v>
      </c>
      <c r="N178" s="225">
        <f t="shared" si="231"/>
        <v>849</v>
      </c>
      <c r="O178" s="225">
        <f t="shared" si="232"/>
        <v>14.15</v>
      </c>
      <c r="P178" s="204">
        <f t="shared" si="233"/>
        <v>169.8</v>
      </c>
      <c r="Q178" s="204">
        <f t="shared" si="234"/>
        <v>0</v>
      </c>
      <c r="R178" s="225"/>
      <c r="S178" s="204">
        <f t="shared" si="235"/>
        <v>849</v>
      </c>
      <c r="T178" s="204">
        <f t="shared" si="236"/>
        <v>849</v>
      </c>
      <c r="U178" s="204">
        <f t="shared" si="237"/>
        <v>0</v>
      </c>
    </row>
    <row r="179" spans="4:21">
      <c r="E179" s="210" t="s">
        <v>152</v>
      </c>
      <c r="F179" s="229">
        <v>2002</v>
      </c>
      <c r="G179" s="228">
        <v>12</v>
      </c>
      <c r="H179" s="209">
        <v>0</v>
      </c>
      <c r="I179" s="208" t="s">
        <v>86</v>
      </c>
      <c r="J179" s="227">
        <v>5</v>
      </c>
      <c r="K179" s="207">
        <f t="shared" si="229"/>
        <v>2007</v>
      </c>
      <c r="L179" s="206">
        <f t="shared" si="230"/>
        <v>2008</v>
      </c>
      <c r="M179" s="190">
        <f>1019+212+1420+3134</f>
        <v>5785</v>
      </c>
      <c r="N179" s="225">
        <f t="shared" si="231"/>
        <v>5785</v>
      </c>
      <c r="O179" s="225">
        <f t="shared" si="232"/>
        <v>96.416666666666671</v>
      </c>
      <c r="P179" s="204">
        <f t="shared" si="233"/>
        <v>1157</v>
      </c>
      <c r="Q179" s="204">
        <f t="shared" si="234"/>
        <v>0</v>
      </c>
      <c r="R179" s="225"/>
      <c r="S179" s="204">
        <f t="shared" si="235"/>
        <v>5785</v>
      </c>
      <c r="T179" s="204">
        <f t="shared" si="236"/>
        <v>5785</v>
      </c>
      <c r="U179" s="204">
        <f t="shared" si="237"/>
        <v>0</v>
      </c>
    </row>
    <row r="180" spans="4:21">
      <c r="E180" s="210" t="s">
        <v>153</v>
      </c>
      <c r="F180" s="229">
        <v>2003</v>
      </c>
      <c r="G180" s="228">
        <v>12</v>
      </c>
      <c r="H180" s="209">
        <v>0</v>
      </c>
      <c r="I180" s="208" t="s">
        <v>86</v>
      </c>
      <c r="J180" s="227">
        <v>10</v>
      </c>
      <c r="K180" s="207">
        <f t="shared" si="229"/>
        <v>2013</v>
      </c>
      <c r="L180" s="206">
        <f t="shared" si="230"/>
        <v>2014</v>
      </c>
      <c r="M180" s="190">
        <v>649</v>
      </c>
      <c r="N180" s="225">
        <f t="shared" si="231"/>
        <v>649</v>
      </c>
      <c r="O180" s="225">
        <f t="shared" si="232"/>
        <v>5.4083333333333341</v>
      </c>
      <c r="P180" s="204">
        <f t="shared" si="233"/>
        <v>64.900000000000006</v>
      </c>
      <c r="Q180" s="204">
        <f t="shared" si="234"/>
        <v>0</v>
      </c>
      <c r="R180" s="225"/>
      <c r="S180" s="204">
        <f t="shared" si="235"/>
        <v>649</v>
      </c>
      <c r="T180" s="204">
        <f t="shared" si="236"/>
        <v>649</v>
      </c>
      <c r="U180" s="204">
        <f t="shared" si="237"/>
        <v>0</v>
      </c>
    </row>
    <row r="181" spans="4:21">
      <c r="D181" s="230">
        <v>30</v>
      </c>
      <c r="E181" s="210" t="s">
        <v>154</v>
      </c>
      <c r="F181" s="229">
        <v>2003</v>
      </c>
      <c r="G181" s="228">
        <v>12</v>
      </c>
      <c r="H181" s="209">
        <v>0</v>
      </c>
      <c r="I181" s="208" t="s">
        <v>86</v>
      </c>
      <c r="J181" s="227">
        <v>10</v>
      </c>
      <c r="K181" s="207">
        <f t="shared" si="229"/>
        <v>2013</v>
      </c>
      <c r="L181" s="206">
        <f t="shared" si="230"/>
        <v>2014</v>
      </c>
      <c r="M181" s="190">
        <v>10240</v>
      </c>
      <c r="N181" s="225">
        <f t="shared" si="231"/>
        <v>10240</v>
      </c>
      <c r="O181" s="225">
        <f t="shared" si="232"/>
        <v>85.333333333333329</v>
      </c>
      <c r="P181" s="204">
        <f t="shared" si="233"/>
        <v>1024</v>
      </c>
      <c r="Q181" s="204">
        <f t="shared" si="234"/>
        <v>0</v>
      </c>
      <c r="R181" s="225"/>
      <c r="S181" s="204">
        <f t="shared" si="235"/>
        <v>10240</v>
      </c>
      <c r="T181" s="204">
        <f t="shared" si="236"/>
        <v>10240</v>
      </c>
      <c r="U181" s="204">
        <f t="shared" si="237"/>
        <v>0</v>
      </c>
    </row>
    <row r="182" spans="4:21">
      <c r="D182" s="230">
        <v>17</v>
      </c>
      <c r="E182" s="210" t="s">
        <v>155</v>
      </c>
      <c r="F182" s="229">
        <v>2003</v>
      </c>
      <c r="G182" s="228">
        <v>12</v>
      </c>
      <c r="H182" s="209">
        <v>0</v>
      </c>
      <c r="I182" s="208" t="s">
        <v>86</v>
      </c>
      <c r="J182" s="227">
        <v>10</v>
      </c>
      <c r="K182" s="207">
        <f t="shared" si="229"/>
        <v>2013</v>
      </c>
      <c r="L182" s="206">
        <f t="shared" si="230"/>
        <v>2014</v>
      </c>
      <c r="M182" s="190">
        <v>5623</v>
      </c>
      <c r="N182" s="225">
        <f t="shared" si="231"/>
        <v>5623</v>
      </c>
      <c r="O182" s="225">
        <f t="shared" si="232"/>
        <v>46.858333333333327</v>
      </c>
      <c r="P182" s="204">
        <f t="shared" si="233"/>
        <v>562.29999999999995</v>
      </c>
      <c r="Q182" s="204">
        <f t="shared" si="234"/>
        <v>0</v>
      </c>
      <c r="R182" s="225"/>
      <c r="S182" s="204">
        <f t="shared" si="235"/>
        <v>5623</v>
      </c>
      <c r="T182" s="204">
        <f t="shared" si="236"/>
        <v>5623</v>
      </c>
      <c r="U182" s="204">
        <f t="shared" si="237"/>
        <v>0</v>
      </c>
    </row>
    <row r="183" spans="4:21">
      <c r="D183" s="230">
        <v>30</v>
      </c>
      <c r="E183" s="210" t="s">
        <v>156</v>
      </c>
      <c r="F183" s="229">
        <v>2004</v>
      </c>
      <c r="G183" s="228">
        <v>5</v>
      </c>
      <c r="H183" s="209">
        <v>0</v>
      </c>
      <c r="I183" s="208" t="s">
        <v>86</v>
      </c>
      <c r="J183" s="227">
        <v>7</v>
      </c>
      <c r="K183" s="207">
        <f t="shared" si="229"/>
        <v>2011</v>
      </c>
      <c r="L183" s="206">
        <f t="shared" ref="L183:L242" si="238">+K183+(G183/12)</f>
        <v>2011.4166666666667</v>
      </c>
      <c r="M183" s="190">
        <v>4101</v>
      </c>
      <c r="N183" s="225">
        <f t="shared" si="231"/>
        <v>4101</v>
      </c>
      <c r="O183" s="225">
        <f t="shared" si="232"/>
        <v>48.821428571428577</v>
      </c>
      <c r="P183" s="204">
        <f t="shared" ref="P183:P219" si="239">+O183*12</f>
        <v>585.85714285714289</v>
      </c>
      <c r="Q183" s="204">
        <f t="shared" si="234"/>
        <v>0</v>
      </c>
      <c r="R183" s="225"/>
      <c r="S183" s="204">
        <f t="shared" ref="S183:S219" si="240">+IF(Q183=0,M183,IF($N$3-F183&lt;1,0,(($N$3-F183)*P183)))</f>
        <v>4101</v>
      </c>
      <c r="T183" s="204">
        <f t="shared" ref="T183:T219" si="241">+IF(Q183=0,S183,S183+Q183)</f>
        <v>4101</v>
      </c>
      <c r="U183" s="204">
        <f t="shared" si="237"/>
        <v>0</v>
      </c>
    </row>
    <row r="184" spans="4:21">
      <c r="E184" s="210" t="s">
        <v>157</v>
      </c>
      <c r="F184" s="229">
        <v>2004</v>
      </c>
      <c r="G184" s="228">
        <v>5</v>
      </c>
      <c r="H184" s="209">
        <v>0</v>
      </c>
      <c r="I184" s="208" t="s">
        <v>86</v>
      </c>
      <c r="J184" s="227">
        <v>7</v>
      </c>
      <c r="K184" s="207">
        <f t="shared" si="229"/>
        <v>2011</v>
      </c>
      <c r="L184" s="206">
        <f t="shared" si="238"/>
        <v>2011.4166666666667</v>
      </c>
      <c r="M184" s="190">
        <f>3851+662</f>
        <v>4513</v>
      </c>
      <c r="N184" s="225">
        <f t="shared" si="231"/>
        <v>4513</v>
      </c>
      <c r="O184" s="225">
        <f t="shared" si="232"/>
        <v>53.726190476190474</v>
      </c>
      <c r="P184" s="204">
        <f t="shared" si="239"/>
        <v>644.71428571428567</v>
      </c>
      <c r="Q184" s="204">
        <f t="shared" si="234"/>
        <v>0</v>
      </c>
      <c r="R184" s="225"/>
      <c r="S184" s="204">
        <f t="shared" si="240"/>
        <v>4513</v>
      </c>
      <c r="T184" s="204">
        <f t="shared" si="241"/>
        <v>4513</v>
      </c>
      <c r="U184" s="204">
        <f t="shared" si="237"/>
        <v>0</v>
      </c>
    </row>
    <row r="185" spans="4:21">
      <c r="D185" s="230">
        <v>18</v>
      </c>
      <c r="E185" s="210" t="s">
        <v>158</v>
      </c>
      <c r="F185" s="229">
        <v>2004</v>
      </c>
      <c r="G185" s="228">
        <v>6</v>
      </c>
      <c r="H185" s="209">
        <v>0</v>
      </c>
      <c r="I185" s="208" t="s">
        <v>86</v>
      </c>
      <c r="J185" s="227">
        <v>10</v>
      </c>
      <c r="K185" s="207">
        <f t="shared" si="229"/>
        <v>2014</v>
      </c>
      <c r="L185" s="206">
        <f t="shared" si="238"/>
        <v>2014.5</v>
      </c>
      <c r="M185" s="190">
        <v>7272</v>
      </c>
      <c r="N185" s="225">
        <f t="shared" si="231"/>
        <v>7272</v>
      </c>
      <c r="O185" s="225">
        <f t="shared" si="232"/>
        <v>60.6</v>
      </c>
      <c r="P185" s="204">
        <f t="shared" si="239"/>
        <v>727.2</v>
      </c>
      <c r="Q185" s="204">
        <f t="shared" si="234"/>
        <v>0</v>
      </c>
      <c r="R185" s="225"/>
      <c r="S185" s="204">
        <f t="shared" si="240"/>
        <v>7272</v>
      </c>
      <c r="T185" s="204">
        <f t="shared" si="241"/>
        <v>7272</v>
      </c>
      <c r="U185" s="204">
        <f t="shared" si="237"/>
        <v>0</v>
      </c>
    </row>
    <row r="186" spans="4:21">
      <c r="D186" s="230">
        <v>5</v>
      </c>
      <c r="E186" s="210" t="s">
        <v>159</v>
      </c>
      <c r="F186" s="229">
        <v>2004</v>
      </c>
      <c r="G186" s="228">
        <v>6</v>
      </c>
      <c r="H186" s="209">
        <v>0</v>
      </c>
      <c r="I186" s="208" t="s">
        <v>86</v>
      </c>
      <c r="J186" s="227">
        <v>10</v>
      </c>
      <c r="K186" s="207">
        <f t="shared" ref="K186:K219" si="242">F186+J186</f>
        <v>2014</v>
      </c>
      <c r="L186" s="206">
        <f t="shared" si="238"/>
        <v>2014.5</v>
      </c>
      <c r="M186" s="190">
        <v>1875</v>
      </c>
      <c r="N186" s="225">
        <f t="shared" ref="N186:N219" si="243">M186-M186*H186</f>
        <v>1875</v>
      </c>
      <c r="O186" s="225">
        <f t="shared" ref="O186:O219" si="244">N186/J186/12</f>
        <v>15.625</v>
      </c>
      <c r="P186" s="204">
        <f t="shared" si="239"/>
        <v>187.5</v>
      </c>
      <c r="Q186" s="204">
        <f t="shared" ref="Q186:Q226" si="245">+IF(L186&lt;=$N$5,0,IF(K186&gt;$N$4,P186,(O186*G186)))</f>
        <v>0</v>
      </c>
      <c r="R186" s="225"/>
      <c r="S186" s="204">
        <f t="shared" si="240"/>
        <v>1875</v>
      </c>
      <c r="T186" s="204">
        <f t="shared" si="241"/>
        <v>1875</v>
      </c>
      <c r="U186" s="204">
        <f t="shared" ref="U186:U226" si="246">M186-T186</f>
        <v>0</v>
      </c>
    </row>
    <row r="187" spans="4:21">
      <c r="E187" s="210" t="s">
        <v>157</v>
      </c>
      <c r="F187" s="229">
        <v>2004</v>
      </c>
      <c r="G187" s="228">
        <v>8</v>
      </c>
      <c r="H187" s="209">
        <v>0</v>
      </c>
      <c r="I187" s="208" t="s">
        <v>86</v>
      </c>
      <c r="J187" s="227">
        <v>7</v>
      </c>
      <c r="K187" s="207">
        <f t="shared" si="242"/>
        <v>2011</v>
      </c>
      <c r="L187" s="206">
        <f t="shared" si="238"/>
        <v>2011.6666666666667</v>
      </c>
      <c r="M187" s="190">
        <f>993+1189+1323+1195</f>
        <v>4700</v>
      </c>
      <c r="N187" s="225">
        <f t="shared" si="243"/>
        <v>4700</v>
      </c>
      <c r="O187" s="225">
        <f t="shared" si="244"/>
        <v>55.952380952380956</v>
      </c>
      <c r="P187" s="204">
        <f t="shared" si="239"/>
        <v>671.42857142857144</v>
      </c>
      <c r="Q187" s="204">
        <f t="shared" si="245"/>
        <v>0</v>
      </c>
      <c r="R187" s="225"/>
      <c r="S187" s="204">
        <f t="shared" si="240"/>
        <v>4700</v>
      </c>
      <c r="T187" s="204">
        <f t="shared" si="241"/>
        <v>4700</v>
      </c>
      <c r="U187" s="204">
        <f t="shared" si="246"/>
        <v>0</v>
      </c>
    </row>
    <row r="188" spans="4:21">
      <c r="D188" s="230">
        <v>24</v>
      </c>
      <c r="E188" s="210" t="s">
        <v>158</v>
      </c>
      <c r="F188" s="229">
        <v>2005</v>
      </c>
      <c r="G188" s="228">
        <v>7</v>
      </c>
      <c r="H188" s="209">
        <v>0</v>
      </c>
      <c r="I188" s="208" t="s">
        <v>86</v>
      </c>
      <c r="J188" s="227">
        <v>10</v>
      </c>
      <c r="K188" s="207">
        <f t="shared" si="242"/>
        <v>2015</v>
      </c>
      <c r="L188" s="206">
        <f t="shared" si="238"/>
        <v>2015.5833333333333</v>
      </c>
      <c r="M188" s="190">
        <v>10944</v>
      </c>
      <c r="N188" s="225">
        <f t="shared" si="243"/>
        <v>10944</v>
      </c>
      <c r="O188" s="225">
        <f t="shared" si="244"/>
        <v>91.2</v>
      </c>
      <c r="P188" s="204">
        <f t="shared" si="239"/>
        <v>1094.4000000000001</v>
      </c>
      <c r="Q188" s="204">
        <f t="shared" si="245"/>
        <v>0</v>
      </c>
      <c r="R188" s="225"/>
      <c r="S188" s="204">
        <f t="shared" si="240"/>
        <v>10944</v>
      </c>
      <c r="T188" s="204">
        <f t="shared" si="241"/>
        <v>10944</v>
      </c>
      <c r="U188" s="204">
        <f t="shared" si="246"/>
        <v>0</v>
      </c>
    </row>
    <row r="189" spans="4:21">
      <c r="D189" s="230">
        <v>9</v>
      </c>
      <c r="E189" s="210" t="s">
        <v>159</v>
      </c>
      <c r="F189" s="229">
        <v>2005</v>
      </c>
      <c r="G189" s="228">
        <v>7</v>
      </c>
      <c r="H189" s="209">
        <v>0</v>
      </c>
      <c r="I189" s="208" t="s">
        <v>86</v>
      </c>
      <c r="J189" s="227">
        <v>10</v>
      </c>
      <c r="K189" s="207">
        <f t="shared" si="242"/>
        <v>2015</v>
      </c>
      <c r="L189" s="206">
        <f t="shared" si="238"/>
        <v>2015.5833333333333</v>
      </c>
      <c r="M189" s="190">
        <v>3933</v>
      </c>
      <c r="N189" s="225">
        <f t="shared" si="243"/>
        <v>3933</v>
      </c>
      <c r="O189" s="225">
        <f t="shared" si="244"/>
        <v>32.774999999999999</v>
      </c>
      <c r="P189" s="204">
        <f t="shared" si="239"/>
        <v>393.29999999999995</v>
      </c>
      <c r="Q189" s="204">
        <f t="shared" si="245"/>
        <v>0</v>
      </c>
      <c r="R189" s="225"/>
      <c r="S189" s="204">
        <f t="shared" si="240"/>
        <v>3933</v>
      </c>
      <c r="T189" s="204">
        <f t="shared" si="241"/>
        <v>3933</v>
      </c>
      <c r="U189" s="204">
        <f t="shared" si="246"/>
        <v>0</v>
      </c>
    </row>
    <row r="190" spans="4:21">
      <c r="D190" s="230">
        <v>50</v>
      </c>
      <c r="E190" s="210" t="s">
        <v>158</v>
      </c>
      <c r="F190" s="229">
        <v>2006</v>
      </c>
      <c r="G190" s="228">
        <v>3</v>
      </c>
      <c r="H190" s="209">
        <v>0</v>
      </c>
      <c r="I190" s="208" t="s">
        <v>86</v>
      </c>
      <c r="J190" s="227">
        <v>10</v>
      </c>
      <c r="K190" s="207">
        <f t="shared" si="242"/>
        <v>2016</v>
      </c>
      <c r="L190" s="206">
        <f t="shared" si="238"/>
        <v>2016.25</v>
      </c>
      <c r="M190" s="190">
        <f>435*50</f>
        <v>21750</v>
      </c>
      <c r="N190" s="225">
        <f t="shared" si="243"/>
        <v>21750</v>
      </c>
      <c r="O190" s="225">
        <f t="shared" si="244"/>
        <v>181.25</v>
      </c>
      <c r="P190" s="204">
        <f t="shared" si="239"/>
        <v>2175</v>
      </c>
      <c r="Q190" s="204">
        <f t="shared" si="245"/>
        <v>0</v>
      </c>
      <c r="R190" s="225"/>
      <c r="S190" s="204">
        <f t="shared" si="240"/>
        <v>21750</v>
      </c>
      <c r="T190" s="204">
        <f t="shared" si="241"/>
        <v>21750</v>
      </c>
      <c r="U190" s="204">
        <f t="shared" si="246"/>
        <v>0</v>
      </c>
    </row>
    <row r="191" spans="4:21">
      <c r="D191" s="230">
        <v>20</v>
      </c>
      <c r="E191" s="210" t="s">
        <v>159</v>
      </c>
      <c r="F191" s="229">
        <v>2006</v>
      </c>
      <c r="G191" s="228">
        <v>3</v>
      </c>
      <c r="H191" s="209">
        <v>0</v>
      </c>
      <c r="I191" s="208" t="s">
        <v>86</v>
      </c>
      <c r="J191" s="227">
        <v>10</v>
      </c>
      <c r="K191" s="207">
        <f t="shared" si="242"/>
        <v>2016</v>
      </c>
      <c r="L191" s="206">
        <f t="shared" si="238"/>
        <v>2016.25</v>
      </c>
      <c r="M191" s="190">
        <f>415*20</f>
        <v>8300</v>
      </c>
      <c r="N191" s="225">
        <f t="shared" si="243"/>
        <v>8300</v>
      </c>
      <c r="O191" s="225">
        <f t="shared" si="244"/>
        <v>69.166666666666671</v>
      </c>
      <c r="P191" s="204">
        <f t="shared" si="239"/>
        <v>830</v>
      </c>
      <c r="Q191" s="204">
        <f t="shared" si="245"/>
        <v>0</v>
      </c>
      <c r="R191" s="225"/>
      <c r="S191" s="204">
        <f t="shared" si="240"/>
        <v>8300</v>
      </c>
      <c r="T191" s="204">
        <f t="shared" si="241"/>
        <v>8300</v>
      </c>
      <c r="U191" s="204">
        <f t="shared" si="246"/>
        <v>0</v>
      </c>
    </row>
    <row r="192" spans="4:21">
      <c r="D192" s="230">
        <v>53</v>
      </c>
      <c r="E192" s="210" t="s">
        <v>160</v>
      </c>
      <c r="F192" s="229">
        <v>2007</v>
      </c>
      <c r="G192" s="228">
        <v>5</v>
      </c>
      <c r="H192" s="209">
        <v>0</v>
      </c>
      <c r="I192" s="208" t="s">
        <v>86</v>
      </c>
      <c r="J192" s="227">
        <v>10</v>
      </c>
      <c r="K192" s="207">
        <f t="shared" si="242"/>
        <v>2017</v>
      </c>
      <c r="L192" s="206">
        <f t="shared" si="238"/>
        <v>2017.4166666666667</v>
      </c>
      <c r="M192" s="190">
        <v>22048</v>
      </c>
      <c r="N192" s="225">
        <f t="shared" si="243"/>
        <v>22048</v>
      </c>
      <c r="O192" s="225">
        <f t="shared" si="244"/>
        <v>183.73333333333335</v>
      </c>
      <c r="P192" s="204">
        <f t="shared" si="239"/>
        <v>2204.8000000000002</v>
      </c>
      <c r="Q192" s="204">
        <f t="shared" si="245"/>
        <v>0</v>
      </c>
      <c r="R192" s="225"/>
      <c r="S192" s="204">
        <f t="shared" si="240"/>
        <v>22048</v>
      </c>
      <c r="T192" s="204">
        <f t="shared" si="241"/>
        <v>22048</v>
      </c>
      <c r="U192" s="204">
        <f t="shared" si="246"/>
        <v>0</v>
      </c>
    </row>
    <row r="193" spans="2:21">
      <c r="D193" s="230">
        <v>26</v>
      </c>
      <c r="E193" s="210" t="s">
        <v>161</v>
      </c>
      <c r="F193" s="229">
        <v>2007</v>
      </c>
      <c r="G193" s="228">
        <v>5</v>
      </c>
      <c r="H193" s="209">
        <v>0</v>
      </c>
      <c r="I193" s="208" t="s">
        <v>86</v>
      </c>
      <c r="J193" s="227">
        <v>10</v>
      </c>
      <c r="K193" s="207">
        <f t="shared" si="242"/>
        <v>2017</v>
      </c>
      <c r="L193" s="206">
        <f t="shared" si="238"/>
        <v>2017.4166666666667</v>
      </c>
      <c r="M193" s="190">
        <v>10348</v>
      </c>
      <c r="N193" s="225">
        <f t="shared" si="243"/>
        <v>10348</v>
      </c>
      <c r="O193" s="225">
        <f t="shared" si="244"/>
        <v>86.233333333333334</v>
      </c>
      <c r="P193" s="204">
        <f t="shared" si="239"/>
        <v>1034.8</v>
      </c>
      <c r="Q193" s="204">
        <f t="shared" si="245"/>
        <v>0</v>
      </c>
      <c r="R193" s="225"/>
      <c r="S193" s="204">
        <f t="shared" si="240"/>
        <v>10348</v>
      </c>
      <c r="T193" s="204">
        <f t="shared" si="241"/>
        <v>10348</v>
      </c>
      <c r="U193" s="204">
        <f t="shared" si="246"/>
        <v>0</v>
      </c>
    </row>
    <row r="194" spans="2:21">
      <c r="D194" s="230">
        <v>25</v>
      </c>
      <c r="E194" s="210" t="s">
        <v>162</v>
      </c>
      <c r="F194" s="229">
        <v>2007</v>
      </c>
      <c r="G194" s="228">
        <v>11</v>
      </c>
      <c r="H194" s="209">
        <v>0</v>
      </c>
      <c r="I194" s="208" t="s">
        <v>86</v>
      </c>
      <c r="J194" s="227">
        <v>10</v>
      </c>
      <c r="K194" s="207">
        <f t="shared" si="242"/>
        <v>2017</v>
      </c>
      <c r="L194" s="206">
        <f t="shared" si="238"/>
        <v>2017.9166666666667</v>
      </c>
      <c r="M194" s="190">
        <f>416*25</f>
        <v>10400</v>
      </c>
      <c r="N194" s="225">
        <f t="shared" si="243"/>
        <v>10400</v>
      </c>
      <c r="O194" s="225">
        <f t="shared" si="244"/>
        <v>86.666666666666671</v>
      </c>
      <c r="P194" s="204">
        <f t="shared" si="239"/>
        <v>1040</v>
      </c>
      <c r="Q194" s="204">
        <f t="shared" si="245"/>
        <v>0</v>
      </c>
      <c r="R194" s="225"/>
      <c r="S194" s="204">
        <f t="shared" si="240"/>
        <v>10400</v>
      </c>
      <c r="T194" s="204">
        <f t="shared" si="241"/>
        <v>10400</v>
      </c>
      <c r="U194" s="204">
        <f t="shared" si="246"/>
        <v>0</v>
      </c>
    </row>
    <row r="195" spans="2:21">
      <c r="D195" s="230">
        <v>7</v>
      </c>
      <c r="E195" s="210" t="s">
        <v>163</v>
      </c>
      <c r="F195" s="229">
        <v>2007</v>
      </c>
      <c r="G195" s="228">
        <v>11</v>
      </c>
      <c r="H195" s="209">
        <v>0</v>
      </c>
      <c r="I195" s="208" t="s">
        <v>86</v>
      </c>
      <c r="J195" s="227">
        <v>10</v>
      </c>
      <c r="K195" s="207">
        <f t="shared" si="242"/>
        <v>2017</v>
      </c>
      <c r="L195" s="206">
        <f t="shared" si="238"/>
        <v>2017.9166666666667</v>
      </c>
      <c r="M195" s="190">
        <f>398*7</f>
        <v>2786</v>
      </c>
      <c r="N195" s="225">
        <f t="shared" si="243"/>
        <v>2786</v>
      </c>
      <c r="O195" s="225">
        <f t="shared" si="244"/>
        <v>23.216666666666669</v>
      </c>
      <c r="P195" s="204">
        <f t="shared" si="239"/>
        <v>278.60000000000002</v>
      </c>
      <c r="Q195" s="204">
        <f t="shared" si="245"/>
        <v>0</v>
      </c>
      <c r="R195" s="225"/>
      <c r="S195" s="204">
        <f t="shared" si="240"/>
        <v>2786</v>
      </c>
      <c r="T195" s="204">
        <f t="shared" si="241"/>
        <v>2786</v>
      </c>
      <c r="U195" s="204">
        <f t="shared" si="246"/>
        <v>0</v>
      </c>
    </row>
    <row r="196" spans="2:21">
      <c r="D196" s="230">
        <v>11</v>
      </c>
      <c r="E196" s="210" t="s">
        <v>164</v>
      </c>
      <c r="F196" s="229">
        <v>2008</v>
      </c>
      <c r="G196" s="228">
        <v>9</v>
      </c>
      <c r="H196" s="209">
        <v>0</v>
      </c>
      <c r="I196" s="208" t="s">
        <v>86</v>
      </c>
      <c r="J196" s="227">
        <v>10</v>
      </c>
      <c r="K196" s="207">
        <f t="shared" si="242"/>
        <v>2018</v>
      </c>
      <c r="L196" s="206">
        <f t="shared" si="238"/>
        <v>2018.75</v>
      </c>
      <c r="M196" s="190">
        <f>479*11+859</f>
        <v>6128</v>
      </c>
      <c r="N196" s="225">
        <f t="shared" si="243"/>
        <v>6128</v>
      </c>
      <c r="O196" s="225">
        <f t="shared" si="244"/>
        <v>51.066666666666663</v>
      </c>
      <c r="P196" s="204">
        <f t="shared" si="239"/>
        <v>612.79999999999995</v>
      </c>
      <c r="Q196" s="204">
        <f t="shared" si="245"/>
        <v>0</v>
      </c>
      <c r="R196" s="225"/>
      <c r="S196" s="204">
        <f t="shared" si="240"/>
        <v>6128</v>
      </c>
      <c r="T196" s="204">
        <f t="shared" si="241"/>
        <v>6128</v>
      </c>
      <c r="U196" s="204">
        <f t="shared" si="246"/>
        <v>0</v>
      </c>
    </row>
    <row r="197" spans="2:21">
      <c r="D197" s="230">
        <v>21</v>
      </c>
      <c r="E197" s="210" t="s">
        <v>165</v>
      </c>
      <c r="F197" s="229">
        <v>2008</v>
      </c>
      <c r="G197" s="228">
        <v>9</v>
      </c>
      <c r="H197" s="209">
        <v>0</v>
      </c>
      <c r="I197" s="208" t="s">
        <v>86</v>
      </c>
      <c r="J197" s="227">
        <v>10</v>
      </c>
      <c r="K197" s="207">
        <f t="shared" si="242"/>
        <v>2018</v>
      </c>
      <c r="L197" s="206">
        <f t="shared" si="238"/>
        <v>2018.75</v>
      </c>
      <c r="M197" s="190">
        <f>499*21+1341</f>
        <v>11820</v>
      </c>
      <c r="N197" s="225">
        <f t="shared" si="243"/>
        <v>11820</v>
      </c>
      <c r="O197" s="225">
        <f t="shared" si="244"/>
        <v>98.5</v>
      </c>
      <c r="P197" s="204">
        <f t="shared" si="239"/>
        <v>1182</v>
      </c>
      <c r="Q197" s="204">
        <f t="shared" si="245"/>
        <v>0</v>
      </c>
      <c r="R197" s="225"/>
      <c r="S197" s="204">
        <f t="shared" si="240"/>
        <v>11820</v>
      </c>
      <c r="T197" s="204">
        <f t="shared" si="241"/>
        <v>11820</v>
      </c>
      <c r="U197" s="204">
        <f t="shared" si="246"/>
        <v>0</v>
      </c>
    </row>
    <row r="198" spans="2:21">
      <c r="B198" s="230">
        <v>237932</v>
      </c>
      <c r="D198" s="230">
        <v>1</v>
      </c>
      <c r="E198" s="210" t="s">
        <v>575</v>
      </c>
      <c r="F198" s="229">
        <v>2008</v>
      </c>
      <c r="G198" s="228">
        <v>11</v>
      </c>
      <c r="H198" s="209">
        <v>0</v>
      </c>
      <c r="I198" s="208" t="s">
        <v>86</v>
      </c>
      <c r="J198" s="227">
        <v>7</v>
      </c>
      <c r="K198" s="207">
        <f>F198+J198</f>
        <v>2015</v>
      </c>
      <c r="L198" s="206">
        <f>+K198+(G198/12)</f>
        <v>2015.9166666666667</v>
      </c>
      <c r="M198" s="235">
        <v>624.67999999999995</v>
      </c>
      <c r="N198" s="204">
        <f>M198-M198*H198</f>
        <v>624.67999999999995</v>
      </c>
      <c r="O198" s="204">
        <f>N198/J198/12</f>
        <v>7.4366666666666665</v>
      </c>
      <c r="P198" s="204">
        <f>+O198*12</f>
        <v>89.24</v>
      </c>
      <c r="Q198" s="204">
        <f>+IF(L198&lt;=$N$5,0,IF(K198&gt;$N$4,P198,(O198*G198)))</f>
        <v>0</v>
      </c>
      <c r="R198" s="204"/>
      <c r="S198" s="204">
        <f>+IF(Q198=0,M198,IF($N$3-F198&lt;1,0,(($N$3-F198)*P198)))</f>
        <v>624.67999999999995</v>
      </c>
      <c r="T198" s="204">
        <f>+IF(Q198=0,S198,S198+Q198)</f>
        <v>624.67999999999995</v>
      </c>
      <c r="U198" s="204">
        <f>M198-T198</f>
        <v>0</v>
      </c>
    </row>
    <row r="199" spans="2:21">
      <c r="D199" s="230">
        <v>3</v>
      </c>
      <c r="E199" s="210" t="s">
        <v>166</v>
      </c>
      <c r="F199" s="229">
        <v>2010</v>
      </c>
      <c r="G199" s="228">
        <v>5</v>
      </c>
      <c r="H199" s="209">
        <v>0</v>
      </c>
      <c r="I199" s="208" t="s">
        <v>86</v>
      </c>
      <c r="J199" s="227">
        <v>10</v>
      </c>
      <c r="K199" s="207">
        <f t="shared" si="242"/>
        <v>2020</v>
      </c>
      <c r="L199" s="206">
        <f t="shared" si="238"/>
        <v>2020.4166666666667</v>
      </c>
      <c r="M199" s="190">
        <v>1566.38</v>
      </c>
      <c r="N199" s="225">
        <f t="shared" si="243"/>
        <v>1566.38</v>
      </c>
      <c r="O199" s="225">
        <f t="shared" si="244"/>
        <v>13.053166666666668</v>
      </c>
      <c r="P199" s="204">
        <f t="shared" si="239"/>
        <v>156.63800000000001</v>
      </c>
      <c r="Q199" s="204">
        <f t="shared" si="245"/>
        <v>0</v>
      </c>
      <c r="R199" s="225"/>
      <c r="S199" s="204">
        <f t="shared" si="240"/>
        <v>1566.38</v>
      </c>
      <c r="T199" s="204">
        <f t="shared" si="241"/>
        <v>1566.38</v>
      </c>
      <c r="U199" s="204">
        <f t="shared" si="246"/>
        <v>0</v>
      </c>
    </row>
    <row r="200" spans="2:21">
      <c r="D200" s="230">
        <v>32</v>
      </c>
      <c r="E200" s="210" t="s">
        <v>167</v>
      </c>
      <c r="F200" s="229">
        <v>2010</v>
      </c>
      <c r="G200" s="228">
        <v>5</v>
      </c>
      <c r="H200" s="209">
        <v>0</v>
      </c>
      <c r="I200" s="208" t="s">
        <v>86</v>
      </c>
      <c r="J200" s="227">
        <v>10</v>
      </c>
      <c r="K200" s="207">
        <f t="shared" si="242"/>
        <v>2020</v>
      </c>
      <c r="L200" s="206">
        <f t="shared" si="238"/>
        <v>2020.4166666666667</v>
      </c>
      <c r="M200" s="190">
        <v>15312.58</v>
      </c>
      <c r="N200" s="225">
        <f t="shared" si="243"/>
        <v>15312.58</v>
      </c>
      <c r="O200" s="225">
        <f t="shared" si="244"/>
        <v>127.60483333333333</v>
      </c>
      <c r="P200" s="204">
        <f t="shared" si="239"/>
        <v>1531.258</v>
      </c>
      <c r="Q200" s="204">
        <f t="shared" si="245"/>
        <v>0</v>
      </c>
      <c r="R200" s="225"/>
      <c r="S200" s="204">
        <f t="shared" si="240"/>
        <v>15312.58</v>
      </c>
      <c r="T200" s="204">
        <f t="shared" si="241"/>
        <v>15312.58</v>
      </c>
      <c r="U200" s="204">
        <f t="shared" si="246"/>
        <v>0</v>
      </c>
    </row>
    <row r="201" spans="2:21">
      <c r="D201" s="230">
        <v>6</v>
      </c>
      <c r="E201" s="210" t="s">
        <v>168</v>
      </c>
      <c r="F201" s="229">
        <v>2010</v>
      </c>
      <c r="G201" s="228">
        <v>5</v>
      </c>
      <c r="H201" s="209">
        <v>0</v>
      </c>
      <c r="I201" s="208" t="s">
        <v>86</v>
      </c>
      <c r="J201" s="227">
        <v>10</v>
      </c>
      <c r="K201" s="207">
        <f t="shared" si="242"/>
        <v>2020</v>
      </c>
      <c r="L201" s="206">
        <f t="shared" si="238"/>
        <v>2020.4166666666667</v>
      </c>
      <c r="M201" s="190">
        <v>2610</v>
      </c>
      <c r="N201" s="225">
        <f t="shared" si="243"/>
        <v>2610</v>
      </c>
      <c r="O201" s="225">
        <f t="shared" si="244"/>
        <v>21.75</v>
      </c>
      <c r="P201" s="204">
        <f t="shared" si="239"/>
        <v>261</v>
      </c>
      <c r="Q201" s="204">
        <f t="shared" si="245"/>
        <v>0</v>
      </c>
      <c r="R201" s="225"/>
      <c r="S201" s="204">
        <f t="shared" si="240"/>
        <v>2610</v>
      </c>
      <c r="T201" s="204">
        <f t="shared" si="241"/>
        <v>2610</v>
      </c>
      <c r="U201" s="204">
        <f t="shared" si="246"/>
        <v>0</v>
      </c>
    </row>
    <row r="202" spans="2:21">
      <c r="D202" s="230">
        <v>12</v>
      </c>
      <c r="E202" s="210" t="s">
        <v>169</v>
      </c>
      <c r="F202" s="229">
        <v>2011</v>
      </c>
      <c r="G202" s="228">
        <v>5</v>
      </c>
      <c r="H202" s="209">
        <v>0</v>
      </c>
      <c r="I202" s="208" t="s">
        <v>86</v>
      </c>
      <c r="J202" s="227">
        <v>7</v>
      </c>
      <c r="K202" s="207">
        <f t="shared" si="242"/>
        <v>2018</v>
      </c>
      <c r="L202" s="206">
        <f t="shared" si="238"/>
        <v>2018.4166666666667</v>
      </c>
      <c r="M202" s="190">
        <f>32650.3/351*12</f>
        <v>1116.2495726495727</v>
      </c>
      <c r="N202" s="225">
        <f t="shared" si="243"/>
        <v>1116.2495726495727</v>
      </c>
      <c r="O202" s="225">
        <f t="shared" si="244"/>
        <v>13.288685388685389</v>
      </c>
      <c r="P202" s="204">
        <f t="shared" si="239"/>
        <v>159.46422466422467</v>
      </c>
      <c r="Q202" s="204">
        <f t="shared" si="245"/>
        <v>0</v>
      </c>
      <c r="R202" s="225"/>
      <c r="S202" s="204">
        <f t="shared" si="240"/>
        <v>1116.2495726495727</v>
      </c>
      <c r="T202" s="204">
        <f t="shared" si="241"/>
        <v>1116.2495726495727</v>
      </c>
      <c r="U202" s="204">
        <f t="shared" si="246"/>
        <v>0</v>
      </c>
    </row>
    <row r="203" spans="2:21">
      <c r="D203" s="230">
        <v>6</v>
      </c>
      <c r="E203" s="210" t="s">
        <v>170</v>
      </c>
      <c r="F203" s="229">
        <v>2011</v>
      </c>
      <c r="G203" s="228">
        <v>5</v>
      </c>
      <c r="H203" s="209">
        <v>0</v>
      </c>
      <c r="I203" s="208" t="s">
        <v>86</v>
      </c>
      <c r="J203" s="227">
        <v>10</v>
      </c>
      <c r="K203" s="207">
        <f t="shared" si="242"/>
        <v>2021</v>
      </c>
      <c r="L203" s="206">
        <f t="shared" si="238"/>
        <v>2021.4166666666667</v>
      </c>
      <c r="M203" s="190">
        <v>2610</v>
      </c>
      <c r="N203" s="225">
        <f t="shared" si="243"/>
        <v>2610</v>
      </c>
      <c r="O203" s="225">
        <f t="shared" si="244"/>
        <v>21.75</v>
      </c>
      <c r="P203" s="204">
        <f t="shared" si="239"/>
        <v>261</v>
      </c>
      <c r="Q203" s="204">
        <f t="shared" si="245"/>
        <v>108.75</v>
      </c>
      <c r="R203" s="225"/>
      <c r="S203" s="204">
        <f t="shared" si="240"/>
        <v>2349</v>
      </c>
      <c r="T203" s="204">
        <f t="shared" si="241"/>
        <v>2457.75</v>
      </c>
      <c r="U203" s="204">
        <f t="shared" si="246"/>
        <v>152.25</v>
      </c>
    </row>
    <row r="204" spans="2:21">
      <c r="D204" s="230">
        <v>66</v>
      </c>
      <c r="E204" s="210" t="s">
        <v>171</v>
      </c>
      <c r="F204" s="229">
        <v>2011</v>
      </c>
      <c r="G204" s="228">
        <v>6</v>
      </c>
      <c r="H204" s="209">
        <v>0</v>
      </c>
      <c r="I204" s="208" t="s">
        <v>86</v>
      </c>
      <c r="J204" s="227">
        <v>10</v>
      </c>
      <c r="K204" s="207">
        <f t="shared" si="242"/>
        <v>2021</v>
      </c>
      <c r="L204" s="206">
        <f t="shared" si="238"/>
        <v>2021.5</v>
      </c>
      <c r="M204" s="190">
        <v>30588.26</v>
      </c>
      <c r="N204" s="225">
        <f t="shared" si="243"/>
        <v>30588.26</v>
      </c>
      <c r="O204" s="225">
        <f t="shared" si="244"/>
        <v>254.90216666666666</v>
      </c>
      <c r="P204" s="204">
        <f t="shared" si="239"/>
        <v>3058.826</v>
      </c>
      <c r="Q204" s="204">
        <f t="shared" si="245"/>
        <v>1529.413</v>
      </c>
      <c r="R204" s="225"/>
      <c r="S204" s="204">
        <f t="shared" si="240"/>
        <v>27529.434000000001</v>
      </c>
      <c r="T204" s="204">
        <f t="shared" si="241"/>
        <v>29058.847000000002</v>
      </c>
      <c r="U204" s="204">
        <f t="shared" si="246"/>
        <v>1529.4129999999968</v>
      </c>
    </row>
    <row r="205" spans="2:21">
      <c r="B205" s="230">
        <v>238069</v>
      </c>
      <c r="D205" s="230">
        <v>19</v>
      </c>
      <c r="E205" s="210" t="s">
        <v>574</v>
      </c>
      <c r="F205" s="229">
        <v>2011</v>
      </c>
      <c r="G205" s="228">
        <v>1</v>
      </c>
      <c r="H205" s="209">
        <v>0</v>
      </c>
      <c r="I205" s="208" t="s">
        <v>86</v>
      </c>
      <c r="J205" s="227">
        <v>3</v>
      </c>
      <c r="K205" s="207">
        <f>F205+J205</f>
        <v>2014</v>
      </c>
      <c r="L205" s="206">
        <f>+K205+(G205/12)</f>
        <v>2014.0833333333333</v>
      </c>
      <c r="M205" s="235">
        <v>0.03</v>
      </c>
      <c r="N205" s="204">
        <f>M205-M205*H205</f>
        <v>0.03</v>
      </c>
      <c r="O205" s="204">
        <f>N205/J205/12</f>
        <v>8.3333333333333339E-4</v>
      </c>
      <c r="P205" s="204">
        <f>+O205*12</f>
        <v>0.01</v>
      </c>
      <c r="Q205" s="204">
        <f>+IF(L205&lt;=$N$5,0,IF(K205&gt;$N$4,P205,(O205*G205)))</f>
        <v>0</v>
      </c>
      <c r="R205" s="204"/>
      <c r="S205" s="204">
        <f>+IF(Q205=0,M205,IF($N$3-F205&lt;1,0,(($N$3-F205)*P205)))</f>
        <v>0.03</v>
      </c>
      <c r="T205" s="204">
        <f>+IF(Q205=0,S205,S205+Q205)</f>
        <v>0.03</v>
      </c>
      <c r="U205" s="204">
        <f>M205-T205</f>
        <v>0</v>
      </c>
    </row>
    <row r="206" spans="2:21">
      <c r="B206" s="230">
        <v>93744</v>
      </c>
      <c r="D206" s="230">
        <v>23</v>
      </c>
      <c r="E206" s="210" t="s">
        <v>172</v>
      </c>
      <c r="F206" s="229">
        <v>2012</v>
      </c>
      <c r="G206" s="228">
        <v>4</v>
      </c>
      <c r="H206" s="209">
        <v>0</v>
      </c>
      <c r="I206" s="208" t="s">
        <v>86</v>
      </c>
      <c r="J206" s="227">
        <v>10</v>
      </c>
      <c r="K206" s="207">
        <f t="shared" si="242"/>
        <v>2022</v>
      </c>
      <c r="L206" s="206">
        <f t="shared" si="238"/>
        <v>2022.3333333333333</v>
      </c>
      <c r="M206" s="190">
        <v>10925</v>
      </c>
      <c r="N206" s="225">
        <f t="shared" si="243"/>
        <v>10925</v>
      </c>
      <c r="O206" s="225">
        <f t="shared" si="244"/>
        <v>91.041666666666671</v>
      </c>
      <c r="P206" s="204">
        <f t="shared" si="239"/>
        <v>1092.5</v>
      </c>
      <c r="Q206" s="204">
        <f t="shared" si="245"/>
        <v>1092.5</v>
      </c>
      <c r="R206" s="225"/>
      <c r="S206" s="204">
        <f t="shared" si="240"/>
        <v>8740</v>
      </c>
      <c r="T206" s="204">
        <f t="shared" si="241"/>
        <v>9832.5</v>
      </c>
      <c r="U206" s="204">
        <f t="shared" si="246"/>
        <v>1092.5</v>
      </c>
    </row>
    <row r="207" spans="2:21">
      <c r="B207" s="230">
        <v>103832</v>
      </c>
      <c r="D207" s="230">
        <v>23</v>
      </c>
      <c r="E207" s="210" t="s">
        <v>296</v>
      </c>
      <c r="F207" s="229">
        <v>2013</v>
      </c>
      <c r="G207" s="228">
        <v>4</v>
      </c>
      <c r="H207" s="209">
        <v>0</v>
      </c>
      <c r="I207" s="208" t="s">
        <v>86</v>
      </c>
      <c r="J207" s="227">
        <v>10</v>
      </c>
      <c r="K207" s="207">
        <f t="shared" si="242"/>
        <v>2023</v>
      </c>
      <c r="L207" s="206">
        <f t="shared" si="238"/>
        <v>2023.3333333333333</v>
      </c>
      <c r="M207" s="190">
        <v>10212</v>
      </c>
      <c r="N207" s="225">
        <f t="shared" si="243"/>
        <v>10212</v>
      </c>
      <c r="O207" s="225">
        <f t="shared" si="244"/>
        <v>85.100000000000009</v>
      </c>
      <c r="P207" s="204">
        <f t="shared" si="239"/>
        <v>1021.2</v>
      </c>
      <c r="Q207" s="204">
        <f t="shared" si="245"/>
        <v>1021.2</v>
      </c>
      <c r="R207" s="225"/>
      <c r="S207" s="204">
        <f t="shared" si="240"/>
        <v>7148.4000000000005</v>
      </c>
      <c r="T207" s="204">
        <f t="shared" si="241"/>
        <v>8169.6</v>
      </c>
      <c r="U207" s="204">
        <f t="shared" si="246"/>
        <v>2042.3999999999996</v>
      </c>
    </row>
    <row r="208" spans="2:21">
      <c r="B208" s="230">
        <v>107424</v>
      </c>
      <c r="D208" s="230">
        <v>10</v>
      </c>
      <c r="E208" s="210" t="s">
        <v>299</v>
      </c>
      <c r="F208" s="229">
        <v>2013</v>
      </c>
      <c r="G208" s="228">
        <v>9</v>
      </c>
      <c r="H208" s="209">
        <v>0</v>
      </c>
      <c r="I208" s="208" t="s">
        <v>86</v>
      </c>
      <c r="J208" s="227">
        <v>10</v>
      </c>
      <c r="K208" s="207">
        <f t="shared" si="242"/>
        <v>2023</v>
      </c>
      <c r="L208" s="206">
        <f t="shared" si="238"/>
        <v>2023.75</v>
      </c>
      <c r="M208" s="190">
        <v>4100</v>
      </c>
      <c r="N208" s="225">
        <f t="shared" si="243"/>
        <v>4100</v>
      </c>
      <c r="O208" s="225">
        <f t="shared" si="244"/>
        <v>34.166666666666664</v>
      </c>
      <c r="P208" s="204">
        <f t="shared" si="239"/>
        <v>410</v>
      </c>
      <c r="Q208" s="204">
        <f t="shared" si="245"/>
        <v>410</v>
      </c>
      <c r="R208" s="225"/>
      <c r="S208" s="204">
        <f t="shared" si="240"/>
        <v>2870</v>
      </c>
      <c r="T208" s="204">
        <f t="shared" si="241"/>
        <v>3280</v>
      </c>
      <c r="U208" s="204">
        <f t="shared" si="246"/>
        <v>820</v>
      </c>
    </row>
    <row r="209" spans="2:21">
      <c r="B209" s="230">
        <v>115364</v>
      </c>
      <c r="D209" s="230">
        <v>25</v>
      </c>
      <c r="E209" s="210" t="s">
        <v>315</v>
      </c>
      <c r="F209" s="229">
        <v>2014</v>
      </c>
      <c r="G209" s="228">
        <v>8</v>
      </c>
      <c r="H209" s="209">
        <v>0</v>
      </c>
      <c r="I209" s="208" t="s">
        <v>86</v>
      </c>
      <c r="J209" s="227">
        <v>10</v>
      </c>
      <c r="K209" s="207">
        <f t="shared" si="242"/>
        <v>2024</v>
      </c>
      <c r="L209" s="206">
        <f t="shared" si="238"/>
        <v>2024.6666666666667</v>
      </c>
      <c r="M209" s="190">
        <v>11750</v>
      </c>
      <c r="N209" s="225">
        <f t="shared" si="243"/>
        <v>11750</v>
      </c>
      <c r="O209" s="225">
        <f t="shared" si="244"/>
        <v>97.916666666666671</v>
      </c>
      <c r="P209" s="204">
        <f t="shared" si="239"/>
        <v>1175</v>
      </c>
      <c r="Q209" s="204">
        <f t="shared" si="245"/>
        <v>1175</v>
      </c>
      <c r="R209" s="225"/>
      <c r="S209" s="204">
        <f t="shared" si="240"/>
        <v>7050</v>
      </c>
      <c r="T209" s="204">
        <f t="shared" si="241"/>
        <v>8225</v>
      </c>
      <c r="U209" s="204">
        <f t="shared" si="246"/>
        <v>3525</v>
      </c>
    </row>
    <row r="210" spans="2:21">
      <c r="B210" s="230">
        <v>115252</v>
      </c>
      <c r="D210" s="230">
        <v>18</v>
      </c>
      <c r="E210" s="210" t="s">
        <v>315</v>
      </c>
      <c r="F210" s="229">
        <v>2014</v>
      </c>
      <c r="G210" s="228">
        <v>8</v>
      </c>
      <c r="H210" s="209">
        <v>0</v>
      </c>
      <c r="I210" s="208" t="s">
        <v>86</v>
      </c>
      <c r="J210" s="227">
        <v>10</v>
      </c>
      <c r="K210" s="207">
        <f t="shared" si="242"/>
        <v>2024</v>
      </c>
      <c r="L210" s="206">
        <f t="shared" si="238"/>
        <v>2024.6666666666667</v>
      </c>
      <c r="M210" s="190">
        <v>8460</v>
      </c>
      <c r="N210" s="225">
        <f t="shared" si="243"/>
        <v>8460</v>
      </c>
      <c r="O210" s="225">
        <f t="shared" si="244"/>
        <v>70.5</v>
      </c>
      <c r="P210" s="204">
        <f t="shared" si="239"/>
        <v>846</v>
      </c>
      <c r="Q210" s="204">
        <f t="shared" si="245"/>
        <v>846</v>
      </c>
      <c r="R210" s="225"/>
      <c r="S210" s="204">
        <f t="shared" si="240"/>
        <v>5076</v>
      </c>
      <c r="T210" s="204">
        <f t="shared" si="241"/>
        <v>5922</v>
      </c>
      <c r="U210" s="204">
        <f t="shared" si="246"/>
        <v>2538</v>
      </c>
    </row>
    <row r="211" spans="2:21">
      <c r="B211" s="230">
        <v>115251</v>
      </c>
      <c r="D211" s="230">
        <v>35</v>
      </c>
      <c r="E211" s="210" t="s">
        <v>314</v>
      </c>
      <c r="F211" s="229">
        <v>2014</v>
      </c>
      <c r="G211" s="228">
        <v>8</v>
      </c>
      <c r="H211" s="209">
        <v>0</v>
      </c>
      <c r="I211" s="208" t="s">
        <v>86</v>
      </c>
      <c r="J211" s="227">
        <v>10</v>
      </c>
      <c r="K211" s="207">
        <f t="shared" si="242"/>
        <v>2024</v>
      </c>
      <c r="L211" s="206">
        <f t="shared" si="238"/>
        <v>2024.6666666666667</v>
      </c>
      <c r="M211" s="190">
        <v>15400</v>
      </c>
      <c r="N211" s="225">
        <f t="shared" si="243"/>
        <v>15400</v>
      </c>
      <c r="O211" s="225">
        <f t="shared" si="244"/>
        <v>128.33333333333334</v>
      </c>
      <c r="P211" s="204">
        <f t="shared" si="239"/>
        <v>1540</v>
      </c>
      <c r="Q211" s="204">
        <f t="shared" si="245"/>
        <v>1540</v>
      </c>
      <c r="R211" s="225"/>
      <c r="S211" s="204">
        <f t="shared" si="240"/>
        <v>9240</v>
      </c>
      <c r="T211" s="204">
        <f t="shared" si="241"/>
        <v>10780</v>
      </c>
      <c r="U211" s="204">
        <f t="shared" si="246"/>
        <v>4620</v>
      </c>
    </row>
    <row r="212" spans="2:21">
      <c r="B212" s="230">
        <v>124067</v>
      </c>
      <c r="D212" s="230">
        <v>25</v>
      </c>
      <c r="E212" s="210" t="s">
        <v>314</v>
      </c>
      <c r="F212" s="229">
        <v>2015</v>
      </c>
      <c r="G212" s="228">
        <v>7</v>
      </c>
      <c r="H212" s="209">
        <v>0</v>
      </c>
      <c r="I212" s="208" t="s">
        <v>86</v>
      </c>
      <c r="J212" s="227">
        <v>10</v>
      </c>
      <c r="K212" s="207">
        <f t="shared" si="242"/>
        <v>2025</v>
      </c>
      <c r="L212" s="206">
        <f t="shared" si="238"/>
        <v>2025.5833333333333</v>
      </c>
      <c r="M212" s="190">
        <v>10875</v>
      </c>
      <c r="N212" s="225">
        <f t="shared" si="243"/>
        <v>10875</v>
      </c>
      <c r="O212" s="225">
        <f t="shared" si="244"/>
        <v>90.625</v>
      </c>
      <c r="P212" s="204">
        <f t="shared" si="239"/>
        <v>1087.5</v>
      </c>
      <c r="Q212" s="204">
        <f t="shared" si="245"/>
        <v>1087.5</v>
      </c>
      <c r="R212" s="225"/>
      <c r="S212" s="204">
        <f t="shared" si="240"/>
        <v>5437.5</v>
      </c>
      <c r="T212" s="204">
        <f t="shared" si="241"/>
        <v>6525</v>
      </c>
      <c r="U212" s="204">
        <f t="shared" si="246"/>
        <v>4350</v>
      </c>
    </row>
    <row r="213" spans="2:21">
      <c r="B213" s="230">
        <v>124068</v>
      </c>
      <c r="D213" s="230">
        <v>44</v>
      </c>
      <c r="E213" s="210" t="s">
        <v>315</v>
      </c>
      <c r="F213" s="229">
        <v>2015</v>
      </c>
      <c r="G213" s="228">
        <v>7</v>
      </c>
      <c r="H213" s="209">
        <v>0</v>
      </c>
      <c r="I213" s="208" t="s">
        <v>86</v>
      </c>
      <c r="J213" s="227">
        <v>10</v>
      </c>
      <c r="K213" s="207">
        <f t="shared" si="242"/>
        <v>2025</v>
      </c>
      <c r="L213" s="206">
        <f t="shared" si="238"/>
        <v>2025.5833333333333</v>
      </c>
      <c r="M213" s="190">
        <v>20328</v>
      </c>
      <c r="N213" s="225">
        <f t="shared" si="243"/>
        <v>20328</v>
      </c>
      <c r="O213" s="225">
        <f t="shared" si="244"/>
        <v>169.4</v>
      </c>
      <c r="P213" s="204">
        <f t="shared" si="239"/>
        <v>2032.8000000000002</v>
      </c>
      <c r="Q213" s="204">
        <f t="shared" si="245"/>
        <v>2032.8000000000002</v>
      </c>
      <c r="R213" s="225"/>
      <c r="S213" s="204">
        <f t="shared" si="240"/>
        <v>10164</v>
      </c>
      <c r="T213" s="204">
        <f t="shared" si="241"/>
        <v>12196.8</v>
      </c>
      <c r="U213" s="204">
        <f t="shared" si="246"/>
        <v>8131.2000000000007</v>
      </c>
    </row>
    <row r="214" spans="2:21">
      <c r="B214" s="230" t="s">
        <v>341</v>
      </c>
      <c r="D214" s="230">
        <f>45</f>
        <v>45</v>
      </c>
      <c r="E214" s="210" t="s">
        <v>315</v>
      </c>
      <c r="F214" s="229">
        <v>2016</v>
      </c>
      <c r="G214" s="228">
        <v>2</v>
      </c>
      <c r="H214" s="209">
        <v>0</v>
      </c>
      <c r="I214" s="208" t="s">
        <v>86</v>
      </c>
      <c r="J214" s="227">
        <v>10</v>
      </c>
      <c r="K214" s="207">
        <f t="shared" si="242"/>
        <v>2026</v>
      </c>
      <c r="L214" s="206">
        <f t="shared" si="238"/>
        <v>2026.1666666666667</v>
      </c>
      <c r="M214" s="190">
        <f>20900+520</f>
        <v>21420</v>
      </c>
      <c r="N214" s="225">
        <f t="shared" si="243"/>
        <v>21420</v>
      </c>
      <c r="O214" s="225">
        <f t="shared" si="244"/>
        <v>178.5</v>
      </c>
      <c r="P214" s="204">
        <f t="shared" si="239"/>
        <v>2142</v>
      </c>
      <c r="Q214" s="204">
        <f t="shared" si="245"/>
        <v>2142</v>
      </c>
      <c r="R214" s="225"/>
      <c r="S214" s="204">
        <f t="shared" si="240"/>
        <v>8568</v>
      </c>
      <c r="T214" s="204">
        <f t="shared" si="241"/>
        <v>10710</v>
      </c>
      <c r="U214" s="204">
        <f t="shared" si="246"/>
        <v>10710</v>
      </c>
    </row>
    <row r="215" spans="2:21">
      <c r="B215" s="230" t="s">
        <v>342</v>
      </c>
      <c r="D215" s="230">
        <f>30</f>
        <v>30</v>
      </c>
      <c r="E215" s="210" t="s">
        <v>314</v>
      </c>
      <c r="F215" s="229">
        <v>2016</v>
      </c>
      <c r="G215" s="228">
        <v>2</v>
      </c>
      <c r="H215" s="209">
        <v>0</v>
      </c>
      <c r="I215" s="208" t="s">
        <v>86</v>
      </c>
      <c r="J215" s="227">
        <v>10</v>
      </c>
      <c r="K215" s="207">
        <f t="shared" si="242"/>
        <v>2026</v>
      </c>
      <c r="L215" s="206">
        <f t="shared" si="238"/>
        <v>2026.1666666666667</v>
      </c>
      <c r="M215" s="190">
        <f>11000+2200</f>
        <v>13200</v>
      </c>
      <c r="N215" s="225">
        <f t="shared" si="243"/>
        <v>13200</v>
      </c>
      <c r="O215" s="225">
        <f t="shared" si="244"/>
        <v>110</v>
      </c>
      <c r="P215" s="204">
        <f t="shared" si="239"/>
        <v>1320</v>
      </c>
      <c r="Q215" s="204">
        <f t="shared" si="245"/>
        <v>1320</v>
      </c>
      <c r="R215" s="225"/>
      <c r="S215" s="204">
        <f t="shared" si="240"/>
        <v>5280</v>
      </c>
      <c r="T215" s="204">
        <f t="shared" si="241"/>
        <v>6600</v>
      </c>
      <c r="U215" s="204">
        <f t="shared" si="246"/>
        <v>6600</v>
      </c>
    </row>
    <row r="216" spans="2:21">
      <c r="B216" s="230">
        <v>131775</v>
      </c>
      <c r="D216" s="230">
        <v>5</v>
      </c>
      <c r="E216" s="210" t="s">
        <v>343</v>
      </c>
      <c r="F216" s="229">
        <v>2016</v>
      </c>
      <c r="G216" s="228">
        <v>2</v>
      </c>
      <c r="H216" s="209">
        <v>0</v>
      </c>
      <c r="I216" s="208" t="s">
        <v>86</v>
      </c>
      <c r="J216" s="227">
        <v>10</v>
      </c>
      <c r="K216" s="207">
        <f t="shared" si="242"/>
        <v>2026</v>
      </c>
      <c r="L216" s="206">
        <f t="shared" si="238"/>
        <v>2026.1666666666667</v>
      </c>
      <c r="M216" s="190">
        <v>2025</v>
      </c>
      <c r="N216" s="225">
        <f t="shared" si="243"/>
        <v>2025</v>
      </c>
      <c r="O216" s="225">
        <f t="shared" si="244"/>
        <v>16.875</v>
      </c>
      <c r="P216" s="204">
        <f t="shared" si="239"/>
        <v>202.5</v>
      </c>
      <c r="Q216" s="204">
        <f t="shared" si="245"/>
        <v>202.5</v>
      </c>
      <c r="R216" s="225"/>
      <c r="S216" s="204">
        <f t="shared" si="240"/>
        <v>810</v>
      </c>
      <c r="T216" s="204">
        <f t="shared" si="241"/>
        <v>1012.5</v>
      </c>
      <c r="U216" s="204">
        <f t="shared" si="246"/>
        <v>1012.5</v>
      </c>
    </row>
    <row r="217" spans="2:21">
      <c r="B217" s="230">
        <v>177913</v>
      </c>
      <c r="D217" s="230">
        <v>40</v>
      </c>
      <c r="E217" s="210" t="s">
        <v>381</v>
      </c>
      <c r="F217" s="229">
        <v>2017</v>
      </c>
      <c r="G217" s="228">
        <v>3</v>
      </c>
      <c r="H217" s="209">
        <v>0</v>
      </c>
      <c r="I217" s="208" t="s">
        <v>86</v>
      </c>
      <c r="J217" s="227">
        <v>12</v>
      </c>
      <c r="K217" s="207">
        <f t="shared" si="242"/>
        <v>2029</v>
      </c>
      <c r="L217" s="206">
        <f t="shared" si="238"/>
        <v>2029.25</v>
      </c>
      <c r="M217" s="190">
        <v>19880</v>
      </c>
      <c r="N217" s="225">
        <f t="shared" si="243"/>
        <v>19880</v>
      </c>
      <c r="O217" s="225">
        <f t="shared" si="244"/>
        <v>138.05555555555557</v>
      </c>
      <c r="P217" s="204">
        <f t="shared" si="239"/>
        <v>1656.666666666667</v>
      </c>
      <c r="Q217" s="204">
        <f t="shared" si="245"/>
        <v>1656.666666666667</v>
      </c>
      <c r="R217" s="225"/>
      <c r="S217" s="204">
        <f t="shared" si="240"/>
        <v>4970.0000000000009</v>
      </c>
      <c r="T217" s="204">
        <f t="shared" si="241"/>
        <v>6626.6666666666679</v>
      </c>
      <c r="U217" s="204">
        <f t="shared" si="246"/>
        <v>13253.333333333332</v>
      </c>
    </row>
    <row r="218" spans="2:21">
      <c r="B218" s="230">
        <v>177912</v>
      </c>
      <c r="D218" s="230">
        <v>5</v>
      </c>
      <c r="E218" s="210" t="s">
        <v>382</v>
      </c>
      <c r="F218" s="229">
        <v>2017</v>
      </c>
      <c r="G218" s="228">
        <v>3</v>
      </c>
      <c r="H218" s="209">
        <v>0</v>
      </c>
      <c r="I218" s="208" t="s">
        <v>86</v>
      </c>
      <c r="J218" s="227">
        <v>12</v>
      </c>
      <c r="K218" s="207">
        <f t="shared" si="242"/>
        <v>2029</v>
      </c>
      <c r="L218" s="206">
        <f t="shared" si="238"/>
        <v>2029.25</v>
      </c>
      <c r="M218" s="190">
        <v>2240</v>
      </c>
      <c r="N218" s="225">
        <f t="shared" si="243"/>
        <v>2240</v>
      </c>
      <c r="O218" s="225">
        <f t="shared" si="244"/>
        <v>15.555555555555555</v>
      </c>
      <c r="P218" s="204">
        <f t="shared" si="239"/>
        <v>186.66666666666666</v>
      </c>
      <c r="Q218" s="204">
        <f t="shared" si="245"/>
        <v>186.66666666666666</v>
      </c>
      <c r="R218" s="225"/>
      <c r="S218" s="204">
        <f t="shared" si="240"/>
        <v>560</v>
      </c>
      <c r="T218" s="204">
        <f t="shared" si="241"/>
        <v>746.66666666666663</v>
      </c>
      <c r="U218" s="204">
        <f t="shared" si="246"/>
        <v>1493.3333333333335</v>
      </c>
    </row>
    <row r="219" spans="2:21">
      <c r="B219" s="230">
        <v>177911</v>
      </c>
      <c r="D219" s="230">
        <v>36</v>
      </c>
      <c r="E219" s="210" t="s">
        <v>383</v>
      </c>
      <c r="F219" s="229">
        <v>2017</v>
      </c>
      <c r="G219" s="228">
        <v>3</v>
      </c>
      <c r="H219" s="209">
        <v>0</v>
      </c>
      <c r="I219" s="208" t="s">
        <v>86</v>
      </c>
      <c r="J219" s="227">
        <v>12</v>
      </c>
      <c r="K219" s="207">
        <f t="shared" si="242"/>
        <v>2029</v>
      </c>
      <c r="L219" s="206">
        <f t="shared" si="238"/>
        <v>2029.25</v>
      </c>
      <c r="M219" s="190">
        <v>16560</v>
      </c>
      <c r="N219" s="225">
        <f t="shared" si="243"/>
        <v>16560</v>
      </c>
      <c r="O219" s="225">
        <f t="shared" si="244"/>
        <v>115</v>
      </c>
      <c r="P219" s="204">
        <f t="shared" si="239"/>
        <v>1380</v>
      </c>
      <c r="Q219" s="204">
        <f t="shared" si="245"/>
        <v>1380</v>
      </c>
      <c r="R219" s="225"/>
      <c r="S219" s="204">
        <f t="shared" si="240"/>
        <v>4140</v>
      </c>
      <c r="T219" s="204">
        <f t="shared" si="241"/>
        <v>5520</v>
      </c>
      <c r="U219" s="204">
        <f t="shared" si="246"/>
        <v>11040</v>
      </c>
    </row>
    <row r="220" spans="2:21">
      <c r="B220" s="230">
        <v>194615</v>
      </c>
      <c r="D220" s="230">
        <v>12</v>
      </c>
      <c r="E220" s="210" t="s">
        <v>468</v>
      </c>
      <c r="F220" s="229">
        <v>2018</v>
      </c>
      <c r="G220" s="228">
        <v>1</v>
      </c>
      <c r="H220" s="209">
        <v>0</v>
      </c>
      <c r="I220" s="208" t="s">
        <v>86</v>
      </c>
      <c r="J220" s="227">
        <v>12</v>
      </c>
      <c r="K220" s="207">
        <f t="shared" ref="K220:K226" si="247">F220+J220</f>
        <v>2030</v>
      </c>
      <c r="L220" s="206">
        <f t="shared" ref="L220:L226" si="248">+K220+(G220/12)</f>
        <v>2030.0833333333333</v>
      </c>
      <c r="M220" s="235">
        <v>6480</v>
      </c>
      <c r="N220" s="204">
        <f t="shared" ref="N220:N226" si="249">M220-M220*H220</f>
        <v>6480</v>
      </c>
      <c r="O220" s="204">
        <f t="shared" ref="O220:O226" si="250">N220/J220/12</f>
        <v>45</v>
      </c>
      <c r="P220" s="204">
        <f t="shared" ref="P220:P226" si="251">+O220*12</f>
        <v>540</v>
      </c>
      <c r="Q220" s="204">
        <f t="shared" si="245"/>
        <v>540</v>
      </c>
      <c r="R220" s="204"/>
      <c r="S220" s="204">
        <f t="shared" ref="S220:S226" si="252">+IF(Q220=0,M220,IF($N$3-F220&lt;1,0,(($N$3-F220)*P220)))</f>
        <v>1080</v>
      </c>
      <c r="T220" s="204">
        <f t="shared" ref="T220:T226" si="253">+IF(Q220=0,S220,S220+Q220)</f>
        <v>1620</v>
      </c>
      <c r="U220" s="204">
        <f t="shared" si="246"/>
        <v>4860</v>
      </c>
    </row>
    <row r="221" spans="2:21">
      <c r="B221" s="230">
        <v>198004</v>
      </c>
      <c r="D221" s="230">
        <v>10</v>
      </c>
      <c r="E221" s="210" t="s">
        <v>469</v>
      </c>
      <c r="F221" s="229">
        <v>2018</v>
      </c>
      <c r="G221" s="228">
        <v>6</v>
      </c>
      <c r="H221" s="209">
        <v>0</v>
      </c>
      <c r="I221" s="208" t="s">
        <v>86</v>
      </c>
      <c r="J221" s="227">
        <v>0</v>
      </c>
      <c r="K221" s="207">
        <f t="shared" si="247"/>
        <v>2018</v>
      </c>
      <c r="L221" s="206">
        <f t="shared" si="248"/>
        <v>2018.5</v>
      </c>
      <c r="M221" s="235">
        <v>0</v>
      </c>
      <c r="N221" s="204">
        <f t="shared" si="249"/>
        <v>0</v>
      </c>
      <c r="O221" s="204">
        <f>IFERROR((N221/J221/12),0)</f>
        <v>0</v>
      </c>
      <c r="P221" s="204">
        <f t="shared" si="251"/>
        <v>0</v>
      </c>
      <c r="Q221" s="204">
        <f t="shared" si="245"/>
        <v>0</v>
      </c>
      <c r="R221" s="204"/>
      <c r="S221" s="204">
        <f t="shared" si="252"/>
        <v>0</v>
      </c>
      <c r="T221" s="204">
        <f t="shared" si="253"/>
        <v>0</v>
      </c>
      <c r="U221" s="204">
        <f t="shared" si="246"/>
        <v>0</v>
      </c>
    </row>
    <row r="222" spans="2:21">
      <c r="B222" s="230">
        <v>203953</v>
      </c>
      <c r="D222" s="230">
        <v>47</v>
      </c>
      <c r="E222" s="210" t="s">
        <v>470</v>
      </c>
      <c r="F222" s="229">
        <v>2018</v>
      </c>
      <c r="G222" s="228">
        <v>9</v>
      </c>
      <c r="H222" s="209">
        <v>0</v>
      </c>
      <c r="I222" s="208" t="s">
        <v>86</v>
      </c>
      <c r="J222" s="227">
        <v>12</v>
      </c>
      <c r="K222" s="207">
        <f t="shared" si="247"/>
        <v>2030</v>
      </c>
      <c r="L222" s="206">
        <f t="shared" si="248"/>
        <v>2030.75</v>
      </c>
      <c r="M222" s="235">
        <v>28494.5</v>
      </c>
      <c r="N222" s="204">
        <f t="shared" si="249"/>
        <v>28494.5</v>
      </c>
      <c r="O222" s="204">
        <f t="shared" si="250"/>
        <v>197.8784722222222</v>
      </c>
      <c r="P222" s="204">
        <f t="shared" si="251"/>
        <v>2374.5416666666665</v>
      </c>
      <c r="Q222" s="204">
        <f t="shared" si="245"/>
        <v>2374.5416666666665</v>
      </c>
      <c r="R222" s="204"/>
      <c r="S222" s="204">
        <f t="shared" si="252"/>
        <v>4749.083333333333</v>
      </c>
      <c r="T222" s="204">
        <f t="shared" si="253"/>
        <v>7123.625</v>
      </c>
      <c r="U222" s="204">
        <f t="shared" si="246"/>
        <v>21370.875</v>
      </c>
    </row>
    <row r="223" spans="2:21">
      <c r="B223" s="230">
        <v>204286</v>
      </c>
      <c r="D223" s="230">
        <v>28</v>
      </c>
      <c r="E223" s="210" t="s">
        <v>471</v>
      </c>
      <c r="F223" s="229">
        <v>2018</v>
      </c>
      <c r="G223" s="228">
        <v>9</v>
      </c>
      <c r="H223" s="209">
        <v>0</v>
      </c>
      <c r="I223" s="208" t="s">
        <v>86</v>
      </c>
      <c r="J223" s="227">
        <v>12</v>
      </c>
      <c r="K223" s="207">
        <f t="shared" si="247"/>
        <v>2030</v>
      </c>
      <c r="L223" s="206">
        <f t="shared" si="248"/>
        <v>2030.75</v>
      </c>
      <c r="M223" s="235">
        <v>15355.5</v>
      </c>
      <c r="N223" s="204">
        <f t="shared" si="249"/>
        <v>15355.5</v>
      </c>
      <c r="O223" s="204">
        <f t="shared" si="250"/>
        <v>106.63541666666667</v>
      </c>
      <c r="P223" s="204">
        <f t="shared" si="251"/>
        <v>1279.625</v>
      </c>
      <c r="Q223" s="204">
        <f t="shared" si="245"/>
        <v>1279.625</v>
      </c>
      <c r="R223" s="204"/>
      <c r="S223" s="204">
        <f t="shared" si="252"/>
        <v>2559.25</v>
      </c>
      <c r="T223" s="204">
        <f t="shared" si="253"/>
        <v>3838.875</v>
      </c>
      <c r="U223" s="204">
        <f t="shared" si="246"/>
        <v>11516.625</v>
      </c>
    </row>
    <row r="224" spans="2:21">
      <c r="B224" s="230">
        <v>216318</v>
      </c>
      <c r="D224" s="230">
        <v>100</v>
      </c>
      <c r="E224" s="210" t="s">
        <v>532</v>
      </c>
      <c r="F224" s="229">
        <v>2019</v>
      </c>
      <c r="G224" s="228">
        <v>6</v>
      </c>
      <c r="H224" s="209">
        <v>0</v>
      </c>
      <c r="I224" s="208" t="s">
        <v>86</v>
      </c>
      <c r="J224" s="227">
        <v>12</v>
      </c>
      <c r="K224" s="207">
        <f t="shared" si="247"/>
        <v>2031</v>
      </c>
      <c r="L224" s="206">
        <f t="shared" si="248"/>
        <v>2031.5</v>
      </c>
      <c r="M224" s="235">
        <v>53171</v>
      </c>
      <c r="N224" s="204">
        <f t="shared" si="249"/>
        <v>53171</v>
      </c>
      <c r="O224" s="204">
        <f t="shared" si="250"/>
        <v>369.2430555555556</v>
      </c>
      <c r="P224" s="204">
        <f t="shared" si="251"/>
        <v>4430.916666666667</v>
      </c>
      <c r="Q224" s="204">
        <f t="shared" si="245"/>
        <v>4430.916666666667</v>
      </c>
      <c r="R224" s="204"/>
      <c r="S224" s="204">
        <f t="shared" si="252"/>
        <v>4430.916666666667</v>
      </c>
      <c r="T224" s="204">
        <f t="shared" si="253"/>
        <v>8861.8333333333339</v>
      </c>
      <c r="U224" s="204">
        <f t="shared" si="246"/>
        <v>44309.166666666664</v>
      </c>
    </row>
    <row r="225" spans="2:21">
      <c r="B225" s="230">
        <v>216317</v>
      </c>
      <c r="D225" s="230">
        <v>75</v>
      </c>
      <c r="E225" s="210" t="s">
        <v>533</v>
      </c>
      <c r="F225" s="229">
        <v>2019</v>
      </c>
      <c r="G225" s="228">
        <v>6</v>
      </c>
      <c r="H225" s="209">
        <v>0</v>
      </c>
      <c r="I225" s="208" t="s">
        <v>86</v>
      </c>
      <c r="J225" s="227">
        <v>12</v>
      </c>
      <c r="K225" s="207">
        <f t="shared" si="247"/>
        <v>2031</v>
      </c>
      <c r="L225" s="206">
        <f t="shared" si="248"/>
        <v>2031.5</v>
      </c>
      <c r="M225" s="235">
        <v>37329</v>
      </c>
      <c r="N225" s="204">
        <f t="shared" si="249"/>
        <v>37329</v>
      </c>
      <c r="O225" s="204">
        <f t="shared" si="250"/>
        <v>259.22916666666669</v>
      </c>
      <c r="P225" s="204">
        <f t="shared" si="251"/>
        <v>3110.75</v>
      </c>
      <c r="Q225" s="204">
        <f t="shared" si="245"/>
        <v>3110.75</v>
      </c>
      <c r="R225" s="204"/>
      <c r="S225" s="204">
        <f t="shared" si="252"/>
        <v>3110.75</v>
      </c>
      <c r="T225" s="204">
        <f t="shared" si="253"/>
        <v>6221.5</v>
      </c>
      <c r="U225" s="204">
        <f t="shared" si="246"/>
        <v>31107.5</v>
      </c>
    </row>
    <row r="226" spans="2:21">
      <c r="B226" s="230">
        <v>236069</v>
      </c>
      <c r="D226" s="230">
        <v>30</v>
      </c>
      <c r="E226" s="210" t="s">
        <v>553</v>
      </c>
      <c r="F226" s="229">
        <v>2020</v>
      </c>
      <c r="G226" s="228">
        <v>7</v>
      </c>
      <c r="H226" s="209">
        <v>0</v>
      </c>
      <c r="I226" s="208" t="s">
        <v>86</v>
      </c>
      <c r="J226" s="227">
        <v>12</v>
      </c>
      <c r="K226" s="207">
        <f t="shared" si="247"/>
        <v>2032</v>
      </c>
      <c r="L226" s="206">
        <f t="shared" si="248"/>
        <v>2032.5833333333333</v>
      </c>
      <c r="M226" s="235">
        <v>16950</v>
      </c>
      <c r="N226" s="204">
        <f t="shared" si="249"/>
        <v>16950</v>
      </c>
      <c r="O226" s="204">
        <f t="shared" si="250"/>
        <v>117.70833333333333</v>
      </c>
      <c r="P226" s="204">
        <f t="shared" si="251"/>
        <v>1412.5</v>
      </c>
      <c r="Q226" s="204">
        <f t="shared" si="245"/>
        <v>1412.5</v>
      </c>
      <c r="R226" s="204"/>
      <c r="S226" s="204">
        <f t="shared" si="252"/>
        <v>0</v>
      </c>
      <c r="T226" s="204">
        <f t="shared" si="253"/>
        <v>1412.5</v>
      </c>
      <c r="U226" s="204">
        <f t="shared" si="246"/>
        <v>15537.5</v>
      </c>
    </row>
    <row r="227" spans="2:21">
      <c r="E227" s="210"/>
      <c r="H227" s="209"/>
      <c r="I227" s="208"/>
      <c r="K227" s="207"/>
      <c r="L227" s="206"/>
      <c r="M227" s="190"/>
      <c r="N227" s="225"/>
      <c r="O227" s="225"/>
      <c r="P227" s="204"/>
      <c r="Q227" s="204"/>
      <c r="R227" s="225"/>
      <c r="S227" s="225"/>
      <c r="T227" s="225"/>
      <c r="U227" s="225"/>
    </row>
    <row r="228" spans="2:21" s="202" customFormat="1">
      <c r="E228" s="322" t="s">
        <v>173</v>
      </c>
      <c r="F228" s="312"/>
      <c r="G228" s="313"/>
      <c r="H228" s="313"/>
      <c r="I228" s="299"/>
      <c r="J228" s="300"/>
      <c r="K228" s="298"/>
      <c r="L228" s="323"/>
      <c r="M228" s="187">
        <f t="shared" ref="M228:U228" si="254">SUM(M173:M227)</f>
        <v>623992.17957264965</v>
      </c>
      <c r="N228" s="187">
        <f t="shared" si="254"/>
        <v>623992.17957264965</v>
      </c>
      <c r="O228" s="187">
        <f t="shared" si="254"/>
        <v>5036.1252409442413</v>
      </c>
      <c r="P228" s="200">
        <f t="shared" si="254"/>
        <v>60433.502891330878</v>
      </c>
      <c r="Q228" s="200">
        <f t="shared" si="254"/>
        <v>30879.329666666672</v>
      </c>
      <c r="R228" s="187">
        <f t="shared" si="254"/>
        <v>0</v>
      </c>
      <c r="S228" s="187">
        <f t="shared" si="254"/>
        <v>391501.25357264967</v>
      </c>
      <c r="T228" s="187">
        <f t="shared" si="254"/>
        <v>422380.5832393163</v>
      </c>
      <c r="U228" s="187">
        <f t="shared" si="254"/>
        <v>201611.59633333332</v>
      </c>
    </row>
    <row r="229" spans="2:21" s="202" customFormat="1">
      <c r="E229" s="186"/>
      <c r="F229" s="196"/>
      <c r="G229" s="222"/>
      <c r="H229" s="222"/>
      <c r="I229" s="201"/>
      <c r="J229" s="220"/>
      <c r="K229" s="223"/>
      <c r="L229" s="206"/>
      <c r="M229" s="224"/>
      <c r="N229" s="224"/>
      <c r="O229" s="224"/>
      <c r="P229" s="246"/>
      <c r="Q229" s="246"/>
      <c r="R229" s="224"/>
      <c r="S229" s="224"/>
      <c r="T229" s="224"/>
      <c r="U229" s="224"/>
    </row>
    <row r="230" spans="2:21">
      <c r="I230" s="208"/>
      <c r="K230" s="207"/>
      <c r="L230" s="206"/>
      <c r="N230" s="225"/>
      <c r="O230" s="225"/>
      <c r="P230" s="204"/>
      <c r="Q230" s="204"/>
      <c r="R230" s="225"/>
      <c r="S230" s="204"/>
      <c r="T230" s="204"/>
      <c r="U230" s="204"/>
    </row>
    <row r="231" spans="2:21">
      <c r="E231" s="321" t="s">
        <v>174</v>
      </c>
      <c r="I231" s="208"/>
      <c r="K231" s="207"/>
      <c r="L231" s="206"/>
      <c r="M231" s="205"/>
      <c r="N231" s="204"/>
      <c r="O231" s="204"/>
      <c r="P231" s="204"/>
      <c r="Q231" s="204"/>
      <c r="R231" s="204"/>
      <c r="S231" s="204"/>
      <c r="T231" s="204"/>
      <c r="U231" s="204"/>
    </row>
    <row r="232" spans="2:21">
      <c r="D232" s="230">
        <v>3</v>
      </c>
      <c r="E232" s="184" t="s">
        <v>179</v>
      </c>
      <c r="F232" s="229">
        <v>2000</v>
      </c>
      <c r="G232" s="228">
        <v>6</v>
      </c>
      <c r="H232" s="209">
        <v>0</v>
      </c>
      <c r="I232" s="208" t="s">
        <v>86</v>
      </c>
      <c r="J232" s="227">
        <v>10</v>
      </c>
      <c r="K232" s="207">
        <f t="shared" ref="K232:K272" si="255">F232+J232</f>
        <v>2010</v>
      </c>
      <c r="L232" s="206">
        <f t="shared" si="238"/>
        <v>2010.5</v>
      </c>
      <c r="M232" s="235">
        <v>9584</v>
      </c>
      <c r="N232" s="204">
        <f t="shared" ref="N232:N272" si="256">M232-M232*H232</f>
        <v>9584</v>
      </c>
      <c r="O232" s="204">
        <f t="shared" ref="O232:O272" si="257">N232/J232/12</f>
        <v>79.86666666666666</v>
      </c>
      <c r="P232" s="204">
        <f t="shared" ref="P232:P272" si="258">+O232*12</f>
        <v>958.39999999999986</v>
      </c>
      <c r="Q232" s="204">
        <f t="shared" ref="Q232:Q287" si="259">+IF(L232&lt;=$N$5,0,IF(K232&gt;$N$4,P232,(O232*G232)))</f>
        <v>0</v>
      </c>
      <c r="R232" s="204"/>
      <c r="S232" s="204">
        <f t="shared" ref="S232:S272" si="260">+IF(Q232=0,M232,IF($N$3-F232&lt;1,0,(($N$3-F232)*P232)))</f>
        <v>9584</v>
      </c>
      <c r="T232" s="204">
        <f t="shared" ref="T232:T272" si="261">+IF(Q232=0,S232,S232+Q232)</f>
        <v>9584</v>
      </c>
      <c r="U232" s="204">
        <f t="shared" ref="U232:U287" si="262">M232-T232</f>
        <v>0</v>
      </c>
    </row>
    <row r="233" spans="2:21">
      <c r="D233" s="230">
        <v>3</v>
      </c>
      <c r="E233" s="184" t="s">
        <v>179</v>
      </c>
      <c r="F233" s="229">
        <v>2002</v>
      </c>
      <c r="G233" s="228">
        <v>12</v>
      </c>
      <c r="H233" s="209">
        <v>0</v>
      </c>
      <c r="I233" s="208" t="s">
        <v>86</v>
      </c>
      <c r="J233" s="227">
        <v>10</v>
      </c>
      <c r="K233" s="207">
        <f t="shared" si="255"/>
        <v>2012</v>
      </c>
      <c r="L233" s="206">
        <f t="shared" si="238"/>
        <v>2013</v>
      </c>
      <c r="M233" s="235">
        <v>7624</v>
      </c>
      <c r="N233" s="204">
        <f t="shared" si="256"/>
        <v>7624</v>
      </c>
      <c r="O233" s="204">
        <f t="shared" si="257"/>
        <v>63.533333333333331</v>
      </c>
      <c r="P233" s="204">
        <f t="shared" si="258"/>
        <v>762.4</v>
      </c>
      <c r="Q233" s="204">
        <f t="shared" si="259"/>
        <v>0</v>
      </c>
      <c r="R233" s="204"/>
      <c r="S233" s="204">
        <f t="shared" si="260"/>
        <v>7624</v>
      </c>
      <c r="T233" s="204">
        <f t="shared" si="261"/>
        <v>7624</v>
      </c>
      <c r="U233" s="204">
        <f t="shared" si="262"/>
        <v>0</v>
      </c>
    </row>
    <row r="234" spans="2:21">
      <c r="D234" s="230">
        <v>3</v>
      </c>
      <c r="E234" s="184" t="s">
        <v>179</v>
      </c>
      <c r="F234" s="229">
        <v>2002</v>
      </c>
      <c r="G234" s="228">
        <v>12</v>
      </c>
      <c r="H234" s="209">
        <v>0</v>
      </c>
      <c r="I234" s="208" t="s">
        <v>86</v>
      </c>
      <c r="J234" s="227">
        <v>10</v>
      </c>
      <c r="K234" s="207">
        <f t="shared" si="255"/>
        <v>2012</v>
      </c>
      <c r="L234" s="206">
        <f t="shared" si="238"/>
        <v>2013</v>
      </c>
      <c r="M234" s="235">
        <v>8598</v>
      </c>
      <c r="N234" s="204">
        <f t="shared" si="256"/>
        <v>8598</v>
      </c>
      <c r="O234" s="204">
        <f t="shared" si="257"/>
        <v>71.649999999999991</v>
      </c>
      <c r="P234" s="204">
        <f t="shared" si="258"/>
        <v>859.8</v>
      </c>
      <c r="Q234" s="204">
        <f t="shared" si="259"/>
        <v>0</v>
      </c>
      <c r="R234" s="204"/>
      <c r="S234" s="204">
        <f t="shared" si="260"/>
        <v>8598</v>
      </c>
      <c r="T234" s="204">
        <f t="shared" si="261"/>
        <v>8598</v>
      </c>
      <c r="U234" s="204">
        <f t="shared" si="262"/>
        <v>0</v>
      </c>
    </row>
    <row r="235" spans="2:21">
      <c r="D235" s="230">
        <v>1</v>
      </c>
      <c r="E235" s="184" t="s">
        <v>180</v>
      </c>
      <c r="F235" s="229">
        <v>2002</v>
      </c>
      <c r="G235" s="228">
        <v>12</v>
      </c>
      <c r="H235" s="209">
        <v>0</v>
      </c>
      <c r="I235" s="208" t="s">
        <v>86</v>
      </c>
      <c r="J235" s="227">
        <v>10</v>
      </c>
      <c r="K235" s="207">
        <f t="shared" si="255"/>
        <v>2012</v>
      </c>
      <c r="L235" s="206">
        <f t="shared" si="238"/>
        <v>2013</v>
      </c>
      <c r="M235" s="235">
        <v>4409</v>
      </c>
      <c r="N235" s="204">
        <f t="shared" si="256"/>
        <v>4409</v>
      </c>
      <c r="O235" s="204">
        <f t="shared" si="257"/>
        <v>36.741666666666667</v>
      </c>
      <c r="P235" s="204">
        <f t="shared" si="258"/>
        <v>440.9</v>
      </c>
      <c r="Q235" s="204">
        <f t="shared" si="259"/>
        <v>0</v>
      </c>
      <c r="R235" s="204"/>
      <c r="S235" s="204">
        <f t="shared" si="260"/>
        <v>4409</v>
      </c>
      <c r="T235" s="204">
        <f t="shared" si="261"/>
        <v>4409</v>
      </c>
      <c r="U235" s="204">
        <f t="shared" si="262"/>
        <v>0</v>
      </c>
    </row>
    <row r="236" spans="2:21">
      <c r="D236" s="230">
        <v>5</v>
      </c>
      <c r="E236" s="184" t="s">
        <v>182</v>
      </c>
      <c r="F236" s="229">
        <v>2002</v>
      </c>
      <c r="G236" s="228">
        <v>12</v>
      </c>
      <c r="H236" s="209">
        <v>0</v>
      </c>
      <c r="I236" s="208" t="s">
        <v>86</v>
      </c>
      <c r="J236" s="227">
        <v>10</v>
      </c>
      <c r="K236" s="207">
        <f t="shared" si="255"/>
        <v>2012</v>
      </c>
      <c r="L236" s="206">
        <f t="shared" si="238"/>
        <v>2013</v>
      </c>
      <c r="M236" s="235">
        <f>16328/2</f>
        <v>8164</v>
      </c>
      <c r="N236" s="204">
        <f t="shared" si="256"/>
        <v>8164</v>
      </c>
      <c r="O236" s="204">
        <f t="shared" si="257"/>
        <v>68.033333333333331</v>
      </c>
      <c r="P236" s="204">
        <f t="shared" si="258"/>
        <v>816.4</v>
      </c>
      <c r="Q236" s="204">
        <f t="shared" si="259"/>
        <v>0</v>
      </c>
      <c r="R236" s="204"/>
      <c r="S236" s="204">
        <f t="shared" si="260"/>
        <v>8164</v>
      </c>
      <c r="T236" s="204">
        <f t="shared" si="261"/>
        <v>8164</v>
      </c>
      <c r="U236" s="204">
        <f t="shared" si="262"/>
        <v>0</v>
      </c>
    </row>
    <row r="237" spans="2:21">
      <c r="D237" s="230">
        <v>2</v>
      </c>
      <c r="E237" s="184" t="s">
        <v>183</v>
      </c>
      <c r="F237" s="229">
        <v>2002</v>
      </c>
      <c r="G237" s="228">
        <v>12</v>
      </c>
      <c r="H237" s="209">
        <v>0</v>
      </c>
      <c r="I237" s="208" t="s">
        <v>86</v>
      </c>
      <c r="J237" s="227">
        <v>10</v>
      </c>
      <c r="K237" s="207">
        <f t="shared" si="255"/>
        <v>2012</v>
      </c>
      <c r="L237" s="206">
        <f t="shared" si="238"/>
        <v>2013</v>
      </c>
      <c r="M237" s="235">
        <v>5827</v>
      </c>
      <c r="N237" s="204">
        <f t="shared" si="256"/>
        <v>5827</v>
      </c>
      <c r="O237" s="204">
        <f t="shared" si="257"/>
        <v>48.558333333333337</v>
      </c>
      <c r="P237" s="204">
        <f t="shared" si="258"/>
        <v>582.70000000000005</v>
      </c>
      <c r="Q237" s="204">
        <f t="shared" si="259"/>
        <v>0</v>
      </c>
      <c r="R237" s="204"/>
      <c r="S237" s="204">
        <f t="shared" si="260"/>
        <v>5827</v>
      </c>
      <c r="T237" s="204">
        <f t="shared" si="261"/>
        <v>5827</v>
      </c>
      <c r="U237" s="204">
        <f t="shared" si="262"/>
        <v>0</v>
      </c>
    </row>
    <row r="238" spans="2:21">
      <c r="E238" s="184" t="s">
        <v>184</v>
      </c>
      <c r="F238" s="229">
        <v>2002</v>
      </c>
      <c r="G238" s="228">
        <v>12</v>
      </c>
      <c r="H238" s="209">
        <v>0</v>
      </c>
      <c r="I238" s="208" t="s">
        <v>86</v>
      </c>
      <c r="J238" s="227">
        <v>10</v>
      </c>
      <c r="K238" s="207">
        <f t="shared" si="255"/>
        <v>2012</v>
      </c>
      <c r="L238" s="206">
        <f t="shared" si="238"/>
        <v>2013</v>
      </c>
      <c r="M238" s="235">
        <v>1690</v>
      </c>
      <c r="N238" s="204">
        <f t="shared" si="256"/>
        <v>1690</v>
      </c>
      <c r="O238" s="204">
        <f t="shared" si="257"/>
        <v>14.083333333333334</v>
      </c>
      <c r="P238" s="204">
        <f t="shared" si="258"/>
        <v>169</v>
      </c>
      <c r="Q238" s="204">
        <f t="shared" si="259"/>
        <v>0</v>
      </c>
      <c r="R238" s="204"/>
      <c r="S238" s="204">
        <f t="shared" si="260"/>
        <v>1690</v>
      </c>
      <c r="T238" s="204">
        <f t="shared" si="261"/>
        <v>1690</v>
      </c>
      <c r="U238" s="204">
        <f t="shared" si="262"/>
        <v>0</v>
      </c>
    </row>
    <row r="239" spans="2:21">
      <c r="D239" s="230">
        <v>4</v>
      </c>
      <c r="E239" s="184" t="s">
        <v>180</v>
      </c>
      <c r="F239" s="229">
        <v>2003</v>
      </c>
      <c r="G239" s="228">
        <v>12</v>
      </c>
      <c r="H239" s="209">
        <v>0</v>
      </c>
      <c r="I239" s="208" t="s">
        <v>86</v>
      </c>
      <c r="J239" s="227">
        <v>10</v>
      </c>
      <c r="K239" s="207">
        <f t="shared" si="255"/>
        <v>2013</v>
      </c>
      <c r="L239" s="206">
        <f t="shared" si="238"/>
        <v>2014</v>
      </c>
      <c r="M239" s="235">
        <v>16842</v>
      </c>
      <c r="N239" s="204">
        <f t="shared" si="256"/>
        <v>16842</v>
      </c>
      <c r="O239" s="204">
        <f t="shared" si="257"/>
        <v>140.35</v>
      </c>
      <c r="P239" s="204">
        <f t="shared" si="258"/>
        <v>1684.1999999999998</v>
      </c>
      <c r="Q239" s="204">
        <f t="shared" si="259"/>
        <v>0</v>
      </c>
      <c r="R239" s="204"/>
      <c r="S239" s="204">
        <f t="shared" si="260"/>
        <v>16842</v>
      </c>
      <c r="T239" s="204">
        <f t="shared" si="261"/>
        <v>16842</v>
      </c>
      <c r="U239" s="204">
        <f t="shared" si="262"/>
        <v>0</v>
      </c>
    </row>
    <row r="240" spans="2:21">
      <c r="D240" s="230">
        <v>4</v>
      </c>
      <c r="E240" s="184" t="s">
        <v>185</v>
      </c>
      <c r="F240" s="229">
        <v>2003</v>
      </c>
      <c r="G240" s="228">
        <v>12</v>
      </c>
      <c r="H240" s="209">
        <v>0</v>
      </c>
      <c r="I240" s="208" t="s">
        <v>86</v>
      </c>
      <c r="J240" s="227">
        <v>10</v>
      </c>
      <c r="K240" s="207">
        <f t="shared" si="255"/>
        <v>2013</v>
      </c>
      <c r="L240" s="206">
        <f t="shared" si="238"/>
        <v>2014</v>
      </c>
      <c r="M240" s="235">
        <v>10000</v>
      </c>
      <c r="N240" s="204">
        <f t="shared" si="256"/>
        <v>10000</v>
      </c>
      <c r="O240" s="204">
        <f t="shared" si="257"/>
        <v>83.333333333333329</v>
      </c>
      <c r="P240" s="204">
        <f t="shared" si="258"/>
        <v>1000</v>
      </c>
      <c r="Q240" s="204">
        <f t="shared" si="259"/>
        <v>0</v>
      </c>
      <c r="R240" s="204"/>
      <c r="S240" s="204">
        <f t="shared" si="260"/>
        <v>10000</v>
      </c>
      <c r="T240" s="204">
        <f t="shared" si="261"/>
        <v>10000</v>
      </c>
      <c r="U240" s="204">
        <f t="shared" si="262"/>
        <v>0</v>
      </c>
    </row>
    <row r="241" spans="4:21">
      <c r="E241" s="184" t="s">
        <v>186</v>
      </c>
      <c r="F241" s="229">
        <v>2004</v>
      </c>
      <c r="G241" s="228">
        <v>3</v>
      </c>
      <c r="H241" s="209">
        <v>0</v>
      </c>
      <c r="I241" s="208" t="s">
        <v>86</v>
      </c>
      <c r="J241" s="227">
        <v>10</v>
      </c>
      <c r="K241" s="207">
        <f t="shared" si="255"/>
        <v>2014</v>
      </c>
      <c r="L241" s="206">
        <f t="shared" si="238"/>
        <v>2014.25</v>
      </c>
      <c r="M241" s="235">
        <v>16336</v>
      </c>
      <c r="N241" s="204">
        <f t="shared" si="256"/>
        <v>16336</v>
      </c>
      <c r="O241" s="204">
        <f t="shared" si="257"/>
        <v>136.13333333333333</v>
      </c>
      <c r="P241" s="204">
        <f t="shared" si="258"/>
        <v>1633.6</v>
      </c>
      <c r="Q241" s="204">
        <f t="shared" si="259"/>
        <v>0</v>
      </c>
      <c r="R241" s="204"/>
      <c r="S241" s="204">
        <f t="shared" si="260"/>
        <v>16336</v>
      </c>
      <c r="T241" s="204">
        <f t="shared" si="261"/>
        <v>16336</v>
      </c>
      <c r="U241" s="204">
        <f t="shared" si="262"/>
        <v>0</v>
      </c>
    </row>
    <row r="242" spans="4:21">
      <c r="D242" s="230">
        <v>1</v>
      </c>
      <c r="E242" s="184" t="s">
        <v>187</v>
      </c>
      <c r="F242" s="229">
        <v>2004</v>
      </c>
      <c r="G242" s="228">
        <v>10</v>
      </c>
      <c r="H242" s="209">
        <v>0</v>
      </c>
      <c r="I242" s="208" t="s">
        <v>86</v>
      </c>
      <c r="J242" s="227">
        <v>10</v>
      </c>
      <c r="K242" s="207">
        <f t="shared" si="255"/>
        <v>2014</v>
      </c>
      <c r="L242" s="206">
        <f t="shared" si="238"/>
        <v>2014.8333333333333</v>
      </c>
      <c r="M242" s="235">
        <v>3562</v>
      </c>
      <c r="N242" s="204">
        <f t="shared" si="256"/>
        <v>3562</v>
      </c>
      <c r="O242" s="204">
        <f t="shared" si="257"/>
        <v>29.683333333333334</v>
      </c>
      <c r="P242" s="204">
        <f t="shared" si="258"/>
        <v>356.2</v>
      </c>
      <c r="Q242" s="204">
        <f t="shared" si="259"/>
        <v>0</v>
      </c>
      <c r="R242" s="204"/>
      <c r="S242" s="204">
        <f t="shared" si="260"/>
        <v>3562</v>
      </c>
      <c r="T242" s="204">
        <f t="shared" si="261"/>
        <v>3562</v>
      </c>
      <c r="U242" s="204">
        <f t="shared" si="262"/>
        <v>0</v>
      </c>
    </row>
    <row r="243" spans="4:21">
      <c r="D243" s="230">
        <v>4</v>
      </c>
      <c r="E243" s="184" t="s">
        <v>185</v>
      </c>
      <c r="F243" s="229">
        <v>2005</v>
      </c>
      <c r="G243" s="228">
        <v>6</v>
      </c>
      <c r="H243" s="209">
        <v>0</v>
      </c>
      <c r="I243" s="208" t="s">
        <v>86</v>
      </c>
      <c r="J243" s="227">
        <v>10</v>
      </c>
      <c r="K243" s="207">
        <f t="shared" si="255"/>
        <v>2015</v>
      </c>
      <c r="L243" s="206">
        <f t="shared" ref="L243:L324" si="263">+K243+(G243/12)</f>
        <v>2015.5</v>
      </c>
      <c r="M243" s="235">
        <v>14877</v>
      </c>
      <c r="N243" s="204">
        <f t="shared" si="256"/>
        <v>14877</v>
      </c>
      <c r="O243" s="204">
        <f t="shared" si="257"/>
        <v>123.97500000000001</v>
      </c>
      <c r="P243" s="204">
        <f t="shared" si="258"/>
        <v>1487.7</v>
      </c>
      <c r="Q243" s="204">
        <f t="shared" si="259"/>
        <v>0</v>
      </c>
      <c r="R243" s="204"/>
      <c r="S243" s="204">
        <f t="shared" si="260"/>
        <v>14877</v>
      </c>
      <c r="T243" s="204">
        <f t="shared" si="261"/>
        <v>14877</v>
      </c>
      <c r="U243" s="204">
        <f t="shared" si="262"/>
        <v>0</v>
      </c>
    </row>
    <row r="244" spans="4:21">
      <c r="D244" s="230">
        <v>8</v>
      </c>
      <c r="E244" s="184" t="s">
        <v>185</v>
      </c>
      <c r="F244" s="229">
        <v>2006</v>
      </c>
      <c r="G244" s="228">
        <v>4</v>
      </c>
      <c r="H244" s="209">
        <v>0</v>
      </c>
      <c r="I244" s="208" t="s">
        <v>86</v>
      </c>
      <c r="J244" s="227">
        <v>10</v>
      </c>
      <c r="K244" s="207">
        <f t="shared" si="255"/>
        <v>2016</v>
      </c>
      <c r="L244" s="206">
        <f t="shared" si="263"/>
        <v>2016.3333333333333</v>
      </c>
      <c r="M244" s="235">
        <v>28560</v>
      </c>
      <c r="N244" s="204">
        <f t="shared" si="256"/>
        <v>28560</v>
      </c>
      <c r="O244" s="204">
        <f t="shared" si="257"/>
        <v>238</v>
      </c>
      <c r="P244" s="204">
        <f t="shared" si="258"/>
        <v>2856</v>
      </c>
      <c r="Q244" s="204">
        <f t="shared" si="259"/>
        <v>0</v>
      </c>
      <c r="R244" s="204"/>
      <c r="S244" s="204">
        <f t="shared" si="260"/>
        <v>28560</v>
      </c>
      <c r="T244" s="204">
        <f t="shared" si="261"/>
        <v>28560</v>
      </c>
      <c r="U244" s="204">
        <f t="shared" si="262"/>
        <v>0</v>
      </c>
    </row>
    <row r="245" spans="4:21">
      <c r="D245" s="230">
        <v>2</v>
      </c>
      <c r="E245" s="184" t="s">
        <v>188</v>
      </c>
      <c r="F245" s="229">
        <v>2006</v>
      </c>
      <c r="G245" s="228">
        <v>4</v>
      </c>
      <c r="H245" s="209">
        <v>0</v>
      </c>
      <c r="I245" s="208" t="s">
        <v>86</v>
      </c>
      <c r="J245" s="227">
        <v>10</v>
      </c>
      <c r="K245" s="207">
        <f t="shared" si="255"/>
        <v>2016</v>
      </c>
      <c r="L245" s="206">
        <f t="shared" si="263"/>
        <v>2016.3333333333333</v>
      </c>
      <c r="M245" s="235">
        <f>4300+4300</f>
        <v>8600</v>
      </c>
      <c r="N245" s="204">
        <f t="shared" si="256"/>
        <v>8600</v>
      </c>
      <c r="O245" s="204">
        <f t="shared" si="257"/>
        <v>71.666666666666671</v>
      </c>
      <c r="P245" s="204">
        <f t="shared" si="258"/>
        <v>860</v>
      </c>
      <c r="Q245" s="204">
        <f t="shared" si="259"/>
        <v>0</v>
      </c>
      <c r="R245" s="204"/>
      <c r="S245" s="204">
        <f t="shared" si="260"/>
        <v>8600</v>
      </c>
      <c r="T245" s="204">
        <f t="shared" si="261"/>
        <v>8600</v>
      </c>
      <c r="U245" s="204">
        <f t="shared" si="262"/>
        <v>0</v>
      </c>
    </row>
    <row r="246" spans="4:21">
      <c r="D246" s="230">
        <v>2</v>
      </c>
      <c r="E246" s="184" t="s">
        <v>189</v>
      </c>
      <c r="F246" s="229">
        <v>2006</v>
      </c>
      <c r="G246" s="228">
        <v>4</v>
      </c>
      <c r="H246" s="209">
        <v>0</v>
      </c>
      <c r="I246" s="208" t="s">
        <v>86</v>
      </c>
      <c r="J246" s="227">
        <v>10</v>
      </c>
      <c r="K246" s="207">
        <f t="shared" si="255"/>
        <v>2016</v>
      </c>
      <c r="L246" s="206">
        <f t="shared" si="263"/>
        <v>2016.3333333333333</v>
      </c>
      <c r="M246" s="235">
        <f>4350+4350</f>
        <v>8700</v>
      </c>
      <c r="N246" s="204">
        <f t="shared" si="256"/>
        <v>8700</v>
      </c>
      <c r="O246" s="204">
        <f t="shared" si="257"/>
        <v>72.5</v>
      </c>
      <c r="P246" s="204">
        <f t="shared" si="258"/>
        <v>870</v>
      </c>
      <c r="Q246" s="204">
        <f t="shared" si="259"/>
        <v>0</v>
      </c>
      <c r="R246" s="204"/>
      <c r="S246" s="204">
        <f t="shared" si="260"/>
        <v>8700</v>
      </c>
      <c r="T246" s="204">
        <f t="shared" si="261"/>
        <v>8700</v>
      </c>
      <c r="U246" s="204">
        <f t="shared" si="262"/>
        <v>0</v>
      </c>
    </row>
    <row r="247" spans="4:21">
      <c r="D247" s="230">
        <v>1</v>
      </c>
      <c r="E247" s="184" t="s">
        <v>190</v>
      </c>
      <c r="F247" s="229">
        <v>2006</v>
      </c>
      <c r="G247" s="228">
        <v>6</v>
      </c>
      <c r="H247" s="209">
        <v>0</v>
      </c>
      <c r="I247" s="208" t="s">
        <v>86</v>
      </c>
      <c r="J247" s="227">
        <v>10</v>
      </c>
      <c r="K247" s="207">
        <f t="shared" si="255"/>
        <v>2016</v>
      </c>
      <c r="L247" s="206">
        <f t="shared" si="263"/>
        <v>2016.5</v>
      </c>
      <c r="M247" s="235">
        <v>2650</v>
      </c>
      <c r="N247" s="204">
        <f t="shared" si="256"/>
        <v>2650</v>
      </c>
      <c r="O247" s="204">
        <f t="shared" si="257"/>
        <v>22.083333333333332</v>
      </c>
      <c r="P247" s="204">
        <f t="shared" si="258"/>
        <v>265</v>
      </c>
      <c r="Q247" s="204">
        <f t="shared" si="259"/>
        <v>0</v>
      </c>
      <c r="R247" s="204"/>
      <c r="S247" s="204">
        <f t="shared" si="260"/>
        <v>2650</v>
      </c>
      <c r="T247" s="204">
        <f t="shared" si="261"/>
        <v>2650</v>
      </c>
      <c r="U247" s="204">
        <f t="shared" si="262"/>
        <v>0</v>
      </c>
    </row>
    <row r="248" spans="4:21">
      <c r="D248" s="230">
        <v>4</v>
      </c>
      <c r="E248" s="184" t="s">
        <v>191</v>
      </c>
      <c r="F248" s="229">
        <v>2006</v>
      </c>
      <c r="G248" s="228">
        <v>6</v>
      </c>
      <c r="H248" s="209">
        <v>0</v>
      </c>
      <c r="I248" s="208" t="s">
        <v>86</v>
      </c>
      <c r="J248" s="227">
        <v>10</v>
      </c>
      <c r="K248" s="207">
        <f t="shared" si="255"/>
        <v>2016</v>
      </c>
      <c r="L248" s="206">
        <f t="shared" si="263"/>
        <v>2016.5</v>
      </c>
      <c r="M248" s="235">
        <v>21480</v>
      </c>
      <c r="N248" s="204">
        <f t="shared" si="256"/>
        <v>21480</v>
      </c>
      <c r="O248" s="204">
        <f t="shared" si="257"/>
        <v>179</v>
      </c>
      <c r="P248" s="204">
        <f t="shared" si="258"/>
        <v>2148</v>
      </c>
      <c r="Q248" s="204">
        <f t="shared" si="259"/>
        <v>0</v>
      </c>
      <c r="R248" s="204"/>
      <c r="S248" s="204">
        <f t="shared" si="260"/>
        <v>21480</v>
      </c>
      <c r="T248" s="204">
        <f t="shared" si="261"/>
        <v>21480</v>
      </c>
      <c r="U248" s="204">
        <f t="shared" si="262"/>
        <v>0</v>
      </c>
    </row>
    <row r="249" spans="4:21">
      <c r="D249" s="230">
        <v>1</v>
      </c>
      <c r="E249" s="184" t="s">
        <v>193</v>
      </c>
      <c r="F249" s="229">
        <v>2006</v>
      </c>
      <c r="G249" s="228">
        <v>6</v>
      </c>
      <c r="H249" s="209">
        <v>0</v>
      </c>
      <c r="I249" s="208" t="s">
        <v>86</v>
      </c>
      <c r="J249" s="227">
        <v>10</v>
      </c>
      <c r="K249" s="207">
        <f t="shared" si="255"/>
        <v>2016</v>
      </c>
      <c r="L249" s="206">
        <f t="shared" si="263"/>
        <v>2016.5</v>
      </c>
      <c r="M249" s="235">
        <v>4350</v>
      </c>
      <c r="N249" s="204">
        <f t="shared" si="256"/>
        <v>4350</v>
      </c>
      <c r="O249" s="204">
        <f t="shared" si="257"/>
        <v>36.25</v>
      </c>
      <c r="P249" s="204">
        <f t="shared" si="258"/>
        <v>435</v>
      </c>
      <c r="Q249" s="204">
        <f t="shared" si="259"/>
        <v>0</v>
      </c>
      <c r="R249" s="204"/>
      <c r="S249" s="204">
        <f t="shared" si="260"/>
        <v>4350</v>
      </c>
      <c r="T249" s="204">
        <f t="shared" si="261"/>
        <v>4350</v>
      </c>
      <c r="U249" s="204">
        <f t="shared" si="262"/>
        <v>0</v>
      </c>
    </row>
    <row r="250" spans="4:21">
      <c r="D250" s="230">
        <v>1</v>
      </c>
      <c r="E250" s="184" t="s">
        <v>194</v>
      </c>
      <c r="F250" s="229">
        <v>2006</v>
      </c>
      <c r="G250" s="228">
        <v>6</v>
      </c>
      <c r="H250" s="209">
        <v>0</v>
      </c>
      <c r="I250" s="208" t="s">
        <v>86</v>
      </c>
      <c r="J250" s="227">
        <v>10</v>
      </c>
      <c r="K250" s="207">
        <f t="shared" si="255"/>
        <v>2016</v>
      </c>
      <c r="L250" s="206">
        <f t="shared" si="263"/>
        <v>2016.5</v>
      </c>
      <c r="M250" s="235">
        <v>4300</v>
      </c>
      <c r="N250" s="204">
        <f t="shared" si="256"/>
        <v>4300</v>
      </c>
      <c r="O250" s="204">
        <f t="shared" si="257"/>
        <v>35.833333333333336</v>
      </c>
      <c r="P250" s="204">
        <f t="shared" si="258"/>
        <v>430</v>
      </c>
      <c r="Q250" s="204">
        <f t="shared" si="259"/>
        <v>0</v>
      </c>
      <c r="R250" s="204"/>
      <c r="S250" s="204">
        <f t="shared" si="260"/>
        <v>4300</v>
      </c>
      <c r="T250" s="204">
        <f t="shared" si="261"/>
        <v>4300</v>
      </c>
      <c r="U250" s="204">
        <f t="shared" si="262"/>
        <v>0</v>
      </c>
    </row>
    <row r="251" spans="4:21">
      <c r="D251" s="230">
        <v>1</v>
      </c>
      <c r="E251" s="184" t="s">
        <v>195</v>
      </c>
      <c r="F251" s="229">
        <v>2006</v>
      </c>
      <c r="G251" s="228">
        <v>6</v>
      </c>
      <c r="H251" s="209">
        <v>0</v>
      </c>
      <c r="I251" s="208" t="s">
        <v>86</v>
      </c>
      <c r="J251" s="227">
        <v>10</v>
      </c>
      <c r="K251" s="207">
        <f t="shared" si="255"/>
        <v>2016</v>
      </c>
      <c r="L251" s="206">
        <f t="shared" si="263"/>
        <v>2016.5</v>
      </c>
      <c r="M251" s="235">
        <v>3570</v>
      </c>
      <c r="N251" s="204">
        <f t="shared" si="256"/>
        <v>3570</v>
      </c>
      <c r="O251" s="204">
        <f t="shared" si="257"/>
        <v>29.75</v>
      </c>
      <c r="P251" s="204">
        <f t="shared" si="258"/>
        <v>357</v>
      </c>
      <c r="Q251" s="204">
        <f t="shared" si="259"/>
        <v>0</v>
      </c>
      <c r="R251" s="204"/>
      <c r="S251" s="204">
        <f t="shared" si="260"/>
        <v>3570</v>
      </c>
      <c r="T251" s="204">
        <f t="shared" si="261"/>
        <v>3570</v>
      </c>
      <c r="U251" s="204">
        <f t="shared" si="262"/>
        <v>0</v>
      </c>
    </row>
    <row r="252" spans="4:21">
      <c r="D252" s="230">
        <v>4</v>
      </c>
      <c r="E252" s="184" t="s">
        <v>195</v>
      </c>
      <c r="F252" s="229">
        <v>2006</v>
      </c>
      <c r="G252" s="228">
        <v>8</v>
      </c>
      <c r="H252" s="209">
        <v>0</v>
      </c>
      <c r="I252" s="208" t="s">
        <v>86</v>
      </c>
      <c r="J252" s="227">
        <v>10</v>
      </c>
      <c r="K252" s="207">
        <f t="shared" si="255"/>
        <v>2016</v>
      </c>
      <c r="L252" s="206">
        <f t="shared" si="263"/>
        <v>2016.6666666666667</v>
      </c>
      <c r="M252" s="235">
        <v>14280</v>
      </c>
      <c r="N252" s="204">
        <f t="shared" si="256"/>
        <v>14280</v>
      </c>
      <c r="O252" s="204">
        <f t="shared" si="257"/>
        <v>119</v>
      </c>
      <c r="P252" s="204">
        <f t="shared" si="258"/>
        <v>1428</v>
      </c>
      <c r="Q252" s="204">
        <f t="shared" si="259"/>
        <v>0</v>
      </c>
      <c r="R252" s="204"/>
      <c r="S252" s="204">
        <f t="shared" si="260"/>
        <v>14280</v>
      </c>
      <c r="T252" s="204">
        <f t="shared" si="261"/>
        <v>14280</v>
      </c>
      <c r="U252" s="204">
        <f t="shared" si="262"/>
        <v>0</v>
      </c>
    </row>
    <row r="253" spans="4:21">
      <c r="D253" s="230">
        <v>6</v>
      </c>
      <c r="E253" s="184" t="s">
        <v>195</v>
      </c>
      <c r="F253" s="229">
        <v>2006</v>
      </c>
      <c r="G253" s="228">
        <v>11</v>
      </c>
      <c r="H253" s="209">
        <v>0</v>
      </c>
      <c r="I253" s="208" t="s">
        <v>86</v>
      </c>
      <c r="J253" s="227">
        <v>10</v>
      </c>
      <c r="K253" s="207">
        <f t="shared" si="255"/>
        <v>2016</v>
      </c>
      <c r="L253" s="206">
        <f t="shared" si="263"/>
        <v>2016.9166666666667</v>
      </c>
      <c r="M253" s="235">
        <v>21594</v>
      </c>
      <c r="N253" s="204">
        <f t="shared" si="256"/>
        <v>21594</v>
      </c>
      <c r="O253" s="204">
        <f t="shared" si="257"/>
        <v>179.95000000000002</v>
      </c>
      <c r="P253" s="204">
        <f t="shared" si="258"/>
        <v>2159.4</v>
      </c>
      <c r="Q253" s="204">
        <f t="shared" si="259"/>
        <v>0</v>
      </c>
      <c r="R253" s="204"/>
      <c r="S253" s="204">
        <f t="shared" si="260"/>
        <v>21594</v>
      </c>
      <c r="T253" s="204">
        <f t="shared" si="261"/>
        <v>21594</v>
      </c>
      <c r="U253" s="204">
        <f t="shared" si="262"/>
        <v>0</v>
      </c>
    </row>
    <row r="254" spans="4:21">
      <c r="D254" s="230">
        <v>4</v>
      </c>
      <c r="E254" s="184" t="s">
        <v>196</v>
      </c>
      <c r="F254" s="229">
        <v>2007</v>
      </c>
      <c r="G254" s="228">
        <v>4</v>
      </c>
      <c r="H254" s="209">
        <v>0</v>
      </c>
      <c r="I254" s="208" t="s">
        <v>86</v>
      </c>
      <c r="J254" s="227">
        <v>10</v>
      </c>
      <c r="K254" s="207">
        <f t="shared" si="255"/>
        <v>2017</v>
      </c>
      <c r="L254" s="206">
        <f t="shared" si="263"/>
        <v>2017.3333333333333</v>
      </c>
      <c r="M254" s="235">
        <f>5270*4</f>
        <v>21080</v>
      </c>
      <c r="N254" s="204">
        <f t="shared" si="256"/>
        <v>21080</v>
      </c>
      <c r="O254" s="204">
        <f t="shared" si="257"/>
        <v>175.66666666666666</v>
      </c>
      <c r="P254" s="204">
        <f t="shared" si="258"/>
        <v>2108</v>
      </c>
      <c r="Q254" s="204">
        <f t="shared" si="259"/>
        <v>0</v>
      </c>
      <c r="R254" s="204"/>
      <c r="S254" s="204">
        <f t="shared" si="260"/>
        <v>21080</v>
      </c>
      <c r="T254" s="204">
        <f t="shared" si="261"/>
        <v>21080</v>
      </c>
      <c r="U254" s="204">
        <f t="shared" si="262"/>
        <v>0</v>
      </c>
    </row>
    <row r="255" spans="4:21">
      <c r="D255" s="230">
        <v>4</v>
      </c>
      <c r="E255" s="184" t="s">
        <v>197</v>
      </c>
      <c r="F255" s="229">
        <v>2007</v>
      </c>
      <c r="G255" s="228">
        <v>5</v>
      </c>
      <c r="H255" s="209">
        <v>0</v>
      </c>
      <c r="I255" s="208" t="s">
        <v>86</v>
      </c>
      <c r="J255" s="227">
        <v>10</v>
      </c>
      <c r="K255" s="207">
        <f t="shared" si="255"/>
        <v>2017</v>
      </c>
      <c r="L255" s="206">
        <f t="shared" si="263"/>
        <v>2017.4166666666667</v>
      </c>
      <c r="M255" s="235">
        <v>17400</v>
      </c>
      <c r="N255" s="204">
        <f t="shared" si="256"/>
        <v>17400</v>
      </c>
      <c r="O255" s="204">
        <f t="shared" si="257"/>
        <v>145</v>
      </c>
      <c r="P255" s="204">
        <f t="shared" si="258"/>
        <v>1740</v>
      </c>
      <c r="Q255" s="204">
        <f t="shared" si="259"/>
        <v>0</v>
      </c>
      <c r="R255" s="204"/>
      <c r="S255" s="204">
        <f t="shared" si="260"/>
        <v>17400</v>
      </c>
      <c r="T255" s="204">
        <f t="shared" si="261"/>
        <v>17400</v>
      </c>
      <c r="U255" s="204">
        <f t="shared" si="262"/>
        <v>0</v>
      </c>
    </row>
    <row r="256" spans="4:21">
      <c r="D256" s="230">
        <v>6</v>
      </c>
      <c r="E256" s="184" t="s">
        <v>198</v>
      </c>
      <c r="F256" s="229">
        <v>2007</v>
      </c>
      <c r="G256" s="228">
        <v>5</v>
      </c>
      <c r="H256" s="209">
        <v>0</v>
      </c>
      <c r="I256" s="208" t="s">
        <v>86</v>
      </c>
      <c r="J256" s="227">
        <v>10</v>
      </c>
      <c r="K256" s="207">
        <f t="shared" si="255"/>
        <v>2017</v>
      </c>
      <c r="L256" s="206">
        <f t="shared" si="263"/>
        <v>2017.4166666666667</v>
      </c>
      <c r="M256" s="235">
        <v>20940</v>
      </c>
      <c r="N256" s="204">
        <f t="shared" si="256"/>
        <v>20940</v>
      </c>
      <c r="O256" s="204">
        <f t="shared" si="257"/>
        <v>174.5</v>
      </c>
      <c r="P256" s="204">
        <f t="shared" si="258"/>
        <v>2094</v>
      </c>
      <c r="Q256" s="204">
        <f t="shared" si="259"/>
        <v>0</v>
      </c>
      <c r="R256" s="204"/>
      <c r="S256" s="204">
        <f t="shared" si="260"/>
        <v>20940</v>
      </c>
      <c r="T256" s="204">
        <f t="shared" si="261"/>
        <v>20940</v>
      </c>
      <c r="U256" s="204">
        <f t="shared" si="262"/>
        <v>0</v>
      </c>
    </row>
    <row r="257" spans="2:21">
      <c r="D257" s="230">
        <v>3</v>
      </c>
      <c r="E257" s="184" t="s">
        <v>199</v>
      </c>
      <c r="F257" s="229">
        <v>2008</v>
      </c>
      <c r="G257" s="228">
        <v>3</v>
      </c>
      <c r="H257" s="209">
        <v>0</v>
      </c>
      <c r="I257" s="208" t="s">
        <v>86</v>
      </c>
      <c r="J257" s="227">
        <v>10</v>
      </c>
      <c r="K257" s="207">
        <f t="shared" si="255"/>
        <v>2018</v>
      </c>
      <c r="L257" s="206">
        <f t="shared" si="263"/>
        <v>2018.25</v>
      </c>
      <c r="M257" s="235">
        <v>13735</v>
      </c>
      <c r="N257" s="204">
        <f t="shared" si="256"/>
        <v>13735</v>
      </c>
      <c r="O257" s="204">
        <f t="shared" si="257"/>
        <v>114.45833333333333</v>
      </c>
      <c r="P257" s="204">
        <f t="shared" si="258"/>
        <v>1373.5</v>
      </c>
      <c r="Q257" s="204">
        <f t="shared" si="259"/>
        <v>0</v>
      </c>
      <c r="R257" s="204"/>
      <c r="S257" s="204">
        <f t="shared" si="260"/>
        <v>13735</v>
      </c>
      <c r="T257" s="204">
        <f t="shared" si="261"/>
        <v>13735</v>
      </c>
      <c r="U257" s="204">
        <f t="shared" si="262"/>
        <v>0</v>
      </c>
    </row>
    <row r="258" spans="2:21">
      <c r="B258" s="230">
        <v>237931</v>
      </c>
      <c r="C258" s="228"/>
      <c r="D258" s="203">
        <v>1</v>
      </c>
      <c r="E258" s="210" t="s">
        <v>571</v>
      </c>
      <c r="F258" s="229">
        <v>2008</v>
      </c>
      <c r="G258" s="228">
        <v>11</v>
      </c>
      <c r="H258" s="209">
        <v>0</v>
      </c>
      <c r="I258" s="208" t="s">
        <v>86</v>
      </c>
      <c r="J258" s="227">
        <v>7</v>
      </c>
      <c r="K258" s="207">
        <f>F258+J258</f>
        <v>2015</v>
      </c>
      <c r="L258" s="206">
        <f>+K258+(G258/12)</f>
        <v>2015.9166666666667</v>
      </c>
      <c r="M258" s="205">
        <v>1700</v>
      </c>
      <c r="N258" s="204">
        <f>M258-M258*H258</f>
        <v>1700</v>
      </c>
      <c r="O258" s="204">
        <f>N258/J258/12</f>
        <v>20.238095238095237</v>
      </c>
      <c r="P258" s="204">
        <f>+O258*12</f>
        <v>242.85714285714283</v>
      </c>
      <c r="Q258" s="204">
        <f>+IF(L258&lt;=$N$5,0,IF(K258&gt;$N$4,P258,(O258*G258)))</f>
        <v>0</v>
      </c>
      <c r="R258" s="204"/>
      <c r="S258" s="204">
        <f>+IF(Q258=0,M258,IF($N$3-F258&lt;1,0,(($N$3-F258)*P258)))</f>
        <v>1700</v>
      </c>
      <c r="T258" s="204">
        <f>+IF(Q258=0,S258,S258+Q258)</f>
        <v>1700</v>
      </c>
      <c r="U258" s="204">
        <f>M258-T258</f>
        <v>0</v>
      </c>
    </row>
    <row r="259" spans="2:21">
      <c r="B259" s="230">
        <v>237930</v>
      </c>
      <c r="C259" s="228"/>
      <c r="D259" s="203">
        <v>1</v>
      </c>
      <c r="E259" s="210" t="s">
        <v>572</v>
      </c>
      <c r="F259" s="229">
        <v>2008</v>
      </c>
      <c r="G259" s="228">
        <v>11</v>
      </c>
      <c r="H259" s="209">
        <v>0</v>
      </c>
      <c r="I259" s="208" t="s">
        <v>86</v>
      </c>
      <c r="J259" s="227">
        <v>7</v>
      </c>
      <c r="K259" s="207">
        <f>F259+J259</f>
        <v>2015</v>
      </c>
      <c r="L259" s="206">
        <f>+K259+(G259/12)</f>
        <v>2015.9166666666667</v>
      </c>
      <c r="M259" s="205">
        <v>1092.8499999999999</v>
      </c>
      <c r="N259" s="204">
        <f>M259-M259*H259</f>
        <v>1092.8499999999999</v>
      </c>
      <c r="O259" s="204">
        <f>N259/J259/12</f>
        <v>13.010119047619048</v>
      </c>
      <c r="P259" s="204">
        <f>+O259*12</f>
        <v>156.12142857142857</v>
      </c>
      <c r="Q259" s="204">
        <f>+IF(L259&lt;=$N$5,0,IF(K259&gt;$N$4,P259,(O259*G259)))</f>
        <v>0</v>
      </c>
      <c r="R259" s="204"/>
      <c r="S259" s="204">
        <f>+IF(Q259=0,M259,IF($N$3-F259&lt;1,0,(($N$3-F259)*P259)))</f>
        <v>1092.8499999999999</v>
      </c>
      <c r="T259" s="204">
        <f>+IF(Q259=0,S259,S259+Q259)</f>
        <v>1092.8499999999999</v>
      </c>
      <c r="U259" s="204">
        <f>M259-T259</f>
        <v>0</v>
      </c>
    </row>
    <row r="260" spans="2:21">
      <c r="B260" s="230">
        <v>237929</v>
      </c>
      <c r="C260" s="228"/>
      <c r="D260" s="203">
        <v>7</v>
      </c>
      <c r="E260" s="210" t="s">
        <v>573</v>
      </c>
      <c r="F260" s="229">
        <v>2008</v>
      </c>
      <c r="G260" s="228">
        <v>11</v>
      </c>
      <c r="H260" s="209">
        <v>0</v>
      </c>
      <c r="I260" s="208" t="s">
        <v>86</v>
      </c>
      <c r="J260" s="227">
        <v>7</v>
      </c>
      <c r="K260" s="207">
        <f>F260+J260</f>
        <v>2015</v>
      </c>
      <c r="L260" s="206">
        <f>+K260+(G260/12)</f>
        <v>2015.9166666666667</v>
      </c>
      <c r="M260" s="205">
        <v>9100</v>
      </c>
      <c r="N260" s="204">
        <f>M260-M260*H260</f>
        <v>9100</v>
      </c>
      <c r="O260" s="204">
        <f>N260/J260/12</f>
        <v>108.33333333333333</v>
      </c>
      <c r="P260" s="204">
        <f>+O260*12</f>
        <v>1300</v>
      </c>
      <c r="Q260" s="204">
        <f>+IF(L260&lt;=$N$5,0,IF(K260&gt;$N$4,P260,(O260*G260)))</f>
        <v>0</v>
      </c>
      <c r="R260" s="204"/>
      <c r="S260" s="204">
        <f>+IF(Q260=0,M260,IF($N$3-F260&lt;1,0,(($N$3-F260)*P260)))</f>
        <v>9100</v>
      </c>
      <c r="T260" s="204">
        <f>+IF(Q260=0,S260,S260+Q260)</f>
        <v>9100</v>
      </c>
      <c r="U260" s="204">
        <f>M260-T260</f>
        <v>0</v>
      </c>
    </row>
    <row r="261" spans="2:21">
      <c r="D261" s="230">
        <v>1</v>
      </c>
      <c r="E261" s="184" t="s">
        <v>199</v>
      </c>
      <c r="F261" s="229">
        <v>2009</v>
      </c>
      <c r="G261" s="228">
        <v>12</v>
      </c>
      <c r="H261" s="209">
        <v>0</v>
      </c>
      <c r="I261" s="208" t="s">
        <v>86</v>
      </c>
      <c r="J261" s="227">
        <v>10</v>
      </c>
      <c r="K261" s="207">
        <f t="shared" si="255"/>
        <v>2019</v>
      </c>
      <c r="L261" s="206">
        <f t="shared" si="263"/>
        <v>2020</v>
      </c>
      <c r="M261" s="235">
        <v>5181</v>
      </c>
      <c r="N261" s="204">
        <f t="shared" si="256"/>
        <v>5181</v>
      </c>
      <c r="O261" s="204">
        <f t="shared" si="257"/>
        <v>43.175000000000004</v>
      </c>
      <c r="P261" s="204">
        <f t="shared" si="258"/>
        <v>518.1</v>
      </c>
      <c r="Q261" s="204">
        <f t="shared" si="259"/>
        <v>0</v>
      </c>
      <c r="R261" s="204"/>
      <c r="S261" s="204">
        <f t="shared" si="260"/>
        <v>5181</v>
      </c>
      <c r="T261" s="204">
        <f t="shared" si="261"/>
        <v>5181</v>
      </c>
      <c r="U261" s="204">
        <f t="shared" si="262"/>
        <v>0</v>
      </c>
    </row>
    <row r="262" spans="2:21">
      <c r="D262" s="230">
        <v>2</v>
      </c>
      <c r="E262" s="184" t="s">
        <v>200</v>
      </c>
      <c r="F262" s="229">
        <v>2010</v>
      </c>
      <c r="G262" s="228">
        <v>10</v>
      </c>
      <c r="H262" s="209">
        <v>0</v>
      </c>
      <c r="I262" s="208" t="s">
        <v>86</v>
      </c>
      <c r="J262" s="227">
        <v>10</v>
      </c>
      <c r="K262" s="207">
        <f t="shared" si="255"/>
        <v>2020</v>
      </c>
      <c r="L262" s="206">
        <f t="shared" si="263"/>
        <v>2020.8333333333333</v>
      </c>
      <c r="M262" s="235">
        <v>7321.45</v>
      </c>
      <c r="N262" s="204">
        <f t="shared" si="256"/>
        <v>7321.45</v>
      </c>
      <c r="O262" s="204">
        <f t="shared" si="257"/>
        <v>61.012083333333329</v>
      </c>
      <c r="P262" s="204">
        <f t="shared" si="258"/>
        <v>732.14499999999998</v>
      </c>
      <c r="Q262" s="204">
        <f t="shared" si="259"/>
        <v>0</v>
      </c>
      <c r="R262" s="204"/>
      <c r="S262" s="204">
        <f t="shared" si="260"/>
        <v>7321.45</v>
      </c>
      <c r="T262" s="204">
        <f t="shared" si="261"/>
        <v>7321.45</v>
      </c>
      <c r="U262" s="204">
        <f t="shared" si="262"/>
        <v>0</v>
      </c>
    </row>
    <row r="263" spans="2:21">
      <c r="D263" s="230">
        <v>3</v>
      </c>
      <c r="E263" s="184" t="s">
        <v>201</v>
      </c>
      <c r="F263" s="229">
        <v>2011</v>
      </c>
      <c r="G263" s="228">
        <v>5</v>
      </c>
      <c r="H263" s="209">
        <v>0</v>
      </c>
      <c r="I263" s="208" t="s">
        <v>86</v>
      </c>
      <c r="J263" s="227">
        <v>10</v>
      </c>
      <c r="K263" s="207">
        <f t="shared" si="255"/>
        <v>2021</v>
      </c>
      <c r="L263" s="206">
        <f t="shared" si="263"/>
        <v>2021.4166666666667</v>
      </c>
      <c r="M263" s="235">
        <v>16462</v>
      </c>
      <c r="N263" s="204">
        <f t="shared" si="256"/>
        <v>16462</v>
      </c>
      <c r="O263" s="204">
        <f t="shared" si="257"/>
        <v>137.18333333333334</v>
      </c>
      <c r="P263" s="204">
        <f t="shared" si="258"/>
        <v>1646.2</v>
      </c>
      <c r="Q263" s="204">
        <f t="shared" si="259"/>
        <v>685.91666666666674</v>
      </c>
      <c r="R263" s="204"/>
      <c r="S263" s="204">
        <f t="shared" si="260"/>
        <v>14815.800000000001</v>
      </c>
      <c r="T263" s="204">
        <f t="shared" si="261"/>
        <v>15501.716666666667</v>
      </c>
      <c r="U263" s="204">
        <f t="shared" si="262"/>
        <v>960.28333333333285</v>
      </c>
    </row>
    <row r="264" spans="2:21">
      <c r="B264" s="230">
        <v>91082</v>
      </c>
      <c r="D264" s="230">
        <v>2</v>
      </c>
      <c r="E264" s="184" t="s">
        <v>202</v>
      </c>
      <c r="F264" s="229">
        <v>2012</v>
      </c>
      <c r="G264" s="228">
        <v>2</v>
      </c>
      <c r="H264" s="209">
        <v>0</v>
      </c>
      <c r="I264" s="208" t="s">
        <v>86</v>
      </c>
      <c r="J264" s="227">
        <v>10</v>
      </c>
      <c r="K264" s="207">
        <f t="shared" si="255"/>
        <v>2022</v>
      </c>
      <c r="L264" s="206">
        <f t="shared" si="263"/>
        <v>2022.1666666666667</v>
      </c>
      <c r="M264" s="235">
        <v>3772.11</v>
      </c>
      <c r="N264" s="204">
        <f t="shared" si="256"/>
        <v>3772.11</v>
      </c>
      <c r="O264" s="204">
        <f t="shared" si="257"/>
        <v>31.434250000000002</v>
      </c>
      <c r="P264" s="204">
        <f t="shared" si="258"/>
        <v>377.21100000000001</v>
      </c>
      <c r="Q264" s="204">
        <f t="shared" si="259"/>
        <v>377.21100000000001</v>
      </c>
      <c r="R264" s="204"/>
      <c r="S264" s="204">
        <f t="shared" si="260"/>
        <v>3017.6880000000001</v>
      </c>
      <c r="T264" s="204">
        <f t="shared" si="261"/>
        <v>3394.8990000000003</v>
      </c>
      <c r="U264" s="204">
        <f t="shared" si="262"/>
        <v>377.21099999999979</v>
      </c>
    </row>
    <row r="265" spans="2:21">
      <c r="B265" s="230">
        <v>94620</v>
      </c>
      <c r="D265" s="230">
        <v>2</v>
      </c>
      <c r="E265" s="184" t="s">
        <v>203</v>
      </c>
      <c r="F265" s="229">
        <v>2012</v>
      </c>
      <c r="G265" s="228">
        <v>2</v>
      </c>
      <c r="H265" s="209">
        <v>0</v>
      </c>
      <c r="I265" s="208" t="s">
        <v>86</v>
      </c>
      <c r="J265" s="227">
        <v>10</v>
      </c>
      <c r="K265" s="207">
        <f t="shared" si="255"/>
        <v>2022</v>
      </c>
      <c r="L265" s="206">
        <f t="shared" si="263"/>
        <v>2022.1666666666667</v>
      </c>
      <c r="M265" s="235">
        <v>2180.86</v>
      </c>
      <c r="N265" s="204">
        <f t="shared" si="256"/>
        <v>2180.86</v>
      </c>
      <c r="O265" s="204">
        <f t="shared" si="257"/>
        <v>18.173833333333334</v>
      </c>
      <c r="P265" s="204">
        <f t="shared" si="258"/>
        <v>218.08600000000001</v>
      </c>
      <c r="Q265" s="204">
        <f t="shared" si="259"/>
        <v>218.08600000000001</v>
      </c>
      <c r="R265" s="204"/>
      <c r="S265" s="204">
        <f t="shared" si="260"/>
        <v>1744.6880000000001</v>
      </c>
      <c r="T265" s="204">
        <f t="shared" si="261"/>
        <v>1962.7740000000001</v>
      </c>
      <c r="U265" s="204">
        <f t="shared" si="262"/>
        <v>218.08600000000001</v>
      </c>
    </row>
    <row r="266" spans="2:21">
      <c r="B266" s="230">
        <v>103242</v>
      </c>
      <c r="C266" s="228" t="s">
        <v>111</v>
      </c>
      <c r="D266" s="203">
        <v>4</v>
      </c>
      <c r="E266" s="210" t="s">
        <v>295</v>
      </c>
      <c r="F266" s="229">
        <v>2013</v>
      </c>
      <c r="G266" s="228">
        <v>3</v>
      </c>
      <c r="H266" s="209">
        <v>0</v>
      </c>
      <c r="I266" s="208" t="s">
        <v>86</v>
      </c>
      <c r="J266" s="227">
        <v>10</v>
      </c>
      <c r="K266" s="207">
        <f t="shared" si="255"/>
        <v>2023</v>
      </c>
      <c r="L266" s="206">
        <f t="shared" si="263"/>
        <v>2023.25</v>
      </c>
      <c r="M266" s="205">
        <v>5263.3</v>
      </c>
      <c r="N266" s="204">
        <f t="shared" si="256"/>
        <v>5263.3</v>
      </c>
      <c r="O266" s="204">
        <f t="shared" si="257"/>
        <v>43.860833333333339</v>
      </c>
      <c r="P266" s="204">
        <f t="shared" si="258"/>
        <v>526.33000000000004</v>
      </c>
      <c r="Q266" s="204">
        <f t="shared" si="259"/>
        <v>526.33000000000004</v>
      </c>
      <c r="R266" s="204"/>
      <c r="S266" s="204">
        <f t="shared" si="260"/>
        <v>3684.3100000000004</v>
      </c>
      <c r="T266" s="204">
        <f t="shared" si="261"/>
        <v>4210.6400000000003</v>
      </c>
      <c r="U266" s="204">
        <f t="shared" si="262"/>
        <v>1052.6599999999999</v>
      </c>
    </row>
    <row r="267" spans="2:21">
      <c r="B267" s="230">
        <v>107054</v>
      </c>
      <c r="C267" s="228"/>
      <c r="D267" s="203">
        <v>3</v>
      </c>
      <c r="E267" s="210" t="s">
        <v>298</v>
      </c>
      <c r="F267" s="229">
        <v>2013</v>
      </c>
      <c r="G267" s="228">
        <v>8</v>
      </c>
      <c r="H267" s="209">
        <v>0</v>
      </c>
      <c r="I267" s="208" t="s">
        <v>86</v>
      </c>
      <c r="J267" s="227">
        <v>10</v>
      </c>
      <c r="K267" s="207">
        <f t="shared" si="255"/>
        <v>2023</v>
      </c>
      <c r="L267" s="206">
        <f t="shared" si="263"/>
        <v>2023.6666666666667</v>
      </c>
      <c r="M267" s="205">
        <v>9676</v>
      </c>
      <c r="N267" s="204">
        <f t="shared" si="256"/>
        <v>9676</v>
      </c>
      <c r="O267" s="204">
        <f t="shared" si="257"/>
        <v>80.63333333333334</v>
      </c>
      <c r="P267" s="204">
        <f t="shared" si="258"/>
        <v>967.60000000000014</v>
      </c>
      <c r="Q267" s="204">
        <f t="shared" si="259"/>
        <v>967.60000000000014</v>
      </c>
      <c r="R267" s="204"/>
      <c r="S267" s="204">
        <f t="shared" si="260"/>
        <v>6773.2000000000007</v>
      </c>
      <c r="T267" s="204">
        <f t="shared" si="261"/>
        <v>7740.8000000000011</v>
      </c>
      <c r="U267" s="204">
        <f t="shared" si="262"/>
        <v>1935.1999999999989</v>
      </c>
    </row>
    <row r="268" spans="2:21">
      <c r="B268" s="230">
        <v>109995</v>
      </c>
      <c r="C268" s="228"/>
      <c r="D268" s="203">
        <v>4</v>
      </c>
      <c r="E268" s="210" t="s">
        <v>311</v>
      </c>
      <c r="F268" s="229">
        <v>2013</v>
      </c>
      <c r="G268" s="228">
        <v>12</v>
      </c>
      <c r="H268" s="209">
        <v>0</v>
      </c>
      <c r="I268" s="208" t="s">
        <v>86</v>
      </c>
      <c r="J268" s="227">
        <v>10</v>
      </c>
      <c r="K268" s="207">
        <f t="shared" si="255"/>
        <v>2023</v>
      </c>
      <c r="L268" s="206">
        <f t="shared" si="263"/>
        <v>2024</v>
      </c>
      <c r="M268" s="205">
        <v>24400</v>
      </c>
      <c r="N268" s="204">
        <f t="shared" si="256"/>
        <v>24400</v>
      </c>
      <c r="O268" s="204">
        <f t="shared" si="257"/>
        <v>203.33333333333334</v>
      </c>
      <c r="P268" s="204">
        <f t="shared" si="258"/>
        <v>2440</v>
      </c>
      <c r="Q268" s="204">
        <f t="shared" si="259"/>
        <v>2440</v>
      </c>
      <c r="R268" s="204"/>
      <c r="S268" s="204">
        <f t="shared" si="260"/>
        <v>17080</v>
      </c>
      <c r="T268" s="204">
        <f t="shared" si="261"/>
        <v>19520</v>
      </c>
      <c r="U268" s="204">
        <f t="shared" si="262"/>
        <v>4880</v>
      </c>
    </row>
    <row r="269" spans="2:21">
      <c r="B269" s="230">
        <v>118137</v>
      </c>
      <c r="C269" s="228"/>
      <c r="D269" s="203">
        <v>60</v>
      </c>
      <c r="E269" s="210" t="s">
        <v>320</v>
      </c>
      <c r="F269" s="229">
        <v>2014</v>
      </c>
      <c r="G269" s="228">
        <v>12</v>
      </c>
      <c r="H269" s="209">
        <v>0</v>
      </c>
      <c r="I269" s="208" t="s">
        <v>86</v>
      </c>
      <c r="J269" s="227">
        <v>5</v>
      </c>
      <c r="K269" s="207">
        <f t="shared" si="255"/>
        <v>2019</v>
      </c>
      <c r="L269" s="206">
        <f t="shared" si="263"/>
        <v>2020</v>
      </c>
      <c r="M269" s="205">
        <v>12580.08</v>
      </c>
      <c r="N269" s="204">
        <f t="shared" si="256"/>
        <v>12580.08</v>
      </c>
      <c r="O269" s="204">
        <f t="shared" si="257"/>
        <v>209.66800000000001</v>
      </c>
      <c r="P269" s="204">
        <f t="shared" si="258"/>
        <v>2516.0160000000001</v>
      </c>
      <c r="Q269" s="204">
        <f t="shared" si="259"/>
        <v>0</v>
      </c>
      <c r="R269" s="204"/>
      <c r="S269" s="204">
        <f t="shared" si="260"/>
        <v>12580.08</v>
      </c>
      <c r="T269" s="204">
        <f t="shared" si="261"/>
        <v>12580.08</v>
      </c>
      <c r="U269" s="204">
        <f t="shared" si="262"/>
        <v>0</v>
      </c>
    </row>
    <row r="270" spans="2:21">
      <c r="B270" s="230">
        <v>132888</v>
      </c>
      <c r="C270" s="228"/>
      <c r="D270" s="203">
        <v>1</v>
      </c>
      <c r="E270" s="210" t="s">
        <v>344</v>
      </c>
      <c r="F270" s="229">
        <v>2016</v>
      </c>
      <c r="G270" s="228">
        <v>4</v>
      </c>
      <c r="H270" s="209">
        <v>0</v>
      </c>
      <c r="I270" s="208" t="s">
        <v>86</v>
      </c>
      <c r="J270" s="227">
        <v>10</v>
      </c>
      <c r="K270" s="207">
        <f t="shared" si="255"/>
        <v>2026</v>
      </c>
      <c r="L270" s="206">
        <f t="shared" si="263"/>
        <v>2026.3333333333333</v>
      </c>
      <c r="M270" s="205">
        <v>5420</v>
      </c>
      <c r="N270" s="204">
        <f t="shared" si="256"/>
        <v>5420</v>
      </c>
      <c r="O270" s="204">
        <f t="shared" si="257"/>
        <v>45.166666666666664</v>
      </c>
      <c r="P270" s="204">
        <f t="shared" si="258"/>
        <v>542</v>
      </c>
      <c r="Q270" s="204">
        <f t="shared" si="259"/>
        <v>542</v>
      </c>
      <c r="R270" s="204"/>
      <c r="S270" s="204">
        <f t="shared" si="260"/>
        <v>2168</v>
      </c>
      <c r="T270" s="204">
        <f t="shared" si="261"/>
        <v>2710</v>
      </c>
      <c r="U270" s="204">
        <f t="shared" si="262"/>
        <v>2710</v>
      </c>
    </row>
    <row r="271" spans="2:21">
      <c r="B271" s="230">
        <v>172664</v>
      </c>
      <c r="C271" s="228"/>
      <c r="D271" s="203">
        <v>4</v>
      </c>
      <c r="E271" s="210" t="s">
        <v>385</v>
      </c>
      <c r="F271" s="229">
        <v>2017</v>
      </c>
      <c r="G271" s="228">
        <v>1</v>
      </c>
      <c r="H271" s="209">
        <v>0</v>
      </c>
      <c r="I271" s="208" t="s">
        <v>86</v>
      </c>
      <c r="J271" s="227">
        <v>12</v>
      </c>
      <c r="K271" s="207">
        <f t="shared" si="255"/>
        <v>2029</v>
      </c>
      <c r="L271" s="206">
        <f t="shared" si="263"/>
        <v>2029.0833333333333</v>
      </c>
      <c r="M271" s="205">
        <v>23420</v>
      </c>
      <c r="N271" s="204">
        <f t="shared" si="256"/>
        <v>23420</v>
      </c>
      <c r="O271" s="204">
        <f t="shared" si="257"/>
        <v>162.63888888888889</v>
      </c>
      <c r="P271" s="204">
        <f t="shared" si="258"/>
        <v>1951.6666666666665</v>
      </c>
      <c r="Q271" s="204">
        <f t="shared" si="259"/>
        <v>1951.6666666666665</v>
      </c>
      <c r="R271" s="204"/>
      <c r="S271" s="204">
        <f t="shared" si="260"/>
        <v>5855</v>
      </c>
      <c r="T271" s="204">
        <f t="shared" si="261"/>
        <v>7806.6666666666661</v>
      </c>
      <c r="U271" s="204">
        <f t="shared" si="262"/>
        <v>15613.333333333334</v>
      </c>
    </row>
    <row r="272" spans="2:21">
      <c r="B272" s="230">
        <v>172663</v>
      </c>
      <c r="C272" s="228"/>
      <c r="D272" s="203">
        <v>4</v>
      </c>
      <c r="E272" s="210" t="s">
        <v>386</v>
      </c>
      <c r="F272" s="229">
        <v>2017</v>
      </c>
      <c r="G272" s="228">
        <v>1</v>
      </c>
      <c r="H272" s="209">
        <v>0</v>
      </c>
      <c r="I272" s="208" t="s">
        <v>86</v>
      </c>
      <c r="J272" s="227">
        <v>12</v>
      </c>
      <c r="K272" s="207">
        <f t="shared" si="255"/>
        <v>2029</v>
      </c>
      <c r="L272" s="206">
        <f t="shared" si="263"/>
        <v>2029.0833333333333</v>
      </c>
      <c r="M272" s="205">
        <v>27792</v>
      </c>
      <c r="N272" s="204">
        <f t="shared" si="256"/>
        <v>27792</v>
      </c>
      <c r="O272" s="204">
        <f t="shared" si="257"/>
        <v>193</v>
      </c>
      <c r="P272" s="204">
        <f t="shared" si="258"/>
        <v>2316</v>
      </c>
      <c r="Q272" s="204">
        <f t="shared" si="259"/>
        <v>2316</v>
      </c>
      <c r="R272" s="204"/>
      <c r="S272" s="204">
        <f t="shared" si="260"/>
        <v>6948</v>
      </c>
      <c r="T272" s="204">
        <f t="shared" si="261"/>
        <v>9264</v>
      </c>
      <c r="U272" s="204">
        <f t="shared" si="262"/>
        <v>18528</v>
      </c>
    </row>
    <row r="273" spans="2:21">
      <c r="B273" s="230">
        <v>194614</v>
      </c>
      <c r="C273" s="228"/>
      <c r="D273" s="203">
        <v>2</v>
      </c>
      <c r="E273" s="210" t="s">
        <v>478</v>
      </c>
      <c r="F273" s="229">
        <v>2018</v>
      </c>
      <c r="G273" s="228">
        <v>1</v>
      </c>
      <c r="H273" s="209">
        <v>0</v>
      </c>
      <c r="I273" s="208" t="s">
        <v>86</v>
      </c>
      <c r="J273" s="227">
        <v>12</v>
      </c>
      <c r="K273" s="207">
        <f t="shared" ref="K273:K287" si="264">F273+J273</f>
        <v>2030</v>
      </c>
      <c r="L273" s="206">
        <f t="shared" ref="L273:L287" si="265">+K273+(G273/12)</f>
        <v>2030.0833333333333</v>
      </c>
      <c r="M273" s="205">
        <v>11980</v>
      </c>
      <c r="N273" s="204">
        <f t="shared" ref="N273:N287" si="266">M273-M273*H273</f>
        <v>11980</v>
      </c>
      <c r="O273" s="204">
        <f t="shared" ref="O273:O287" si="267">N273/J273/12</f>
        <v>83.194444444444443</v>
      </c>
      <c r="P273" s="204">
        <f t="shared" ref="P273:P287" si="268">+O273*12</f>
        <v>998.33333333333326</v>
      </c>
      <c r="Q273" s="204">
        <f t="shared" si="259"/>
        <v>998.33333333333326</v>
      </c>
      <c r="R273" s="204"/>
      <c r="S273" s="204">
        <f t="shared" ref="S273:S287" si="269">+IF(Q273=0,M273,IF($N$3-F273&lt;1,0,(($N$3-F273)*P273)))</f>
        <v>1996.6666666666665</v>
      </c>
      <c r="T273" s="204">
        <f t="shared" ref="T273:T287" si="270">+IF(Q273=0,S273,S273+Q273)</f>
        <v>2995</v>
      </c>
      <c r="U273" s="204">
        <f t="shared" si="262"/>
        <v>8985</v>
      </c>
    </row>
    <row r="274" spans="2:21">
      <c r="B274" s="230">
        <v>194613</v>
      </c>
      <c r="C274" s="228"/>
      <c r="D274" s="203">
        <v>1</v>
      </c>
      <c r="E274" s="210" t="s">
        <v>479</v>
      </c>
      <c r="F274" s="229">
        <v>2018</v>
      </c>
      <c r="G274" s="228">
        <v>1</v>
      </c>
      <c r="H274" s="209">
        <v>0</v>
      </c>
      <c r="I274" s="208" t="s">
        <v>86</v>
      </c>
      <c r="J274" s="227">
        <v>12</v>
      </c>
      <c r="K274" s="207">
        <f t="shared" si="264"/>
        <v>2030</v>
      </c>
      <c r="L274" s="206">
        <f t="shared" si="265"/>
        <v>2030.0833333333333</v>
      </c>
      <c r="M274" s="205">
        <v>4910</v>
      </c>
      <c r="N274" s="204">
        <f t="shared" si="266"/>
        <v>4910</v>
      </c>
      <c r="O274" s="204">
        <f t="shared" si="267"/>
        <v>34.097222222222221</v>
      </c>
      <c r="P274" s="204">
        <f t="shared" si="268"/>
        <v>409.16666666666663</v>
      </c>
      <c r="Q274" s="204">
        <f t="shared" si="259"/>
        <v>409.16666666666663</v>
      </c>
      <c r="R274" s="204"/>
      <c r="S274" s="204">
        <f t="shared" si="269"/>
        <v>818.33333333333326</v>
      </c>
      <c r="T274" s="204">
        <f t="shared" si="270"/>
        <v>1227.5</v>
      </c>
      <c r="U274" s="204">
        <f t="shared" si="262"/>
        <v>3682.5</v>
      </c>
    </row>
    <row r="275" spans="2:21">
      <c r="B275" s="230">
        <v>204575</v>
      </c>
      <c r="C275" s="228"/>
      <c r="D275" s="203">
        <v>2</v>
      </c>
      <c r="E275" s="210" t="s">
        <v>480</v>
      </c>
      <c r="F275" s="229">
        <v>2018</v>
      </c>
      <c r="G275" s="228">
        <v>8</v>
      </c>
      <c r="H275" s="209">
        <v>0</v>
      </c>
      <c r="I275" s="208" t="s">
        <v>86</v>
      </c>
      <c r="J275" s="227">
        <v>12</v>
      </c>
      <c r="K275" s="207">
        <f t="shared" si="264"/>
        <v>2030</v>
      </c>
      <c r="L275" s="206">
        <f t="shared" si="265"/>
        <v>2030.6666666666667</v>
      </c>
      <c r="M275" s="205">
        <v>13283.5</v>
      </c>
      <c r="N275" s="204">
        <f t="shared" si="266"/>
        <v>13283.5</v>
      </c>
      <c r="O275" s="204">
        <f t="shared" si="267"/>
        <v>92.246527777777771</v>
      </c>
      <c r="P275" s="204">
        <f t="shared" si="268"/>
        <v>1106.9583333333333</v>
      </c>
      <c r="Q275" s="204">
        <f t="shared" si="259"/>
        <v>1106.9583333333333</v>
      </c>
      <c r="R275" s="204"/>
      <c r="S275" s="204">
        <f t="shared" si="269"/>
        <v>2213.9166666666665</v>
      </c>
      <c r="T275" s="204">
        <f t="shared" si="270"/>
        <v>3320.875</v>
      </c>
      <c r="U275" s="204">
        <f t="shared" si="262"/>
        <v>9962.625</v>
      </c>
    </row>
    <row r="276" spans="2:21">
      <c r="B276" s="230">
        <v>204284</v>
      </c>
      <c r="C276" s="228"/>
      <c r="D276" s="203">
        <v>2</v>
      </c>
      <c r="E276" s="210" t="s">
        <v>481</v>
      </c>
      <c r="F276" s="229">
        <v>2018</v>
      </c>
      <c r="G276" s="228">
        <v>8</v>
      </c>
      <c r="H276" s="209">
        <v>0</v>
      </c>
      <c r="I276" s="208" t="s">
        <v>86</v>
      </c>
      <c r="J276" s="227">
        <v>12</v>
      </c>
      <c r="K276" s="207">
        <f t="shared" si="264"/>
        <v>2030</v>
      </c>
      <c r="L276" s="206">
        <f t="shared" si="265"/>
        <v>2030.6666666666667</v>
      </c>
      <c r="M276" s="205">
        <v>13283.5</v>
      </c>
      <c r="N276" s="204">
        <f t="shared" si="266"/>
        <v>13283.5</v>
      </c>
      <c r="O276" s="204">
        <f t="shared" si="267"/>
        <v>92.246527777777771</v>
      </c>
      <c r="P276" s="204">
        <f t="shared" si="268"/>
        <v>1106.9583333333333</v>
      </c>
      <c r="Q276" s="204">
        <f t="shared" si="259"/>
        <v>1106.9583333333333</v>
      </c>
      <c r="R276" s="204"/>
      <c r="S276" s="204">
        <f t="shared" si="269"/>
        <v>2213.9166666666665</v>
      </c>
      <c r="T276" s="204">
        <f t="shared" si="270"/>
        <v>3320.875</v>
      </c>
      <c r="U276" s="204">
        <f t="shared" si="262"/>
        <v>9962.625</v>
      </c>
    </row>
    <row r="277" spans="2:21">
      <c r="B277" s="230">
        <v>204285</v>
      </c>
      <c r="C277" s="228"/>
      <c r="D277" s="203">
        <v>6</v>
      </c>
      <c r="E277" s="210" t="s">
        <v>482</v>
      </c>
      <c r="F277" s="229">
        <v>2018</v>
      </c>
      <c r="G277" s="228">
        <v>9</v>
      </c>
      <c r="H277" s="209">
        <v>0</v>
      </c>
      <c r="I277" s="208" t="s">
        <v>86</v>
      </c>
      <c r="J277" s="227">
        <v>12</v>
      </c>
      <c r="K277" s="207">
        <f t="shared" si="264"/>
        <v>2030</v>
      </c>
      <c r="L277" s="206">
        <f t="shared" si="265"/>
        <v>2030.75</v>
      </c>
      <c r="M277" s="205">
        <v>52025</v>
      </c>
      <c r="N277" s="204">
        <f t="shared" si="266"/>
        <v>52025</v>
      </c>
      <c r="O277" s="204">
        <f t="shared" si="267"/>
        <v>361.28472222222223</v>
      </c>
      <c r="P277" s="204">
        <f t="shared" si="268"/>
        <v>4335.416666666667</v>
      </c>
      <c r="Q277" s="204">
        <f t="shared" si="259"/>
        <v>4335.416666666667</v>
      </c>
      <c r="R277" s="204"/>
      <c r="S277" s="204">
        <f t="shared" si="269"/>
        <v>8670.8333333333339</v>
      </c>
      <c r="T277" s="204">
        <f t="shared" si="270"/>
        <v>13006.25</v>
      </c>
      <c r="U277" s="204">
        <f t="shared" si="262"/>
        <v>39018.75</v>
      </c>
    </row>
    <row r="278" spans="2:21">
      <c r="B278" s="230">
        <v>223309</v>
      </c>
      <c r="C278" s="228"/>
      <c r="D278" s="203">
        <v>7</v>
      </c>
      <c r="E278" s="210" t="s">
        <v>540</v>
      </c>
      <c r="F278" s="229">
        <v>2019</v>
      </c>
      <c r="G278" s="228">
        <v>11</v>
      </c>
      <c r="H278" s="209">
        <v>0</v>
      </c>
      <c r="I278" s="208" t="s">
        <v>86</v>
      </c>
      <c r="J278" s="227">
        <v>12</v>
      </c>
      <c r="K278" s="207">
        <f t="shared" si="264"/>
        <v>2031</v>
      </c>
      <c r="L278" s="206">
        <f t="shared" si="265"/>
        <v>2031.9166666666667</v>
      </c>
      <c r="M278" s="205">
        <v>0</v>
      </c>
      <c r="N278" s="204">
        <f t="shared" si="266"/>
        <v>0</v>
      </c>
      <c r="O278" s="204">
        <f t="shared" si="267"/>
        <v>0</v>
      </c>
      <c r="P278" s="204">
        <f t="shared" si="268"/>
        <v>0</v>
      </c>
      <c r="Q278" s="204">
        <f t="shared" si="259"/>
        <v>0</v>
      </c>
      <c r="R278" s="204"/>
      <c r="S278" s="204">
        <f t="shared" si="269"/>
        <v>0</v>
      </c>
      <c r="T278" s="204">
        <f t="shared" si="270"/>
        <v>0</v>
      </c>
      <c r="U278" s="204">
        <f t="shared" si="262"/>
        <v>0</v>
      </c>
    </row>
    <row r="279" spans="2:21">
      <c r="B279" s="230">
        <v>223180</v>
      </c>
      <c r="C279" s="228"/>
      <c r="D279" s="203">
        <v>7</v>
      </c>
      <c r="E279" s="210" t="s">
        <v>541</v>
      </c>
      <c r="F279" s="229">
        <v>2019</v>
      </c>
      <c r="G279" s="228">
        <v>11</v>
      </c>
      <c r="H279" s="209">
        <v>0</v>
      </c>
      <c r="I279" s="208" t="s">
        <v>86</v>
      </c>
      <c r="J279" s="227">
        <v>12</v>
      </c>
      <c r="K279" s="207">
        <f t="shared" si="264"/>
        <v>2031</v>
      </c>
      <c r="L279" s="206">
        <f t="shared" si="265"/>
        <v>2031.9166666666667</v>
      </c>
      <c r="M279" s="205">
        <v>0</v>
      </c>
      <c r="N279" s="204">
        <f t="shared" si="266"/>
        <v>0</v>
      </c>
      <c r="O279" s="204">
        <f t="shared" si="267"/>
        <v>0</v>
      </c>
      <c r="P279" s="204">
        <f t="shared" si="268"/>
        <v>0</v>
      </c>
      <c r="Q279" s="204">
        <f t="shared" si="259"/>
        <v>0</v>
      </c>
      <c r="R279" s="204"/>
      <c r="S279" s="204">
        <f t="shared" si="269"/>
        <v>0</v>
      </c>
      <c r="T279" s="204">
        <f t="shared" si="270"/>
        <v>0</v>
      </c>
      <c r="U279" s="204">
        <f t="shared" si="262"/>
        <v>0</v>
      </c>
    </row>
    <row r="280" spans="2:21">
      <c r="B280" s="230">
        <v>223149</v>
      </c>
      <c r="C280" s="228"/>
      <c r="D280" s="203">
        <v>22</v>
      </c>
      <c r="E280" s="210" t="s">
        <v>542</v>
      </c>
      <c r="F280" s="229">
        <v>2019</v>
      </c>
      <c r="G280" s="228">
        <v>11</v>
      </c>
      <c r="H280" s="209">
        <v>0</v>
      </c>
      <c r="I280" s="208" t="s">
        <v>86</v>
      </c>
      <c r="J280" s="227">
        <v>12</v>
      </c>
      <c r="K280" s="207">
        <f t="shared" si="264"/>
        <v>2031</v>
      </c>
      <c r="L280" s="206">
        <f t="shared" si="265"/>
        <v>2031.9166666666667</v>
      </c>
      <c r="M280" s="205">
        <v>0</v>
      </c>
      <c r="N280" s="204">
        <f t="shared" si="266"/>
        <v>0</v>
      </c>
      <c r="O280" s="204">
        <f t="shared" si="267"/>
        <v>0</v>
      </c>
      <c r="P280" s="204">
        <f t="shared" si="268"/>
        <v>0</v>
      </c>
      <c r="Q280" s="204">
        <f t="shared" si="259"/>
        <v>0</v>
      </c>
      <c r="R280" s="204"/>
      <c r="S280" s="204">
        <f t="shared" si="269"/>
        <v>0</v>
      </c>
      <c r="T280" s="204">
        <f t="shared" si="270"/>
        <v>0</v>
      </c>
      <c r="U280" s="204">
        <f t="shared" si="262"/>
        <v>0</v>
      </c>
    </row>
    <row r="281" spans="2:21">
      <c r="B281" s="230">
        <v>223090</v>
      </c>
      <c r="C281" s="228"/>
      <c r="D281" s="203">
        <v>6</v>
      </c>
      <c r="E281" s="210" t="s">
        <v>543</v>
      </c>
      <c r="F281" s="229">
        <v>2019</v>
      </c>
      <c r="G281" s="228">
        <v>11</v>
      </c>
      <c r="H281" s="209">
        <v>0</v>
      </c>
      <c r="I281" s="208" t="s">
        <v>86</v>
      </c>
      <c r="J281" s="227">
        <v>12</v>
      </c>
      <c r="K281" s="207">
        <f t="shared" si="264"/>
        <v>2031</v>
      </c>
      <c r="L281" s="206">
        <f t="shared" si="265"/>
        <v>2031.9166666666667</v>
      </c>
      <c r="M281" s="205">
        <v>0</v>
      </c>
      <c r="N281" s="204">
        <f t="shared" si="266"/>
        <v>0</v>
      </c>
      <c r="O281" s="204">
        <f t="shared" si="267"/>
        <v>0</v>
      </c>
      <c r="P281" s="204">
        <f t="shared" si="268"/>
        <v>0</v>
      </c>
      <c r="Q281" s="204">
        <f t="shared" si="259"/>
        <v>0</v>
      </c>
      <c r="R281" s="204"/>
      <c r="S281" s="204">
        <f t="shared" si="269"/>
        <v>0</v>
      </c>
      <c r="T281" s="204">
        <f t="shared" si="270"/>
        <v>0</v>
      </c>
      <c r="U281" s="204">
        <f t="shared" si="262"/>
        <v>0</v>
      </c>
    </row>
    <row r="282" spans="2:21">
      <c r="B282" s="230">
        <v>221707</v>
      </c>
      <c r="C282" s="228"/>
      <c r="D282" s="203">
        <v>2</v>
      </c>
      <c r="E282" s="210" t="s">
        <v>544</v>
      </c>
      <c r="F282" s="229">
        <v>2019</v>
      </c>
      <c r="G282" s="228">
        <v>10</v>
      </c>
      <c r="H282" s="209">
        <v>0</v>
      </c>
      <c r="I282" s="208" t="s">
        <v>86</v>
      </c>
      <c r="J282" s="227">
        <v>12</v>
      </c>
      <c r="K282" s="207">
        <f t="shared" si="264"/>
        <v>2031</v>
      </c>
      <c r="L282" s="206">
        <f t="shared" si="265"/>
        <v>2031.8333333333333</v>
      </c>
      <c r="M282" s="205">
        <v>9943.5</v>
      </c>
      <c r="N282" s="204">
        <f t="shared" si="266"/>
        <v>9943.5</v>
      </c>
      <c r="O282" s="204">
        <f t="shared" si="267"/>
        <v>69.052083333333329</v>
      </c>
      <c r="P282" s="204">
        <f t="shared" si="268"/>
        <v>828.625</v>
      </c>
      <c r="Q282" s="204">
        <f t="shared" si="259"/>
        <v>828.625</v>
      </c>
      <c r="R282" s="204"/>
      <c r="S282" s="204">
        <f t="shared" si="269"/>
        <v>828.625</v>
      </c>
      <c r="T282" s="204">
        <f t="shared" si="270"/>
        <v>1657.25</v>
      </c>
      <c r="U282" s="204">
        <f t="shared" si="262"/>
        <v>8286.25</v>
      </c>
    </row>
    <row r="283" spans="2:21">
      <c r="B283" s="230">
        <v>221706</v>
      </c>
      <c r="C283" s="228"/>
      <c r="D283" s="203">
        <v>3</v>
      </c>
      <c r="E283" s="210" t="s">
        <v>545</v>
      </c>
      <c r="F283" s="229">
        <v>2019</v>
      </c>
      <c r="G283" s="228">
        <v>10</v>
      </c>
      <c r="H283" s="209">
        <v>0</v>
      </c>
      <c r="I283" s="208" t="s">
        <v>86</v>
      </c>
      <c r="J283" s="227">
        <v>12</v>
      </c>
      <c r="K283" s="207">
        <f t="shared" si="264"/>
        <v>2031</v>
      </c>
      <c r="L283" s="206">
        <f t="shared" si="265"/>
        <v>2031.8333333333333</v>
      </c>
      <c r="M283" s="205">
        <v>11468.25</v>
      </c>
      <c r="N283" s="204">
        <f t="shared" si="266"/>
        <v>11468.25</v>
      </c>
      <c r="O283" s="204">
        <f t="shared" si="267"/>
        <v>79.640625</v>
      </c>
      <c r="P283" s="204">
        <f t="shared" si="268"/>
        <v>955.6875</v>
      </c>
      <c r="Q283" s="204">
        <f t="shared" si="259"/>
        <v>955.6875</v>
      </c>
      <c r="R283" s="204"/>
      <c r="S283" s="204">
        <f t="shared" si="269"/>
        <v>955.6875</v>
      </c>
      <c r="T283" s="204">
        <f t="shared" si="270"/>
        <v>1911.375</v>
      </c>
      <c r="U283" s="204">
        <f t="shared" si="262"/>
        <v>9556.875</v>
      </c>
    </row>
    <row r="284" spans="2:21">
      <c r="B284" s="230">
        <v>221705</v>
      </c>
      <c r="C284" s="228"/>
      <c r="D284" s="203">
        <v>1</v>
      </c>
      <c r="E284" s="210" t="s">
        <v>544</v>
      </c>
      <c r="F284" s="229">
        <v>2019</v>
      </c>
      <c r="G284" s="228">
        <v>10</v>
      </c>
      <c r="H284" s="209">
        <v>0</v>
      </c>
      <c r="I284" s="208" t="s">
        <v>86</v>
      </c>
      <c r="J284" s="227">
        <v>12</v>
      </c>
      <c r="K284" s="207">
        <f t="shared" si="264"/>
        <v>2031</v>
      </c>
      <c r="L284" s="206">
        <f t="shared" si="265"/>
        <v>2031.8333333333333</v>
      </c>
      <c r="M284" s="205">
        <v>4971.75</v>
      </c>
      <c r="N284" s="204">
        <f t="shared" si="266"/>
        <v>4971.75</v>
      </c>
      <c r="O284" s="204">
        <f t="shared" si="267"/>
        <v>34.526041666666664</v>
      </c>
      <c r="P284" s="204">
        <f t="shared" si="268"/>
        <v>414.3125</v>
      </c>
      <c r="Q284" s="204">
        <f t="shared" si="259"/>
        <v>414.3125</v>
      </c>
      <c r="R284" s="204"/>
      <c r="S284" s="204">
        <f t="shared" si="269"/>
        <v>414.3125</v>
      </c>
      <c r="T284" s="204">
        <f t="shared" si="270"/>
        <v>828.625</v>
      </c>
      <c r="U284" s="204">
        <f t="shared" si="262"/>
        <v>4143.125</v>
      </c>
    </row>
    <row r="285" spans="2:21">
      <c r="B285" s="230">
        <v>221704</v>
      </c>
      <c r="C285" s="228"/>
      <c r="D285" s="203">
        <v>2</v>
      </c>
      <c r="E285" s="210" t="s">
        <v>544</v>
      </c>
      <c r="F285" s="229">
        <v>2019</v>
      </c>
      <c r="G285" s="228">
        <v>10</v>
      </c>
      <c r="H285" s="209">
        <v>0</v>
      </c>
      <c r="I285" s="208" t="s">
        <v>86</v>
      </c>
      <c r="J285" s="227">
        <v>12</v>
      </c>
      <c r="K285" s="207">
        <f t="shared" si="264"/>
        <v>2031</v>
      </c>
      <c r="L285" s="206">
        <f t="shared" si="265"/>
        <v>2031.8333333333333</v>
      </c>
      <c r="M285" s="205">
        <v>9943.5</v>
      </c>
      <c r="N285" s="204">
        <f t="shared" si="266"/>
        <v>9943.5</v>
      </c>
      <c r="O285" s="204">
        <f t="shared" si="267"/>
        <v>69.052083333333329</v>
      </c>
      <c r="P285" s="204">
        <f t="shared" si="268"/>
        <v>828.625</v>
      </c>
      <c r="Q285" s="204">
        <f t="shared" si="259"/>
        <v>828.625</v>
      </c>
      <c r="R285" s="204"/>
      <c r="S285" s="204">
        <f t="shared" si="269"/>
        <v>828.625</v>
      </c>
      <c r="T285" s="204">
        <f t="shared" si="270"/>
        <v>1657.25</v>
      </c>
      <c r="U285" s="204">
        <f t="shared" si="262"/>
        <v>8286.25</v>
      </c>
    </row>
    <row r="286" spans="2:21">
      <c r="B286" s="230">
        <v>221703</v>
      </c>
      <c r="C286" s="228"/>
      <c r="D286" s="203">
        <v>3</v>
      </c>
      <c r="E286" s="210" t="s">
        <v>546</v>
      </c>
      <c r="F286" s="229">
        <v>2019</v>
      </c>
      <c r="G286" s="228">
        <v>10</v>
      </c>
      <c r="H286" s="209">
        <v>0</v>
      </c>
      <c r="I286" s="208" t="s">
        <v>86</v>
      </c>
      <c r="J286" s="227">
        <v>12</v>
      </c>
      <c r="K286" s="207">
        <f t="shared" si="264"/>
        <v>2031</v>
      </c>
      <c r="L286" s="206">
        <f t="shared" si="265"/>
        <v>2031.8333333333333</v>
      </c>
      <c r="M286" s="205">
        <v>16171.7</v>
      </c>
      <c r="N286" s="204">
        <f t="shared" si="266"/>
        <v>16171.7</v>
      </c>
      <c r="O286" s="204">
        <f t="shared" si="267"/>
        <v>112.30347222222223</v>
      </c>
      <c r="P286" s="204">
        <f t="shared" si="268"/>
        <v>1347.6416666666667</v>
      </c>
      <c r="Q286" s="204">
        <f t="shared" si="259"/>
        <v>1347.6416666666667</v>
      </c>
      <c r="R286" s="204"/>
      <c r="S286" s="204">
        <f t="shared" si="269"/>
        <v>1347.6416666666667</v>
      </c>
      <c r="T286" s="204">
        <f t="shared" si="270"/>
        <v>2695.2833333333333</v>
      </c>
      <c r="U286" s="204">
        <f t="shared" si="262"/>
        <v>13476.416666666668</v>
      </c>
    </row>
    <row r="287" spans="2:21">
      <c r="B287" s="230">
        <v>221702</v>
      </c>
      <c r="C287" s="228"/>
      <c r="D287" s="203">
        <v>6</v>
      </c>
      <c r="E287" s="210" t="s">
        <v>547</v>
      </c>
      <c r="F287" s="229">
        <v>2019</v>
      </c>
      <c r="G287" s="228">
        <v>10</v>
      </c>
      <c r="H287" s="209">
        <v>0</v>
      </c>
      <c r="I287" s="208" t="s">
        <v>86</v>
      </c>
      <c r="J287" s="227">
        <v>12</v>
      </c>
      <c r="K287" s="207">
        <f t="shared" si="264"/>
        <v>2031</v>
      </c>
      <c r="L287" s="206">
        <f t="shared" si="265"/>
        <v>2031.8333333333333</v>
      </c>
      <c r="M287" s="205">
        <v>26752.65</v>
      </c>
      <c r="N287" s="204">
        <f t="shared" si="266"/>
        <v>26752.65</v>
      </c>
      <c r="O287" s="204">
        <f t="shared" si="267"/>
        <v>185.78229166666668</v>
      </c>
      <c r="P287" s="204">
        <f t="shared" si="268"/>
        <v>2229.3875000000003</v>
      </c>
      <c r="Q287" s="204">
        <f t="shared" si="259"/>
        <v>2229.3875000000003</v>
      </c>
      <c r="R287" s="204"/>
      <c r="S287" s="204">
        <f t="shared" si="269"/>
        <v>2229.3875000000003</v>
      </c>
      <c r="T287" s="204">
        <f t="shared" si="270"/>
        <v>4458.7750000000005</v>
      </c>
      <c r="U287" s="204">
        <f t="shared" si="262"/>
        <v>22293.875</v>
      </c>
    </row>
    <row r="288" spans="2:21">
      <c r="E288" s="184"/>
      <c r="I288" s="208"/>
      <c r="K288" s="207"/>
      <c r="L288" s="206"/>
      <c r="M288" s="235"/>
      <c r="N288" s="204"/>
      <c r="O288" s="204"/>
      <c r="P288" s="204"/>
      <c r="Q288" s="204"/>
      <c r="R288" s="204"/>
      <c r="S288" s="204"/>
      <c r="T288" s="204"/>
      <c r="U288" s="204"/>
    </row>
    <row r="289" spans="4:21">
      <c r="D289" s="202">
        <f>SUM(D232:D288)</f>
        <v>248</v>
      </c>
      <c r="E289" s="322" t="s">
        <v>204</v>
      </c>
      <c r="F289" s="305"/>
      <c r="G289" s="306"/>
      <c r="H289" s="306"/>
      <c r="I289" s="308"/>
      <c r="J289" s="309"/>
      <c r="K289" s="310"/>
      <c r="L289" s="323"/>
      <c r="M289" s="240">
        <f t="shared" ref="M289:U289" si="271">SUM(M232:M288)</f>
        <v>628846.99999999988</v>
      </c>
      <c r="N289" s="240">
        <f t="shared" si="271"/>
        <v>628846.99999999988</v>
      </c>
      <c r="O289" s="240">
        <f t="shared" si="271"/>
        <v>5073.8871448412692</v>
      </c>
      <c r="P289" s="240">
        <f t="shared" si="271"/>
        <v>60886.645738095242</v>
      </c>
      <c r="Q289" s="240">
        <f t="shared" si="271"/>
        <v>24585.922833333334</v>
      </c>
      <c r="R289" s="240">
        <f t="shared" si="271"/>
        <v>0</v>
      </c>
      <c r="S289" s="240">
        <f t="shared" si="271"/>
        <v>420332.01183333341</v>
      </c>
      <c r="T289" s="240">
        <f t="shared" si="271"/>
        <v>444917.93466666667</v>
      </c>
      <c r="U289" s="240">
        <f t="shared" si="271"/>
        <v>183929.06533333333</v>
      </c>
    </row>
    <row r="290" spans="4:21">
      <c r="D290" s="202"/>
      <c r="E290" s="186"/>
      <c r="I290" s="208"/>
      <c r="K290" s="207"/>
      <c r="L290" s="206"/>
      <c r="M290" s="182"/>
      <c r="N290" s="181"/>
      <c r="O290" s="181"/>
      <c r="P290" s="285"/>
      <c r="Q290" s="285"/>
      <c r="R290" s="181"/>
      <c r="S290" s="181"/>
      <c r="T290" s="181"/>
      <c r="U290" s="181"/>
    </row>
    <row r="291" spans="4:21">
      <c r="D291" s="202"/>
      <c r="E291" s="321" t="s">
        <v>606</v>
      </c>
      <c r="I291" s="208"/>
      <c r="K291" s="207"/>
      <c r="L291" s="206"/>
      <c r="M291" s="182"/>
      <c r="N291" s="181"/>
      <c r="O291" s="181"/>
      <c r="P291" s="285"/>
      <c r="Q291" s="285"/>
      <c r="R291" s="181"/>
      <c r="S291" s="181"/>
      <c r="T291" s="181"/>
      <c r="U291" s="181"/>
    </row>
    <row r="292" spans="4:21">
      <c r="D292" s="230">
        <v>2000</v>
      </c>
      <c r="E292" s="185" t="s">
        <v>206</v>
      </c>
      <c r="F292" s="229">
        <v>2007</v>
      </c>
      <c r="G292" s="228">
        <v>9</v>
      </c>
      <c r="H292" s="209">
        <v>0</v>
      </c>
      <c r="I292" s="208" t="s">
        <v>86</v>
      </c>
      <c r="J292" s="227">
        <v>7</v>
      </c>
      <c r="K292" s="207">
        <f t="shared" ref="K292:K333" si="272">F292+J292</f>
        <v>2014</v>
      </c>
      <c r="L292" s="206">
        <f t="shared" si="263"/>
        <v>2014.75</v>
      </c>
      <c r="M292" s="190">
        <f>(32.5*2000)+3530+5893.58</f>
        <v>74423.58</v>
      </c>
      <c r="N292" s="225">
        <f t="shared" ref="N292:N333" si="273">M292-M292*H292</f>
        <v>74423.58</v>
      </c>
      <c r="O292" s="225">
        <f t="shared" ref="O292:O333" si="274">N292/J292/12</f>
        <v>885.995</v>
      </c>
      <c r="P292" s="204">
        <f t="shared" ref="P292:P333" si="275">+O292*12</f>
        <v>10631.94</v>
      </c>
      <c r="Q292" s="204">
        <f t="shared" ref="Q292:Q333" si="276">+IF(L292&lt;=$N$5,0,IF(K292&gt;$N$4,P292,(O292*G292)))</f>
        <v>0</v>
      </c>
      <c r="R292" s="225"/>
      <c r="S292" s="204">
        <f t="shared" ref="S292:S333" si="277">+IF(Q292=0,M292,IF($N$3-F292&lt;1,0,(($N$3-F292)*P292)))</f>
        <v>74423.58</v>
      </c>
      <c r="T292" s="204">
        <f t="shared" ref="T292:T333" si="278">+IF(Q292=0,S292,S292+Q292)</f>
        <v>74423.58</v>
      </c>
      <c r="U292" s="204">
        <f t="shared" ref="U292:U333" si="279">M292-T292</f>
        <v>0</v>
      </c>
    </row>
    <row r="293" spans="4:21">
      <c r="D293" s="230">
        <v>360</v>
      </c>
      <c r="E293" s="185" t="s">
        <v>207</v>
      </c>
      <c r="F293" s="229">
        <v>2007</v>
      </c>
      <c r="G293" s="228">
        <v>10</v>
      </c>
      <c r="H293" s="209">
        <v>0</v>
      </c>
      <c r="I293" s="208" t="s">
        <v>86</v>
      </c>
      <c r="J293" s="227">
        <v>7</v>
      </c>
      <c r="K293" s="207">
        <f t="shared" si="272"/>
        <v>2014</v>
      </c>
      <c r="L293" s="206">
        <f t="shared" si="263"/>
        <v>2014.8333333333333</v>
      </c>
      <c r="M293" s="190">
        <v>18692.580000000002</v>
      </c>
      <c r="N293" s="225">
        <f t="shared" si="273"/>
        <v>18692.580000000002</v>
      </c>
      <c r="O293" s="225">
        <f t="shared" si="274"/>
        <v>222.53071428571431</v>
      </c>
      <c r="P293" s="204">
        <f t="shared" si="275"/>
        <v>2670.3685714285716</v>
      </c>
      <c r="Q293" s="204">
        <f t="shared" si="276"/>
        <v>0</v>
      </c>
      <c r="R293" s="225"/>
      <c r="S293" s="204">
        <f t="shared" si="277"/>
        <v>18692.580000000002</v>
      </c>
      <c r="T293" s="204">
        <f t="shared" si="278"/>
        <v>18692.580000000002</v>
      </c>
      <c r="U293" s="204">
        <f t="shared" si="279"/>
        <v>0</v>
      </c>
    </row>
    <row r="294" spans="4:21">
      <c r="D294" s="230">
        <v>528</v>
      </c>
      <c r="E294" s="185" t="s">
        <v>208</v>
      </c>
      <c r="F294" s="229">
        <v>2007</v>
      </c>
      <c r="G294" s="228">
        <v>10</v>
      </c>
      <c r="H294" s="209">
        <v>0</v>
      </c>
      <c r="I294" s="208" t="s">
        <v>86</v>
      </c>
      <c r="J294" s="227">
        <v>7</v>
      </c>
      <c r="K294" s="207">
        <f t="shared" si="272"/>
        <v>2014</v>
      </c>
      <c r="L294" s="206">
        <f t="shared" si="263"/>
        <v>2014.8333333333333</v>
      </c>
      <c r="M294" s="190">
        <f>(35190+3103.37+2200)/828*528</f>
        <v>25821.859130434783</v>
      </c>
      <c r="N294" s="225">
        <f t="shared" si="273"/>
        <v>25821.859130434783</v>
      </c>
      <c r="O294" s="225">
        <f t="shared" si="274"/>
        <v>307.4030848861284</v>
      </c>
      <c r="P294" s="204">
        <f t="shared" si="275"/>
        <v>3688.8370186335405</v>
      </c>
      <c r="Q294" s="204">
        <f t="shared" si="276"/>
        <v>0</v>
      </c>
      <c r="R294" s="225"/>
      <c r="S294" s="204">
        <f t="shared" si="277"/>
        <v>25821.859130434783</v>
      </c>
      <c r="T294" s="204">
        <f t="shared" si="278"/>
        <v>25821.859130434783</v>
      </c>
      <c r="U294" s="204">
        <f t="shared" si="279"/>
        <v>0</v>
      </c>
    </row>
    <row r="295" spans="4:21">
      <c r="D295" s="230">
        <v>100</v>
      </c>
      <c r="E295" s="185" t="s">
        <v>209</v>
      </c>
      <c r="F295" s="229">
        <v>2007</v>
      </c>
      <c r="G295" s="228">
        <v>10</v>
      </c>
      <c r="H295" s="209">
        <v>0</v>
      </c>
      <c r="I295" s="208" t="s">
        <v>86</v>
      </c>
      <c r="J295" s="227">
        <v>7</v>
      </c>
      <c r="K295" s="207">
        <f t="shared" si="272"/>
        <v>2014</v>
      </c>
      <c r="L295" s="206">
        <f t="shared" si="263"/>
        <v>2014.8333333333333</v>
      </c>
      <c r="M295" s="190">
        <f>4950+410.85</f>
        <v>5360.85</v>
      </c>
      <c r="N295" s="225">
        <f t="shared" si="273"/>
        <v>5360.85</v>
      </c>
      <c r="O295" s="225">
        <f t="shared" si="274"/>
        <v>63.81964285714286</v>
      </c>
      <c r="P295" s="204">
        <f t="shared" si="275"/>
        <v>765.83571428571429</v>
      </c>
      <c r="Q295" s="204">
        <f t="shared" si="276"/>
        <v>0</v>
      </c>
      <c r="R295" s="225"/>
      <c r="S295" s="204">
        <f t="shared" si="277"/>
        <v>5360.85</v>
      </c>
      <c r="T295" s="204">
        <f t="shared" si="278"/>
        <v>5360.85</v>
      </c>
      <c r="U295" s="204">
        <f t="shared" si="279"/>
        <v>0</v>
      </c>
    </row>
    <row r="296" spans="4:21">
      <c r="D296" s="230">
        <v>100</v>
      </c>
      <c r="E296" s="185" t="s">
        <v>209</v>
      </c>
      <c r="F296" s="229">
        <v>2008</v>
      </c>
      <c r="G296" s="228">
        <v>6</v>
      </c>
      <c r="H296" s="209">
        <v>0</v>
      </c>
      <c r="I296" s="208" t="s">
        <v>86</v>
      </c>
      <c r="J296" s="227">
        <v>7</v>
      </c>
      <c r="K296" s="207">
        <f t="shared" si="272"/>
        <v>2015</v>
      </c>
      <c r="L296" s="206">
        <f t="shared" si="263"/>
        <v>2015.5</v>
      </c>
      <c r="M296" s="190">
        <v>6720.8</v>
      </c>
      <c r="N296" s="225">
        <f t="shared" si="273"/>
        <v>6720.8</v>
      </c>
      <c r="O296" s="225">
        <f t="shared" si="274"/>
        <v>80.009523809523813</v>
      </c>
      <c r="P296" s="204">
        <f t="shared" si="275"/>
        <v>960.11428571428576</v>
      </c>
      <c r="Q296" s="204">
        <f t="shared" si="276"/>
        <v>0</v>
      </c>
      <c r="R296" s="225"/>
      <c r="S296" s="204">
        <f t="shared" si="277"/>
        <v>6720.8</v>
      </c>
      <c r="T296" s="204">
        <f t="shared" si="278"/>
        <v>6720.8</v>
      </c>
      <c r="U296" s="204">
        <f t="shared" si="279"/>
        <v>0</v>
      </c>
    </row>
    <row r="297" spans="4:21">
      <c r="D297" s="230">
        <v>100</v>
      </c>
      <c r="E297" s="185" t="s">
        <v>207</v>
      </c>
      <c r="F297" s="229">
        <v>2008</v>
      </c>
      <c r="G297" s="228">
        <v>6</v>
      </c>
      <c r="H297" s="209">
        <v>0</v>
      </c>
      <c r="I297" s="208" t="s">
        <v>86</v>
      </c>
      <c r="J297" s="227">
        <v>7</v>
      </c>
      <c r="K297" s="207">
        <f t="shared" si="272"/>
        <v>2015</v>
      </c>
      <c r="L297" s="206">
        <f t="shared" si="263"/>
        <v>2015.5</v>
      </c>
      <c r="M297" s="190">
        <v>6102.92</v>
      </c>
      <c r="N297" s="225">
        <f t="shared" si="273"/>
        <v>6102.92</v>
      </c>
      <c r="O297" s="225">
        <f t="shared" si="274"/>
        <v>72.653809523809528</v>
      </c>
      <c r="P297" s="204">
        <f t="shared" si="275"/>
        <v>871.84571428571439</v>
      </c>
      <c r="Q297" s="204">
        <f t="shared" si="276"/>
        <v>0</v>
      </c>
      <c r="R297" s="225"/>
      <c r="S297" s="204">
        <f t="shared" si="277"/>
        <v>6102.92</v>
      </c>
      <c r="T297" s="204">
        <f t="shared" si="278"/>
        <v>6102.92</v>
      </c>
      <c r="U297" s="204">
        <f t="shared" si="279"/>
        <v>0</v>
      </c>
    </row>
    <row r="298" spans="4:21">
      <c r="D298" s="230">
        <v>100</v>
      </c>
      <c r="E298" s="185" t="s">
        <v>206</v>
      </c>
      <c r="F298" s="229">
        <v>2008</v>
      </c>
      <c r="G298" s="228">
        <v>7</v>
      </c>
      <c r="H298" s="209">
        <v>0</v>
      </c>
      <c r="I298" s="208" t="s">
        <v>86</v>
      </c>
      <c r="J298" s="227">
        <v>7</v>
      </c>
      <c r="K298" s="207">
        <f t="shared" si="272"/>
        <v>2015</v>
      </c>
      <c r="L298" s="206">
        <f t="shared" si="263"/>
        <v>2015.5833333333333</v>
      </c>
      <c r="M298" s="190">
        <f>3350+732.5+334.77</f>
        <v>4417.2700000000004</v>
      </c>
      <c r="N298" s="225">
        <f t="shared" si="273"/>
        <v>4417.2700000000004</v>
      </c>
      <c r="O298" s="225">
        <f t="shared" si="274"/>
        <v>52.586547619047622</v>
      </c>
      <c r="P298" s="204">
        <f t="shared" si="275"/>
        <v>631.03857142857146</v>
      </c>
      <c r="Q298" s="204">
        <f t="shared" si="276"/>
        <v>0</v>
      </c>
      <c r="R298" s="225"/>
      <c r="S298" s="204">
        <f t="shared" si="277"/>
        <v>4417.2700000000004</v>
      </c>
      <c r="T298" s="204">
        <f t="shared" si="278"/>
        <v>4417.2700000000004</v>
      </c>
      <c r="U298" s="204">
        <f t="shared" si="279"/>
        <v>0</v>
      </c>
    </row>
    <row r="299" spans="4:21">
      <c r="D299" s="230">
        <v>100</v>
      </c>
      <c r="E299" s="185" t="s">
        <v>206</v>
      </c>
      <c r="F299" s="229">
        <v>2008</v>
      </c>
      <c r="G299" s="228">
        <v>7</v>
      </c>
      <c r="H299" s="209">
        <v>0</v>
      </c>
      <c r="I299" s="208" t="s">
        <v>86</v>
      </c>
      <c r="J299" s="227">
        <v>7</v>
      </c>
      <c r="K299" s="207">
        <f t="shared" si="272"/>
        <v>2015</v>
      </c>
      <c r="L299" s="206">
        <f t="shared" si="263"/>
        <v>2015.5833333333333</v>
      </c>
      <c r="M299" s="190">
        <v>4363.8999999999996</v>
      </c>
      <c r="N299" s="225">
        <f t="shared" si="273"/>
        <v>4363.8999999999996</v>
      </c>
      <c r="O299" s="225">
        <f t="shared" si="274"/>
        <v>51.951190476190476</v>
      </c>
      <c r="P299" s="204">
        <f t="shared" si="275"/>
        <v>623.41428571428571</v>
      </c>
      <c r="Q299" s="204">
        <f t="shared" si="276"/>
        <v>0</v>
      </c>
      <c r="R299" s="225"/>
      <c r="S299" s="204">
        <f t="shared" si="277"/>
        <v>4363.8999999999996</v>
      </c>
      <c r="T299" s="204">
        <f t="shared" si="278"/>
        <v>4363.8999999999996</v>
      </c>
      <c r="U299" s="204">
        <f t="shared" si="279"/>
        <v>0</v>
      </c>
    </row>
    <row r="300" spans="4:21">
      <c r="D300" s="230">
        <v>100</v>
      </c>
      <c r="E300" s="185" t="s">
        <v>207</v>
      </c>
      <c r="F300" s="229">
        <v>2008</v>
      </c>
      <c r="G300" s="228">
        <v>7</v>
      </c>
      <c r="H300" s="209">
        <v>0</v>
      </c>
      <c r="I300" s="208" t="s">
        <v>86</v>
      </c>
      <c r="J300" s="227">
        <v>7</v>
      </c>
      <c r="K300" s="207">
        <f t="shared" si="272"/>
        <v>2015</v>
      </c>
      <c r="L300" s="206">
        <f t="shared" si="263"/>
        <v>2015.5833333333333</v>
      </c>
      <c r="M300" s="190">
        <v>9680.1200000000008</v>
      </c>
      <c r="N300" s="225">
        <f t="shared" si="273"/>
        <v>9680.1200000000008</v>
      </c>
      <c r="O300" s="225">
        <f t="shared" si="274"/>
        <v>115.23952380952382</v>
      </c>
      <c r="P300" s="204">
        <f t="shared" si="275"/>
        <v>1382.8742857142859</v>
      </c>
      <c r="Q300" s="204">
        <f t="shared" si="276"/>
        <v>0</v>
      </c>
      <c r="R300" s="225"/>
      <c r="S300" s="204">
        <f t="shared" si="277"/>
        <v>9680.1200000000008</v>
      </c>
      <c r="T300" s="204">
        <f t="shared" si="278"/>
        <v>9680.1200000000008</v>
      </c>
      <c r="U300" s="204">
        <f t="shared" si="279"/>
        <v>0</v>
      </c>
    </row>
    <row r="301" spans="4:21">
      <c r="D301" s="230">
        <v>100</v>
      </c>
      <c r="E301" s="185" t="s">
        <v>208</v>
      </c>
      <c r="F301" s="229">
        <v>2008</v>
      </c>
      <c r="G301" s="228">
        <v>8</v>
      </c>
      <c r="H301" s="209">
        <v>0</v>
      </c>
      <c r="I301" s="208" t="s">
        <v>86</v>
      </c>
      <c r="J301" s="227">
        <v>7</v>
      </c>
      <c r="K301" s="207">
        <f t="shared" si="272"/>
        <v>2015</v>
      </c>
      <c r="L301" s="206">
        <f t="shared" si="263"/>
        <v>2015.6666666666667</v>
      </c>
      <c r="M301" s="190">
        <f>4465+1150+471.66+5</f>
        <v>6091.66</v>
      </c>
      <c r="N301" s="225">
        <f t="shared" si="273"/>
        <v>6091.66</v>
      </c>
      <c r="O301" s="225">
        <f t="shared" si="274"/>
        <v>72.519761904761907</v>
      </c>
      <c r="P301" s="204">
        <f t="shared" si="275"/>
        <v>870.23714285714289</v>
      </c>
      <c r="Q301" s="204">
        <f t="shared" si="276"/>
        <v>0</v>
      </c>
      <c r="R301" s="225"/>
      <c r="S301" s="204">
        <f t="shared" si="277"/>
        <v>6091.66</v>
      </c>
      <c r="T301" s="204">
        <f t="shared" si="278"/>
        <v>6091.66</v>
      </c>
      <c r="U301" s="204">
        <f t="shared" si="279"/>
        <v>0</v>
      </c>
    </row>
    <row r="302" spans="4:21">
      <c r="D302" s="230">
        <v>100</v>
      </c>
      <c r="E302" s="185" t="s">
        <v>207</v>
      </c>
      <c r="F302" s="229">
        <v>2010</v>
      </c>
      <c r="G302" s="228">
        <v>8</v>
      </c>
      <c r="H302" s="209">
        <v>0</v>
      </c>
      <c r="I302" s="208" t="s">
        <v>86</v>
      </c>
      <c r="J302" s="227">
        <v>7</v>
      </c>
      <c r="K302" s="207">
        <f t="shared" si="272"/>
        <v>2017</v>
      </c>
      <c r="L302" s="206">
        <f t="shared" si="263"/>
        <v>2017.6666666666667</v>
      </c>
      <c r="M302" s="190">
        <v>5138.5</v>
      </c>
      <c r="N302" s="225">
        <f t="shared" si="273"/>
        <v>5138.5</v>
      </c>
      <c r="O302" s="225">
        <f t="shared" si="274"/>
        <v>61.172619047619044</v>
      </c>
      <c r="P302" s="204">
        <f t="shared" si="275"/>
        <v>734.07142857142856</v>
      </c>
      <c r="Q302" s="204">
        <f t="shared" si="276"/>
        <v>0</v>
      </c>
      <c r="R302" s="225"/>
      <c r="S302" s="204">
        <f t="shared" si="277"/>
        <v>5138.5</v>
      </c>
      <c r="T302" s="204">
        <f t="shared" si="278"/>
        <v>5138.5</v>
      </c>
      <c r="U302" s="204">
        <f t="shared" si="279"/>
        <v>0</v>
      </c>
    </row>
    <row r="303" spans="4:21">
      <c r="D303" s="230">
        <v>100</v>
      </c>
      <c r="E303" s="185" t="s">
        <v>210</v>
      </c>
      <c r="F303" s="229">
        <v>2012</v>
      </c>
      <c r="G303" s="228">
        <v>1</v>
      </c>
      <c r="H303" s="209">
        <v>0</v>
      </c>
      <c r="I303" s="208" t="s">
        <v>86</v>
      </c>
      <c r="J303" s="227">
        <v>7</v>
      </c>
      <c r="K303" s="207">
        <f t="shared" si="272"/>
        <v>2019</v>
      </c>
      <c r="L303" s="206">
        <f t="shared" si="263"/>
        <v>2019.0833333333333</v>
      </c>
      <c r="M303" s="190">
        <f>1805+265.44</f>
        <v>2070.44</v>
      </c>
      <c r="N303" s="225">
        <f t="shared" si="273"/>
        <v>2070.44</v>
      </c>
      <c r="O303" s="225">
        <f t="shared" si="274"/>
        <v>24.648095238095237</v>
      </c>
      <c r="P303" s="204">
        <f t="shared" si="275"/>
        <v>295.77714285714285</v>
      </c>
      <c r="Q303" s="204">
        <f t="shared" si="276"/>
        <v>0</v>
      </c>
      <c r="R303" s="225"/>
      <c r="S303" s="204">
        <f t="shared" si="277"/>
        <v>2070.44</v>
      </c>
      <c r="T303" s="204">
        <f t="shared" si="278"/>
        <v>2070.44</v>
      </c>
      <c r="U303" s="204">
        <f t="shared" si="279"/>
        <v>0</v>
      </c>
    </row>
    <row r="304" spans="4:21">
      <c r="D304" s="230">
        <v>100</v>
      </c>
      <c r="E304" s="185" t="s">
        <v>211</v>
      </c>
      <c r="F304" s="229">
        <v>2012</v>
      </c>
      <c r="G304" s="228">
        <v>1</v>
      </c>
      <c r="H304" s="209">
        <v>0</v>
      </c>
      <c r="I304" s="208" t="s">
        <v>86</v>
      </c>
      <c r="J304" s="227">
        <v>7</v>
      </c>
      <c r="K304" s="207">
        <f t="shared" si="272"/>
        <v>2019</v>
      </c>
      <c r="L304" s="206">
        <f t="shared" si="263"/>
        <v>2019.0833333333333</v>
      </c>
      <c r="M304" s="190">
        <f>1805+265.44</f>
        <v>2070.44</v>
      </c>
      <c r="N304" s="225">
        <f t="shared" si="273"/>
        <v>2070.44</v>
      </c>
      <c r="O304" s="225">
        <f t="shared" si="274"/>
        <v>24.648095238095237</v>
      </c>
      <c r="P304" s="204">
        <f t="shared" si="275"/>
        <v>295.77714285714285</v>
      </c>
      <c r="Q304" s="204">
        <f t="shared" si="276"/>
        <v>0</v>
      </c>
      <c r="R304" s="225"/>
      <c r="S304" s="204">
        <f t="shared" si="277"/>
        <v>2070.44</v>
      </c>
      <c r="T304" s="204">
        <f t="shared" si="278"/>
        <v>2070.44</v>
      </c>
      <c r="U304" s="204">
        <f t="shared" si="279"/>
        <v>0</v>
      </c>
    </row>
    <row r="305" spans="2:21">
      <c r="B305" s="230">
        <v>93745</v>
      </c>
      <c r="D305" s="230">
        <v>100</v>
      </c>
      <c r="E305" s="185" t="s">
        <v>212</v>
      </c>
      <c r="F305" s="229">
        <v>2012</v>
      </c>
      <c r="G305" s="228">
        <v>5</v>
      </c>
      <c r="H305" s="209">
        <v>0</v>
      </c>
      <c r="I305" s="208" t="s">
        <v>86</v>
      </c>
      <c r="J305" s="227">
        <v>7</v>
      </c>
      <c r="K305" s="207">
        <f t="shared" si="272"/>
        <v>2019</v>
      </c>
      <c r="L305" s="206">
        <f t="shared" si="263"/>
        <v>2019.4166666666667</v>
      </c>
      <c r="M305" s="190">
        <v>5555.5</v>
      </c>
      <c r="N305" s="225">
        <f t="shared" si="273"/>
        <v>5555.5</v>
      </c>
      <c r="O305" s="225">
        <f t="shared" si="274"/>
        <v>66.136904761904759</v>
      </c>
      <c r="P305" s="204">
        <f t="shared" si="275"/>
        <v>793.64285714285711</v>
      </c>
      <c r="Q305" s="204">
        <f t="shared" si="276"/>
        <v>0</v>
      </c>
      <c r="R305" s="225"/>
      <c r="S305" s="204">
        <f t="shared" si="277"/>
        <v>5555.5</v>
      </c>
      <c r="T305" s="204">
        <f t="shared" si="278"/>
        <v>5555.5</v>
      </c>
      <c r="U305" s="204">
        <f t="shared" si="279"/>
        <v>0</v>
      </c>
    </row>
    <row r="306" spans="2:21">
      <c r="B306" s="230">
        <v>94098</v>
      </c>
      <c r="D306" s="230">
        <v>300</v>
      </c>
      <c r="E306" s="185" t="s">
        <v>213</v>
      </c>
      <c r="F306" s="229">
        <v>2012</v>
      </c>
      <c r="G306" s="228">
        <v>5</v>
      </c>
      <c r="H306" s="209">
        <v>0</v>
      </c>
      <c r="I306" s="208" t="s">
        <v>86</v>
      </c>
      <c r="J306" s="227">
        <v>7</v>
      </c>
      <c r="K306" s="207">
        <f t="shared" si="272"/>
        <v>2019</v>
      </c>
      <c r="L306" s="206">
        <f t="shared" si="263"/>
        <v>2019.4166666666667</v>
      </c>
      <c r="M306" s="190">
        <v>11143.49</v>
      </c>
      <c r="N306" s="225">
        <f t="shared" si="273"/>
        <v>11143.49</v>
      </c>
      <c r="O306" s="225">
        <f t="shared" si="274"/>
        <v>132.66059523809523</v>
      </c>
      <c r="P306" s="204">
        <f t="shared" si="275"/>
        <v>1591.9271428571428</v>
      </c>
      <c r="Q306" s="204">
        <f t="shared" si="276"/>
        <v>0</v>
      </c>
      <c r="R306" s="225"/>
      <c r="S306" s="204">
        <f t="shared" si="277"/>
        <v>11143.49</v>
      </c>
      <c r="T306" s="204">
        <f t="shared" si="278"/>
        <v>11143.49</v>
      </c>
      <c r="U306" s="204">
        <f t="shared" si="279"/>
        <v>0</v>
      </c>
    </row>
    <row r="307" spans="2:21">
      <c r="B307" s="230">
        <v>94099</v>
      </c>
      <c r="D307" s="230">
        <v>12</v>
      </c>
      <c r="E307" s="185" t="s">
        <v>288</v>
      </c>
      <c r="F307" s="229">
        <v>2012</v>
      </c>
      <c r="G307" s="228">
        <v>5</v>
      </c>
      <c r="H307" s="209">
        <v>0</v>
      </c>
      <c r="I307" s="208" t="s">
        <v>86</v>
      </c>
      <c r="J307" s="227">
        <v>7</v>
      </c>
      <c r="K307" s="207">
        <f t="shared" si="272"/>
        <v>2019</v>
      </c>
      <c r="L307" s="206">
        <f t="shared" si="263"/>
        <v>2019.4166666666667</v>
      </c>
      <c r="M307" s="190">
        <v>432.98</v>
      </c>
      <c r="N307" s="225">
        <f t="shared" si="273"/>
        <v>432.98</v>
      </c>
      <c r="O307" s="225">
        <f t="shared" si="274"/>
        <v>5.15452380952381</v>
      </c>
      <c r="P307" s="204">
        <f t="shared" si="275"/>
        <v>61.854285714285723</v>
      </c>
      <c r="Q307" s="204">
        <f t="shared" si="276"/>
        <v>0</v>
      </c>
      <c r="R307" s="225"/>
      <c r="S307" s="204">
        <f t="shared" si="277"/>
        <v>432.98</v>
      </c>
      <c r="T307" s="204">
        <f t="shared" si="278"/>
        <v>432.98</v>
      </c>
      <c r="U307" s="204">
        <f t="shared" si="279"/>
        <v>0</v>
      </c>
    </row>
    <row r="308" spans="2:21">
      <c r="B308" s="230">
        <v>105015</v>
      </c>
      <c r="D308" s="230">
        <v>100</v>
      </c>
      <c r="E308" s="185" t="s">
        <v>297</v>
      </c>
      <c r="F308" s="229">
        <v>2013</v>
      </c>
      <c r="G308" s="228">
        <v>6</v>
      </c>
      <c r="H308" s="209">
        <v>0</v>
      </c>
      <c r="I308" s="208" t="s">
        <v>86</v>
      </c>
      <c r="J308" s="227">
        <v>7</v>
      </c>
      <c r="K308" s="207">
        <f t="shared" si="272"/>
        <v>2020</v>
      </c>
      <c r="L308" s="206">
        <f t="shared" si="263"/>
        <v>2020.5</v>
      </c>
      <c r="M308" s="190">
        <v>7094.89</v>
      </c>
      <c r="N308" s="225">
        <f t="shared" si="273"/>
        <v>7094.89</v>
      </c>
      <c r="O308" s="225">
        <f t="shared" si="274"/>
        <v>84.462976190476198</v>
      </c>
      <c r="P308" s="204">
        <f t="shared" si="275"/>
        <v>1013.5557142857144</v>
      </c>
      <c r="Q308" s="204">
        <f t="shared" si="276"/>
        <v>0</v>
      </c>
      <c r="R308" s="225"/>
      <c r="S308" s="204">
        <f t="shared" si="277"/>
        <v>7094.89</v>
      </c>
      <c r="T308" s="204">
        <f t="shared" si="278"/>
        <v>7094.89</v>
      </c>
      <c r="U308" s="204">
        <f t="shared" si="279"/>
        <v>0</v>
      </c>
    </row>
    <row r="309" spans="2:21">
      <c r="B309" s="230">
        <v>109631</v>
      </c>
      <c r="D309" s="230">
        <v>30</v>
      </c>
      <c r="E309" s="185" t="s">
        <v>308</v>
      </c>
      <c r="F309" s="229">
        <v>2013</v>
      </c>
      <c r="G309" s="228">
        <v>6</v>
      </c>
      <c r="H309" s="209">
        <v>0</v>
      </c>
      <c r="I309" s="208" t="s">
        <v>86</v>
      </c>
      <c r="J309" s="227">
        <v>7</v>
      </c>
      <c r="K309" s="207">
        <f t="shared" si="272"/>
        <v>2020</v>
      </c>
      <c r="L309" s="206">
        <f t="shared" si="263"/>
        <v>2020.5</v>
      </c>
      <c r="M309" s="190">
        <v>1416.9</v>
      </c>
      <c r="N309" s="225">
        <f t="shared" si="273"/>
        <v>1416.9</v>
      </c>
      <c r="O309" s="225">
        <f t="shared" si="274"/>
        <v>16.867857142857144</v>
      </c>
      <c r="P309" s="204">
        <f t="shared" si="275"/>
        <v>202.41428571428571</v>
      </c>
      <c r="Q309" s="204">
        <f t="shared" si="276"/>
        <v>0</v>
      </c>
      <c r="R309" s="225"/>
      <c r="S309" s="204">
        <f t="shared" si="277"/>
        <v>1416.9</v>
      </c>
      <c r="T309" s="204">
        <f t="shared" si="278"/>
        <v>1416.9</v>
      </c>
      <c r="U309" s="204">
        <f t="shared" si="279"/>
        <v>0</v>
      </c>
    </row>
    <row r="310" spans="2:21">
      <c r="B310" s="230">
        <v>109629</v>
      </c>
      <c r="D310" s="230">
        <v>100</v>
      </c>
      <c r="E310" s="185" t="s">
        <v>309</v>
      </c>
      <c r="F310" s="229">
        <v>2013</v>
      </c>
      <c r="G310" s="228">
        <v>6</v>
      </c>
      <c r="H310" s="209">
        <v>0</v>
      </c>
      <c r="I310" s="208" t="s">
        <v>86</v>
      </c>
      <c r="J310" s="227">
        <v>7</v>
      </c>
      <c r="K310" s="207">
        <f t="shared" si="272"/>
        <v>2020</v>
      </c>
      <c r="L310" s="206">
        <f t="shared" si="263"/>
        <v>2020.5</v>
      </c>
      <c r="M310" s="190">
        <v>3273.45</v>
      </c>
      <c r="N310" s="225">
        <f t="shared" si="273"/>
        <v>3273.45</v>
      </c>
      <c r="O310" s="225">
        <f t="shared" si="274"/>
        <v>38.969642857142851</v>
      </c>
      <c r="P310" s="204">
        <f t="shared" si="275"/>
        <v>467.63571428571424</v>
      </c>
      <c r="Q310" s="204">
        <f t="shared" si="276"/>
        <v>0</v>
      </c>
      <c r="R310" s="225"/>
      <c r="S310" s="204">
        <f t="shared" si="277"/>
        <v>3273.45</v>
      </c>
      <c r="T310" s="204">
        <f t="shared" si="278"/>
        <v>3273.45</v>
      </c>
      <c r="U310" s="204">
        <f t="shared" si="279"/>
        <v>0</v>
      </c>
    </row>
    <row r="311" spans="2:21">
      <c r="B311" s="230">
        <v>113496</v>
      </c>
      <c r="D311" s="230">
        <v>100</v>
      </c>
      <c r="E311" s="185" t="s">
        <v>207</v>
      </c>
      <c r="F311" s="229">
        <v>2014</v>
      </c>
      <c r="G311" s="228">
        <v>6</v>
      </c>
      <c r="H311" s="209">
        <v>0</v>
      </c>
      <c r="I311" s="208" t="s">
        <v>86</v>
      </c>
      <c r="J311" s="227">
        <v>7</v>
      </c>
      <c r="K311" s="207">
        <f t="shared" si="272"/>
        <v>2021</v>
      </c>
      <c r="L311" s="206">
        <f t="shared" si="263"/>
        <v>2021.5</v>
      </c>
      <c r="M311" s="190">
        <v>6630.44</v>
      </c>
      <c r="N311" s="225">
        <f t="shared" si="273"/>
        <v>6630.44</v>
      </c>
      <c r="O311" s="225">
        <f t="shared" si="274"/>
        <v>78.933809523809515</v>
      </c>
      <c r="P311" s="204">
        <f t="shared" si="275"/>
        <v>947.20571428571418</v>
      </c>
      <c r="Q311" s="204">
        <f t="shared" si="276"/>
        <v>473.60285714285709</v>
      </c>
      <c r="R311" s="225"/>
      <c r="S311" s="204">
        <f t="shared" si="277"/>
        <v>5683.2342857142849</v>
      </c>
      <c r="T311" s="204">
        <f t="shared" si="278"/>
        <v>6156.8371428571418</v>
      </c>
      <c r="U311" s="204">
        <f t="shared" si="279"/>
        <v>473.60285714285783</v>
      </c>
    </row>
    <row r="312" spans="2:21">
      <c r="B312" s="230">
        <v>113495</v>
      </c>
      <c r="D312" s="230">
        <v>350</v>
      </c>
      <c r="E312" s="185" t="s">
        <v>206</v>
      </c>
      <c r="F312" s="229">
        <v>2014</v>
      </c>
      <c r="G312" s="228">
        <v>5</v>
      </c>
      <c r="H312" s="209">
        <v>0</v>
      </c>
      <c r="I312" s="208" t="s">
        <v>86</v>
      </c>
      <c r="J312" s="227">
        <v>7</v>
      </c>
      <c r="K312" s="207">
        <f t="shared" si="272"/>
        <v>2021</v>
      </c>
      <c r="L312" s="206">
        <f t="shared" si="263"/>
        <v>2021.4166666666667</v>
      </c>
      <c r="M312" s="190">
        <v>14838.46</v>
      </c>
      <c r="N312" s="225">
        <f t="shared" si="273"/>
        <v>14838.46</v>
      </c>
      <c r="O312" s="225">
        <f t="shared" si="274"/>
        <v>176.64833333333331</v>
      </c>
      <c r="P312" s="204">
        <f t="shared" si="275"/>
        <v>2119.7799999999997</v>
      </c>
      <c r="Q312" s="204">
        <f t="shared" si="276"/>
        <v>883.24166666666656</v>
      </c>
      <c r="R312" s="225"/>
      <c r="S312" s="204">
        <f t="shared" si="277"/>
        <v>12718.679999999998</v>
      </c>
      <c r="T312" s="204">
        <f t="shared" si="278"/>
        <v>13601.921666666665</v>
      </c>
      <c r="U312" s="204">
        <f t="shared" si="279"/>
        <v>1236.5383333333339</v>
      </c>
    </row>
    <row r="313" spans="2:21">
      <c r="B313" s="230">
        <v>121038</v>
      </c>
      <c r="D313" s="230">
        <v>300</v>
      </c>
      <c r="E313" s="185" t="s">
        <v>207</v>
      </c>
      <c r="F313" s="229">
        <v>2015</v>
      </c>
      <c r="G313" s="228">
        <v>3</v>
      </c>
      <c r="H313" s="209">
        <v>0</v>
      </c>
      <c r="I313" s="208" t="s">
        <v>86</v>
      </c>
      <c r="J313" s="227">
        <v>7</v>
      </c>
      <c r="K313" s="207">
        <f t="shared" si="272"/>
        <v>2022</v>
      </c>
      <c r="L313" s="206">
        <f t="shared" si="263"/>
        <v>2022.25</v>
      </c>
      <c r="M313" s="190">
        <v>14206.55</v>
      </c>
      <c r="N313" s="225">
        <f t="shared" si="273"/>
        <v>14206.55</v>
      </c>
      <c r="O313" s="225">
        <f t="shared" si="274"/>
        <v>169.12559523809523</v>
      </c>
      <c r="P313" s="204">
        <f t="shared" si="275"/>
        <v>2029.5071428571428</v>
      </c>
      <c r="Q313" s="204">
        <f t="shared" si="276"/>
        <v>2029.5071428571428</v>
      </c>
      <c r="R313" s="225"/>
      <c r="S313" s="204">
        <f t="shared" si="277"/>
        <v>10147.535714285714</v>
      </c>
      <c r="T313" s="204">
        <f t="shared" si="278"/>
        <v>12177.042857142857</v>
      </c>
      <c r="U313" s="204">
        <f t="shared" si="279"/>
        <v>2029.5071428571428</v>
      </c>
    </row>
    <row r="314" spans="2:21">
      <c r="B314" s="230" t="s">
        <v>327</v>
      </c>
      <c r="D314" s="230">
        <f>760+840</f>
        <v>1600</v>
      </c>
      <c r="E314" s="185" t="s">
        <v>206</v>
      </c>
      <c r="F314" s="229">
        <v>2015</v>
      </c>
      <c r="G314" s="228">
        <v>6</v>
      </c>
      <c r="H314" s="209">
        <v>0</v>
      </c>
      <c r="I314" s="208" t="s">
        <v>86</v>
      </c>
      <c r="J314" s="227">
        <v>7</v>
      </c>
      <c r="K314" s="207">
        <f t="shared" si="272"/>
        <v>2022</v>
      </c>
      <c r="L314" s="206">
        <f t="shared" si="263"/>
        <v>2022.5</v>
      </c>
      <c r="M314" s="190">
        <f>30987.6+28036.4</f>
        <v>59024</v>
      </c>
      <c r="N314" s="225">
        <f t="shared" si="273"/>
        <v>59024</v>
      </c>
      <c r="O314" s="225">
        <f t="shared" si="274"/>
        <v>702.66666666666663</v>
      </c>
      <c r="P314" s="204">
        <f t="shared" si="275"/>
        <v>8432</v>
      </c>
      <c r="Q314" s="204">
        <f t="shared" si="276"/>
        <v>8432</v>
      </c>
      <c r="R314" s="225"/>
      <c r="S314" s="204">
        <f t="shared" si="277"/>
        <v>42160</v>
      </c>
      <c r="T314" s="204">
        <f t="shared" si="278"/>
        <v>50592</v>
      </c>
      <c r="U314" s="204">
        <f t="shared" si="279"/>
        <v>8432</v>
      </c>
    </row>
    <row r="315" spans="2:21">
      <c r="B315" s="230">
        <v>123451</v>
      </c>
      <c r="D315" s="230">
        <v>40</v>
      </c>
      <c r="E315" s="185" t="s">
        <v>209</v>
      </c>
      <c r="F315" s="229">
        <v>2015</v>
      </c>
      <c r="G315" s="228">
        <v>6</v>
      </c>
      <c r="H315" s="209">
        <v>0</v>
      </c>
      <c r="I315" s="208" t="s">
        <v>86</v>
      </c>
      <c r="J315" s="227">
        <v>7</v>
      </c>
      <c r="K315" s="207">
        <f t="shared" si="272"/>
        <v>2022</v>
      </c>
      <c r="L315" s="206">
        <f t="shared" si="263"/>
        <v>2022.5</v>
      </c>
      <c r="M315" s="190">
        <v>2781.94</v>
      </c>
      <c r="N315" s="225">
        <f t="shared" si="273"/>
        <v>2781.94</v>
      </c>
      <c r="O315" s="225">
        <f t="shared" si="274"/>
        <v>33.118333333333332</v>
      </c>
      <c r="P315" s="204">
        <f t="shared" si="275"/>
        <v>397.41999999999996</v>
      </c>
      <c r="Q315" s="204">
        <f t="shared" si="276"/>
        <v>397.41999999999996</v>
      </c>
      <c r="R315" s="225"/>
      <c r="S315" s="204">
        <f t="shared" si="277"/>
        <v>1987.1</v>
      </c>
      <c r="T315" s="204">
        <f t="shared" si="278"/>
        <v>2384.52</v>
      </c>
      <c r="U315" s="204">
        <f t="shared" si="279"/>
        <v>397.42000000000007</v>
      </c>
    </row>
    <row r="316" spans="2:21">
      <c r="B316" s="230">
        <v>123452</v>
      </c>
      <c r="D316" s="230">
        <v>200</v>
      </c>
      <c r="E316" s="185" t="s">
        <v>208</v>
      </c>
      <c r="F316" s="229">
        <v>2015</v>
      </c>
      <c r="G316" s="228">
        <v>6</v>
      </c>
      <c r="H316" s="209">
        <v>0</v>
      </c>
      <c r="I316" s="208" t="s">
        <v>86</v>
      </c>
      <c r="J316" s="227">
        <v>7</v>
      </c>
      <c r="K316" s="207">
        <f t="shared" si="272"/>
        <v>2022</v>
      </c>
      <c r="L316" s="206">
        <f t="shared" si="263"/>
        <v>2022.5</v>
      </c>
      <c r="M316" s="190">
        <v>12716.2</v>
      </c>
      <c r="N316" s="225">
        <f t="shared" si="273"/>
        <v>12716.2</v>
      </c>
      <c r="O316" s="225">
        <f t="shared" si="274"/>
        <v>151.38333333333335</v>
      </c>
      <c r="P316" s="204">
        <f t="shared" si="275"/>
        <v>1816.6000000000004</v>
      </c>
      <c r="Q316" s="204">
        <f t="shared" si="276"/>
        <v>1816.6000000000004</v>
      </c>
      <c r="R316" s="225"/>
      <c r="S316" s="204">
        <f t="shared" si="277"/>
        <v>9083.0000000000018</v>
      </c>
      <c r="T316" s="204">
        <f t="shared" si="278"/>
        <v>10899.600000000002</v>
      </c>
      <c r="U316" s="204">
        <f t="shared" si="279"/>
        <v>1816.5999999999985</v>
      </c>
    </row>
    <row r="317" spans="2:21">
      <c r="B317" s="230">
        <v>123453</v>
      </c>
      <c r="D317" s="230">
        <v>10</v>
      </c>
      <c r="E317" s="185" t="s">
        <v>328</v>
      </c>
      <c r="F317" s="229">
        <v>2015</v>
      </c>
      <c r="G317" s="228">
        <v>6</v>
      </c>
      <c r="H317" s="209">
        <v>0</v>
      </c>
      <c r="I317" s="208" t="s">
        <v>86</v>
      </c>
      <c r="J317" s="227">
        <v>7</v>
      </c>
      <c r="K317" s="207">
        <f t="shared" si="272"/>
        <v>2022</v>
      </c>
      <c r="L317" s="206">
        <f t="shared" si="263"/>
        <v>2022.5</v>
      </c>
      <c r="M317" s="190">
        <v>554.44000000000005</v>
      </c>
      <c r="N317" s="225">
        <f t="shared" si="273"/>
        <v>554.44000000000005</v>
      </c>
      <c r="O317" s="225">
        <f t="shared" si="274"/>
        <v>6.6004761904761908</v>
      </c>
      <c r="P317" s="204">
        <f t="shared" si="275"/>
        <v>79.205714285714294</v>
      </c>
      <c r="Q317" s="204">
        <f t="shared" si="276"/>
        <v>79.205714285714294</v>
      </c>
      <c r="R317" s="225"/>
      <c r="S317" s="204">
        <f t="shared" si="277"/>
        <v>396.02857142857147</v>
      </c>
      <c r="T317" s="204">
        <f t="shared" si="278"/>
        <v>475.23428571428576</v>
      </c>
      <c r="U317" s="204">
        <f t="shared" si="279"/>
        <v>79.205714285714294</v>
      </c>
    </row>
    <row r="318" spans="2:21">
      <c r="B318" s="230">
        <v>132254</v>
      </c>
      <c r="D318" s="230">
        <v>325</v>
      </c>
      <c r="E318" s="185" t="s">
        <v>206</v>
      </c>
      <c r="F318" s="229">
        <v>2016</v>
      </c>
      <c r="G318" s="228">
        <v>1</v>
      </c>
      <c r="H318" s="209">
        <v>0</v>
      </c>
      <c r="I318" s="208" t="s">
        <v>86</v>
      </c>
      <c r="J318" s="227">
        <v>7</v>
      </c>
      <c r="K318" s="207">
        <f t="shared" si="272"/>
        <v>2023</v>
      </c>
      <c r="L318" s="206">
        <f t="shared" si="263"/>
        <v>2023.0833333333333</v>
      </c>
      <c r="M318" s="190">
        <v>12825.47</v>
      </c>
      <c r="N318" s="225">
        <f t="shared" si="273"/>
        <v>12825.47</v>
      </c>
      <c r="O318" s="225">
        <f t="shared" si="274"/>
        <v>152.68416666666664</v>
      </c>
      <c r="P318" s="204">
        <f t="shared" si="275"/>
        <v>1832.2099999999996</v>
      </c>
      <c r="Q318" s="204">
        <f t="shared" si="276"/>
        <v>1832.2099999999996</v>
      </c>
      <c r="R318" s="225"/>
      <c r="S318" s="204">
        <f t="shared" si="277"/>
        <v>7328.8399999999983</v>
      </c>
      <c r="T318" s="204">
        <f t="shared" si="278"/>
        <v>9161.0499999999975</v>
      </c>
      <c r="U318" s="204">
        <f t="shared" si="279"/>
        <v>3664.4200000000019</v>
      </c>
    </row>
    <row r="319" spans="2:21">
      <c r="B319" s="230">
        <v>132253</v>
      </c>
      <c r="D319" s="230">
        <v>94</v>
      </c>
      <c r="E319" s="185" t="s">
        <v>207</v>
      </c>
      <c r="F319" s="229">
        <v>2016</v>
      </c>
      <c r="G319" s="228">
        <v>1</v>
      </c>
      <c r="H319" s="209">
        <v>0</v>
      </c>
      <c r="I319" s="208" t="s">
        <v>86</v>
      </c>
      <c r="J319" s="227">
        <v>7</v>
      </c>
      <c r="K319" s="207">
        <f t="shared" si="272"/>
        <v>2023</v>
      </c>
      <c r="L319" s="206">
        <f t="shared" si="263"/>
        <v>2023.0833333333333</v>
      </c>
      <c r="M319" s="190">
        <v>4226.53</v>
      </c>
      <c r="N319" s="225">
        <f t="shared" si="273"/>
        <v>4226.53</v>
      </c>
      <c r="O319" s="225">
        <f t="shared" si="274"/>
        <v>50.31583333333333</v>
      </c>
      <c r="P319" s="204">
        <f t="shared" si="275"/>
        <v>603.79</v>
      </c>
      <c r="Q319" s="204">
        <f t="shared" si="276"/>
        <v>603.79</v>
      </c>
      <c r="R319" s="225"/>
      <c r="S319" s="204">
        <f t="shared" si="277"/>
        <v>2415.16</v>
      </c>
      <c r="T319" s="204">
        <f t="shared" si="278"/>
        <v>3018.95</v>
      </c>
      <c r="U319" s="204">
        <f t="shared" si="279"/>
        <v>1207.58</v>
      </c>
    </row>
    <row r="320" spans="2:21">
      <c r="B320" s="230">
        <v>132252</v>
      </c>
      <c r="D320" s="230">
        <v>56</v>
      </c>
      <c r="E320" s="185" t="s">
        <v>207</v>
      </c>
      <c r="F320" s="229">
        <v>2016</v>
      </c>
      <c r="G320" s="228">
        <v>2</v>
      </c>
      <c r="H320" s="209">
        <v>0</v>
      </c>
      <c r="I320" s="208" t="s">
        <v>86</v>
      </c>
      <c r="J320" s="227">
        <v>7</v>
      </c>
      <c r="K320" s="207">
        <f t="shared" si="272"/>
        <v>2023</v>
      </c>
      <c r="L320" s="206">
        <f t="shared" si="263"/>
        <v>2023.1666666666667</v>
      </c>
      <c r="M320" s="190">
        <v>2546.0500000000002</v>
      </c>
      <c r="N320" s="225">
        <f t="shared" si="273"/>
        <v>2546.0500000000002</v>
      </c>
      <c r="O320" s="225">
        <f t="shared" si="274"/>
        <v>30.31011904761905</v>
      </c>
      <c r="P320" s="204">
        <f t="shared" si="275"/>
        <v>363.72142857142859</v>
      </c>
      <c r="Q320" s="204">
        <f t="shared" si="276"/>
        <v>363.72142857142859</v>
      </c>
      <c r="R320" s="225"/>
      <c r="S320" s="204">
        <f t="shared" si="277"/>
        <v>1454.8857142857144</v>
      </c>
      <c r="T320" s="204">
        <f t="shared" si="278"/>
        <v>1818.6071428571429</v>
      </c>
      <c r="U320" s="204">
        <f t="shared" si="279"/>
        <v>727.44285714285729</v>
      </c>
    </row>
    <row r="321" spans="2:21">
      <c r="B321" s="230">
        <v>132251</v>
      </c>
      <c r="D321" s="230">
        <v>150</v>
      </c>
      <c r="E321" s="185" t="s">
        <v>208</v>
      </c>
      <c r="F321" s="229">
        <v>2016</v>
      </c>
      <c r="G321" s="228">
        <v>2</v>
      </c>
      <c r="H321" s="209">
        <v>0</v>
      </c>
      <c r="I321" s="208" t="s">
        <v>86</v>
      </c>
      <c r="J321" s="227">
        <v>7</v>
      </c>
      <c r="K321" s="207">
        <f t="shared" si="272"/>
        <v>2023</v>
      </c>
      <c r="L321" s="206">
        <f t="shared" si="263"/>
        <v>2023.1666666666667</v>
      </c>
      <c r="M321" s="190">
        <v>7138.2</v>
      </c>
      <c r="N321" s="225">
        <f t="shared" si="273"/>
        <v>7138.2</v>
      </c>
      <c r="O321" s="225">
        <f t="shared" si="274"/>
        <v>84.978571428571428</v>
      </c>
      <c r="P321" s="204">
        <f t="shared" si="275"/>
        <v>1019.7428571428571</v>
      </c>
      <c r="Q321" s="204">
        <f t="shared" si="276"/>
        <v>1019.7428571428571</v>
      </c>
      <c r="R321" s="225"/>
      <c r="S321" s="204">
        <f t="shared" si="277"/>
        <v>4078.9714285714285</v>
      </c>
      <c r="T321" s="204">
        <f t="shared" si="278"/>
        <v>5098.7142857142853</v>
      </c>
      <c r="U321" s="204">
        <f t="shared" si="279"/>
        <v>2039.4857142857145</v>
      </c>
    </row>
    <row r="322" spans="2:21">
      <c r="B322" s="230">
        <v>132250</v>
      </c>
      <c r="D322" s="230">
        <v>150</v>
      </c>
      <c r="E322" s="185" t="s">
        <v>209</v>
      </c>
      <c r="F322" s="229">
        <v>2016</v>
      </c>
      <c r="G322" s="228">
        <v>2</v>
      </c>
      <c r="H322" s="209">
        <v>0</v>
      </c>
      <c r="I322" s="208" t="s">
        <v>86</v>
      </c>
      <c r="J322" s="227">
        <v>7</v>
      </c>
      <c r="K322" s="207">
        <f t="shared" si="272"/>
        <v>2023</v>
      </c>
      <c r="L322" s="206">
        <f t="shared" si="263"/>
        <v>2023.1666666666667</v>
      </c>
      <c r="M322" s="190">
        <v>8095.75</v>
      </c>
      <c r="N322" s="225">
        <f t="shared" si="273"/>
        <v>8095.75</v>
      </c>
      <c r="O322" s="225">
        <f t="shared" si="274"/>
        <v>96.37797619047619</v>
      </c>
      <c r="P322" s="204">
        <f t="shared" si="275"/>
        <v>1156.5357142857142</v>
      </c>
      <c r="Q322" s="204">
        <f t="shared" si="276"/>
        <v>1156.5357142857142</v>
      </c>
      <c r="R322" s="225"/>
      <c r="S322" s="204">
        <f t="shared" si="277"/>
        <v>4626.1428571428569</v>
      </c>
      <c r="T322" s="204">
        <f t="shared" si="278"/>
        <v>5782.6785714285706</v>
      </c>
      <c r="U322" s="204">
        <f t="shared" si="279"/>
        <v>2313.0714285714294</v>
      </c>
    </row>
    <row r="323" spans="2:21">
      <c r="B323" s="230">
        <v>169569</v>
      </c>
      <c r="D323" s="230">
        <v>377</v>
      </c>
      <c r="E323" s="185" t="s">
        <v>208</v>
      </c>
      <c r="F323" s="229">
        <v>2016</v>
      </c>
      <c r="G323" s="228">
        <v>11</v>
      </c>
      <c r="H323" s="209">
        <v>0</v>
      </c>
      <c r="I323" s="208" t="s">
        <v>86</v>
      </c>
      <c r="J323" s="227">
        <v>7</v>
      </c>
      <c r="K323" s="207">
        <f t="shared" si="272"/>
        <v>2023</v>
      </c>
      <c r="L323" s="206">
        <f t="shared" si="263"/>
        <v>2023.9166666666667</v>
      </c>
      <c r="M323" s="190">
        <v>17324.77</v>
      </c>
      <c r="N323" s="225">
        <f t="shared" si="273"/>
        <v>17324.77</v>
      </c>
      <c r="O323" s="225">
        <f t="shared" si="274"/>
        <v>206.2472619047619</v>
      </c>
      <c r="P323" s="204">
        <f t="shared" si="275"/>
        <v>2474.9671428571428</v>
      </c>
      <c r="Q323" s="204">
        <f t="shared" si="276"/>
        <v>2474.9671428571428</v>
      </c>
      <c r="R323" s="225"/>
      <c r="S323" s="204">
        <f t="shared" si="277"/>
        <v>9899.8685714285712</v>
      </c>
      <c r="T323" s="204">
        <f t="shared" si="278"/>
        <v>12374.835714285713</v>
      </c>
      <c r="U323" s="204">
        <f t="shared" si="279"/>
        <v>4949.9342857142874</v>
      </c>
    </row>
    <row r="324" spans="2:21">
      <c r="B324" s="230">
        <v>169570</v>
      </c>
      <c r="D324" s="230">
        <v>100</v>
      </c>
      <c r="E324" s="185" t="s">
        <v>209</v>
      </c>
      <c r="F324" s="229">
        <v>2016</v>
      </c>
      <c r="G324" s="228">
        <v>11</v>
      </c>
      <c r="H324" s="209">
        <v>0</v>
      </c>
      <c r="I324" s="208" t="s">
        <v>86</v>
      </c>
      <c r="J324" s="227">
        <v>7</v>
      </c>
      <c r="K324" s="207">
        <f t="shared" si="272"/>
        <v>2023</v>
      </c>
      <c r="L324" s="206">
        <f t="shared" si="263"/>
        <v>2023.9166666666667</v>
      </c>
      <c r="M324" s="190">
        <v>5219.6400000000003</v>
      </c>
      <c r="N324" s="225">
        <f t="shared" si="273"/>
        <v>5219.6400000000003</v>
      </c>
      <c r="O324" s="225">
        <f t="shared" si="274"/>
        <v>62.138571428571431</v>
      </c>
      <c r="P324" s="204">
        <f t="shared" si="275"/>
        <v>745.66285714285721</v>
      </c>
      <c r="Q324" s="204">
        <f t="shared" si="276"/>
        <v>745.66285714285721</v>
      </c>
      <c r="R324" s="225"/>
      <c r="S324" s="204">
        <f t="shared" si="277"/>
        <v>2982.6514285714288</v>
      </c>
      <c r="T324" s="204">
        <f t="shared" si="278"/>
        <v>3728.3142857142861</v>
      </c>
      <c r="U324" s="204">
        <f t="shared" si="279"/>
        <v>1491.3257142857142</v>
      </c>
    </row>
    <row r="325" spans="2:21">
      <c r="B325" s="230">
        <v>169571</v>
      </c>
      <c r="D325" s="230">
        <v>463</v>
      </c>
      <c r="E325" s="185" t="s">
        <v>207</v>
      </c>
      <c r="F325" s="229">
        <v>2016</v>
      </c>
      <c r="G325" s="228">
        <v>11</v>
      </c>
      <c r="H325" s="209">
        <v>0</v>
      </c>
      <c r="I325" s="208" t="s">
        <v>86</v>
      </c>
      <c r="J325" s="227">
        <v>7</v>
      </c>
      <c r="K325" s="207">
        <f t="shared" si="272"/>
        <v>2023</v>
      </c>
      <c r="L325" s="206">
        <f t="shared" ref="L325:L428" si="280">+K325+(G325/12)</f>
        <v>2023.9166666666667</v>
      </c>
      <c r="M325" s="190">
        <v>20560.86</v>
      </c>
      <c r="N325" s="225">
        <f t="shared" si="273"/>
        <v>20560.86</v>
      </c>
      <c r="O325" s="225">
        <f t="shared" si="274"/>
        <v>244.77214285714285</v>
      </c>
      <c r="P325" s="204">
        <f t="shared" si="275"/>
        <v>2937.2657142857142</v>
      </c>
      <c r="Q325" s="204">
        <f t="shared" si="276"/>
        <v>2937.2657142857142</v>
      </c>
      <c r="R325" s="225"/>
      <c r="S325" s="204">
        <f t="shared" si="277"/>
        <v>11749.062857142857</v>
      </c>
      <c r="T325" s="204">
        <f t="shared" si="278"/>
        <v>14686.32857142857</v>
      </c>
      <c r="U325" s="204">
        <f t="shared" si="279"/>
        <v>5874.5314285714303</v>
      </c>
    </row>
    <row r="326" spans="2:21">
      <c r="B326" s="230">
        <v>169572</v>
      </c>
      <c r="D326" s="230">
        <v>10</v>
      </c>
      <c r="E326" s="185" t="s">
        <v>350</v>
      </c>
      <c r="F326" s="229">
        <v>2016</v>
      </c>
      <c r="G326" s="228">
        <v>11</v>
      </c>
      <c r="H326" s="209">
        <v>0</v>
      </c>
      <c r="I326" s="208" t="s">
        <v>86</v>
      </c>
      <c r="J326" s="227">
        <v>7</v>
      </c>
      <c r="K326" s="207">
        <f t="shared" si="272"/>
        <v>2023</v>
      </c>
      <c r="L326" s="206">
        <f t="shared" si="280"/>
        <v>2023.9166666666667</v>
      </c>
      <c r="M326" s="190">
        <v>344.49</v>
      </c>
      <c r="N326" s="225">
        <f t="shared" si="273"/>
        <v>344.49</v>
      </c>
      <c r="O326" s="225">
        <f t="shared" si="274"/>
        <v>4.1010714285714291</v>
      </c>
      <c r="P326" s="204">
        <f t="shared" si="275"/>
        <v>49.212857142857146</v>
      </c>
      <c r="Q326" s="204">
        <f t="shared" si="276"/>
        <v>49.212857142857146</v>
      </c>
      <c r="R326" s="225"/>
      <c r="S326" s="204">
        <f t="shared" si="277"/>
        <v>196.85142857142858</v>
      </c>
      <c r="T326" s="204">
        <f t="shared" si="278"/>
        <v>246.06428571428575</v>
      </c>
      <c r="U326" s="204">
        <f t="shared" si="279"/>
        <v>98.425714285714264</v>
      </c>
    </row>
    <row r="327" spans="2:21">
      <c r="B327" s="203" t="s">
        <v>351</v>
      </c>
      <c r="D327" s="230">
        <v>1500</v>
      </c>
      <c r="E327" s="185" t="s">
        <v>206</v>
      </c>
      <c r="F327" s="229">
        <v>2016</v>
      </c>
      <c r="G327" s="228">
        <v>11</v>
      </c>
      <c r="H327" s="209">
        <v>0</v>
      </c>
      <c r="I327" s="208" t="s">
        <v>86</v>
      </c>
      <c r="J327" s="227">
        <v>7</v>
      </c>
      <c r="K327" s="207">
        <f t="shared" si="272"/>
        <v>2023</v>
      </c>
      <c r="L327" s="206">
        <f t="shared" si="280"/>
        <v>2023.9166666666667</v>
      </c>
      <c r="M327" s="190">
        <f>30402.24+28277.81</f>
        <v>58680.05</v>
      </c>
      <c r="N327" s="225">
        <f t="shared" si="273"/>
        <v>58680.05</v>
      </c>
      <c r="O327" s="225">
        <f t="shared" si="274"/>
        <v>698.57202380952378</v>
      </c>
      <c r="P327" s="204">
        <f t="shared" si="275"/>
        <v>8382.8642857142859</v>
      </c>
      <c r="Q327" s="204">
        <f t="shared" si="276"/>
        <v>8382.8642857142859</v>
      </c>
      <c r="R327" s="225"/>
      <c r="S327" s="204">
        <f t="shared" si="277"/>
        <v>33531.457142857143</v>
      </c>
      <c r="T327" s="204">
        <f t="shared" si="278"/>
        <v>41914.321428571428</v>
      </c>
      <c r="U327" s="204">
        <f t="shared" si="279"/>
        <v>16765.728571428575</v>
      </c>
    </row>
    <row r="328" spans="2:21">
      <c r="B328" s="203">
        <v>183382</v>
      </c>
      <c r="D328" s="230">
        <v>950</v>
      </c>
      <c r="E328" s="185" t="s">
        <v>375</v>
      </c>
      <c r="F328" s="229">
        <v>2017</v>
      </c>
      <c r="G328" s="228">
        <v>6</v>
      </c>
      <c r="H328" s="209">
        <v>0</v>
      </c>
      <c r="I328" s="208" t="s">
        <v>86</v>
      </c>
      <c r="J328" s="227">
        <v>7</v>
      </c>
      <c r="K328" s="207">
        <f t="shared" si="272"/>
        <v>2024</v>
      </c>
      <c r="L328" s="206">
        <f t="shared" si="280"/>
        <v>2024.5</v>
      </c>
      <c r="M328" s="190">
        <v>38121.81</v>
      </c>
      <c r="N328" s="225">
        <f t="shared" si="273"/>
        <v>38121.81</v>
      </c>
      <c r="O328" s="225">
        <f t="shared" si="274"/>
        <v>453.83107142857142</v>
      </c>
      <c r="P328" s="204">
        <f t="shared" si="275"/>
        <v>5445.9728571428568</v>
      </c>
      <c r="Q328" s="204">
        <f t="shared" si="276"/>
        <v>5445.9728571428568</v>
      </c>
      <c r="R328" s="225"/>
      <c r="S328" s="204">
        <f t="shared" si="277"/>
        <v>16337.91857142857</v>
      </c>
      <c r="T328" s="204">
        <f t="shared" si="278"/>
        <v>21783.891428571427</v>
      </c>
      <c r="U328" s="204">
        <f t="shared" si="279"/>
        <v>16337.91857142857</v>
      </c>
    </row>
    <row r="329" spans="2:21">
      <c r="B329" s="203">
        <v>182817</v>
      </c>
      <c r="D329" s="230">
        <v>783</v>
      </c>
      <c r="E329" s="185" t="s">
        <v>377</v>
      </c>
      <c r="F329" s="229">
        <v>2017</v>
      </c>
      <c r="G329" s="228">
        <v>6</v>
      </c>
      <c r="H329" s="209">
        <v>0</v>
      </c>
      <c r="I329" s="208" t="s">
        <v>86</v>
      </c>
      <c r="J329" s="227">
        <v>7</v>
      </c>
      <c r="K329" s="207">
        <f t="shared" si="272"/>
        <v>2024</v>
      </c>
      <c r="L329" s="206">
        <f t="shared" si="280"/>
        <v>2024.5</v>
      </c>
      <c r="M329" s="190">
        <v>33739.599999999999</v>
      </c>
      <c r="N329" s="225">
        <f t="shared" si="273"/>
        <v>33739.599999999999</v>
      </c>
      <c r="O329" s="225">
        <f t="shared" si="274"/>
        <v>401.66190476190474</v>
      </c>
      <c r="P329" s="204">
        <f t="shared" si="275"/>
        <v>4819.9428571428571</v>
      </c>
      <c r="Q329" s="204">
        <f t="shared" si="276"/>
        <v>4819.9428571428571</v>
      </c>
      <c r="R329" s="225"/>
      <c r="S329" s="204">
        <f t="shared" si="277"/>
        <v>14459.82857142857</v>
      </c>
      <c r="T329" s="204">
        <f t="shared" si="278"/>
        <v>19279.771428571428</v>
      </c>
      <c r="U329" s="204">
        <f t="shared" si="279"/>
        <v>14459.82857142857</v>
      </c>
    </row>
    <row r="330" spans="2:21">
      <c r="B330" s="203">
        <v>182816</v>
      </c>
      <c r="D330" s="230">
        <v>950</v>
      </c>
      <c r="E330" s="185" t="s">
        <v>375</v>
      </c>
      <c r="F330" s="229">
        <v>2017</v>
      </c>
      <c r="G330" s="228">
        <v>6</v>
      </c>
      <c r="H330" s="209">
        <v>0</v>
      </c>
      <c r="I330" s="208" t="s">
        <v>86</v>
      </c>
      <c r="J330" s="227">
        <v>7</v>
      </c>
      <c r="K330" s="207">
        <f t="shared" si="272"/>
        <v>2024</v>
      </c>
      <c r="L330" s="206">
        <f t="shared" si="280"/>
        <v>2024.5</v>
      </c>
      <c r="M330" s="190">
        <v>38121.81</v>
      </c>
      <c r="N330" s="225">
        <f t="shared" si="273"/>
        <v>38121.81</v>
      </c>
      <c r="O330" s="225">
        <f t="shared" si="274"/>
        <v>453.83107142857142</v>
      </c>
      <c r="P330" s="204">
        <f t="shared" si="275"/>
        <v>5445.9728571428568</v>
      </c>
      <c r="Q330" s="204">
        <f t="shared" si="276"/>
        <v>5445.9728571428568</v>
      </c>
      <c r="R330" s="225"/>
      <c r="S330" s="204">
        <f t="shared" si="277"/>
        <v>16337.91857142857</v>
      </c>
      <c r="T330" s="204">
        <f t="shared" si="278"/>
        <v>21783.891428571427</v>
      </c>
      <c r="U330" s="204">
        <f t="shared" si="279"/>
        <v>16337.91857142857</v>
      </c>
    </row>
    <row r="331" spans="2:21">
      <c r="B331" s="203">
        <v>182596</v>
      </c>
      <c r="D331" s="230">
        <v>280</v>
      </c>
      <c r="E331" s="185" t="s">
        <v>378</v>
      </c>
      <c r="F331" s="229">
        <v>2017</v>
      </c>
      <c r="G331" s="228">
        <v>6</v>
      </c>
      <c r="H331" s="209">
        <v>0</v>
      </c>
      <c r="I331" s="208" t="s">
        <v>86</v>
      </c>
      <c r="J331" s="227">
        <v>7</v>
      </c>
      <c r="K331" s="207">
        <f t="shared" si="272"/>
        <v>2024</v>
      </c>
      <c r="L331" s="206">
        <f t="shared" si="280"/>
        <v>2024.5</v>
      </c>
      <c r="M331" s="190">
        <v>14281.93</v>
      </c>
      <c r="N331" s="225">
        <f t="shared" si="273"/>
        <v>14281.93</v>
      </c>
      <c r="O331" s="225">
        <f t="shared" si="274"/>
        <v>170.02297619047619</v>
      </c>
      <c r="P331" s="204">
        <f t="shared" si="275"/>
        <v>2040.2757142857142</v>
      </c>
      <c r="Q331" s="204">
        <f t="shared" si="276"/>
        <v>2040.2757142857142</v>
      </c>
      <c r="R331" s="225"/>
      <c r="S331" s="204">
        <f t="shared" si="277"/>
        <v>6120.8271428571425</v>
      </c>
      <c r="T331" s="204">
        <f t="shared" si="278"/>
        <v>8161.1028571428569</v>
      </c>
      <c r="U331" s="204">
        <f t="shared" si="279"/>
        <v>6120.8271428571434</v>
      </c>
    </row>
    <row r="332" spans="2:21">
      <c r="B332" s="203">
        <v>182595</v>
      </c>
      <c r="D332" s="230">
        <v>660</v>
      </c>
      <c r="E332" s="185" t="s">
        <v>379</v>
      </c>
      <c r="F332" s="229">
        <v>2017</v>
      </c>
      <c r="G332" s="228">
        <v>6</v>
      </c>
      <c r="H332" s="209">
        <v>0</v>
      </c>
      <c r="I332" s="208" t="s">
        <v>86</v>
      </c>
      <c r="J332" s="227">
        <v>7</v>
      </c>
      <c r="K332" s="207">
        <f t="shared" si="272"/>
        <v>2024</v>
      </c>
      <c r="L332" s="206">
        <f t="shared" si="280"/>
        <v>2024.5</v>
      </c>
      <c r="M332" s="190">
        <v>29188.93</v>
      </c>
      <c r="N332" s="225">
        <f t="shared" si="273"/>
        <v>29188.93</v>
      </c>
      <c r="O332" s="225">
        <f t="shared" si="274"/>
        <v>347.48726190476191</v>
      </c>
      <c r="P332" s="204">
        <f t="shared" si="275"/>
        <v>4169.8471428571429</v>
      </c>
      <c r="Q332" s="204">
        <f t="shared" si="276"/>
        <v>4169.8471428571429</v>
      </c>
      <c r="R332" s="225"/>
      <c r="S332" s="204">
        <f t="shared" si="277"/>
        <v>12509.541428571429</v>
      </c>
      <c r="T332" s="204">
        <f t="shared" si="278"/>
        <v>16679.388571428572</v>
      </c>
      <c r="U332" s="204">
        <f t="shared" si="279"/>
        <v>12509.541428571429</v>
      </c>
    </row>
    <row r="333" spans="2:21">
      <c r="B333" s="230">
        <v>178887</v>
      </c>
      <c r="D333" s="230">
        <v>100</v>
      </c>
      <c r="E333" s="230" t="s">
        <v>380</v>
      </c>
      <c r="F333" s="229">
        <v>2017</v>
      </c>
      <c r="G333" s="228">
        <v>3</v>
      </c>
      <c r="H333" s="233">
        <v>0</v>
      </c>
      <c r="I333" s="228" t="s">
        <v>86</v>
      </c>
      <c r="J333" s="227">
        <v>7</v>
      </c>
      <c r="K333" s="229">
        <f t="shared" si="272"/>
        <v>2024</v>
      </c>
      <c r="L333" s="206">
        <f t="shared" si="280"/>
        <v>2024.25</v>
      </c>
      <c r="M333" s="226">
        <v>5201</v>
      </c>
      <c r="N333" s="230">
        <f t="shared" si="273"/>
        <v>5201</v>
      </c>
      <c r="O333" s="225">
        <f t="shared" si="274"/>
        <v>61.916666666666664</v>
      </c>
      <c r="P333" s="204">
        <f t="shared" si="275"/>
        <v>743</v>
      </c>
      <c r="Q333" s="204">
        <f t="shared" si="276"/>
        <v>743</v>
      </c>
      <c r="R333" s="225"/>
      <c r="S333" s="204">
        <f t="shared" si="277"/>
        <v>2229</v>
      </c>
      <c r="T333" s="204">
        <f t="shared" si="278"/>
        <v>2972</v>
      </c>
      <c r="U333" s="204">
        <f t="shared" si="279"/>
        <v>2229</v>
      </c>
    </row>
    <row r="334" spans="2:21">
      <c r="E334" s="180"/>
      <c r="H334" s="209"/>
      <c r="I334" s="208"/>
      <c r="K334" s="207"/>
      <c r="L334" s="206"/>
      <c r="M334" s="190"/>
      <c r="N334" s="225"/>
      <c r="O334" s="225"/>
      <c r="P334" s="204"/>
      <c r="Q334" s="204"/>
      <c r="R334" s="225"/>
      <c r="S334" s="225"/>
      <c r="T334" s="225"/>
      <c r="U334" s="225"/>
    </row>
    <row r="335" spans="2:21">
      <c r="D335" s="202">
        <f>SUM(D292:D334)</f>
        <v>14078</v>
      </c>
      <c r="E335" s="322" t="s">
        <v>609</v>
      </c>
      <c r="F335" s="305"/>
      <c r="G335" s="306"/>
      <c r="H335" s="306"/>
      <c r="I335" s="308"/>
      <c r="J335" s="309"/>
      <c r="K335" s="310"/>
      <c r="L335" s="323"/>
      <c r="M335" s="183">
        <f t="shared" ref="M335:U335" si="281">SUM(M292:M334)</f>
        <v>606241.04913043487</v>
      </c>
      <c r="N335" s="183">
        <f t="shared" si="281"/>
        <v>606241.04913043487</v>
      </c>
      <c r="O335" s="183">
        <f t="shared" si="281"/>
        <v>7217.1553467908916</v>
      </c>
      <c r="P335" s="240">
        <f t="shared" si="281"/>
        <v>86605.864161490696</v>
      </c>
      <c r="Q335" s="240">
        <f t="shared" si="281"/>
        <v>56342.561666666661</v>
      </c>
      <c r="R335" s="183">
        <f t="shared" si="281"/>
        <v>0</v>
      </c>
      <c r="S335" s="183">
        <f t="shared" si="281"/>
        <v>428306.63341614907</v>
      </c>
      <c r="T335" s="183">
        <f t="shared" si="281"/>
        <v>484649.19508281571</v>
      </c>
      <c r="U335" s="183">
        <f t="shared" si="281"/>
        <v>121591.85404761907</v>
      </c>
    </row>
    <row r="336" spans="2:21">
      <c r="D336" s="202"/>
      <c r="E336" s="186"/>
      <c r="I336" s="208"/>
      <c r="K336" s="207"/>
      <c r="L336" s="206"/>
      <c r="M336" s="182"/>
      <c r="N336" s="181"/>
      <c r="O336" s="181"/>
      <c r="P336" s="285"/>
      <c r="Q336" s="285"/>
      <c r="R336" s="181"/>
      <c r="S336" s="181"/>
      <c r="T336" s="181"/>
      <c r="U336" s="181"/>
    </row>
    <row r="337" spans="2:21">
      <c r="D337" s="202"/>
      <c r="E337" s="321" t="s">
        <v>214</v>
      </c>
      <c r="I337" s="208"/>
      <c r="K337" s="207"/>
      <c r="L337" s="206"/>
      <c r="M337" s="182"/>
      <c r="N337" s="181"/>
      <c r="O337" s="181"/>
      <c r="P337" s="285"/>
      <c r="Q337" s="285"/>
      <c r="R337" s="181"/>
      <c r="S337" s="181"/>
      <c r="T337" s="181"/>
      <c r="U337" s="181"/>
    </row>
    <row r="338" spans="2:21">
      <c r="D338" s="230">
        <v>300</v>
      </c>
      <c r="E338" s="185" t="s">
        <v>208</v>
      </c>
      <c r="F338" s="229">
        <v>2007</v>
      </c>
      <c r="G338" s="228">
        <v>10</v>
      </c>
      <c r="H338" s="209">
        <v>0</v>
      </c>
      <c r="I338" s="208" t="s">
        <v>86</v>
      </c>
      <c r="J338" s="227">
        <v>7</v>
      </c>
      <c r="K338" s="207">
        <f t="shared" ref="K338:K348" si="282">F338+J338</f>
        <v>2014</v>
      </c>
      <c r="L338" s="206">
        <f t="shared" si="280"/>
        <v>2014.8333333333333</v>
      </c>
      <c r="M338" s="190">
        <f>(35190+3103.37+2200)/828*300</f>
        <v>14671.510869565218</v>
      </c>
      <c r="N338" s="204">
        <f t="shared" ref="N338:N348" si="283">M338-M338*H338</f>
        <v>14671.510869565218</v>
      </c>
      <c r="O338" s="204">
        <f t="shared" ref="O338:O348" si="284">N338/J338/12</f>
        <v>174.66084368530019</v>
      </c>
      <c r="P338" s="204">
        <f t="shared" ref="P338:P348" si="285">+O338*12</f>
        <v>2095.9301242236024</v>
      </c>
      <c r="Q338" s="204">
        <f t="shared" ref="Q338:Q348" si="286">+IF(L338&lt;=$N$5,0,IF(K338&gt;$N$4,P338,(O338*G338)))</f>
        <v>0</v>
      </c>
      <c r="R338" s="204"/>
      <c r="S338" s="204">
        <f t="shared" ref="S338:S348" si="287">+IF(Q338=0,M338,IF($N$3-F338&lt;1,0,(($N$3-F338)*P338)))</f>
        <v>14671.510869565218</v>
      </c>
      <c r="T338" s="204">
        <f t="shared" ref="T338:T348" si="288">+IF(Q338=0,S338,S338+Q338)</f>
        <v>14671.510869565218</v>
      </c>
      <c r="U338" s="204">
        <f t="shared" ref="U338:U348" si="289">M338-T338</f>
        <v>0</v>
      </c>
    </row>
    <row r="339" spans="2:21">
      <c r="D339" s="230">
        <v>100</v>
      </c>
      <c r="E339" s="185" t="s">
        <v>208</v>
      </c>
      <c r="F339" s="229">
        <v>2008</v>
      </c>
      <c r="G339" s="228">
        <v>7</v>
      </c>
      <c r="H339" s="209">
        <v>0</v>
      </c>
      <c r="I339" s="208" t="s">
        <v>86</v>
      </c>
      <c r="J339" s="227">
        <v>7</v>
      </c>
      <c r="K339" s="207">
        <f t="shared" si="282"/>
        <v>2015</v>
      </c>
      <c r="L339" s="206">
        <f t="shared" si="280"/>
        <v>2015.5833333333333</v>
      </c>
      <c r="M339" s="190">
        <v>6087</v>
      </c>
      <c r="N339" s="204">
        <f t="shared" si="283"/>
        <v>6087</v>
      </c>
      <c r="O339" s="204">
        <f t="shared" si="284"/>
        <v>72.464285714285708</v>
      </c>
      <c r="P339" s="204">
        <f t="shared" si="285"/>
        <v>869.57142857142844</v>
      </c>
      <c r="Q339" s="204">
        <f t="shared" si="286"/>
        <v>0</v>
      </c>
      <c r="R339" s="204"/>
      <c r="S339" s="204">
        <f t="shared" si="287"/>
        <v>6087</v>
      </c>
      <c r="T339" s="204">
        <f t="shared" si="288"/>
        <v>6087</v>
      </c>
      <c r="U339" s="204">
        <f t="shared" si="289"/>
        <v>0</v>
      </c>
    </row>
    <row r="340" spans="2:21">
      <c r="D340" s="230">
        <v>10500</v>
      </c>
      <c r="E340" s="185" t="s">
        <v>209</v>
      </c>
      <c r="F340" s="229">
        <v>2009</v>
      </c>
      <c r="G340" s="228">
        <v>7</v>
      </c>
      <c r="H340" s="209">
        <v>0</v>
      </c>
      <c r="I340" s="208" t="s">
        <v>86</v>
      </c>
      <c r="J340" s="227">
        <v>10</v>
      </c>
      <c r="K340" s="207">
        <f t="shared" si="282"/>
        <v>2019</v>
      </c>
      <c r="L340" s="206">
        <f t="shared" si="280"/>
        <v>2019.5833333333333</v>
      </c>
      <c r="M340" s="190">
        <v>477576</v>
      </c>
      <c r="N340" s="204">
        <f t="shared" si="283"/>
        <v>477576</v>
      </c>
      <c r="O340" s="204">
        <f t="shared" si="284"/>
        <v>3979.7999999999997</v>
      </c>
      <c r="P340" s="204">
        <f t="shared" si="285"/>
        <v>47757.599999999999</v>
      </c>
      <c r="Q340" s="204">
        <f t="shared" si="286"/>
        <v>0</v>
      </c>
      <c r="R340" s="204"/>
      <c r="S340" s="204">
        <f t="shared" si="287"/>
        <v>477576</v>
      </c>
      <c r="T340" s="204">
        <f t="shared" si="288"/>
        <v>477576</v>
      </c>
      <c r="U340" s="204">
        <f t="shared" si="289"/>
        <v>0</v>
      </c>
    </row>
    <row r="341" spans="2:21">
      <c r="D341" s="230">
        <v>500</v>
      </c>
      <c r="E341" s="185" t="s">
        <v>215</v>
      </c>
      <c r="F341" s="229">
        <v>2009</v>
      </c>
      <c r="G341" s="228">
        <v>7</v>
      </c>
      <c r="H341" s="209">
        <v>0</v>
      </c>
      <c r="I341" s="208" t="s">
        <v>86</v>
      </c>
      <c r="J341" s="227">
        <v>10</v>
      </c>
      <c r="K341" s="207">
        <f t="shared" si="282"/>
        <v>2019</v>
      </c>
      <c r="L341" s="206">
        <f t="shared" si="280"/>
        <v>2019.5833333333333</v>
      </c>
      <c r="M341" s="190">
        <v>22742</v>
      </c>
      <c r="N341" s="204">
        <f t="shared" si="283"/>
        <v>22742</v>
      </c>
      <c r="O341" s="204">
        <f t="shared" si="284"/>
        <v>189.51666666666665</v>
      </c>
      <c r="P341" s="204">
        <f t="shared" si="285"/>
        <v>2274.1999999999998</v>
      </c>
      <c r="Q341" s="204">
        <f t="shared" si="286"/>
        <v>0</v>
      </c>
      <c r="R341" s="204"/>
      <c r="S341" s="204">
        <f t="shared" si="287"/>
        <v>22742</v>
      </c>
      <c r="T341" s="204">
        <f t="shared" si="288"/>
        <v>22742</v>
      </c>
      <c r="U341" s="204">
        <f t="shared" si="289"/>
        <v>0</v>
      </c>
    </row>
    <row r="342" spans="2:21">
      <c r="B342" s="230">
        <v>109630</v>
      </c>
      <c r="D342" s="230">
        <v>100</v>
      </c>
      <c r="E342" s="185" t="s">
        <v>310</v>
      </c>
      <c r="F342" s="229">
        <v>2013</v>
      </c>
      <c r="G342" s="228">
        <v>6</v>
      </c>
      <c r="H342" s="209">
        <v>0</v>
      </c>
      <c r="I342" s="208" t="s">
        <v>86</v>
      </c>
      <c r="J342" s="227">
        <v>10</v>
      </c>
      <c r="K342" s="207">
        <f t="shared" si="282"/>
        <v>2023</v>
      </c>
      <c r="L342" s="206">
        <f t="shared" si="280"/>
        <v>2023.5</v>
      </c>
      <c r="M342" s="190">
        <v>7104.58</v>
      </c>
      <c r="N342" s="204">
        <f t="shared" si="283"/>
        <v>7104.58</v>
      </c>
      <c r="O342" s="204">
        <f t="shared" si="284"/>
        <v>59.204833333333333</v>
      </c>
      <c r="P342" s="204">
        <f t="shared" si="285"/>
        <v>710.45799999999997</v>
      </c>
      <c r="Q342" s="204">
        <f t="shared" si="286"/>
        <v>710.45799999999997</v>
      </c>
      <c r="R342" s="204"/>
      <c r="S342" s="204">
        <f t="shared" si="287"/>
        <v>4973.2060000000001</v>
      </c>
      <c r="T342" s="204">
        <f t="shared" si="288"/>
        <v>5683.6639999999998</v>
      </c>
      <c r="U342" s="204">
        <f t="shared" si="289"/>
        <v>1420.9160000000002</v>
      </c>
    </row>
    <row r="343" spans="2:21">
      <c r="B343" s="230">
        <v>111169</v>
      </c>
      <c r="E343" s="185" t="s">
        <v>312</v>
      </c>
      <c r="F343" s="229">
        <v>2014</v>
      </c>
      <c r="G343" s="228">
        <v>1</v>
      </c>
      <c r="H343" s="209">
        <v>0</v>
      </c>
      <c r="I343" s="208" t="s">
        <v>86</v>
      </c>
      <c r="J343" s="227">
        <v>10</v>
      </c>
      <c r="K343" s="207">
        <f t="shared" si="282"/>
        <v>2024</v>
      </c>
      <c r="L343" s="206">
        <f t="shared" si="280"/>
        <v>2024.0833333333333</v>
      </c>
      <c r="M343" s="190">
        <v>2369.64</v>
      </c>
      <c r="N343" s="204">
        <f t="shared" si="283"/>
        <v>2369.64</v>
      </c>
      <c r="O343" s="204">
        <f t="shared" si="284"/>
        <v>19.747</v>
      </c>
      <c r="P343" s="204">
        <f t="shared" si="285"/>
        <v>236.964</v>
      </c>
      <c r="Q343" s="204">
        <f t="shared" si="286"/>
        <v>236.964</v>
      </c>
      <c r="R343" s="204"/>
      <c r="S343" s="204">
        <f t="shared" si="287"/>
        <v>1421.7840000000001</v>
      </c>
      <c r="T343" s="204">
        <f t="shared" si="288"/>
        <v>1658.748</v>
      </c>
      <c r="U343" s="204">
        <f t="shared" si="289"/>
        <v>710.89199999999983</v>
      </c>
    </row>
    <row r="344" spans="2:21">
      <c r="B344" s="230">
        <v>111445</v>
      </c>
      <c r="D344" s="230">
        <v>624</v>
      </c>
      <c r="E344" s="185" t="s">
        <v>209</v>
      </c>
      <c r="F344" s="229">
        <v>2014</v>
      </c>
      <c r="G344" s="228">
        <v>3</v>
      </c>
      <c r="H344" s="209">
        <v>0</v>
      </c>
      <c r="I344" s="208" t="s">
        <v>86</v>
      </c>
      <c r="J344" s="227">
        <v>10</v>
      </c>
      <c r="K344" s="207">
        <f t="shared" si="282"/>
        <v>2024</v>
      </c>
      <c r="L344" s="206">
        <f t="shared" si="280"/>
        <v>2024.25</v>
      </c>
      <c r="M344" s="190">
        <v>36065.919999999998</v>
      </c>
      <c r="N344" s="204">
        <f t="shared" si="283"/>
        <v>36065.919999999998</v>
      </c>
      <c r="O344" s="204">
        <f t="shared" si="284"/>
        <v>300.54933333333332</v>
      </c>
      <c r="P344" s="204">
        <f t="shared" si="285"/>
        <v>3606.5919999999996</v>
      </c>
      <c r="Q344" s="204">
        <f t="shared" si="286"/>
        <v>3606.5919999999996</v>
      </c>
      <c r="R344" s="204"/>
      <c r="S344" s="204">
        <f t="shared" si="287"/>
        <v>21639.551999999996</v>
      </c>
      <c r="T344" s="204">
        <f t="shared" si="288"/>
        <v>25246.143999999997</v>
      </c>
      <c r="U344" s="204">
        <f t="shared" si="289"/>
        <v>10819.776000000002</v>
      </c>
    </row>
    <row r="345" spans="2:21">
      <c r="B345" s="230">
        <v>121097</v>
      </c>
      <c r="D345" s="230">
        <v>420</v>
      </c>
      <c r="E345" s="185" t="s">
        <v>209</v>
      </c>
      <c r="F345" s="229">
        <v>2015</v>
      </c>
      <c r="G345" s="228">
        <v>3</v>
      </c>
      <c r="H345" s="209">
        <v>0</v>
      </c>
      <c r="I345" s="208" t="s">
        <v>86</v>
      </c>
      <c r="J345" s="227">
        <v>10</v>
      </c>
      <c r="K345" s="207">
        <f t="shared" si="282"/>
        <v>2025</v>
      </c>
      <c r="L345" s="206">
        <f t="shared" si="280"/>
        <v>2025.25</v>
      </c>
      <c r="M345" s="190">
        <v>22395.5</v>
      </c>
      <c r="N345" s="204">
        <f t="shared" si="283"/>
        <v>22395.5</v>
      </c>
      <c r="O345" s="204">
        <f t="shared" si="284"/>
        <v>186.62916666666669</v>
      </c>
      <c r="P345" s="204">
        <f t="shared" si="285"/>
        <v>2239.5500000000002</v>
      </c>
      <c r="Q345" s="204">
        <f t="shared" si="286"/>
        <v>2239.5500000000002</v>
      </c>
      <c r="R345" s="204"/>
      <c r="S345" s="204">
        <f t="shared" si="287"/>
        <v>11197.75</v>
      </c>
      <c r="T345" s="204">
        <f t="shared" si="288"/>
        <v>13437.3</v>
      </c>
      <c r="U345" s="204">
        <f t="shared" si="289"/>
        <v>8958.2000000000007</v>
      </c>
    </row>
    <row r="346" spans="2:21">
      <c r="B346" s="230">
        <v>131196</v>
      </c>
      <c r="D346" s="230">
        <v>624</v>
      </c>
      <c r="E346" s="185" t="s">
        <v>209</v>
      </c>
      <c r="F346" s="229">
        <v>2016</v>
      </c>
      <c r="G346" s="228">
        <v>2</v>
      </c>
      <c r="H346" s="209">
        <v>0</v>
      </c>
      <c r="I346" s="208" t="s">
        <v>86</v>
      </c>
      <c r="J346" s="227">
        <v>10</v>
      </c>
      <c r="K346" s="207">
        <f t="shared" si="282"/>
        <v>2026</v>
      </c>
      <c r="L346" s="206">
        <f t="shared" si="280"/>
        <v>2026.1666666666667</v>
      </c>
      <c r="M346" s="190">
        <v>35165.58</v>
      </c>
      <c r="N346" s="204">
        <f t="shared" si="283"/>
        <v>35165.58</v>
      </c>
      <c r="O346" s="204">
        <f t="shared" si="284"/>
        <v>293.04649999999998</v>
      </c>
      <c r="P346" s="204">
        <f t="shared" si="285"/>
        <v>3516.558</v>
      </c>
      <c r="Q346" s="204">
        <f t="shared" si="286"/>
        <v>3516.558</v>
      </c>
      <c r="R346" s="204"/>
      <c r="S346" s="204">
        <f t="shared" si="287"/>
        <v>14066.232</v>
      </c>
      <c r="T346" s="204">
        <f t="shared" si="288"/>
        <v>17582.79</v>
      </c>
      <c r="U346" s="204">
        <f t="shared" si="289"/>
        <v>17582.79</v>
      </c>
    </row>
    <row r="347" spans="2:21">
      <c r="B347" s="230">
        <v>168865</v>
      </c>
      <c r="D347" s="230">
        <v>353</v>
      </c>
      <c r="E347" s="185" t="s">
        <v>209</v>
      </c>
      <c r="F347" s="229">
        <v>2016</v>
      </c>
      <c r="G347" s="228">
        <v>10</v>
      </c>
      <c r="H347" s="209">
        <v>0</v>
      </c>
      <c r="I347" s="208" t="s">
        <v>86</v>
      </c>
      <c r="J347" s="227">
        <v>7</v>
      </c>
      <c r="K347" s="207">
        <f t="shared" si="282"/>
        <v>2023</v>
      </c>
      <c r="L347" s="206">
        <f t="shared" si="280"/>
        <v>2023.8333333333333</v>
      </c>
      <c r="M347" s="190">
        <v>16852.22</v>
      </c>
      <c r="N347" s="204">
        <f t="shared" si="283"/>
        <v>16852.22</v>
      </c>
      <c r="O347" s="204">
        <f t="shared" si="284"/>
        <v>200.62166666666667</v>
      </c>
      <c r="P347" s="204">
        <f t="shared" si="285"/>
        <v>2407.46</v>
      </c>
      <c r="Q347" s="204">
        <f t="shared" si="286"/>
        <v>2407.46</v>
      </c>
      <c r="R347" s="204"/>
      <c r="S347" s="204">
        <f t="shared" si="287"/>
        <v>9629.84</v>
      </c>
      <c r="T347" s="204">
        <f t="shared" si="288"/>
        <v>12037.3</v>
      </c>
      <c r="U347" s="204">
        <f t="shared" si="289"/>
        <v>4814.9200000000019</v>
      </c>
    </row>
    <row r="348" spans="2:21">
      <c r="B348" s="230">
        <v>178888</v>
      </c>
      <c r="D348" s="230">
        <v>524</v>
      </c>
      <c r="E348" s="230" t="s">
        <v>393</v>
      </c>
      <c r="F348" s="229">
        <v>2017</v>
      </c>
      <c r="G348" s="228">
        <v>4</v>
      </c>
      <c r="H348" s="228">
        <v>0</v>
      </c>
      <c r="I348" s="228" t="s">
        <v>86</v>
      </c>
      <c r="J348" s="227">
        <v>7</v>
      </c>
      <c r="K348" s="229">
        <f t="shared" si="282"/>
        <v>2024</v>
      </c>
      <c r="L348" s="206">
        <f t="shared" si="280"/>
        <v>2024.3333333333333</v>
      </c>
      <c r="M348" s="226">
        <v>28674.51</v>
      </c>
      <c r="N348" s="205">
        <f t="shared" si="283"/>
        <v>28674.51</v>
      </c>
      <c r="O348" s="204">
        <f t="shared" si="284"/>
        <v>341.36321428571426</v>
      </c>
      <c r="P348" s="204">
        <f t="shared" si="285"/>
        <v>4096.3585714285709</v>
      </c>
      <c r="Q348" s="204">
        <f t="shared" si="286"/>
        <v>4096.3585714285709</v>
      </c>
      <c r="R348" s="204"/>
      <c r="S348" s="204">
        <f t="shared" si="287"/>
        <v>12289.075714285713</v>
      </c>
      <c r="T348" s="204">
        <f t="shared" si="288"/>
        <v>16385.434285714284</v>
      </c>
      <c r="U348" s="204">
        <f t="shared" si="289"/>
        <v>12289.075714285715</v>
      </c>
    </row>
    <row r="349" spans="2:21" ht="9.75" customHeight="1">
      <c r="E349" s="185"/>
      <c r="H349" s="209"/>
      <c r="I349" s="208"/>
      <c r="K349" s="207"/>
      <c r="L349" s="206"/>
      <c r="M349" s="190"/>
      <c r="N349" s="225"/>
      <c r="O349" s="225"/>
      <c r="P349" s="204"/>
      <c r="Q349" s="204"/>
      <c r="R349" s="225"/>
      <c r="S349" s="225"/>
      <c r="T349" s="225"/>
      <c r="U349" s="225"/>
    </row>
    <row r="350" spans="2:21">
      <c r="E350" s="322" t="s">
        <v>610</v>
      </c>
      <c r="F350" s="305"/>
      <c r="G350" s="306"/>
      <c r="H350" s="307"/>
      <c r="I350" s="308"/>
      <c r="J350" s="309"/>
      <c r="K350" s="310"/>
      <c r="L350" s="323"/>
      <c r="M350" s="183">
        <f t="shared" ref="M350:U350" si="290">SUM(M338:M349)</f>
        <v>669704.46086956514</v>
      </c>
      <c r="N350" s="183">
        <f t="shared" si="290"/>
        <v>669704.46086956514</v>
      </c>
      <c r="O350" s="183">
        <f t="shared" si="290"/>
        <v>5817.6035103519671</v>
      </c>
      <c r="P350" s="240">
        <f t="shared" si="290"/>
        <v>69811.242124223601</v>
      </c>
      <c r="Q350" s="240">
        <f t="shared" si="290"/>
        <v>16813.940571428568</v>
      </c>
      <c r="R350" s="183">
        <f t="shared" si="290"/>
        <v>0</v>
      </c>
      <c r="S350" s="183">
        <f t="shared" si="290"/>
        <v>596293.95058385085</v>
      </c>
      <c r="T350" s="183">
        <f t="shared" si="290"/>
        <v>613107.89115527959</v>
      </c>
      <c r="U350" s="183">
        <f t="shared" si="290"/>
        <v>56596.569714285724</v>
      </c>
    </row>
    <row r="351" spans="2:21">
      <c r="E351" s="186"/>
      <c r="H351" s="209"/>
      <c r="I351" s="208"/>
      <c r="K351" s="207"/>
      <c r="L351" s="206"/>
      <c r="M351" s="182"/>
      <c r="N351" s="182"/>
      <c r="O351" s="182"/>
      <c r="P351" s="285"/>
      <c r="Q351" s="285"/>
      <c r="R351" s="182"/>
      <c r="S351" s="182"/>
      <c r="T351" s="182"/>
      <c r="U351" s="182"/>
    </row>
    <row r="352" spans="2:21">
      <c r="E352" s="321" t="s">
        <v>577</v>
      </c>
      <c r="H352" s="209"/>
      <c r="I352" s="208"/>
      <c r="K352" s="207"/>
      <c r="L352" s="206"/>
      <c r="M352" s="182"/>
      <c r="N352" s="182"/>
      <c r="O352" s="182"/>
      <c r="P352" s="285"/>
      <c r="Q352" s="285"/>
      <c r="R352" s="182"/>
      <c r="S352" s="182"/>
      <c r="T352" s="182"/>
      <c r="U352" s="182"/>
    </row>
    <row r="353" spans="2:21">
      <c r="B353" s="203">
        <v>207442</v>
      </c>
      <c r="D353" s="230">
        <v>200</v>
      </c>
      <c r="E353" s="185" t="s">
        <v>457</v>
      </c>
      <c r="F353" s="229">
        <v>2018</v>
      </c>
      <c r="G353" s="228">
        <v>12</v>
      </c>
      <c r="H353" s="209">
        <v>0</v>
      </c>
      <c r="I353" s="208" t="s">
        <v>86</v>
      </c>
      <c r="J353" s="227">
        <v>7</v>
      </c>
      <c r="K353" s="207">
        <f t="shared" ref="K353:K376" si="291">F353+J353</f>
        <v>2025</v>
      </c>
      <c r="L353" s="206">
        <f t="shared" ref="L353:L376" si="292">+K353+(G353/12)</f>
        <v>2026</v>
      </c>
      <c r="M353" s="190">
        <v>10120.9</v>
      </c>
      <c r="N353" s="225">
        <f t="shared" ref="N353:N376" si="293">M353-M353*H353</f>
        <v>10120.9</v>
      </c>
      <c r="O353" s="225">
        <f t="shared" ref="O353:O376" si="294">N353/J353/12</f>
        <v>120.48690476190477</v>
      </c>
      <c r="P353" s="204">
        <f t="shared" ref="P353:P376" si="295">+O353*12</f>
        <v>1445.8428571428572</v>
      </c>
      <c r="Q353" s="204">
        <f t="shared" ref="Q353:Q376" si="296">+IF(L353&lt;=$N$5,0,IF(K353&gt;$N$4,P353,(O353*G353)))</f>
        <v>1445.8428571428572</v>
      </c>
      <c r="R353" s="225"/>
      <c r="S353" s="204">
        <f t="shared" ref="S353:S376" si="297">+IF(Q353=0,M353,IF($N$3-F353&lt;1,0,(($N$3-F353)*P353)))</f>
        <v>2891.6857142857143</v>
      </c>
      <c r="T353" s="204">
        <f t="shared" ref="T353:T376" si="298">+IF(Q353=0,S353,S353+Q353)</f>
        <v>4337.528571428571</v>
      </c>
      <c r="U353" s="204">
        <f t="shared" ref="U353:U376" si="299">M353-T353</f>
        <v>5783.3714285714286</v>
      </c>
    </row>
    <row r="354" spans="2:21">
      <c r="B354" s="203">
        <v>204437</v>
      </c>
      <c r="D354" s="230">
        <v>100</v>
      </c>
      <c r="E354" s="185" t="s">
        <v>458</v>
      </c>
      <c r="F354" s="229">
        <v>2018</v>
      </c>
      <c r="G354" s="228">
        <v>10</v>
      </c>
      <c r="H354" s="209">
        <v>0</v>
      </c>
      <c r="I354" s="208" t="s">
        <v>86</v>
      </c>
      <c r="J354" s="227">
        <v>7</v>
      </c>
      <c r="K354" s="207">
        <f t="shared" si="291"/>
        <v>2025</v>
      </c>
      <c r="L354" s="206">
        <f t="shared" si="292"/>
        <v>2025.8333333333333</v>
      </c>
      <c r="M354" s="190">
        <v>5369.83</v>
      </c>
      <c r="N354" s="225">
        <f t="shared" si="293"/>
        <v>5369.83</v>
      </c>
      <c r="O354" s="225">
        <f t="shared" si="294"/>
        <v>63.926547619047618</v>
      </c>
      <c r="P354" s="204">
        <f t="shared" si="295"/>
        <v>767.11857142857139</v>
      </c>
      <c r="Q354" s="204">
        <f t="shared" si="296"/>
        <v>767.11857142857139</v>
      </c>
      <c r="R354" s="225"/>
      <c r="S354" s="204">
        <f t="shared" si="297"/>
        <v>1534.2371428571428</v>
      </c>
      <c r="T354" s="204">
        <f t="shared" si="298"/>
        <v>2301.3557142857144</v>
      </c>
      <c r="U354" s="204">
        <f t="shared" si="299"/>
        <v>3068.4742857142855</v>
      </c>
    </row>
    <row r="355" spans="2:21">
      <c r="B355" s="203">
        <v>204435</v>
      </c>
      <c r="D355" s="230">
        <v>100</v>
      </c>
      <c r="E355" s="185" t="s">
        <v>459</v>
      </c>
      <c r="F355" s="229">
        <v>2018</v>
      </c>
      <c r="G355" s="228">
        <v>10</v>
      </c>
      <c r="H355" s="209">
        <v>0</v>
      </c>
      <c r="I355" s="208" t="s">
        <v>86</v>
      </c>
      <c r="J355" s="227">
        <v>7</v>
      </c>
      <c r="K355" s="207">
        <f t="shared" si="291"/>
        <v>2025</v>
      </c>
      <c r="L355" s="206">
        <f t="shared" si="292"/>
        <v>2025.8333333333333</v>
      </c>
      <c r="M355" s="190">
        <v>4745.95</v>
      </c>
      <c r="N355" s="225">
        <f t="shared" si="293"/>
        <v>4745.95</v>
      </c>
      <c r="O355" s="225">
        <f t="shared" si="294"/>
        <v>56.499404761904763</v>
      </c>
      <c r="P355" s="204">
        <f t="shared" si="295"/>
        <v>677.99285714285713</v>
      </c>
      <c r="Q355" s="204">
        <f t="shared" si="296"/>
        <v>677.99285714285713</v>
      </c>
      <c r="R355" s="225"/>
      <c r="S355" s="204">
        <f t="shared" si="297"/>
        <v>1355.9857142857143</v>
      </c>
      <c r="T355" s="204">
        <f t="shared" si="298"/>
        <v>2033.9785714285713</v>
      </c>
      <c r="U355" s="204">
        <f t="shared" si="299"/>
        <v>2711.9714285714285</v>
      </c>
    </row>
    <row r="356" spans="2:21">
      <c r="B356" s="203">
        <v>203785</v>
      </c>
      <c r="D356" s="230">
        <v>150</v>
      </c>
      <c r="E356" s="185" t="s">
        <v>460</v>
      </c>
      <c r="F356" s="229">
        <v>2018</v>
      </c>
      <c r="G356" s="228">
        <v>8</v>
      </c>
      <c r="H356" s="209">
        <v>0</v>
      </c>
      <c r="I356" s="208" t="s">
        <v>86</v>
      </c>
      <c r="J356" s="227">
        <v>7</v>
      </c>
      <c r="K356" s="207">
        <f t="shared" si="291"/>
        <v>2025</v>
      </c>
      <c r="L356" s="206">
        <f t="shared" si="292"/>
        <v>2025.6666666666667</v>
      </c>
      <c r="M356" s="190">
        <v>8016.86</v>
      </c>
      <c r="N356" s="225">
        <f t="shared" si="293"/>
        <v>8016.86</v>
      </c>
      <c r="O356" s="225">
        <f t="shared" si="294"/>
        <v>95.438809523809525</v>
      </c>
      <c r="P356" s="204">
        <f t="shared" si="295"/>
        <v>1145.2657142857142</v>
      </c>
      <c r="Q356" s="204">
        <f t="shared" si="296"/>
        <v>1145.2657142857142</v>
      </c>
      <c r="R356" s="225"/>
      <c r="S356" s="204">
        <f t="shared" si="297"/>
        <v>2290.5314285714285</v>
      </c>
      <c r="T356" s="204">
        <f t="shared" si="298"/>
        <v>3435.7971428571427</v>
      </c>
      <c r="U356" s="204">
        <f t="shared" si="299"/>
        <v>4581.062857142857</v>
      </c>
    </row>
    <row r="357" spans="2:21">
      <c r="B357" s="203">
        <v>203784</v>
      </c>
      <c r="D357" s="230">
        <v>150</v>
      </c>
      <c r="E357" s="185" t="s">
        <v>459</v>
      </c>
      <c r="F357" s="229">
        <v>2018</v>
      </c>
      <c r="G357" s="228">
        <v>8</v>
      </c>
      <c r="H357" s="209">
        <v>0</v>
      </c>
      <c r="I357" s="208" t="s">
        <v>86</v>
      </c>
      <c r="J357" s="227">
        <v>7</v>
      </c>
      <c r="K357" s="207">
        <f t="shared" si="291"/>
        <v>2025</v>
      </c>
      <c r="L357" s="206">
        <f t="shared" si="292"/>
        <v>2025.6666666666667</v>
      </c>
      <c r="M357" s="190">
        <v>7081.05</v>
      </c>
      <c r="N357" s="225">
        <f t="shared" si="293"/>
        <v>7081.05</v>
      </c>
      <c r="O357" s="225">
        <f t="shared" si="294"/>
        <v>84.29821428571428</v>
      </c>
      <c r="P357" s="204">
        <f t="shared" si="295"/>
        <v>1011.5785714285714</v>
      </c>
      <c r="Q357" s="204">
        <f t="shared" si="296"/>
        <v>1011.5785714285714</v>
      </c>
      <c r="R357" s="225"/>
      <c r="S357" s="204">
        <f t="shared" si="297"/>
        <v>2023.1571428571428</v>
      </c>
      <c r="T357" s="204">
        <f t="shared" si="298"/>
        <v>3034.7357142857145</v>
      </c>
      <c r="U357" s="204">
        <f t="shared" si="299"/>
        <v>4046.3142857142857</v>
      </c>
    </row>
    <row r="358" spans="2:21">
      <c r="B358" s="203">
        <v>203783</v>
      </c>
      <c r="D358" s="230">
        <v>100</v>
      </c>
      <c r="E358" s="185" t="s">
        <v>457</v>
      </c>
      <c r="F358" s="229">
        <v>2018</v>
      </c>
      <c r="G358" s="228">
        <v>8</v>
      </c>
      <c r="H358" s="209">
        <v>0</v>
      </c>
      <c r="I358" s="208" t="s">
        <v>86</v>
      </c>
      <c r="J358" s="227">
        <v>7</v>
      </c>
      <c r="K358" s="207">
        <f t="shared" si="291"/>
        <v>2025</v>
      </c>
      <c r="L358" s="206">
        <f t="shared" si="292"/>
        <v>2025.6666666666667</v>
      </c>
      <c r="M358" s="190">
        <v>4612.1899999999996</v>
      </c>
      <c r="N358" s="225">
        <f t="shared" si="293"/>
        <v>4612.1899999999996</v>
      </c>
      <c r="O358" s="225">
        <f t="shared" si="294"/>
        <v>54.9070238095238</v>
      </c>
      <c r="P358" s="204">
        <f t="shared" si="295"/>
        <v>658.88428571428562</v>
      </c>
      <c r="Q358" s="204">
        <f t="shared" si="296"/>
        <v>658.88428571428562</v>
      </c>
      <c r="R358" s="225"/>
      <c r="S358" s="204">
        <f t="shared" si="297"/>
        <v>1317.7685714285712</v>
      </c>
      <c r="T358" s="204">
        <f t="shared" si="298"/>
        <v>1976.6528571428569</v>
      </c>
      <c r="U358" s="204">
        <f t="shared" si="299"/>
        <v>2635.5371428571425</v>
      </c>
    </row>
    <row r="359" spans="2:21">
      <c r="B359" s="203">
        <v>197273</v>
      </c>
      <c r="D359" s="230">
        <v>150</v>
      </c>
      <c r="E359" s="185" t="s">
        <v>461</v>
      </c>
      <c r="F359" s="229">
        <v>2018</v>
      </c>
      <c r="G359" s="228">
        <v>4</v>
      </c>
      <c r="H359" s="209">
        <v>0</v>
      </c>
      <c r="I359" s="208" t="s">
        <v>86</v>
      </c>
      <c r="J359" s="227">
        <v>7</v>
      </c>
      <c r="K359" s="207">
        <f t="shared" si="291"/>
        <v>2025</v>
      </c>
      <c r="L359" s="206">
        <f t="shared" si="292"/>
        <v>2025.3333333333333</v>
      </c>
      <c r="M359" s="190">
        <v>7836.19</v>
      </c>
      <c r="N359" s="225">
        <f t="shared" si="293"/>
        <v>7836.19</v>
      </c>
      <c r="O359" s="225">
        <f t="shared" si="294"/>
        <v>93.287976190476186</v>
      </c>
      <c r="P359" s="204">
        <f t="shared" si="295"/>
        <v>1119.4557142857143</v>
      </c>
      <c r="Q359" s="204">
        <f t="shared" si="296"/>
        <v>1119.4557142857143</v>
      </c>
      <c r="R359" s="225"/>
      <c r="S359" s="204">
        <f t="shared" si="297"/>
        <v>2238.9114285714286</v>
      </c>
      <c r="T359" s="204">
        <f t="shared" si="298"/>
        <v>3358.3671428571429</v>
      </c>
      <c r="U359" s="204">
        <f t="shared" si="299"/>
        <v>4477.8228571428572</v>
      </c>
    </row>
    <row r="360" spans="2:21">
      <c r="B360" s="203">
        <v>197272</v>
      </c>
      <c r="D360" s="230">
        <v>100</v>
      </c>
      <c r="E360" s="185" t="s">
        <v>462</v>
      </c>
      <c r="F360" s="229">
        <v>2018</v>
      </c>
      <c r="G360" s="228">
        <v>4</v>
      </c>
      <c r="H360" s="209">
        <v>0</v>
      </c>
      <c r="I360" s="208" t="s">
        <v>86</v>
      </c>
      <c r="J360" s="227">
        <v>7</v>
      </c>
      <c r="K360" s="207">
        <f t="shared" si="291"/>
        <v>2025</v>
      </c>
      <c r="L360" s="206">
        <f t="shared" si="292"/>
        <v>2025.3333333333333</v>
      </c>
      <c r="M360" s="190">
        <v>4627.38</v>
      </c>
      <c r="N360" s="225">
        <f t="shared" si="293"/>
        <v>4627.38</v>
      </c>
      <c r="O360" s="225">
        <f t="shared" si="294"/>
        <v>55.087857142857139</v>
      </c>
      <c r="P360" s="204">
        <f t="shared" si="295"/>
        <v>661.0542857142857</v>
      </c>
      <c r="Q360" s="204">
        <f t="shared" si="296"/>
        <v>661.0542857142857</v>
      </c>
      <c r="R360" s="225"/>
      <c r="S360" s="204">
        <f t="shared" si="297"/>
        <v>1322.1085714285714</v>
      </c>
      <c r="T360" s="204">
        <f t="shared" si="298"/>
        <v>1983.1628571428571</v>
      </c>
      <c r="U360" s="204">
        <f t="shared" si="299"/>
        <v>2644.2171428571428</v>
      </c>
    </row>
    <row r="361" spans="2:21">
      <c r="B361" s="203">
        <v>197271</v>
      </c>
      <c r="D361" s="230">
        <v>200</v>
      </c>
      <c r="E361" s="185" t="s">
        <v>463</v>
      </c>
      <c r="F361" s="229">
        <v>2018</v>
      </c>
      <c r="G361" s="228">
        <v>4</v>
      </c>
      <c r="H361" s="209">
        <v>0</v>
      </c>
      <c r="I361" s="208" t="s">
        <v>86</v>
      </c>
      <c r="J361" s="227">
        <v>7</v>
      </c>
      <c r="K361" s="207">
        <f t="shared" si="291"/>
        <v>2025</v>
      </c>
      <c r="L361" s="206">
        <f t="shared" si="292"/>
        <v>2025.3333333333333</v>
      </c>
      <c r="M361" s="190">
        <v>8278.25</v>
      </c>
      <c r="N361" s="225">
        <f t="shared" si="293"/>
        <v>8278.25</v>
      </c>
      <c r="O361" s="225">
        <f t="shared" si="294"/>
        <v>98.550595238095241</v>
      </c>
      <c r="P361" s="204">
        <f t="shared" si="295"/>
        <v>1182.6071428571429</v>
      </c>
      <c r="Q361" s="204">
        <f t="shared" si="296"/>
        <v>1182.6071428571429</v>
      </c>
      <c r="R361" s="225"/>
      <c r="S361" s="204">
        <f t="shared" si="297"/>
        <v>2365.2142857142858</v>
      </c>
      <c r="T361" s="204">
        <f t="shared" si="298"/>
        <v>3547.8214285714284</v>
      </c>
      <c r="U361" s="204">
        <f t="shared" si="299"/>
        <v>4730.4285714285716</v>
      </c>
    </row>
    <row r="362" spans="2:21">
      <c r="B362" s="203">
        <v>195622</v>
      </c>
      <c r="D362" s="230">
        <v>50</v>
      </c>
      <c r="E362" s="185" t="s">
        <v>461</v>
      </c>
      <c r="F362" s="229">
        <v>2018</v>
      </c>
      <c r="G362" s="228">
        <v>4</v>
      </c>
      <c r="H362" s="209">
        <v>0</v>
      </c>
      <c r="I362" s="208" t="s">
        <v>86</v>
      </c>
      <c r="J362" s="227">
        <v>7</v>
      </c>
      <c r="K362" s="207">
        <f t="shared" si="291"/>
        <v>2025</v>
      </c>
      <c r="L362" s="206">
        <f t="shared" si="292"/>
        <v>2025.3333333333333</v>
      </c>
      <c r="M362" s="190">
        <v>2630.75</v>
      </c>
      <c r="N362" s="225">
        <f t="shared" si="293"/>
        <v>2630.75</v>
      </c>
      <c r="O362" s="225">
        <f t="shared" si="294"/>
        <v>31.31845238095238</v>
      </c>
      <c r="P362" s="204">
        <f t="shared" si="295"/>
        <v>375.82142857142856</v>
      </c>
      <c r="Q362" s="204">
        <f t="shared" si="296"/>
        <v>375.82142857142856</v>
      </c>
      <c r="R362" s="225"/>
      <c r="S362" s="204">
        <f t="shared" si="297"/>
        <v>751.64285714285711</v>
      </c>
      <c r="T362" s="204">
        <f t="shared" si="298"/>
        <v>1127.4642857142858</v>
      </c>
      <c r="U362" s="204">
        <f t="shared" si="299"/>
        <v>1503.2857142857142</v>
      </c>
    </row>
    <row r="363" spans="2:21">
      <c r="B363" s="203">
        <v>195621</v>
      </c>
      <c r="D363" s="230">
        <v>150</v>
      </c>
      <c r="E363" s="185" t="s">
        <v>462</v>
      </c>
      <c r="F363" s="229">
        <v>2018</v>
      </c>
      <c r="G363" s="228">
        <v>4</v>
      </c>
      <c r="H363" s="209">
        <v>0</v>
      </c>
      <c r="I363" s="208" t="s">
        <v>86</v>
      </c>
      <c r="J363" s="227">
        <v>7</v>
      </c>
      <c r="K363" s="207">
        <f t="shared" si="291"/>
        <v>2025</v>
      </c>
      <c r="L363" s="206">
        <f t="shared" si="292"/>
        <v>2025.3333333333333</v>
      </c>
      <c r="M363" s="190">
        <v>6997.14</v>
      </c>
      <c r="N363" s="225">
        <f t="shared" si="293"/>
        <v>6997.14</v>
      </c>
      <c r="O363" s="225">
        <f t="shared" si="294"/>
        <v>83.299285714285716</v>
      </c>
      <c r="P363" s="204">
        <f t="shared" si="295"/>
        <v>999.59142857142865</v>
      </c>
      <c r="Q363" s="204">
        <f t="shared" si="296"/>
        <v>999.59142857142865</v>
      </c>
      <c r="R363" s="225"/>
      <c r="S363" s="204">
        <f t="shared" si="297"/>
        <v>1999.1828571428573</v>
      </c>
      <c r="T363" s="204">
        <f t="shared" si="298"/>
        <v>2998.7742857142857</v>
      </c>
      <c r="U363" s="204">
        <f t="shared" si="299"/>
        <v>3998.3657142857146</v>
      </c>
    </row>
    <row r="364" spans="2:21">
      <c r="B364" s="203">
        <v>212749</v>
      </c>
      <c r="D364" s="230">
        <v>204</v>
      </c>
      <c r="E364" s="185" t="s">
        <v>525</v>
      </c>
      <c r="F364" s="229">
        <v>2019</v>
      </c>
      <c r="G364" s="228">
        <v>2</v>
      </c>
      <c r="H364" s="209">
        <v>0</v>
      </c>
      <c r="I364" s="208" t="s">
        <v>86</v>
      </c>
      <c r="J364" s="227">
        <v>7</v>
      </c>
      <c r="K364" s="207">
        <f t="shared" si="291"/>
        <v>2026</v>
      </c>
      <c r="L364" s="206">
        <f t="shared" si="292"/>
        <v>2026.1666666666667</v>
      </c>
      <c r="M364" s="190">
        <v>9008.11</v>
      </c>
      <c r="N364" s="225">
        <f t="shared" si="293"/>
        <v>9008.11</v>
      </c>
      <c r="O364" s="225">
        <f t="shared" si="294"/>
        <v>107.23940476190477</v>
      </c>
      <c r="P364" s="204">
        <f t="shared" si="295"/>
        <v>1286.8728571428571</v>
      </c>
      <c r="Q364" s="204">
        <f t="shared" si="296"/>
        <v>1286.8728571428571</v>
      </c>
      <c r="R364" s="225"/>
      <c r="S364" s="204">
        <f t="shared" si="297"/>
        <v>1286.8728571428571</v>
      </c>
      <c r="T364" s="204">
        <f t="shared" si="298"/>
        <v>2573.7457142857143</v>
      </c>
      <c r="U364" s="204">
        <f t="shared" si="299"/>
        <v>6434.3642857142859</v>
      </c>
    </row>
    <row r="365" spans="2:21">
      <c r="B365" s="203">
        <v>212750</v>
      </c>
      <c r="D365" s="230">
        <v>288</v>
      </c>
      <c r="E365" s="185" t="s">
        <v>526</v>
      </c>
      <c r="F365" s="229">
        <v>2019</v>
      </c>
      <c r="G365" s="228">
        <v>2</v>
      </c>
      <c r="H365" s="209">
        <v>0</v>
      </c>
      <c r="I365" s="208" t="s">
        <v>86</v>
      </c>
      <c r="J365" s="227">
        <v>7</v>
      </c>
      <c r="K365" s="207">
        <f t="shared" si="291"/>
        <v>2026</v>
      </c>
      <c r="L365" s="206">
        <f t="shared" si="292"/>
        <v>2026.1666666666667</v>
      </c>
      <c r="M365" s="190">
        <v>13107.93</v>
      </c>
      <c r="N365" s="225">
        <f t="shared" si="293"/>
        <v>13107.93</v>
      </c>
      <c r="O365" s="225">
        <f t="shared" si="294"/>
        <v>156.04678571428573</v>
      </c>
      <c r="P365" s="204">
        <f t="shared" si="295"/>
        <v>1872.5614285714287</v>
      </c>
      <c r="Q365" s="204">
        <f t="shared" si="296"/>
        <v>1872.5614285714287</v>
      </c>
      <c r="R365" s="225"/>
      <c r="S365" s="204">
        <f t="shared" si="297"/>
        <v>1872.5614285714287</v>
      </c>
      <c r="T365" s="204">
        <f t="shared" si="298"/>
        <v>3745.1228571428574</v>
      </c>
      <c r="U365" s="204">
        <f t="shared" si="299"/>
        <v>9362.807142857142</v>
      </c>
    </row>
    <row r="366" spans="2:21">
      <c r="B366" s="203">
        <v>212751</v>
      </c>
      <c r="D366" s="230">
        <v>276</v>
      </c>
      <c r="E366" s="185" t="s">
        <v>527</v>
      </c>
      <c r="F366" s="229">
        <v>2019</v>
      </c>
      <c r="G366" s="228">
        <v>2</v>
      </c>
      <c r="H366" s="209">
        <v>0</v>
      </c>
      <c r="I366" s="208" t="s">
        <v>86</v>
      </c>
      <c r="J366" s="227">
        <v>7</v>
      </c>
      <c r="K366" s="207">
        <f t="shared" si="291"/>
        <v>2026</v>
      </c>
      <c r="L366" s="206">
        <f t="shared" si="292"/>
        <v>2026.1666666666667</v>
      </c>
      <c r="M366" s="190">
        <v>13759.6</v>
      </c>
      <c r="N366" s="225">
        <f t="shared" si="293"/>
        <v>13759.6</v>
      </c>
      <c r="O366" s="225">
        <f t="shared" si="294"/>
        <v>163.8047619047619</v>
      </c>
      <c r="P366" s="204">
        <f t="shared" si="295"/>
        <v>1965.6571428571428</v>
      </c>
      <c r="Q366" s="204">
        <f t="shared" si="296"/>
        <v>1965.6571428571428</v>
      </c>
      <c r="R366" s="225"/>
      <c r="S366" s="204">
        <f t="shared" si="297"/>
        <v>1965.6571428571428</v>
      </c>
      <c r="T366" s="204">
        <f t="shared" si="298"/>
        <v>3931.3142857142857</v>
      </c>
      <c r="U366" s="204">
        <f t="shared" si="299"/>
        <v>9828.2857142857138</v>
      </c>
    </row>
    <row r="367" spans="2:21">
      <c r="B367" s="203">
        <v>214066</v>
      </c>
      <c r="D367" s="230">
        <f>204+288+900</f>
        <v>1392</v>
      </c>
      <c r="E367" s="185" t="s">
        <v>528</v>
      </c>
      <c r="F367" s="229">
        <v>2019</v>
      </c>
      <c r="G367" s="228">
        <v>5</v>
      </c>
      <c r="H367" s="209">
        <v>0</v>
      </c>
      <c r="I367" s="208" t="s">
        <v>86</v>
      </c>
      <c r="J367" s="227">
        <v>7</v>
      </c>
      <c r="K367" s="207">
        <f t="shared" si="291"/>
        <v>2026</v>
      </c>
      <c r="L367" s="206">
        <f t="shared" si="292"/>
        <v>2026.4166666666667</v>
      </c>
      <c r="M367" s="190">
        <v>31647.39</v>
      </c>
      <c r="N367" s="225">
        <f t="shared" si="293"/>
        <v>31647.39</v>
      </c>
      <c r="O367" s="225">
        <f t="shared" si="294"/>
        <v>376.75464285714287</v>
      </c>
      <c r="P367" s="204">
        <f t="shared" si="295"/>
        <v>4521.0557142857142</v>
      </c>
      <c r="Q367" s="204">
        <f t="shared" si="296"/>
        <v>4521.0557142857142</v>
      </c>
      <c r="R367" s="225"/>
      <c r="S367" s="204">
        <f t="shared" si="297"/>
        <v>4521.0557142857142</v>
      </c>
      <c r="T367" s="204">
        <f t="shared" si="298"/>
        <v>9042.1114285714284</v>
      </c>
      <c r="U367" s="204">
        <f t="shared" si="299"/>
        <v>22605.278571428571</v>
      </c>
    </row>
    <row r="368" spans="2:21">
      <c r="B368" s="203">
        <v>217680</v>
      </c>
      <c r="D368" s="230">
        <v>288</v>
      </c>
      <c r="E368" s="185" t="s">
        <v>529</v>
      </c>
      <c r="F368" s="229">
        <v>2019</v>
      </c>
      <c r="G368" s="228">
        <v>7</v>
      </c>
      <c r="H368" s="209">
        <v>0</v>
      </c>
      <c r="I368" s="208" t="s">
        <v>86</v>
      </c>
      <c r="J368" s="227">
        <v>7</v>
      </c>
      <c r="K368" s="207">
        <f t="shared" si="291"/>
        <v>2026</v>
      </c>
      <c r="L368" s="206">
        <f t="shared" si="292"/>
        <v>2026.5833333333333</v>
      </c>
      <c r="M368" s="190">
        <v>12810.33</v>
      </c>
      <c r="N368" s="225">
        <f t="shared" si="293"/>
        <v>12810.33</v>
      </c>
      <c r="O368" s="225">
        <f t="shared" si="294"/>
        <v>152.50392857142859</v>
      </c>
      <c r="P368" s="204">
        <f t="shared" si="295"/>
        <v>1830.0471428571432</v>
      </c>
      <c r="Q368" s="204">
        <f t="shared" si="296"/>
        <v>1830.0471428571432</v>
      </c>
      <c r="R368" s="225"/>
      <c r="S368" s="204">
        <f t="shared" si="297"/>
        <v>1830.0471428571432</v>
      </c>
      <c r="T368" s="204">
        <f t="shared" si="298"/>
        <v>3660.0942857142863</v>
      </c>
      <c r="U368" s="204">
        <f t="shared" si="299"/>
        <v>9150.2357142857145</v>
      </c>
    </row>
    <row r="369" spans="2:21">
      <c r="B369" s="203">
        <v>217681</v>
      </c>
      <c r="D369" s="230">
        <v>288</v>
      </c>
      <c r="E369" s="185" t="s">
        <v>530</v>
      </c>
      <c r="F369" s="229">
        <v>2019</v>
      </c>
      <c r="G369" s="228">
        <v>7</v>
      </c>
      <c r="H369" s="209">
        <v>0</v>
      </c>
      <c r="I369" s="208" t="s">
        <v>86</v>
      </c>
      <c r="J369" s="227">
        <v>7</v>
      </c>
      <c r="K369" s="207">
        <f t="shared" si="291"/>
        <v>2026</v>
      </c>
      <c r="L369" s="206">
        <f t="shared" si="292"/>
        <v>2026.5833333333333</v>
      </c>
      <c r="M369" s="190">
        <v>13170.34</v>
      </c>
      <c r="N369" s="225">
        <f t="shared" si="293"/>
        <v>13170.34</v>
      </c>
      <c r="O369" s="225">
        <f t="shared" si="294"/>
        <v>156.78976190476189</v>
      </c>
      <c r="P369" s="204">
        <f t="shared" si="295"/>
        <v>1881.4771428571426</v>
      </c>
      <c r="Q369" s="204">
        <f t="shared" si="296"/>
        <v>1881.4771428571426</v>
      </c>
      <c r="R369" s="225"/>
      <c r="S369" s="204">
        <f t="shared" si="297"/>
        <v>1881.4771428571426</v>
      </c>
      <c r="T369" s="204">
        <f t="shared" si="298"/>
        <v>3762.9542857142851</v>
      </c>
      <c r="U369" s="204">
        <f t="shared" si="299"/>
        <v>9407.3857142857159</v>
      </c>
    </row>
    <row r="370" spans="2:21">
      <c r="B370" s="203">
        <v>222640</v>
      </c>
      <c r="D370" s="230">
        <v>288</v>
      </c>
      <c r="E370" s="185" t="s">
        <v>548</v>
      </c>
      <c r="F370" s="229">
        <v>2019</v>
      </c>
      <c r="G370" s="228">
        <v>10</v>
      </c>
      <c r="H370" s="209">
        <v>0</v>
      </c>
      <c r="I370" s="208" t="s">
        <v>86</v>
      </c>
      <c r="J370" s="227">
        <v>7</v>
      </c>
      <c r="K370" s="207">
        <f t="shared" si="291"/>
        <v>2026</v>
      </c>
      <c r="L370" s="206">
        <f t="shared" si="292"/>
        <v>2026.8333333333333</v>
      </c>
      <c r="M370" s="190">
        <v>12739.9</v>
      </c>
      <c r="N370" s="225">
        <f t="shared" si="293"/>
        <v>12739.9</v>
      </c>
      <c r="O370" s="225">
        <f t="shared" si="294"/>
        <v>151.6654761904762</v>
      </c>
      <c r="P370" s="204">
        <f t="shared" si="295"/>
        <v>1819.9857142857145</v>
      </c>
      <c r="Q370" s="204">
        <f t="shared" si="296"/>
        <v>1819.9857142857145</v>
      </c>
      <c r="R370" s="225"/>
      <c r="S370" s="204">
        <f t="shared" si="297"/>
        <v>1819.9857142857145</v>
      </c>
      <c r="T370" s="204">
        <f t="shared" si="298"/>
        <v>3639.971428571429</v>
      </c>
      <c r="U370" s="204">
        <f t="shared" si="299"/>
        <v>9099.9285714285706</v>
      </c>
    </row>
    <row r="371" spans="2:21">
      <c r="B371" s="203">
        <v>222638</v>
      </c>
      <c r="D371" s="230">
        <v>100</v>
      </c>
      <c r="E371" s="185" t="s">
        <v>529</v>
      </c>
      <c r="F371" s="229">
        <v>2019</v>
      </c>
      <c r="G371" s="228">
        <v>10</v>
      </c>
      <c r="H371" s="209">
        <v>0</v>
      </c>
      <c r="I371" s="208" t="s">
        <v>86</v>
      </c>
      <c r="J371" s="227">
        <v>7</v>
      </c>
      <c r="K371" s="207">
        <f t="shared" si="291"/>
        <v>2026</v>
      </c>
      <c r="L371" s="206">
        <f t="shared" si="292"/>
        <v>2026.8333333333333</v>
      </c>
      <c r="M371" s="190">
        <v>4323.58</v>
      </c>
      <c r="N371" s="225">
        <f t="shared" si="293"/>
        <v>4323.58</v>
      </c>
      <c r="O371" s="225">
        <f t="shared" si="294"/>
        <v>51.471190476190479</v>
      </c>
      <c r="P371" s="204">
        <f t="shared" si="295"/>
        <v>617.65428571428572</v>
      </c>
      <c r="Q371" s="204">
        <f t="shared" si="296"/>
        <v>617.65428571428572</v>
      </c>
      <c r="R371" s="225"/>
      <c r="S371" s="204">
        <f t="shared" si="297"/>
        <v>617.65428571428572</v>
      </c>
      <c r="T371" s="204">
        <f t="shared" si="298"/>
        <v>1235.3085714285714</v>
      </c>
      <c r="U371" s="204">
        <f t="shared" si="299"/>
        <v>3088.2714285714283</v>
      </c>
    </row>
    <row r="372" spans="2:21">
      <c r="B372" s="203">
        <v>234067</v>
      </c>
      <c r="D372" s="230">
        <v>312</v>
      </c>
      <c r="E372" s="185" t="s">
        <v>554</v>
      </c>
      <c r="F372" s="229">
        <v>2020</v>
      </c>
      <c r="G372" s="228">
        <v>6</v>
      </c>
      <c r="H372" s="209">
        <v>0</v>
      </c>
      <c r="I372" s="208" t="s">
        <v>86</v>
      </c>
      <c r="J372" s="227">
        <v>7</v>
      </c>
      <c r="K372" s="207">
        <f t="shared" si="291"/>
        <v>2027</v>
      </c>
      <c r="L372" s="206">
        <f t="shared" si="292"/>
        <v>2027.5</v>
      </c>
      <c r="M372" s="190">
        <v>12863.76</v>
      </c>
      <c r="N372" s="225">
        <f t="shared" si="293"/>
        <v>12863.76</v>
      </c>
      <c r="O372" s="225">
        <f t="shared" si="294"/>
        <v>153.14000000000001</v>
      </c>
      <c r="P372" s="204">
        <f t="shared" si="295"/>
        <v>1837.6800000000003</v>
      </c>
      <c r="Q372" s="204">
        <f t="shared" si="296"/>
        <v>1837.6800000000003</v>
      </c>
      <c r="R372" s="225"/>
      <c r="S372" s="204">
        <f t="shared" si="297"/>
        <v>0</v>
      </c>
      <c r="T372" s="204">
        <f t="shared" si="298"/>
        <v>1837.6800000000003</v>
      </c>
      <c r="U372" s="204">
        <f t="shared" si="299"/>
        <v>11026.08</v>
      </c>
    </row>
    <row r="373" spans="2:21">
      <c r="B373" s="203">
        <v>238422</v>
      </c>
      <c r="D373" s="230">
        <v>151</v>
      </c>
      <c r="E373" s="185" t="s">
        <v>568</v>
      </c>
      <c r="F373" s="229">
        <v>2020</v>
      </c>
      <c r="G373" s="228">
        <v>9</v>
      </c>
      <c r="H373" s="209">
        <v>0</v>
      </c>
      <c r="I373" s="208" t="s">
        <v>86</v>
      </c>
      <c r="J373" s="227">
        <v>7</v>
      </c>
      <c r="K373" s="207">
        <f t="shared" si="291"/>
        <v>2027</v>
      </c>
      <c r="L373" s="206">
        <f t="shared" si="292"/>
        <v>2027.75</v>
      </c>
      <c r="M373" s="190">
        <v>5615.79</v>
      </c>
      <c r="N373" s="225">
        <f t="shared" si="293"/>
        <v>5615.79</v>
      </c>
      <c r="O373" s="225">
        <f t="shared" si="294"/>
        <v>66.854642857142849</v>
      </c>
      <c r="P373" s="204">
        <f t="shared" si="295"/>
        <v>802.25571428571425</v>
      </c>
      <c r="Q373" s="204">
        <f t="shared" si="296"/>
        <v>802.25571428571425</v>
      </c>
      <c r="R373" s="225"/>
      <c r="S373" s="204">
        <f t="shared" si="297"/>
        <v>0</v>
      </c>
      <c r="T373" s="204">
        <f t="shared" si="298"/>
        <v>802.25571428571425</v>
      </c>
      <c r="U373" s="204">
        <f t="shared" si="299"/>
        <v>4813.5342857142859</v>
      </c>
    </row>
    <row r="374" spans="2:21">
      <c r="B374" s="203">
        <v>238421</v>
      </c>
      <c r="D374" s="230">
        <v>151</v>
      </c>
      <c r="E374" s="185" t="s">
        <v>569</v>
      </c>
      <c r="F374" s="229">
        <v>2020</v>
      </c>
      <c r="G374" s="228">
        <v>9</v>
      </c>
      <c r="H374" s="209">
        <v>0</v>
      </c>
      <c r="I374" s="208" t="s">
        <v>86</v>
      </c>
      <c r="J374" s="227">
        <v>7</v>
      </c>
      <c r="K374" s="207">
        <f t="shared" si="291"/>
        <v>2027</v>
      </c>
      <c r="L374" s="206">
        <f t="shared" si="292"/>
        <v>2027.75</v>
      </c>
      <c r="M374" s="190">
        <v>6461.39</v>
      </c>
      <c r="N374" s="225">
        <f t="shared" si="293"/>
        <v>6461.39</v>
      </c>
      <c r="O374" s="225">
        <f t="shared" si="294"/>
        <v>76.921309523809526</v>
      </c>
      <c r="P374" s="204">
        <f t="shared" si="295"/>
        <v>923.05571428571432</v>
      </c>
      <c r="Q374" s="204">
        <f t="shared" si="296"/>
        <v>923.05571428571432</v>
      </c>
      <c r="R374" s="225"/>
      <c r="S374" s="204">
        <f t="shared" si="297"/>
        <v>0</v>
      </c>
      <c r="T374" s="204">
        <f t="shared" si="298"/>
        <v>923.05571428571432</v>
      </c>
      <c r="U374" s="204">
        <f t="shared" si="299"/>
        <v>5538.3342857142861</v>
      </c>
    </row>
    <row r="375" spans="2:21">
      <c r="B375" s="203">
        <v>243342</v>
      </c>
      <c r="D375" s="230">
        <v>144</v>
      </c>
      <c r="E375" s="185" t="s">
        <v>568</v>
      </c>
      <c r="F375" s="229">
        <v>2020</v>
      </c>
      <c r="G375" s="228">
        <v>11</v>
      </c>
      <c r="H375" s="209">
        <v>0</v>
      </c>
      <c r="I375" s="208" t="s">
        <v>86</v>
      </c>
      <c r="J375" s="227">
        <v>7</v>
      </c>
      <c r="K375" s="207">
        <f t="shared" si="291"/>
        <v>2027</v>
      </c>
      <c r="L375" s="206">
        <f t="shared" si="292"/>
        <v>2027.9166666666667</v>
      </c>
      <c r="M375" s="190">
        <v>5709.01</v>
      </c>
      <c r="N375" s="225">
        <f t="shared" si="293"/>
        <v>5709.01</v>
      </c>
      <c r="O375" s="225">
        <f t="shared" si="294"/>
        <v>67.96440476190476</v>
      </c>
      <c r="P375" s="204">
        <f t="shared" si="295"/>
        <v>815.57285714285717</v>
      </c>
      <c r="Q375" s="204">
        <f t="shared" si="296"/>
        <v>815.57285714285717</v>
      </c>
      <c r="R375" s="225"/>
      <c r="S375" s="204">
        <f t="shared" si="297"/>
        <v>0</v>
      </c>
      <c r="T375" s="204">
        <f t="shared" si="298"/>
        <v>815.57285714285717</v>
      </c>
      <c r="U375" s="204">
        <f t="shared" si="299"/>
        <v>4893.437142857143</v>
      </c>
    </row>
    <row r="376" spans="2:21">
      <c r="B376" s="203">
        <v>243341</v>
      </c>
      <c r="D376" s="230">
        <v>120</v>
      </c>
      <c r="E376" s="185" t="s">
        <v>569</v>
      </c>
      <c r="F376" s="229">
        <v>2020</v>
      </c>
      <c r="G376" s="228">
        <v>11</v>
      </c>
      <c r="H376" s="209">
        <v>0</v>
      </c>
      <c r="I376" s="208" t="s">
        <v>86</v>
      </c>
      <c r="J376" s="227">
        <v>7</v>
      </c>
      <c r="K376" s="207">
        <f t="shared" si="291"/>
        <v>2027</v>
      </c>
      <c r="L376" s="206">
        <f t="shared" si="292"/>
        <v>2027.9166666666667</v>
      </c>
      <c r="M376" s="190">
        <v>5408.51</v>
      </c>
      <c r="N376" s="225">
        <f t="shared" si="293"/>
        <v>5408.51</v>
      </c>
      <c r="O376" s="225">
        <f t="shared" si="294"/>
        <v>64.387023809523811</v>
      </c>
      <c r="P376" s="204">
        <f t="shared" si="295"/>
        <v>772.64428571428573</v>
      </c>
      <c r="Q376" s="204">
        <f t="shared" si="296"/>
        <v>772.64428571428573</v>
      </c>
      <c r="R376" s="225"/>
      <c r="S376" s="204">
        <f t="shared" si="297"/>
        <v>0</v>
      </c>
      <c r="T376" s="204">
        <f t="shared" si="298"/>
        <v>772.64428571428573</v>
      </c>
      <c r="U376" s="204">
        <f t="shared" si="299"/>
        <v>4635.8657142857146</v>
      </c>
    </row>
    <row r="377" spans="2:21">
      <c r="E377" s="186"/>
      <c r="H377" s="209"/>
      <c r="I377" s="208"/>
      <c r="K377" s="207"/>
      <c r="L377" s="206"/>
      <c r="M377" s="182"/>
      <c r="N377" s="182"/>
      <c r="O377" s="182"/>
      <c r="P377" s="285"/>
      <c r="Q377" s="285"/>
      <c r="R377" s="182"/>
      <c r="S377" s="182"/>
      <c r="T377" s="182"/>
      <c r="U377" s="182"/>
    </row>
    <row r="378" spans="2:21">
      <c r="E378" s="322" t="s">
        <v>611</v>
      </c>
      <c r="F378" s="305"/>
      <c r="G378" s="306"/>
      <c r="H378" s="307"/>
      <c r="I378" s="308"/>
      <c r="J378" s="309"/>
      <c r="K378" s="310"/>
      <c r="L378" s="323"/>
      <c r="M378" s="183">
        <f>SUM(M353:M377)</f>
        <v>216942.13000000003</v>
      </c>
      <c r="N378" s="183">
        <f>SUM(N353:N377)</f>
        <v>216942.13000000003</v>
      </c>
      <c r="O378" s="183">
        <f>SUM(O353:O377)</f>
        <v>2582.6444047619052</v>
      </c>
      <c r="P378" s="183">
        <f>SUM(P353:P377)</f>
        <v>30991.732857142862</v>
      </c>
      <c r="Q378" s="183">
        <f>SUM(Q353:Q377)</f>
        <v>30991.732857142862</v>
      </c>
      <c r="R378" s="183"/>
      <c r="S378" s="183">
        <f>SUM(S353:S377)</f>
        <v>35885.737142857142</v>
      </c>
      <c r="T378" s="183">
        <f>SUM(T353:T377)</f>
        <v>66877.47</v>
      </c>
      <c r="U378" s="183">
        <f>SUM(U353:U377)</f>
        <v>150064.66000000003</v>
      </c>
    </row>
    <row r="379" spans="2:21">
      <c r="E379" s="186"/>
      <c r="H379" s="209"/>
      <c r="I379" s="208"/>
      <c r="K379" s="207"/>
      <c r="L379" s="206"/>
      <c r="M379" s="182"/>
      <c r="N379" s="182"/>
      <c r="O379" s="182"/>
      <c r="P379" s="182"/>
      <c r="Q379" s="182"/>
      <c r="R379" s="182"/>
      <c r="S379" s="182"/>
      <c r="T379" s="182"/>
      <c r="U379" s="182"/>
    </row>
    <row r="380" spans="2:21">
      <c r="E380" s="321" t="s">
        <v>578</v>
      </c>
      <c r="H380" s="209"/>
      <c r="I380" s="208"/>
      <c r="K380" s="207"/>
      <c r="L380" s="206"/>
      <c r="M380" s="182"/>
      <c r="N380" s="182"/>
      <c r="O380" s="182"/>
      <c r="P380" s="182"/>
      <c r="Q380" s="182"/>
      <c r="R380" s="182"/>
      <c r="S380" s="182"/>
      <c r="T380" s="182"/>
      <c r="U380" s="182"/>
    </row>
    <row r="381" spans="2:21">
      <c r="B381" s="230">
        <v>195623</v>
      </c>
      <c r="D381" s="230">
        <v>362</v>
      </c>
      <c r="E381" s="185" t="s">
        <v>464</v>
      </c>
      <c r="F381" s="229">
        <v>2018</v>
      </c>
      <c r="G381" s="228">
        <v>4</v>
      </c>
      <c r="H381" s="209">
        <v>0</v>
      </c>
      <c r="I381" s="208" t="s">
        <v>86</v>
      </c>
      <c r="J381" s="227">
        <v>7</v>
      </c>
      <c r="K381" s="207">
        <f t="shared" ref="K381:K391" si="300">F381+J381</f>
        <v>2025</v>
      </c>
      <c r="L381" s="206">
        <f t="shared" ref="L381:L391" si="301">+K381+(G381/12)</f>
        <v>2025.3333333333333</v>
      </c>
      <c r="M381" s="190">
        <v>19046.66</v>
      </c>
      <c r="N381" s="204">
        <f t="shared" ref="N381:N391" si="302">M381-M381*H381</f>
        <v>19046.66</v>
      </c>
      <c r="O381" s="204">
        <f t="shared" ref="O381:O391" si="303">N381/J381/12</f>
        <v>226.74595238095239</v>
      </c>
      <c r="P381" s="204">
        <f t="shared" ref="P381:P391" si="304">+O381*12</f>
        <v>2720.9514285714286</v>
      </c>
      <c r="Q381" s="204">
        <f t="shared" ref="Q381:Q391" si="305">+IF(L381&lt;=$N$5,0,IF(K381&gt;$N$4,P381,(O381*G381)))</f>
        <v>2720.9514285714286</v>
      </c>
      <c r="R381" s="204"/>
      <c r="S381" s="204">
        <f t="shared" ref="S381:S391" si="306">+IF(Q381=0,M381,IF($N$3-F381&lt;1,0,(($N$3-F381)*P381)))</f>
        <v>5441.9028571428571</v>
      </c>
      <c r="T381" s="204">
        <f t="shared" ref="T381:T391" si="307">+IF(Q381=0,S381,S381+Q381)</f>
        <v>8162.8542857142857</v>
      </c>
      <c r="U381" s="204">
        <f t="shared" ref="U381:U391" si="308">M381-T381</f>
        <v>10883.805714285714</v>
      </c>
    </row>
    <row r="382" spans="2:21">
      <c r="B382" s="230">
        <v>197274</v>
      </c>
      <c r="D382" s="230">
        <v>280</v>
      </c>
      <c r="E382" s="185" t="s">
        <v>464</v>
      </c>
      <c r="F382" s="229">
        <v>2018</v>
      </c>
      <c r="G382" s="228">
        <v>4</v>
      </c>
      <c r="H382" s="209">
        <v>0</v>
      </c>
      <c r="I382" s="208" t="s">
        <v>86</v>
      </c>
      <c r="J382" s="227">
        <v>7</v>
      </c>
      <c r="K382" s="207">
        <f t="shared" si="300"/>
        <v>2025</v>
      </c>
      <c r="L382" s="206">
        <f t="shared" si="301"/>
        <v>2025.3333333333333</v>
      </c>
      <c r="M382" s="190">
        <v>14627.56</v>
      </c>
      <c r="N382" s="204">
        <f t="shared" si="302"/>
        <v>14627.56</v>
      </c>
      <c r="O382" s="204">
        <f t="shared" si="303"/>
        <v>174.13761904761904</v>
      </c>
      <c r="P382" s="204">
        <f t="shared" si="304"/>
        <v>2089.6514285714284</v>
      </c>
      <c r="Q382" s="204">
        <f t="shared" si="305"/>
        <v>2089.6514285714284</v>
      </c>
      <c r="R382" s="204"/>
      <c r="S382" s="204">
        <f t="shared" si="306"/>
        <v>4179.3028571428567</v>
      </c>
      <c r="T382" s="204">
        <f t="shared" si="307"/>
        <v>6268.9542857142851</v>
      </c>
      <c r="U382" s="204">
        <f t="shared" si="308"/>
        <v>8358.6057142857135</v>
      </c>
    </row>
    <row r="383" spans="2:21">
      <c r="B383" s="230">
        <v>203786</v>
      </c>
      <c r="D383" s="230">
        <v>282</v>
      </c>
      <c r="E383" s="185" t="s">
        <v>465</v>
      </c>
      <c r="F383" s="229">
        <v>2018</v>
      </c>
      <c r="G383" s="228">
        <v>8</v>
      </c>
      <c r="H383" s="209">
        <v>0</v>
      </c>
      <c r="I383" s="208" t="s">
        <v>86</v>
      </c>
      <c r="J383" s="227">
        <v>7</v>
      </c>
      <c r="K383" s="207">
        <f t="shared" si="300"/>
        <v>2025</v>
      </c>
      <c r="L383" s="206">
        <f t="shared" si="301"/>
        <v>2025.6666666666667</v>
      </c>
      <c r="M383" s="190">
        <v>15071.71</v>
      </c>
      <c r="N383" s="204">
        <f t="shared" si="302"/>
        <v>15071.71</v>
      </c>
      <c r="O383" s="204">
        <f t="shared" si="303"/>
        <v>179.42511904761906</v>
      </c>
      <c r="P383" s="204">
        <f t="shared" si="304"/>
        <v>2153.1014285714286</v>
      </c>
      <c r="Q383" s="204">
        <f t="shared" si="305"/>
        <v>2153.1014285714286</v>
      </c>
      <c r="R383" s="204"/>
      <c r="S383" s="204">
        <f t="shared" si="306"/>
        <v>4306.2028571428573</v>
      </c>
      <c r="T383" s="204">
        <f t="shared" si="307"/>
        <v>6459.3042857142864</v>
      </c>
      <c r="U383" s="204">
        <f t="shared" si="308"/>
        <v>8612.4057142857127</v>
      </c>
    </row>
    <row r="384" spans="2:21">
      <c r="B384" s="230">
        <v>204438</v>
      </c>
      <c r="D384" s="230">
        <v>200</v>
      </c>
      <c r="E384" s="185" t="s">
        <v>466</v>
      </c>
      <c r="F384" s="229">
        <v>2018</v>
      </c>
      <c r="G384" s="228">
        <v>10</v>
      </c>
      <c r="H384" s="209">
        <v>0</v>
      </c>
      <c r="I384" s="208" t="s">
        <v>86</v>
      </c>
      <c r="J384" s="227">
        <v>7</v>
      </c>
      <c r="K384" s="207">
        <f t="shared" si="300"/>
        <v>2025</v>
      </c>
      <c r="L384" s="206">
        <f t="shared" si="301"/>
        <v>2025.8333333333333</v>
      </c>
      <c r="M384" s="190">
        <v>10739.7</v>
      </c>
      <c r="N384" s="204">
        <f t="shared" si="302"/>
        <v>10739.7</v>
      </c>
      <c r="O384" s="204">
        <f t="shared" si="303"/>
        <v>127.85357142857144</v>
      </c>
      <c r="P384" s="204">
        <f t="shared" si="304"/>
        <v>1534.2428571428572</v>
      </c>
      <c r="Q384" s="204">
        <f t="shared" si="305"/>
        <v>1534.2428571428572</v>
      </c>
      <c r="R384" s="204"/>
      <c r="S384" s="204">
        <f t="shared" si="306"/>
        <v>3068.4857142857145</v>
      </c>
      <c r="T384" s="204">
        <f t="shared" si="307"/>
        <v>4602.7285714285717</v>
      </c>
      <c r="U384" s="204">
        <f t="shared" si="308"/>
        <v>6136.971428571429</v>
      </c>
    </row>
    <row r="385" spans="2:21">
      <c r="B385" s="230">
        <v>204436</v>
      </c>
      <c r="D385" s="230">
        <v>200</v>
      </c>
      <c r="E385" s="185" t="s">
        <v>467</v>
      </c>
      <c r="F385" s="229">
        <v>2018</v>
      </c>
      <c r="G385" s="228">
        <v>10</v>
      </c>
      <c r="H385" s="209">
        <v>0</v>
      </c>
      <c r="I385" s="208" t="s">
        <v>86</v>
      </c>
      <c r="J385" s="227">
        <v>7</v>
      </c>
      <c r="K385" s="207">
        <f t="shared" si="300"/>
        <v>2025</v>
      </c>
      <c r="L385" s="206">
        <f t="shared" si="301"/>
        <v>2025.8333333333333</v>
      </c>
      <c r="M385" s="190">
        <v>9491.9</v>
      </c>
      <c r="N385" s="204">
        <f t="shared" si="302"/>
        <v>9491.9</v>
      </c>
      <c r="O385" s="204">
        <f t="shared" si="303"/>
        <v>112.99880952380953</v>
      </c>
      <c r="P385" s="204">
        <f t="shared" si="304"/>
        <v>1355.9857142857143</v>
      </c>
      <c r="Q385" s="204">
        <f t="shared" si="305"/>
        <v>1355.9857142857143</v>
      </c>
      <c r="R385" s="204"/>
      <c r="S385" s="204">
        <f t="shared" si="306"/>
        <v>2711.9714285714285</v>
      </c>
      <c r="T385" s="204">
        <f t="shared" si="307"/>
        <v>4067.9571428571426</v>
      </c>
      <c r="U385" s="204">
        <f t="shared" si="308"/>
        <v>5423.9428571428571</v>
      </c>
    </row>
    <row r="386" spans="2:21">
      <c r="B386" s="230">
        <v>217679</v>
      </c>
      <c r="D386" s="230">
        <v>824</v>
      </c>
      <c r="E386" s="185" t="s">
        <v>531</v>
      </c>
      <c r="F386" s="229">
        <v>2019</v>
      </c>
      <c r="G386" s="228">
        <v>7</v>
      </c>
      <c r="H386" s="209">
        <v>0</v>
      </c>
      <c r="I386" s="208" t="s">
        <v>86</v>
      </c>
      <c r="J386" s="227">
        <v>7</v>
      </c>
      <c r="K386" s="207">
        <f t="shared" si="300"/>
        <v>2026</v>
      </c>
      <c r="L386" s="206">
        <f t="shared" si="301"/>
        <v>2026.5833333333333</v>
      </c>
      <c r="M386" s="190">
        <v>41754.129999999997</v>
      </c>
      <c r="N386" s="204">
        <f t="shared" si="302"/>
        <v>41754.129999999997</v>
      </c>
      <c r="O386" s="204">
        <f t="shared" si="303"/>
        <v>497.07297619047614</v>
      </c>
      <c r="P386" s="204">
        <f t="shared" si="304"/>
        <v>5964.8757142857139</v>
      </c>
      <c r="Q386" s="204">
        <f t="shared" si="305"/>
        <v>5964.8757142857139</v>
      </c>
      <c r="R386" s="204"/>
      <c r="S386" s="204">
        <f t="shared" si="306"/>
        <v>5964.8757142857139</v>
      </c>
      <c r="T386" s="204">
        <f t="shared" si="307"/>
        <v>11929.751428571428</v>
      </c>
      <c r="U386" s="204">
        <f t="shared" si="308"/>
        <v>29824.37857142857</v>
      </c>
    </row>
    <row r="387" spans="2:21">
      <c r="B387" s="230">
        <v>222641</v>
      </c>
      <c r="D387" s="230">
        <v>288</v>
      </c>
      <c r="E387" s="185" t="s">
        <v>550</v>
      </c>
      <c r="F387" s="229">
        <v>2019</v>
      </c>
      <c r="G387" s="228">
        <v>10</v>
      </c>
      <c r="H387" s="209">
        <v>0</v>
      </c>
      <c r="I387" s="208" t="s">
        <v>86</v>
      </c>
      <c r="J387" s="227">
        <v>7</v>
      </c>
      <c r="K387" s="207">
        <f t="shared" si="300"/>
        <v>2026</v>
      </c>
      <c r="L387" s="206">
        <f t="shared" si="301"/>
        <v>2026.8333333333333</v>
      </c>
      <c r="M387" s="190">
        <v>12739.9</v>
      </c>
      <c r="N387" s="204">
        <f t="shared" si="302"/>
        <v>12739.9</v>
      </c>
      <c r="O387" s="204">
        <f t="shared" si="303"/>
        <v>151.6654761904762</v>
      </c>
      <c r="P387" s="204">
        <f t="shared" si="304"/>
        <v>1819.9857142857145</v>
      </c>
      <c r="Q387" s="204">
        <f t="shared" si="305"/>
        <v>1819.9857142857145</v>
      </c>
      <c r="R387" s="204"/>
      <c r="S387" s="204">
        <f t="shared" si="306"/>
        <v>1819.9857142857145</v>
      </c>
      <c r="T387" s="204">
        <f t="shared" si="307"/>
        <v>3639.971428571429</v>
      </c>
      <c r="U387" s="204">
        <f t="shared" si="308"/>
        <v>9099.9285714285706</v>
      </c>
    </row>
    <row r="388" spans="2:21">
      <c r="B388" s="230">
        <v>222639</v>
      </c>
      <c r="D388" s="230">
        <v>100</v>
      </c>
      <c r="E388" s="185" t="s">
        <v>531</v>
      </c>
      <c r="F388" s="229">
        <v>2019</v>
      </c>
      <c r="G388" s="228">
        <v>10</v>
      </c>
      <c r="H388" s="209">
        <v>0</v>
      </c>
      <c r="I388" s="208" t="s">
        <v>86</v>
      </c>
      <c r="J388" s="227">
        <v>7</v>
      </c>
      <c r="K388" s="207">
        <f t="shared" si="300"/>
        <v>2026</v>
      </c>
      <c r="L388" s="206">
        <f t="shared" si="301"/>
        <v>2026.8333333333333</v>
      </c>
      <c r="M388" s="190">
        <v>4823.57</v>
      </c>
      <c r="N388" s="204">
        <f t="shared" si="302"/>
        <v>4823.57</v>
      </c>
      <c r="O388" s="204">
        <f t="shared" si="303"/>
        <v>57.423452380952376</v>
      </c>
      <c r="P388" s="204">
        <f t="shared" si="304"/>
        <v>689.08142857142855</v>
      </c>
      <c r="Q388" s="204">
        <f t="shared" si="305"/>
        <v>689.08142857142855</v>
      </c>
      <c r="R388" s="204"/>
      <c r="S388" s="204">
        <f t="shared" si="306"/>
        <v>689.08142857142855</v>
      </c>
      <c r="T388" s="204">
        <f t="shared" si="307"/>
        <v>1378.1628571428571</v>
      </c>
      <c r="U388" s="204">
        <f t="shared" si="308"/>
        <v>3445.4071428571424</v>
      </c>
    </row>
    <row r="389" spans="2:21">
      <c r="B389" s="230">
        <v>234066</v>
      </c>
      <c r="D389" s="230">
        <v>312</v>
      </c>
      <c r="E389" s="185" t="s">
        <v>531</v>
      </c>
      <c r="F389" s="229">
        <v>2020</v>
      </c>
      <c r="G389" s="228">
        <v>6</v>
      </c>
      <c r="H389" s="209">
        <v>0</v>
      </c>
      <c r="I389" s="208" t="s">
        <v>86</v>
      </c>
      <c r="J389" s="227">
        <v>7</v>
      </c>
      <c r="K389" s="207">
        <f t="shared" si="300"/>
        <v>2027</v>
      </c>
      <c r="L389" s="206">
        <f t="shared" si="301"/>
        <v>2027.5</v>
      </c>
      <c r="M389" s="190">
        <v>12863.76</v>
      </c>
      <c r="N389" s="204">
        <f t="shared" si="302"/>
        <v>12863.76</v>
      </c>
      <c r="O389" s="204">
        <f t="shared" si="303"/>
        <v>153.14000000000001</v>
      </c>
      <c r="P389" s="204">
        <f t="shared" si="304"/>
        <v>1837.6800000000003</v>
      </c>
      <c r="Q389" s="204">
        <f t="shared" si="305"/>
        <v>1837.6800000000003</v>
      </c>
      <c r="R389" s="204"/>
      <c r="S389" s="204">
        <f t="shared" si="306"/>
        <v>0</v>
      </c>
      <c r="T389" s="204">
        <f t="shared" si="307"/>
        <v>1837.6800000000003</v>
      </c>
      <c r="U389" s="204">
        <f t="shared" si="308"/>
        <v>11026.08</v>
      </c>
    </row>
    <row r="390" spans="2:21">
      <c r="B390" s="230">
        <v>238420</v>
      </c>
      <c r="D390" s="230">
        <v>350</v>
      </c>
      <c r="E390" s="185" t="s">
        <v>570</v>
      </c>
      <c r="F390" s="229">
        <v>2020</v>
      </c>
      <c r="G390" s="228">
        <v>9</v>
      </c>
      <c r="H390" s="209">
        <v>0</v>
      </c>
      <c r="I390" s="208" t="s">
        <v>86</v>
      </c>
      <c r="J390" s="227">
        <v>7</v>
      </c>
      <c r="K390" s="207">
        <f t="shared" si="300"/>
        <v>2027</v>
      </c>
      <c r="L390" s="206">
        <f t="shared" si="301"/>
        <v>2027.75</v>
      </c>
      <c r="M390" s="190">
        <v>14976.73</v>
      </c>
      <c r="N390" s="204">
        <f t="shared" si="302"/>
        <v>14976.73</v>
      </c>
      <c r="O390" s="204">
        <f t="shared" si="303"/>
        <v>178.29440476190476</v>
      </c>
      <c r="P390" s="204">
        <f t="shared" si="304"/>
        <v>2139.5328571428572</v>
      </c>
      <c r="Q390" s="204">
        <f t="shared" si="305"/>
        <v>2139.5328571428572</v>
      </c>
      <c r="R390" s="204"/>
      <c r="S390" s="204">
        <f t="shared" si="306"/>
        <v>0</v>
      </c>
      <c r="T390" s="204">
        <f t="shared" si="307"/>
        <v>2139.5328571428572</v>
      </c>
      <c r="U390" s="204">
        <f t="shared" si="308"/>
        <v>12837.197142857141</v>
      </c>
    </row>
    <row r="391" spans="2:21">
      <c r="B391" s="230">
        <v>243340</v>
      </c>
      <c r="D391" s="230">
        <v>426</v>
      </c>
      <c r="E391" s="185" t="s">
        <v>570</v>
      </c>
      <c r="F391" s="229">
        <v>2020</v>
      </c>
      <c r="G391" s="228">
        <v>11</v>
      </c>
      <c r="H391" s="209">
        <v>0</v>
      </c>
      <c r="I391" s="208" t="s">
        <v>86</v>
      </c>
      <c r="J391" s="227">
        <v>7</v>
      </c>
      <c r="K391" s="207">
        <f t="shared" si="300"/>
        <v>2027</v>
      </c>
      <c r="L391" s="206">
        <f t="shared" si="301"/>
        <v>2027.9166666666667</v>
      </c>
      <c r="M391" s="190">
        <v>19200.2</v>
      </c>
      <c r="N391" s="204">
        <f t="shared" si="302"/>
        <v>19200.2</v>
      </c>
      <c r="O391" s="204">
        <f t="shared" si="303"/>
        <v>228.57380952380956</v>
      </c>
      <c r="P391" s="204">
        <f t="shared" si="304"/>
        <v>2742.8857142857146</v>
      </c>
      <c r="Q391" s="204">
        <f t="shared" si="305"/>
        <v>2742.8857142857146</v>
      </c>
      <c r="R391" s="204"/>
      <c r="S391" s="204">
        <f t="shared" si="306"/>
        <v>0</v>
      </c>
      <c r="T391" s="204">
        <f t="shared" si="307"/>
        <v>2742.8857142857146</v>
      </c>
      <c r="U391" s="204">
        <f t="shared" si="308"/>
        <v>16457.314285714285</v>
      </c>
    </row>
    <row r="392" spans="2:21">
      <c r="E392" s="186"/>
      <c r="H392" s="209"/>
      <c r="I392" s="208"/>
      <c r="K392" s="207"/>
      <c r="L392" s="206"/>
      <c r="M392" s="182"/>
      <c r="N392" s="182"/>
      <c r="O392" s="182"/>
      <c r="P392" s="182"/>
      <c r="Q392" s="182"/>
      <c r="R392" s="182"/>
      <c r="S392" s="182"/>
      <c r="T392" s="182"/>
      <c r="U392" s="182"/>
    </row>
    <row r="393" spans="2:21">
      <c r="E393" s="322" t="s">
        <v>612</v>
      </c>
      <c r="F393" s="305"/>
      <c r="G393" s="306"/>
      <c r="H393" s="307"/>
      <c r="I393" s="308"/>
      <c r="J393" s="309"/>
      <c r="K393" s="310"/>
      <c r="L393" s="323"/>
      <c r="M393" s="183">
        <f>SUM(M381:M392)</f>
        <v>175335.82000000004</v>
      </c>
      <c r="N393" s="183">
        <f t="shared" ref="N393:U393" si="309">SUM(N381:N392)</f>
        <v>175335.82000000004</v>
      </c>
      <c r="O393" s="183">
        <f t="shared" si="309"/>
        <v>2087.3311904761904</v>
      </c>
      <c r="P393" s="183">
        <f t="shared" si="309"/>
        <v>25047.974285714288</v>
      </c>
      <c r="Q393" s="183">
        <f t="shared" si="309"/>
        <v>25047.974285714288</v>
      </c>
      <c r="R393" s="183">
        <f t="shared" si="309"/>
        <v>0</v>
      </c>
      <c r="S393" s="183">
        <f t="shared" si="309"/>
        <v>28181.808571428573</v>
      </c>
      <c r="T393" s="183">
        <f t="shared" si="309"/>
        <v>53229.782857142862</v>
      </c>
      <c r="U393" s="183">
        <f t="shared" si="309"/>
        <v>122106.03714285712</v>
      </c>
    </row>
    <row r="394" spans="2:21">
      <c r="E394" s="186"/>
      <c r="H394" s="209"/>
      <c r="I394" s="208"/>
      <c r="K394" s="207"/>
      <c r="L394" s="206"/>
      <c r="M394" s="182"/>
      <c r="N394" s="182"/>
      <c r="O394" s="182"/>
      <c r="P394" s="182"/>
      <c r="Q394" s="182"/>
      <c r="R394" s="182"/>
      <c r="S394" s="182"/>
      <c r="T394" s="182"/>
      <c r="U394" s="182"/>
    </row>
    <row r="395" spans="2:21">
      <c r="D395" s="202"/>
      <c r="E395" s="186"/>
      <c r="I395" s="208"/>
      <c r="K395" s="207"/>
      <c r="L395" s="206"/>
      <c r="M395" s="182" t="s">
        <v>2</v>
      </c>
      <c r="N395" s="181"/>
      <c r="O395" s="181"/>
      <c r="P395" s="285"/>
      <c r="Q395" s="285"/>
      <c r="R395" s="181"/>
      <c r="S395" s="181"/>
      <c r="T395" s="181"/>
      <c r="U395" s="181"/>
    </row>
    <row r="396" spans="2:21">
      <c r="D396" s="202"/>
      <c r="E396" s="321" t="s">
        <v>216</v>
      </c>
      <c r="I396" s="208"/>
      <c r="K396" s="207"/>
      <c r="L396" s="206"/>
      <c r="M396" s="182"/>
      <c r="N396" s="181"/>
      <c r="O396" s="181"/>
      <c r="P396" s="285"/>
      <c r="Q396" s="285"/>
      <c r="R396" s="181"/>
      <c r="S396" s="181"/>
      <c r="T396" s="181"/>
      <c r="U396" s="181"/>
    </row>
    <row r="397" spans="2:21">
      <c r="D397" s="230">
        <v>300</v>
      </c>
      <c r="E397" s="210" t="s">
        <v>217</v>
      </c>
      <c r="F397" s="229">
        <v>1995</v>
      </c>
      <c r="G397" s="228">
        <v>8</v>
      </c>
      <c r="H397" s="209">
        <v>0</v>
      </c>
      <c r="I397" s="208" t="s">
        <v>86</v>
      </c>
      <c r="J397" s="227">
        <v>10</v>
      </c>
      <c r="K397" s="207">
        <f t="shared" ref="K397:K407" si="310">F397+J397</f>
        <v>2005</v>
      </c>
      <c r="L397" s="206">
        <f t="shared" si="280"/>
        <v>2005.6666666666667</v>
      </c>
      <c r="M397" s="190">
        <v>20585</v>
      </c>
      <c r="N397" s="225">
        <f t="shared" ref="N397:N407" si="311">M397-M397*H397</f>
        <v>20585</v>
      </c>
      <c r="O397" s="225">
        <f t="shared" ref="O397:O407" si="312">N397/J397/12</f>
        <v>171.54166666666666</v>
      </c>
      <c r="P397" s="204">
        <f t="shared" ref="P397:P407" si="313">+O397*12</f>
        <v>2058.5</v>
      </c>
      <c r="Q397" s="204">
        <f t="shared" ref="Q397:Q407" si="314">+IF(L397&lt;=$N$5,0,IF(K397&gt;$N$4,P397,(O397*G397)))</f>
        <v>0</v>
      </c>
      <c r="R397" s="225"/>
      <c r="S397" s="204">
        <f t="shared" ref="S397:S407" si="315">+IF(Q397=0,M397,IF($N$3-F397&lt;1,0,(($N$3-F397)*P397)))</f>
        <v>20585</v>
      </c>
      <c r="T397" s="204">
        <f t="shared" ref="T397:T407" si="316">+IF(Q397=0,S397,S397+Q397)</f>
        <v>20585</v>
      </c>
      <c r="U397" s="204">
        <f t="shared" ref="U397:U407" si="317">M397-T397</f>
        <v>0</v>
      </c>
    </row>
    <row r="398" spans="2:21">
      <c r="D398" s="230">
        <v>100</v>
      </c>
      <c r="E398" s="185" t="s">
        <v>218</v>
      </c>
      <c r="F398" s="229">
        <v>2008</v>
      </c>
      <c r="G398" s="228">
        <v>7</v>
      </c>
      <c r="H398" s="209">
        <v>0</v>
      </c>
      <c r="I398" s="208" t="s">
        <v>86</v>
      </c>
      <c r="J398" s="227">
        <v>10</v>
      </c>
      <c r="K398" s="207">
        <f t="shared" si="310"/>
        <v>2018</v>
      </c>
      <c r="L398" s="206">
        <f t="shared" si="280"/>
        <v>2018.5833333333333</v>
      </c>
      <c r="M398" s="190">
        <f>4850+732.5+407.4</f>
        <v>5989.9</v>
      </c>
      <c r="N398" s="225">
        <f t="shared" si="311"/>
        <v>5989.9</v>
      </c>
      <c r="O398" s="225">
        <f t="shared" si="312"/>
        <v>49.915833333333332</v>
      </c>
      <c r="P398" s="204">
        <f t="shared" si="313"/>
        <v>598.99</v>
      </c>
      <c r="Q398" s="204">
        <f t="shared" si="314"/>
        <v>0</v>
      </c>
      <c r="R398" s="225"/>
      <c r="S398" s="204">
        <f t="shared" si="315"/>
        <v>5989.9</v>
      </c>
      <c r="T398" s="204">
        <f t="shared" si="316"/>
        <v>5989.9</v>
      </c>
      <c r="U398" s="204">
        <f t="shared" si="317"/>
        <v>0</v>
      </c>
    </row>
    <row r="399" spans="2:21">
      <c r="D399" s="230">
        <v>100</v>
      </c>
      <c r="E399" s="185" t="s">
        <v>218</v>
      </c>
      <c r="F399" s="229">
        <v>2010</v>
      </c>
      <c r="G399" s="228">
        <v>8</v>
      </c>
      <c r="H399" s="209">
        <v>0</v>
      </c>
      <c r="I399" s="208" t="s">
        <v>86</v>
      </c>
      <c r="J399" s="227">
        <v>10</v>
      </c>
      <c r="K399" s="207">
        <f t="shared" si="310"/>
        <v>2020</v>
      </c>
      <c r="L399" s="206">
        <f t="shared" si="280"/>
        <v>2020.6666666666667</v>
      </c>
      <c r="M399" s="190">
        <v>5983.8</v>
      </c>
      <c r="N399" s="225">
        <f t="shared" si="311"/>
        <v>5983.8</v>
      </c>
      <c r="O399" s="225">
        <f t="shared" si="312"/>
        <v>49.865000000000002</v>
      </c>
      <c r="P399" s="204">
        <f t="shared" si="313"/>
        <v>598.38</v>
      </c>
      <c r="Q399" s="204">
        <f t="shared" si="314"/>
        <v>0</v>
      </c>
      <c r="R399" s="225"/>
      <c r="S399" s="204">
        <f t="shared" si="315"/>
        <v>5983.8</v>
      </c>
      <c r="T399" s="204">
        <f t="shared" si="316"/>
        <v>5983.8</v>
      </c>
      <c r="U399" s="204">
        <f t="shared" si="317"/>
        <v>0</v>
      </c>
    </row>
    <row r="400" spans="2:21">
      <c r="D400" s="230">
        <v>2</v>
      </c>
      <c r="E400" s="179" t="s">
        <v>175</v>
      </c>
      <c r="F400" s="229">
        <v>1996</v>
      </c>
      <c r="G400" s="228">
        <v>7</v>
      </c>
      <c r="H400" s="209">
        <v>0</v>
      </c>
      <c r="I400" s="208" t="s">
        <v>86</v>
      </c>
      <c r="J400" s="227">
        <v>10</v>
      </c>
      <c r="K400" s="207">
        <f t="shared" si="310"/>
        <v>2006</v>
      </c>
      <c r="L400" s="206">
        <f t="shared" si="280"/>
        <v>2006.5833333333333</v>
      </c>
      <c r="M400" s="190">
        <v>5440</v>
      </c>
      <c r="N400" s="225">
        <f t="shared" si="311"/>
        <v>5440</v>
      </c>
      <c r="O400" s="225">
        <f t="shared" si="312"/>
        <v>45.333333333333336</v>
      </c>
      <c r="P400" s="204">
        <f t="shared" si="313"/>
        <v>544</v>
      </c>
      <c r="Q400" s="204">
        <f t="shared" si="314"/>
        <v>0</v>
      </c>
      <c r="R400" s="225"/>
      <c r="S400" s="204">
        <f t="shared" si="315"/>
        <v>5440</v>
      </c>
      <c r="T400" s="204">
        <f t="shared" si="316"/>
        <v>5440</v>
      </c>
      <c r="U400" s="204">
        <f t="shared" si="317"/>
        <v>0</v>
      </c>
    </row>
    <row r="401" spans="2:21">
      <c r="D401" s="230">
        <v>5</v>
      </c>
      <c r="E401" s="184" t="s">
        <v>187</v>
      </c>
      <c r="F401" s="229">
        <v>2002</v>
      </c>
      <c r="G401" s="228">
        <v>12</v>
      </c>
      <c r="H401" s="209">
        <v>0</v>
      </c>
      <c r="I401" s="208" t="s">
        <v>86</v>
      </c>
      <c r="J401" s="227">
        <v>10</v>
      </c>
      <c r="K401" s="207">
        <f t="shared" si="310"/>
        <v>2012</v>
      </c>
      <c r="L401" s="206">
        <f t="shared" si="280"/>
        <v>2013</v>
      </c>
      <c r="M401" s="190">
        <f>16328/2</f>
        <v>8164</v>
      </c>
      <c r="N401" s="225">
        <f t="shared" si="311"/>
        <v>8164</v>
      </c>
      <c r="O401" s="225">
        <f t="shared" si="312"/>
        <v>68.033333333333331</v>
      </c>
      <c r="P401" s="204">
        <f t="shared" si="313"/>
        <v>816.4</v>
      </c>
      <c r="Q401" s="204">
        <f t="shared" si="314"/>
        <v>0</v>
      </c>
      <c r="R401" s="225"/>
      <c r="S401" s="204">
        <f t="shared" si="315"/>
        <v>8164</v>
      </c>
      <c r="T401" s="204">
        <f t="shared" si="316"/>
        <v>8164</v>
      </c>
      <c r="U401" s="204">
        <f t="shared" si="317"/>
        <v>0</v>
      </c>
    </row>
    <row r="402" spans="2:21">
      <c r="D402" s="230">
        <v>2</v>
      </c>
      <c r="E402" s="184" t="s">
        <v>219</v>
      </c>
      <c r="F402" s="229">
        <v>2004</v>
      </c>
      <c r="G402" s="228">
        <v>10</v>
      </c>
      <c r="H402" s="209">
        <v>0</v>
      </c>
      <c r="I402" s="208" t="s">
        <v>86</v>
      </c>
      <c r="J402" s="227">
        <v>10</v>
      </c>
      <c r="K402" s="207">
        <f t="shared" si="310"/>
        <v>2014</v>
      </c>
      <c r="L402" s="206">
        <f t="shared" si="280"/>
        <v>2014.8333333333333</v>
      </c>
      <c r="M402" s="190">
        <v>7123</v>
      </c>
      <c r="N402" s="225">
        <f t="shared" si="311"/>
        <v>7123</v>
      </c>
      <c r="O402" s="225">
        <f t="shared" si="312"/>
        <v>59.358333333333327</v>
      </c>
      <c r="P402" s="204">
        <f t="shared" si="313"/>
        <v>712.3</v>
      </c>
      <c r="Q402" s="204">
        <f t="shared" si="314"/>
        <v>0</v>
      </c>
      <c r="R402" s="225"/>
      <c r="S402" s="204">
        <f t="shared" si="315"/>
        <v>7123</v>
      </c>
      <c r="T402" s="204">
        <f t="shared" si="316"/>
        <v>7123</v>
      </c>
      <c r="U402" s="204">
        <f t="shared" si="317"/>
        <v>0</v>
      </c>
    </row>
    <row r="403" spans="2:21">
      <c r="D403" s="230">
        <v>1</v>
      </c>
      <c r="E403" s="184" t="s">
        <v>220</v>
      </c>
      <c r="F403" s="229">
        <v>2008</v>
      </c>
      <c r="G403" s="228">
        <v>6</v>
      </c>
      <c r="H403" s="209">
        <v>0</v>
      </c>
      <c r="I403" s="208" t="s">
        <v>86</v>
      </c>
      <c r="J403" s="227">
        <v>10</v>
      </c>
      <c r="K403" s="207">
        <f t="shared" si="310"/>
        <v>2018</v>
      </c>
      <c r="L403" s="206">
        <f t="shared" si="280"/>
        <v>2018.5</v>
      </c>
      <c r="M403" s="190">
        <v>4899</v>
      </c>
      <c r="N403" s="225">
        <f t="shared" si="311"/>
        <v>4899</v>
      </c>
      <c r="O403" s="225">
        <f t="shared" si="312"/>
        <v>40.824999999999996</v>
      </c>
      <c r="P403" s="204">
        <f t="shared" si="313"/>
        <v>489.9</v>
      </c>
      <c r="Q403" s="204">
        <f t="shared" si="314"/>
        <v>0</v>
      </c>
      <c r="R403" s="225"/>
      <c r="S403" s="204">
        <f t="shared" si="315"/>
        <v>4899</v>
      </c>
      <c r="T403" s="204">
        <f t="shared" si="316"/>
        <v>4899</v>
      </c>
      <c r="U403" s="204">
        <f t="shared" si="317"/>
        <v>0</v>
      </c>
    </row>
    <row r="404" spans="2:21">
      <c r="D404" s="230">
        <v>3</v>
      </c>
      <c r="E404" s="184" t="s">
        <v>335</v>
      </c>
      <c r="F404" s="229">
        <v>2015</v>
      </c>
      <c r="G404" s="228">
        <v>11</v>
      </c>
      <c r="H404" s="209">
        <v>0</v>
      </c>
      <c r="I404" s="208" t="s">
        <v>86</v>
      </c>
      <c r="J404" s="227">
        <v>10</v>
      </c>
      <c r="K404" s="207">
        <f t="shared" si="310"/>
        <v>2025</v>
      </c>
      <c r="L404" s="206">
        <f t="shared" si="280"/>
        <v>2025.9166666666667</v>
      </c>
      <c r="M404" s="190">
        <v>17780</v>
      </c>
      <c r="N404" s="225">
        <f t="shared" si="311"/>
        <v>17780</v>
      </c>
      <c r="O404" s="225">
        <f t="shared" si="312"/>
        <v>148.16666666666666</v>
      </c>
      <c r="P404" s="204">
        <f t="shared" si="313"/>
        <v>1778</v>
      </c>
      <c r="Q404" s="204">
        <f t="shared" si="314"/>
        <v>1778</v>
      </c>
      <c r="R404" s="225"/>
      <c r="S404" s="204">
        <f t="shared" si="315"/>
        <v>8890</v>
      </c>
      <c r="T404" s="204">
        <f t="shared" si="316"/>
        <v>10668</v>
      </c>
      <c r="U404" s="204">
        <f t="shared" si="317"/>
        <v>7112</v>
      </c>
    </row>
    <row r="405" spans="2:21">
      <c r="B405" s="230">
        <v>129381</v>
      </c>
      <c r="D405" s="230">
        <v>3</v>
      </c>
      <c r="E405" s="184" t="s">
        <v>335</v>
      </c>
      <c r="F405" s="229">
        <v>2016</v>
      </c>
      <c r="G405" s="228">
        <v>1</v>
      </c>
      <c r="H405" s="209">
        <v>0</v>
      </c>
      <c r="I405" s="208" t="s">
        <v>86</v>
      </c>
      <c r="J405" s="227">
        <v>10</v>
      </c>
      <c r="K405" s="207">
        <f t="shared" si="310"/>
        <v>2026</v>
      </c>
      <c r="L405" s="206">
        <f t="shared" si="280"/>
        <v>2026.0833333333333</v>
      </c>
      <c r="M405" s="190">
        <v>35560</v>
      </c>
      <c r="N405" s="225">
        <f t="shared" si="311"/>
        <v>35560</v>
      </c>
      <c r="O405" s="225">
        <f t="shared" si="312"/>
        <v>296.33333333333331</v>
      </c>
      <c r="P405" s="204">
        <f t="shared" si="313"/>
        <v>3556</v>
      </c>
      <c r="Q405" s="204">
        <f t="shared" si="314"/>
        <v>3556</v>
      </c>
      <c r="R405" s="225"/>
      <c r="S405" s="204">
        <f t="shared" si="315"/>
        <v>14224</v>
      </c>
      <c r="T405" s="204">
        <f t="shared" si="316"/>
        <v>17780</v>
      </c>
      <c r="U405" s="204">
        <f t="shared" si="317"/>
        <v>17780</v>
      </c>
    </row>
    <row r="406" spans="2:21">
      <c r="B406" s="230" t="s">
        <v>336</v>
      </c>
      <c r="D406" s="230">
        <v>18</v>
      </c>
      <c r="E406" s="184" t="s">
        <v>335</v>
      </c>
      <c r="F406" s="229">
        <v>2016</v>
      </c>
      <c r="G406" s="228">
        <v>2</v>
      </c>
      <c r="H406" s="209">
        <v>0</v>
      </c>
      <c r="I406" s="208" t="s">
        <v>86</v>
      </c>
      <c r="J406" s="227">
        <v>10</v>
      </c>
      <c r="K406" s="207">
        <f t="shared" si="310"/>
        <v>2026</v>
      </c>
      <c r="L406" s="206">
        <f t="shared" si="280"/>
        <v>2026.1666666666667</v>
      </c>
      <c r="M406" s="190">
        <f>17780+55830+6106.67+11853.33+19190</f>
        <v>110760</v>
      </c>
      <c r="N406" s="225">
        <f t="shared" si="311"/>
        <v>110760</v>
      </c>
      <c r="O406" s="225">
        <f t="shared" si="312"/>
        <v>923</v>
      </c>
      <c r="P406" s="204">
        <f t="shared" si="313"/>
        <v>11076</v>
      </c>
      <c r="Q406" s="204">
        <f t="shared" si="314"/>
        <v>11076</v>
      </c>
      <c r="R406" s="225"/>
      <c r="S406" s="204">
        <f t="shared" si="315"/>
        <v>44304</v>
      </c>
      <c r="T406" s="204">
        <f t="shared" si="316"/>
        <v>55380</v>
      </c>
      <c r="U406" s="204">
        <f t="shared" si="317"/>
        <v>55380</v>
      </c>
    </row>
    <row r="407" spans="2:21">
      <c r="B407" s="230">
        <v>132005</v>
      </c>
      <c r="E407" s="184" t="s">
        <v>335</v>
      </c>
      <c r="F407" s="229">
        <v>2016</v>
      </c>
      <c r="G407" s="228">
        <v>1</v>
      </c>
      <c r="H407" s="209">
        <v>0</v>
      </c>
      <c r="I407" s="208" t="s">
        <v>86</v>
      </c>
      <c r="J407" s="227">
        <v>10</v>
      </c>
      <c r="K407" s="207">
        <f t="shared" si="310"/>
        <v>2026</v>
      </c>
      <c r="L407" s="206">
        <f t="shared" si="280"/>
        <v>2026.0833333333333</v>
      </c>
      <c r="M407" s="190">
        <v>17780</v>
      </c>
      <c r="N407" s="225">
        <f t="shared" si="311"/>
        <v>17780</v>
      </c>
      <c r="O407" s="225">
        <f t="shared" si="312"/>
        <v>148.16666666666666</v>
      </c>
      <c r="P407" s="204">
        <f t="shared" si="313"/>
        <v>1778</v>
      </c>
      <c r="Q407" s="204">
        <f t="shared" si="314"/>
        <v>1778</v>
      </c>
      <c r="R407" s="225"/>
      <c r="S407" s="204">
        <f t="shared" si="315"/>
        <v>7112</v>
      </c>
      <c r="T407" s="204">
        <f t="shared" si="316"/>
        <v>8890</v>
      </c>
      <c r="U407" s="204">
        <f t="shared" si="317"/>
        <v>8890</v>
      </c>
    </row>
    <row r="408" spans="2:21">
      <c r="E408" s="185"/>
      <c r="H408" s="209"/>
      <c r="I408" s="208"/>
      <c r="K408" s="207"/>
      <c r="L408" s="206"/>
      <c r="M408" s="190"/>
      <c r="N408" s="225"/>
      <c r="O408" s="225"/>
      <c r="P408" s="204"/>
      <c r="Q408" s="204"/>
      <c r="R408" s="225"/>
      <c r="S408" s="225"/>
      <c r="T408" s="225"/>
      <c r="U408" s="225"/>
    </row>
    <row r="409" spans="2:21">
      <c r="D409" s="202"/>
      <c r="E409" s="322" t="s">
        <v>613</v>
      </c>
      <c r="F409" s="305"/>
      <c r="G409" s="306"/>
      <c r="H409" s="306"/>
      <c r="I409" s="308"/>
      <c r="J409" s="309"/>
      <c r="K409" s="310"/>
      <c r="L409" s="323"/>
      <c r="M409" s="183">
        <f t="shared" ref="M409:U409" si="318">SUM(M397:M408)</f>
        <v>240064.7</v>
      </c>
      <c r="N409" s="183">
        <f t="shared" si="318"/>
        <v>240064.7</v>
      </c>
      <c r="O409" s="183">
        <f t="shared" si="318"/>
        <v>2000.5391666666667</v>
      </c>
      <c r="P409" s="240">
        <f t="shared" si="318"/>
        <v>24006.47</v>
      </c>
      <c r="Q409" s="240">
        <f t="shared" si="318"/>
        <v>18188</v>
      </c>
      <c r="R409" s="183">
        <f t="shared" si="318"/>
        <v>0</v>
      </c>
      <c r="S409" s="183">
        <f t="shared" si="318"/>
        <v>132714.70000000001</v>
      </c>
      <c r="T409" s="183">
        <f t="shared" si="318"/>
        <v>150902.70000000001</v>
      </c>
      <c r="U409" s="183">
        <f t="shared" si="318"/>
        <v>89162</v>
      </c>
    </row>
    <row r="410" spans="2:21">
      <c r="D410" s="202"/>
      <c r="E410" s="186"/>
      <c r="I410" s="208"/>
      <c r="K410" s="207"/>
      <c r="L410" s="206"/>
      <c r="M410" s="182"/>
      <c r="N410" s="181"/>
      <c r="O410" s="181"/>
      <c r="P410" s="285"/>
      <c r="Q410" s="285"/>
      <c r="R410" s="181"/>
      <c r="S410" s="181"/>
      <c r="T410" s="181"/>
      <c r="U410" s="181"/>
    </row>
    <row r="411" spans="2:21">
      <c r="D411" s="202"/>
      <c r="E411" s="321" t="s">
        <v>431</v>
      </c>
      <c r="I411" s="208"/>
      <c r="K411" s="207"/>
      <c r="L411" s="206"/>
      <c r="M411" s="182"/>
      <c r="N411" s="181"/>
      <c r="O411" s="181"/>
      <c r="P411" s="285"/>
      <c r="Q411" s="285"/>
      <c r="R411" s="181"/>
      <c r="S411" s="181"/>
      <c r="T411" s="181"/>
      <c r="U411" s="181"/>
    </row>
    <row r="412" spans="2:21">
      <c r="B412" s="230">
        <v>183698</v>
      </c>
      <c r="D412" s="230">
        <v>1120</v>
      </c>
      <c r="E412" s="185" t="s">
        <v>362</v>
      </c>
      <c r="F412" s="229">
        <v>2017</v>
      </c>
      <c r="G412" s="228">
        <v>6</v>
      </c>
      <c r="H412" s="209">
        <v>0</v>
      </c>
      <c r="I412" s="208" t="s">
        <v>86</v>
      </c>
      <c r="J412" s="227">
        <v>5</v>
      </c>
      <c r="K412" s="207">
        <f>F412+J412</f>
        <v>2022</v>
      </c>
      <c r="L412" s="206">
        <f t="shared" si="280"/>
        <v>2022.5</v>
      </c>
      <c r="M412" s="190">
        <v>30380</v>
      </c>
      <c r="N412" s="225">
        <f>M412-M412*H412</f>
        <v>30380</v>
      </c>
      <c r="O412" s="225">
        <f>N412/J412/12</f>
        <v>506.33333333333331</v>
      </c>
      <c r="P412" s="204">
        <f t="shared" ref="P412:P415" si="319">+O412*12</f>
        <v>6076</v>
      </c>
      <c r="Q412" s="204">
        <f t="shared" ref="Q412:Q415" si="320">+IF(L412&lt;=$N$5,0,IF(K412&gt;$N$4,P412,(O412*G412)))</f>
        <v>6076</v>
      </c>
      <c r="R412" s="225"/>
      <c r="S412" s="204">
        <f t="shared" ref="S412:S415" si="321">+IF(Q412=0,M412,IF($N$3-F412&lt;1,0,(($N$3-F412)*P412)))</f>
        <v>18228</v>
      </c>
      <c r="T412" s="204">
        <f t="shared" ref="T412:T415" si="322">+IF(Q412=0,S412,S412+Q412)</f>
        <v>24304</v>
      </c>
      <c r="U412" s="204">
        <f t="shared" ref="U412:U415" si="323">M412-T412</f>
        <v>6076</v>
      </c>
    </row>
    <row r="413" spans="2:21">
      <c r="B413" s="230">
        <v>183694</v>
      </c>
      <c r="D413" s="230">
        <v>215</v>
      </c>
      <c r="E413" s="185" t="s">
        <v>367</v>
      </c>
      <c r="F413" s="229">
        <v>2017</v>
      </c>
      <c r="G413" s="228">
        <v>6</v>
      </c>
      <c r="H413" s="209">
        <v>0</v>
      </c>
      <c r="I413" s="208" t="s">
        <v>86</v>
      </c>
      <c r="J413" s="227">
        <v>5</v>
      </c>
      <c r="K413" s="207">
        <f>F413+J413</f>
        <v>2022</v>
      </c>
      <c r="L413" s="206">
        <f t="shared" si="280"/>
        <v>2022.5</v>
      </c>
      <c r="M413" s="190">
        <v>6415.06</v>
      </c>
      <c r="N413" s="225">
        <f>M413-M413*H413</f>
        <v>6415.06</v>
      </c>
      <c r="O413" s="225">
        <f>N413/J413/12</f>
        <v>106.91766666666668</v>
      </c>
      <c r="P413" s="204">
        <f t="shared" si="319"/>
        <v>1283.0120000000002</v>
      </c>
      <c r="Q413" s="204">
        <f t="shared" si="320"/>
        <v>1283.0120000000002</v>
      </c>
      <c r="R413" s="225"/>
      <c r="S413" s="204">
        <f t="shared" si="321"/>
        <v>3849.0360000000005</v>
      </c>
      <c r="T413" s="204">
        <f t="shared" si="322"/>
        <v>5132.0480000000007</v>
      </c>
      <c r="U413" s="204">
        <f t="shared" si="323"/>
        <v>1283.0119999999997</v>
      </c>
    </row>
    <row r="414" spans="2:21">
      <c r="B414" s="230">
        <v>183696</v>
      </c>
      <c r="D414" s="230">
        <v>1120</v>
      </c>
      <c r="E414" s="184" t="s">
        <v>363</v>
      </c>
      <c r="F414" s="229">
        <v>2017</v>
      </c>
      <c r="G414" s="228">
        <v>6</v>
      </c>
      <c r="H414" s="209">
        <v>0</v>
      </c>
      <c r="I414" s="208" t="s">
        <v>86</v>
      </c>
      <c r="J414" s="227">
        <v>5</v>
      </c>
      <c r="K414" s="207">
        <f>F414+J414</f>
        <v>2022</v>
      </c>
      <c r="L414" s="206">
        <f t="shared" si="280"/>
        <v>2022.5</v>
      </c>
      <c r="M414" s="190">
        <v>30380</v>
      </c>
      <c r="N414" s="225">
        <f>M414-M414*H414</f>
        <v>30380</v>
      </c>
      <c r="O414" s="225">
        <f>N414/J414/12</f>
        <v>506.33333333333331</v>
      </c>
      <c r="P414" s="204">
        <f t="shared" si="319"/>
        <v>6076</v>
      </c>
      <c r="Q414" s="204">
        <f t="shared" si="320"/>
        <v>6076</v>
      </c>
      <c r="R414" s="225"/>
      <c r="S414" s="204">
        <f t="shared" si="321"/>
        <v>18228</v>
      </c>
      <c r="T414" s="204">
        <f t="shared" si="322"/>
        <v>24304</v>
      </c>
      <c r="U414" s="204">
        <f t="shared" si="323"/>
        <v>6076</v>
      </c>
    </row>
    <row r="415" spans="2:21">
      <c r="B415" s="230">
        <v>183689</v>
      </c>
      <c r="D415" s="230">
        <v>215</v>
      </c>
      <c r="E415" s="184" t="s">
        <v>374</v>
      </c>
      <c r="F415" s="229">
        <v>2017</v>
      </c>
      <c r="G415" s="228">
        <v>6</v>
      </c>
      <c r="H415" s="209">
        <v>0</v>
      </c>
      <c r="I415" s="208" t="s">
        <v>86</v>
      </c>
      <c r="J415" s="227">
        <v>5</v>
      </c>
      <c r="K415" s="207">
        <f>F415+J415</f>
        <v>2022</v>
      </c>
      <c r="L415" s="206">
        <f t="shared" si="280"/>
        <v>2022.5</v>
      </c>
      <c r="M415" s="190">
        <v>6415.06</v>
      </c>
      <c r="N415" s="225">
        <f>M415-M415*H415</f>
        <v>6415.06</v>
      </c>
      <c r="O415" s="225">
        <f>N415/J415/12</f>
        <v>106.91766666666668</v>
      </c>
      <c r="P415" s="204">
        <f t="shared" si="319"/>
        <v>1283.0120000000002</v>
      </c>
      <c r="Q415" s="204">
        <f t="shared" si="320"/>
        <v>1283.0120000000002</v>
      </c>
      <c r="R415" s="225"/>
      <c r="S415" s="204">
        <f t="shared" si="321"/>
        <v>3849.0360000000005</v>
      </c>
      <c r="T415" s="204">
        <f t="shared" si="322"/>
        <v>5132.0480000000007</v>
      </c>
      <c r="U415" s="204">
        <f t="shared" si="323"/>
        <v>1283.0119999999997</v>
      </c>
    </row>
    <row r="416" spans="2:21">
      <c r="D416" s="202"/>
      <c r="E416" s="186"/>
      <c r="I416" s="208"/>
      <c r="K416" s="207"/>
      <c r="L416" s="206"/>
      <c r="M416" s="182"/>
      <c r="N416" s="181"/>
      <c r="O416" s="181"/>
      <c r="P416" s="285"/>
      <c r="Q416" s="285"/>
      <c r="R416" s="181"/>
      <c r="S416" s="181"/>
      <c r="T416" s="181"/>
      <c r="U416" s="181"/>
    </row>
    <row r="417" spans="2:21">
      <c r="D417" s="202"/>
      <c r="E417" s="322" t="s">
        <v>614</v>
      </c>
      <c r="F417" s="305"/>
      <c r="G417" s="306"/>
      <c r="H417" s="306"/>
      <c r="I417" s="308"/>
      <c r="J417" s="309"/>
      <c r="K417" s="310"/>
      <c r="L417" s="323"/>
      <c r="M417" s="183">
        <f>+SUM(M412:M416)</f>
        <v>73590.12</v>
      </c>
      <c r="N417" s="183">
        <f t="shared" ref="N417:U417" si="324">+SUM(N412:N416)</f>
        <v>73590.12</v>
      </c>
      <c r="O417" s="183">
        <f t="shared" si="324"/>
        <v>1226.502</v>
      </c>
      <c r="P417" s="240">
        <f t="shared" si="324"/>
        <v>14718.024000000001</v>
      </c>
      <c r="Q417" s="240">
        <f t="shared" si="324"/>
        <v>14718.024000000001</v>
      </c>
      <c r="R417" s="183">
        <f t="shared" si="324"/>
        <v>0</v>
      </c>
      <c r="S417" s="183">
        <f t="shared" si="324"/>
        <v>44154.072</v>
      </c>
      <c r="T417" s="183">
        <f t="shared" si="324"/>
        <v>58872.096000000005</v>
      </c>
      <c r="U417" s="183">
        <f t="shared" si="324"/>
        <v>14718.023999999998</v>
      </c>
    </row>
    <row r="418" spans="2:21">
      <c r="D418" s="202"/>
      <c r="E418" s="186"/>
      <c r="I418" s="208"/>
      <c r="K418" s="207"/>
      <c r="L418" s="206"/>
      <c r="M418" s="182"/>
      <c r="N418" s="181"/>
      <c r="O418" s="181"/>
      <c r="P418" s="285"/>
      <c r="Q418" s="285"/>
      <c r="R418" s="181"/>
      <c r="S418" s="181"/>
      <c r="T418" s="181"/>
      <c r="U418" s="181"/>
    </row>
    <row r="419" spans="2:21">
      <c r="D419" s="202"/>
      <c r="E419" s="186"/>
      <c r="I419" s="208"/>
      <c r="K419" s="207"/>
      <c r="L419" s="206"/>
      <c r="M419" s="182"/>
      <c r="N419" s="181"/>
      <c r="O419" s="181"/>
      <c r="P419" s="285"/>
      <c r="Q419" s="285"/>
      <c r="R419" s="181"/>
      <c r="S419" s="181"/>
      <c r="T419" s="181"/>
      <c r="U419" s="181"/>
    </row>
    <row r="420" spans="2:21">
      <c r="D420" s="202"/>
      <c r="E420" s="186"/>
      <c r="I420" s="208"/>
      <c r="K420" s="207"/>
      <c r="L420" s="206"/>
      <c r="M420" s="183">
        <f t="shared" ref="M420:U420" si="325">+SUM(M419:M419)</f>
        <v>0</v>
      </c>
      <c r="N420" s="183">
        <f t="shared" si="325"/>
        <v>0</v>
      </c>
      <c r="O420" s="183">
        <f t="shared" si="325"/>
        <v>0</v>
      </c>
      <c r="P420" s="240">
        <f t="shared" si="325"/>
        <v>0</v>
      </c>
      <c r="Q420" s="240">
        <f t="shared" si="325"/>
        <v>0</v>
      </c>
      <c r="R420" s="183">
        <f t="shared" si="325"/>
        <v>0</v>
      </c>
      <c r="S420" s="183">
        <f t="shared" si="325"/>
        <v>0</v>
      </c>
      <c r="T420" s="183">
        <f t="shared" si="325"/>
        <v>0</v>
      </c>
      <c r="U420" s="183">
        <f t="shared" si="325"/>
        <v>0</v>
      </c>
    </row>
    <row r="421" spans="2:21">
      <c r="D421" s="202"/>
      <c r="E421" s="321" t="s">
        <v>364</v>
      </c>
      <c r="I421" s="208"/>
      <c r="K421" s="207"/>
      <c r="L421" s="206"/>
      <c r="M421" s="182"/>
      <c r="N421" s="181"/>
      <c r="O421" s="181"/>
      <c r="P421" s="285"/>
      <c r="Q421" s="285"/>
      <c r="R421" s="181"/>
      <c r="S421" s="181"/>
      <c r="T421" s="181"/>
      <c r="U421" s="181"/>
    </row>
    <row r="422" spans="2:21">
      <c r="B422" s="230">
        <v>183695</v>
      </c>
      <c r="D422" s="230">
        <v>1700</v>
      </c>
      <c r="E422" s="185" t="s">
        <v>366</v>
      </c>
      <c r="F422" s="229">
        <v>2017</v>
      </c>
      <c r="G422" s="228">
        <v>6</v>
      </c>
      <c r="H422" s="233">
        <v>0</v>
      </c>
      <c r="I422" s="208" t="s">
        <v>86</v>
      </c>
      <c r="J422" s="227">
        <v>5</v>
      </c>
      <c r="K422" s="207">
        <f t="shared" ref="K422:K428" si="326">F422+J422</f>
        <v>2022</v>
      </c>
      <c r="L422" s="206">
        <f t="shared" si="280"/>
        <v>2022.5</v>
      </c>
      <c r="M422" s="235">
        <v>46112.5</v>
      </c>
      <c r="N422" s="204">
        <f>M422-M422*H422</f>
        <v>46112.5</v>
      </c>
      <c r="O422" s="204">
        <f>N422/J422/12</f>
        <v>768.54166666666663</v>
      </c>
      <c r="P422" s="204">
        <f t="shared" ref="P422:P425" si="327">+O422*12</f>
        <v>9222.5</v>
      </c>
      <c r="Q422" s="204">
        <f t="shared" ref="Q422:Q428" si="328">+IF(L422&lt;=$N$5,0,IF(K422&gt;$N$4,P422,(O422*G422)))</f>
        <v>9222.5</v>
      </c>
      <c r="R422" s="204"/>
      <c r="S422" s="204">
        <f t="shared" ref="S422:S425" si="329">+IF(Q422=0,M422,IF($N$3-F422&lt;1,0,(($N$3-F422)*P422)))</f>
        <v>27667.5</v>
      </c>
      <c r="T422" s="204">
        <f t="shared" ref="T422:T425" si="330">+IF(Q422=0,S422,S422+Q422)</f>
        <v>36890</v>
      </c>
      <c r="U422" s="204">
        <f t="shared" ref="U422:U428" si="331">M422-T422</f>
        <v>9222.5</v>
      </c>
    </row>
    <row r="423" spans="2:21">
      <c r="B423" s="230">
        <v>183693</v>
      </c>
      <c r="D423" s="230">
        <v>800</v>
      </c>
      <c r="E423" s="185" t="s">
        <v>368</v>
      </c>
      <c r="F423" s="229">
        <v>2017</v>
      </c>
      <c r="G423" s="228">
        <v>6</v>
      </c>
      <c r="H423" s="233">
        <v>0</v>
      </c>
      <c r="I423" s="208" t="s">
        <v>86</v>
      </c>
      <c r="J423" s="227">
        <v>5</v>
      </c>
      <c r="K423" s="207">
        <f t="shared" si="326"/>
        <v>2022</v>
      </c>
      <c r="L423" s="206">
        <f t="shared" si="280"/>
        <v>2022.5</v>
      </c>
      <c r="M423" s="235">
        <v>21700</v>
      </c>
      <c r="N423" s="204">
        <f>M423-M423*H423</f>
        <v>21700</v>
      </c>
      <c r="O423" s="204">
        <f>N423/J423/12</f>
        <v>361.66666666666669</v>
      </c>
      <c r="P423" s="204">
        <f t="shared" si="327"/>
        <v>4340</v>
      </c>
      <c r="Q423" s="204">
        <f t="shared" si="328"/>
        <v>4340</v>
      </c>
      <c r="R423" s="204"/>
      <c r="S423" s="204">
        <f t="shared" si="329"/>
        <v>13020</v>
      </c>
      <c r="T423" s="204">
        <f t="shared" si="330"/>
        <v>17360</v>
      </c>
      <c r="U423" s="204">
        <f t="shared" si="331"/>
        <v>4340</v>
      </c>
    </row>
    <row r="424" spans="2:21">
      <c r="B424" s="230">
        <v>183692</v>
      </c>
      <c r="D424" s="230">
        <v>650</v>
      </c>
      <c r="E424" s="185" t="s">
        <v>369</v>
      </c>
      <c r="F424" s="229">
        <v>2017</v>
      </c>
      <c r="G424" s="228">
        <v>6</v>
      </c>
      <c r="H424" s="233">
        <v>0</v>
      </c>
      <c r="I424" s="208" t="s">
        <v>86</v>
      </c>
      <c r="J424" s="227">
        <v>5</v>
      </c>
      <c r="K424" s="207">
        <f t="shared" si="326"/>
        <v>2022</v>
      </c>
      <c r="L424" s="206">
        <f t="shared" si="280"/>
        <v>2022.5</v>
      </c>
      <c r="M424" s="235">
        <v>17631.25</v>
      </c>
      <c r="N424" s="204">
        <f>M424-M424*H424</f>
        <v>17631.25</v>
      </c>
      <c r="O424" s="204">
        <f>N424/J424/12</f>
        <v>293.85416666666669</v>
      </c>
      <c r="P424" s="204">
        <f t="shared" si="327"/>
        <v>3526.25</v>
      </c>
      <c r="Q424" s="204">
        <f t="shared" si="328"/>
        <v>3526.25</v>
      </c>
      <c r="R424" s="204"/>
      <c r="S424" s="204">
        <f t="shared" si="329"/>
        <v>10578.75</v>
      </c>
      <c r="T424" s="204">
        <f t="shared" si="330"/>
        <v>14105</v>
      </c>
      <c r="U424" s="204">
        <f t="shared" si="331"/>
        <v>3526.25</v>
      </c>
    </row>
    <row r="425" spans="2:21">
      <c r="B425" s="230">
        <v>183697</v>
      </c>
      <c r="D425" s="230">
        <v>435</v>
      </c>
      <c r="E425" s="185" t="s">
        <v>389</v>
      </c>
      <c r="F425" s="229">
        <v>2017</v>
      </c>
      <c r="G425" s="228">
        <v>6</v>
      </c>
      <c r="H425" s="233">
        <v>0</v>
      </c>
      <c r="I425" s="208" t="s">
        <v>86</v>
      </c>
      <c r="J425" s="227">
        <v>5</v>
      </c>
      <c r="K425" s="207">
        <f t="shared" si="326"/>
        <v>2022</v>
      </c>
      <c r="L425" s="206">
        <f t="shared" si="280"/>
        <v>2022.5</v>
      </c>
      <c r="M425" s="235">
        <v>37975</v>
      </c>
      <c r="N425" s="204">
        <f>M425-M425*H425</f>
        <v>37975</v>
      </c>
      <c r="O425" s="204">
        <f>N425/J425/12</f>
        <v>632.91666666666663</v>
      </c>
      <c r="P425" s="204">
        <f t="shared" si="327"/>
        <v>7595</v>
      </c>
      <c r="Q425" s="204">
        <f t="shared" si="328"/>
        <v>7595</v>
      </c>
      <c r="R425" s="204"/>
      <c r="S425" s="204">
        <f t="shared" si="329"/>
        <v>22785</v>
      </c>
      <c r="T425" s="204">
        <f t="shared" si="330"/>
        <v>30380</v>
      </c>
      <c r="U425" s="204">
        <f t="shared" si="331"/>
        <v>7595</v>
      </c>
    </row>
    <row r="426" spans="2:21">
      <c r="B426" s="230">
        <v>201329</v>
      </c>
      <c r="D426" s="230">
        <v>25</v>
      </c>
      <c r="E426" s="185" t="s">
        <v>472</v>
      </c>
      <c r="F426" s="229">
        <v>2018</v>
      </c>
      <c r="G426" s="228">
        <v>7</v>
      </c>
      <c r="H426" s="233">
        <v>0</v>
      </c>
      <c r="I426" s="208" t="s">
        <v>86</v>
      </c>
      <c r="J426" s="227">
        <v>7</v>
      </c>
      <c r="K426" s="207">
        <f t="shared" si="326"/>
        <v>2025</v>
      </c>
      <c r="L426" s="206">
        <f t="shared" si="280"/>
        <v>2025.5833333333333</v>
      </c>
      <c r="M426" s="235">
        <v>7969.33</v>
      </c>
      <c r="N426" s="204">
        <f t="shared" ref="N426:N428" si="332">M426-M426*H426</f>
        <v>7969.33</v>
      </c>
      <c r="O426" s="204">
        <f t="shared" ref="O426:O428" si="333">N426/J426/12</f>
        <v>94.872976190476194</v>
      </c>
      <c r="P426" s="204">
        <f t="shared" ref="P426:P428" si="334">+O426*12</f>
        <v>1138.4757142857143</v>
      </c>
      <c r="Q426" s="204">
        <f t="shared" si="328"/>
        <v>1138.4757142857143</v>
      </c>
      <c r="R426" s="204"/>
      <c r="S426" s="204">
        <f t="shared" ref="S426:S428" si="335">+IF(Q426=0,M426,IF($N$3-F426&lt;1,0,(($N$3-F426)*P426)))</f>
        <v>2276.9514285714286</v>
      </c>
      <c r="T426" s="204">
        <f t="shared" ref="T426:T428" si="336">+IF(Q426=0,S426,S426+Q426)</f>
        <v>3415.4271428571428</v>
      </c>
      <c r="U426" s="204">
        <f t="shared" si="331"/>
        <v>4553.9028571428571</v>
      </c>
    </row>
    <row r="427" spans="2:21">
      <c r="B427" s="230">
        <v>207443</v>
      </c>
      <c r="D427" s="230">
        <v>25</v>
      </c>
      <c r="E427" s="185" t="s">
        <v>473</v>
      </c>
      <c r="F427" s="229">
        <v>2018</v>
      </c>
      <c r="G427" s="228">
        <v>11</v>
      </c>
      <c r="H427" s="233">
        <v>0</v>
      </c>
      <c r="I427" s="208" t="s">
        <v>86</v>
      </c>
      <c r="J427" s="227">
        <v>7</v>
      </c>
      <c r="K427" s="207">
        <f t="shared" si="326"/>
        <v>2025</v>
      </c>
      <c r="L427" s="206">
        <f t="shared" si="280"/>
        <v>2025.9166666666667</v>
      </c>
      <c r="M427" s="235">
        <v>8023.58</v>
      </c>
      <c r="N427" s="204">
        <f t="shared" si="332"/>
        <v>8023.58</v>
      </c>
      <c r="O427" s="204">
        <f t="shared" si="333"/>
        <v>95.518809523809523</v>
      </c>
      <c r="P427" s="204">
        <f t="shared" si="334"/>
        <v>1146.2257142857143</v>
      </c>
      <c r="Q427" s="204">
        <f t="shared" si="328"/>
        <v>1146.2257142857143</v>
      </c>
      <c r="R427" s="204"/>
      <c r="S427" s="204">
        <f t="shared" si="335"/>
        <v>2292.4514285714286</v>
      </c>
      <c r="T427" s="204">
        <f t="shared" si="336"/>
        <v>3438.6771428571428</v>
      </c>
      <c r="U427" s="204">
        <f t="shared" si="331"/>
        <v>4584.9028571428571</v>
      </c>
    </row>
    <row r="428" spans="2:21">
      <c r="B428" s="230">
        <v>220354</v>
      </c>
      <c r="D428" s="230">
        <v>86</v>
      </c>
      <c r="E428" s="185" t="s">
        <v>549</v>
      </c>
      <c r="F428" s="229">
        <v>2019</v>
      </c>
      <c r="G428" s="228">
        <v>1</v>
      </c>
      <c r="H428" s="233">
        <v>0</v>
      </c>
      <c r="I428" s="208" t="s">
        <v>86</v>
      </c>
      <c r="J428" s="227">
        <v>7</v>
      </c>
      <c r="K428" s="207">
        <f t="shared" si="326"/>
        <v>2026</v>
      </c>
      <c r="L428" s="206">
        <f t="shared" si="280"/>
        <v>2026.0833333333333</v>
      </c>
      <c r="M428" s="235">
        <v>37416.01</v>
      </c>
      <c r="N428" s="204">
        <f t="shared" si="332"/>
        <v>37416.01</v>
      </c>
      <c r="O428" s="204">
        <f t="shared" si="333"/>
        <v>445.42869047619047</v>
      </c>
      <c r="P428" s="204">
        <f t="shared" si="334"/>
        <v>5345.1442857142856</v>
      </c>
      <c r="Q428" s="204">
        <f t="shared" si="328"/>
        <v>5345.1442857142856</v>
      </c>
      <c r="R428" s="204"/>
      <c r="S428" s="204">
        <f t="shared" si="335"/>
        <v>5345.1442857142856</v>
      </c>
      <c r="T428" s="204">
        <f t="shared" si="336"/>
        <v>10690.288571428571</v>
      </c>
      <c r="U428" s="204">
        <f t="shared" si="331"/>
        <v>26725.721428571429</v>
      </c>
    </row>
    <row r="429" spans="2:21">
      <c r="D429" s="202"/>
      <c r="E429" s="186"/>
      <c r="H429" s="233"/>
      <c r="I429" s="208"/>
      <c r="K429" s="207"/>
      <c r="L429" s="206"/>
      <c r="M429" s="182"/>
      <c r="N429" s="181"/>
      <c r="O429" s="181"/>
      <c r="P429" s="285"/>
      <c r="Q429" s="285"/>
      <c r="R429" s="181"/>
      <c r="S429" s="181"/>
      <c r="T429" s="181"/>
      <c r="U429" s="181"/>
    </row>
    <row r="430" spans="2:21">
      <c r="D430" s="202"/>
      <c r="E430" s="322" t="s">
        <v>615</v>
      </c>
      <c r="F430" s="305"/>
      <c r="G430" s="306"/>
      <c r="H430" s="306"/>
      <c r="I430" s="308"/>
      <c r="J430" s="309"/>
      <c r="K430" s="310"/>
      <c r="L430" s="323"/>
      <c r="M430" s="183">
        <f>+SUM(M422:M429)</f>
        <v>176827.66999999998</v>
      </c>
      <c r="N430" s="183">
        <f>+SUM(N422:N429)</f>
        <v>176827.66999999998</v>
      </c>
      <c r="O430" s="183">
        <f>+SUM(O422:O429)</f>
        <v>2692.7996428571423</v>
      </c>
      <c r="P430" s="240">
        <f>+SUM(P422:P429)</f>
        <v>32313.595714285711</v>
      </c>
      <c r="Q430" s="240">
        <f t="shared" ref="Q430:U430" si="337">+SUM(Q422:Q429)</f>
        <v>32313.595714285711</v>
      </c>
      <c r="R430" s="183">
        <f t="shared" si="337"/>
        <v>0</v>
      </c>
      <c r="S430" s="183">
        <f t="shared" si="337"/>
        <v>83965.797142857133</v>
      </c>
      <c r="T430" s="183">
        <f t="shared" si="337"/>
        <v>116279.39285714284</v>
      </c>
      <c r="U430" s="183">
        <f t="shared" si="337"/>
        <v>60548.277142857143</v>
      </c>
    </row>
    <row r="431" spans="2:21">
      <c r="D431" s="202"/>
      <c r="E431" s="186"/>
      <c r="H431" s="233"/>
      <c r="I431" s="208"/>
      <c r="K431" s="207"/>
      <c r="L431" s="206"/>
      <c r="M431" s="182"/>
      <c r="N431" s="182"/>
      <c r="O431" s="182"/>
      <c r="P431" s="285"/>
      <c r="Q431" s="285"/>
      <c r="R431" s="181"/>
      <c r="S431" s="182"/>
      <c r="T431" s="182"/>
      <c r="U431" s="182"/>
    </row>
    <row r="432" spans="2:21">
      <c r="D432" s="202"/>
      <c r="E432" s="186" t="s">
        <v>370</v>
      </c>
      <c r="H432" s="233"/>
      <c r="I432" s="208"/>
      <c r="K432" s="207"/>
      <c r="L432" s="206"/>
      <c r="M432" s="182"/>
      <c r="N432" s="182"/>
      <c r="O432" s="182"/>
      <c r="P432" s="285"/>
      <c r="Q432" s="285"/>
      <c r="R432" s="181"/>
      <c r="S432" s="182"/>
      <c r="T432" s="182"/>
      <c r="U432" s="182"/>
    </row>
    <row r="433" spans="2:21">
      <c r="B433" s="230">
        <v>183691</v>
      </c>
      <c r="D433" s="230">
        <v>550</v>
      </c>
      <c r="E433" s="185" t="s">
        <v>371</v>
      </c>
      <c r="F433" s="229">
        <v>2017</v>
      </c>
      <c r="G433" s="228">
        <v>6</v>
      </c>
      <c r="H433" s="233">
        <v>0</v>
      </c>
      <c r="I433" s="208" t="s">
        <v>86</v>
      </c>
      <c r="J433" s="227">
        <v>5</v>
      </c>
      <c r="K433" s="207">
        <f>F433+J433</f>
        <v>2022</v>
      </c>
      <c r="L433" s="206">
        <f t="shared" ref="L433:L482" si="338">+K433+(G433/12)</f>
        <v>2022.5</v>
      </c>
      <c r="M433" s="190">
        <v>16410.63</v>
      </c>
      <c r="N433" s="225">
        <f>M433-M433*H433</f>
        <v>16410.63</v>
      </c>
      <c r="O433" s="225">
        <f>N433/J433/12</f>
        <v>273.51050000000004</v>
      </c>
      <c r="P433" s="204">
        <f t="shared" ref="P433" si="339">+O433*12</f>
        <v>3282.1260000000002</v>
      </c>
      <c r="Q433" s="204">
        <f t="shared" ref="Q433:Q434" si="340">+IF(L433&lt;=$N$5,0,IF(K433&gt;$N$4,P433,(O433*G433)))</f>
        <v>3282.1260000000002</v>
      </c>
      <c r="R433" s="225"/>
      <c r="S433" s="204">
        <f t="shared" ref="S433" si="341">+IF(Q433=0,M433,IF($N$3-F433&lt;1,0,(($N$3-F433)*P433)))</f>
        <v>9846.3780000000006</v>
      </c>
      <c r="T433" s="204">
        <f t="shared" ref="T433" si="342">+IF(Q433=0,S433,S433+Q433)</f>
        <v>13128.504000000001</v>
      </c>
      <c r="U433" s="204">
        <f t="shared" ref="U433:U434" si="343">M433-T433</f>
        <v>3282.1260000000002</v>
      </c>
    </row>
    <row r="434" spans="2:21">
      <c r="B434" s="230">
        <v>195624</v>
      </c>
      <c r="D434" s="230">
        <v>50</v>
      </c>
      <c r="E434" s="185" t="s">
        <v>474</v>
      </c>
      <c r="F434" s="229">
        <v>2018</v>
      </c>
      <c r="G434" s="228">
        <v>4</v>
      </c>
      <c r="H434" s="233">
        <v>0</v>
      </c>
      <c r="I434" s="208" t="s">
        <v>86</v>
      </c>
      <c r="J434" s="227">
        <v>7</v>
      </c>
      <c r="K434" s="207">
        <f>F434+J434</f>
        <v>2025</v>
      </c>
      <c r="L434" s="206">
        <f t="shared" ref="L434" si="344">+K434+(G434/12)</f>
        <v>2025.3333333333333</v>
      </c>
      <c r="M434" s="235">
        <v>3660.96</v>
      </c>
      <c r="N434" s="204">
        <f>M434-M434*H434</f>
        <v>3660.96</v>
      </c>
      <c r="O434" s="204">
        <f>N434/J434/12</f>
        <v>43.582857142857144</v>
      </c>
      <c r="P434" s="204">
        <f t="shared" ref="P434" si="345">+O434*12</f>
        <v>522.99428571428575</v>
      </c>
      <c r="Q434" s="204">
        <f t="shared" si="340"/>
        <v>522.99428571428575</v>
      </c>
      <c r="R434" s="204"/>
      <c r="S434" s="204">
        <f t="shared" ref="S434" si="346">+IF(Q434=0,M434,IF($N$3-F434&lt;1,0,(($N$3-F434)*P434)))</f>
        <v>1045.9885714285715</v>
      </c>
      <c r="T434" s="204">
        <f t="shared" ref="T434" si="347">+IF(Q434=0,S434,S434+Q434)</f>
        <v>1568.9828571428573</v>
      </c>
      <c r="U434" s="204">
        <f t="shared" si="343"/>
        <v>2091.977142857143</v>
      </c>
    </row>
    <row r="435" spans="2:21" s="178" customFormat="1">
      <c r="E435" s="177"/>
      <c r="F435" s="176"/>
      <c r="G435" s="175"/>
      <c r="H435" s="234"/>
      <c r="I435" s="174"/>
      <c r="J435" s="173"/>
      <c r="K435" s="172"/>
      <c r="L435" s="206"/>
      <c r="M435" s="171"/>
      <c r="N435" s="170"/>
      <c r="O435" s="170"/>
      <c r="P435" s="286"/>
      <c r="Q435" s="286"/>
      <c r="R435" s="170"/>
      <c r="S435" s="170"/>
      <c r="T435" s="170"/>
      <c r="U435" s="170"/>
    </row>
    <row r="436" spans="2:21">
      <c r="D436" s="202"/>
      <c r="E436" s="322" t="s">
        <v>615</v>
      </c>
      <c r="F436" s="305"/>
      <c r="G436" s="306"/>
      <c r="H436" s="306"/>
      <c r="I436" s="308"/>
      <c r="J436" s="309"/>
      <c r="K436" s="310"/>
      <c r="L436" s="323"/>
      <c r="M436" s="183">
        <f>+SUM(M433:M435)</f>
        <v>20071.59</v>
      </c>
      <c r="N436" s="183">
        <f t="shared" ref="N436:U436" si="348">+SUM(N433:N435)</f>
        <v>20071.59</v>
      </c>
      <c r="O436" s="183">
        <f t="shared" si="348"/>
        <v>317.0933571428572</v>
      </c>
      <c r="P436" s="240">
        <f t="shared" si="348"/>
        <v>3805.1202857142862</v>
      </c>
      <c r="Q436" s="240">
        <f t="shared" si="348"/>
        <v>3805.1202857142862</v>
      </c>
      <c r="R436" s="183">
        <f t="shared" si="348"/>
        <v>0</v>
      </c>
      <c r="S436" s="183">
        <f t="shared" si="348"/>
        <v>10892.366571428573</v>
      </c>
      <c r="T436" s="183">
        <f t="shared" si="348"/>
        <v>14697.486857142858</v>
      </c>
      <c r="U436" s="183">
        <f t="shared" si="348"/>
        <v>5374.1031428571432</v>
      </c>
    </row>
    <row r="437" spans="2:21">
      <c r="D437" s="202"/>
      <c r="E437" s="186"/>
      <c r="H437" s="233"/>
      <c r="I437" s="208"/>
      <c r="K437" s="207"/>
      <c r="L437" s="206"/>
      <c r="M437" s="182"/>
      <c r="N437" s="182"/>
      <c r="O437" s="182"/>
      <c r="P437" s="285"/>
      <c r="Q437" s="285"/>
      <c r="R437" s="181"/>
      <c r="S437" s="182"/>
      <c r="T437" s="182"/>
      <c r="U437" s="182"/>
    </row>
    <row r="438" spans="2:21">
      <c r="D438" s="202"/>
      <c r="E438" s="186" t="s">
        <v>372</v>
      </c>
      <c r="H438" s="233"/>
      <c r="I438" s="208"/>
      <c r="K438" s="207"/>
      <c r="L438" s="206"/>
      <c r="M438" s="182"/>
      <c r="N438" s="182"/>
      <c r="O438" s="182"/>
      <c r="P438" s="285"/>
      <c r="Q438" s="285"/>
      <c r="R438" s="181"/>
      <c r="S438" s="182"/>
      <c r="T438" s="182"/>
      <c r="U438" s="182"/>
    </row>
    <row r="439" spans="2:21">
      <c r="B439" s="230">
        <v>183690</v>
      </c>
      <c r="D439" s="230">
        <v>4</v>
      </c>
      <c r="E439" s="185" t="s">
        <v>373</v>
      </c>
      <c r="F439" s="229">
        <v>2017</v>
      </c>
      <c r="G439" s="228">
        <v>6</v>
      </c>
      <c r="H439" s="233">
        <v>0</v>
      </c>
      <c r="I439" s="208" t="s">
        <v>86</v>
      </c>
      <c r="J439" s="227">
        <v>7</v>
      </c>
      <c r="K439" s="207">
        <f>F439+J439</f>
        <v>2024</v>
      </c>
      <c r="L439" s="206">
        <f t="shared" si="338"/>
        <v>2024.5</v>
      </c>
      <c r="M439" s="190">
        <v>24000</v>
      </c>
      <c r="N439" s="225">
        <f>M439-M439*H439</f>
        <v>24000</v>
      </c>
      <c r="O439" s="225">
        <f>N439/J439/12</f>
        <v>285.71428571428572</v>
      </c>
      <c r="P439" s="204">
        <f t="shared" ref="P439" si="349">+O439*12</f>
        <v>3428.5714285714284</v>
      </c>
      <c r="Q439" s="204">
        <f t="shared" ref="Q439" si="350">+IF(L439&lt;=$N$5,0,IF(K439&gt;$N$4,P439,(O439*G439)))</f>
        <v>3428.5714285714284</v>
      </c>
      <c r="R439" s="225"/>
      <c r="S439" s="204">
        <f t="shared" ref="S439" si="351">+IF(Q439=0,M439,IF($N$3-F439&lt;1,0,(($N$3-F439)*P439)))</f>
        <v>10285.714285714286</v>
      </c>
      <c r="T439" s="204">
        <f t="shared" ref="T439" si="352">+IF(Q439=0,S439,S439+Q439)</f>
        <v>13714.285714285714</v>
      </c>
      <c r="U439" s="204">
        <f t="shared" ref="U439" si="353">M439-T439</f>
        <v>10285.714285714286</v>
      </c>
    </row>
    <row r="440" spans="2:21" s="178" customFormat="1">
      <c r="E440" s="177"/>
      <c r="F440" s="176"/>
      <c r="G440" s="175"/>
      <c r="H440" s="175"/>
      <c r="I440" s="174"/>
      <c r="J440" s="173"/>
      <c r="K440" s="172"/>
      <c r="L440" s="206"/>
      <c r="M440" s="171"/>
      <c r="N440" s="170"/>
      <c r="O440" s="170"/>
      <c r="P440" s="286"/>
      <c r="Q440" s="286"/>
      <c r="R440" s="170"/>
      <c r="S440" s="170"/>
      <c r="T440" s="170"/>
      <c r="U440" s="170"/>
    </row>
    <row r="441" spans="2:21">
      <c r="D441" s="202"/>
      <c r="E441" s="322" t="s">
        <v>616</v>
      </c>
      <c r="F441" s="305"/>
      <c r="G441" s="306"/>
      <c r="H441" s="306"/>
      <c r="I441" s="308"/>
      <c r="J441" s="309"/>
      <c r="K441" s="310"/>
      <c r="L441" s="323"/>
      <c r="M441" s="183">
        <f>+SUM(M439:M440)</f>
        <v>24000</v>
      </c>
      <c r="N441" s="183">
        <f t="shared" ref="N441:U441" si="354">+SUM(N439:N440)</f>
        <v>24000</v>
      </c>
      <c r="O441" s="183">
        <f t="shared" si="354"/>
        <v>285.71428571428572</v>
      </c>
      <c r="P441" s="240">
        <f t="shared" si="354"/>
        <v>3428.5714285714284</v>
      </c>
      <c r="Q441" s="240">
        <f t="shared" si="354"/>
        <v>3428.5714285714284</v>
      </c>
      <c r="R441" s="183">
        <f t="shared" si="354"/>
        <v>0</v>
      </c>
      <c r="S441" s="183">
        <f t="shared" si="354"/>
        <v>10285.714285714286</v>
      </c>
      <c r="T441" s="183">
        <f t="shared" si="354"/>
        <v>13714.285714285714</v>
      </c>
      <c r="U441" s="183">
        <f t="shared" si="354"/>
        <v>10285.714285714286</v>
      </c>
    </row>
    <row r="442" spans="2:21">
      <c r="D442" s="202"/>
      <c r="E442" s="186" t="s">
        <v>2</v>
      </c>
      <c r="I442" s="208"/>
      <c r="K442" s="207"/>
      <c r="L442" s="206"/>
      <c r="M442" s="182"/>
      <c r="N442" s="182"/>
      <c r="O442" s="182"/>
      <c r="P442" s="285"/>
      <c r="Q442" s="285"/>
      <c r="R442" s="182"/>
      <c r="S442" s="182"/>
      <c r="T442" s="182"/>
      <c r="U442" s="182"/>
    </row>
    <row r="443" spans="2:21">
      <c r="D443" s="202"/>
      <c r="E443" s="322" t="s">
        <v>221</v>
      </c>
      <c r="F443" s="305"/>
      <c r="G443" s="306"/>
      <c r="H443" s="306"/>
      <c r="I443" s="308"/>
      <c r="J443" s="309"/>
      <c r="K443" s="310"/>
      <c r="L443" s="323"/>
      <c r="M443" s="183">
        <f t="shared" ref="M443:U443" si="355">M228+M289+M335+M350+M409+M417+M420+M430+M436+M441+M378+M393</f>
        <v>3455616.7195726493</v>
      </c>
      <c r="N443" s="183">
        <f t="shared" si="355"/>
        <v>3455616.7195726493</v>
      </c>
      <c r="O443" s="183">
        <f t="shared" si="355"/>
        <v>34337.395290547414</v>
      </c>
      <c r="P443" s="183">
        <f t="shared" si="355"/>
        <v>412048.74348656897</v>
      </c>
      <c r="Q443" s="183">
        <f t="shared" si="355"/>
        <v>257114.77330952379</v>
      </c>
      <c r="R443" s="183">
        <f t="shared" si="355"/>
        <v>0</v>
      </c>
      <c r="S443" s="183">
        <f t="shared" si="355"/>
        <v>2182514.0451202686</v>
      </c>
      <c r="T443" s="183">
        <f t="shared" si="355"/>
        <v>2439628.8184297928</v>
      </c>
      <c r="U443" s="183">
        <f t="shared" si="355"/>
        <v>1015987.901142857</v>
      </c>
    </row>
    <row r="444" spans="2:21">
      <c r="E444" s="186"/>
      <c r="I444" s="208"/>
      <c r="K444" s="207"/>
      <c r="L444" s="206"/>
      <c r="M444" s="190"/>
      <c r="N444" s="225"/>
      <c r="O444" s="225"/>
      <c r="P444" s="204"/>
      <c r="Q444" s="204"/>
      <c r="R444" s="225"/>
      <c r="S444" s="225"/>
      <c r="T444" s="225"/>
      <c r="U444" s="225"/>
    </row>
    <row r="445" spans="2:21">
      <c r="E445" s="321" t="s">
        <v>222</v>
      </c>
      <c r="I445" s="208"/>
      <c r="K445" s="207"/>
      <c r="L445" s="206"/>
      <c r="M445" s="190"/>
      <c r="N445" s="225"/>
      <c r="O445" s="225"/>
      <c r="P445" s="204">
        <f t="shared" ref="P445" si="356">+O445*12</f>
        <v>0</v>
      </c>
      <c r="Q445" s="204"/>
      <c r="R445" s="225"/>
      <c r="S445" s="225"/>
      <c r="T445" s="225"/>
      <c r="U445" s="225"/>
    </row>
    <row r="446" spans="2:21">
      <c r="B446" s="230">
        <v>205264</v>
      </c>
      <c r="E446" s="185" t="s">
        <v>486</v>
      </c>
      <c r="F446" s="229">
        <v>2008</v>
      </c>
      <c r="G446" s="228">
        <v>11</v>
      </c>
      <c r="H446" s="233">
        <v>0</v>
      </c>
      <c r="I446" s="208" t="s">
        <v>86</v>
      </c>
      <c r="J446" s="227">
        <v>3</v>
      </c>
      <c r="K446" s="207">
        <f>F446+J446</f>
        <v>2011</v>
      </c>
      <c r="L446" s="206">
        <f t="shared" si="338"/>
        <v>2011.9166666666667</v>
      </c>
      <c r="M446" s="235">
        <v>3000</v>
      </c>
      <c r="N446" s="204">
        <f>M446-M446*H446</f>
        <v>3000</v>
      </c>
      <c r="O446" s="204">
        <f>N446/J446/12</f>
        <v>83.333333333333329</v>
      </c>
      <c r="P446" s="204">
        <f t="shared" ref="P446:P447" si="357">+O446*12</f>
        <v>1000</v>
      </c>
      <c r="Q446" s="204">
        <f t="shared" ref="Q446:Q447" si="358">+IF(L446&lt;=$N$5,0,IF(K446&gt;$N$4,P446,(O446*G446)))</f>
        <v>0</v>
      </c>
      <c r="R446" s="204"/>
      <c r="S446" s="204">
        <f t="shared" ref="S446:S447" si="359">+IF(Q446=0,M446,IF($N$3-F446&lt;1,0,(($N$3-F446)*P446)))</f>
        <v>3000</v>
      </c>
      <c r="T446" s="204">
        <f t="shared" ref="T446:T447" si="360">+IF(Q446=0,S446,S446+Q446)</f>
        <v>3000</v>
      </c>
      <c r="U446" s="204">
        <f t="shared" ref="U446:U447" si="361">M446-T446</f>
        <v>0</v>
      </c>
    </row>
    <row r="447" spans="2:21">
      <c r="B447" s="230">
        <v>213239</v>
      </c>
      <c r="D447" s="230">
        <v>101</v>
      </c>
      <c r="E447" s="185" t="s">
        <v>534</v>
      </c>
      <c r="F447" s="229">
        <v>2016</v>
      </c>
      <c r="G447" s="228">
        <v>8</v>
      </c>
      <c r="H447" s="233">
        <v>0</v>
      </c>
      <c r="I447" s="208" t="s">
        <v>86</v>
      </c>
      <c r="J447" s="227">
        <v>3</v>
      </c>
      <c r="K447" s="207">
        <f>F447+J447</f>
        <v>2019</v>
      </c>
      <c r="L447" s="206">
        <f t="shared" si="338"/>
        <v>2019.6666666666667</v>
      </c>
      <c r="M447" s="235">
        <v>28923.599999999999</v>
      </c>
      <c r="N447" s="204">
        <f>M447-M447*H447</f>
        <v>28923.599999999999</v>
      </c>
      <c r="O447" s="204">
        <f>N447/J447/12</f>
        <v>803.43333333333328</v>
      </c>
      <c r="P447" s="204">
        <f t="shared" si="357"/>
        <v>9641.1999999999989</v>
      </c>
      <c r="Q447" s="204">
        <f t="shared" si="358"/>
        <v>0</v>
      </c>
      <c r="R447" s="204"/>
      <c r="S447" s="204">
        <f t="shared" si="359"/>
        <v>28923.599999999999</v>
      </c>
      <c r="T447" s="204">
        <f t="shared" si="360"/>
        <v>28923.599999999999</v>
      </c>
      <c r="U447" s="204">
        <f t="shared" si="361"/>
        <v>0</v>
      </c>
    </row>
    <row r="448" spans="2:21">
      <c r="C448" s="228"/>
      <c r="D448" s="203"/>
      <c r="E448" s="210"/>
      <c r="H448" s="209"/>
      <c r="I448" s="208"/>
      <c r="K448" s="207"/>
      <c r="L448" s="206"/>
      <c r="N448" s="225"/>
      <c r="O448" s="225"/>
      <c r="P448" s="204"/>
      <c r="Q448" s="204"/>
      <c r="R448" s="225"/>
      <c r="S448" s="225"/>
      <c r="T448" s="225"/>
      <c r="U448" s="225"/>
    </row>
    <row r="449" spans="1:21" s="202" customFormat="1">
      <c r="E449" s="304" t="s">
        <v>226</v>
      </c>
      <c r="F449" s="312"/>
      <c r="G449" s="313"/>
      <c r="H449" s="314"/>
      <c r="I449" s="299"/>
      <c r="J449" s="300"/>
      <c r="K449" s="298"/>
      <c r="L449" s="323"/>
      <c r="M449" s="183">
        <f>+SUM(M446:M448)</f>
        <v>31923.599999999999</v>
      </c>
      <c r="N449" s="183">
        <f t="shared" ref="N449:U449" si="362">+SUM(N446:N448)</f>
        <v>31923.599999999999</v>
      </c>
      <c r="O449" s="183">
        <f t="shared" si="362"/>
        <v>886.76666666666665</v>
      </c>
      <c r="P449" s="183">
        <f t="shared" si="362"/>
        <v>10641.199999999999</v>
      </c>
      <c r="Q449" s="183">
        <f t="shared" si="362"/>
        <v>0</v>
      </c>
      <c r="R449" s="183">
        <f t="shared" si="362"/>
        <v>0</v>
      </c>
      <c r="S449" s="183">
        <f t="shared" si="362"/>
        <v>31923.599999999999</v>
      </c>
      <c r="T449" s="183">
        <f t="shared" si="362"/>
        <v>31923.599999999999</v>
      </c>
      <c r="U449" s="183">
        <f t="shared" si="362"/>
        <v>0</v>
      </c>
    </row>
    <row r="450" spans="1:21">
      <c r="E450" s="186"/>
      <c r="I450" s="208"/>
      <c r="K450" s="207"/>
      <c r="L450" s="206"/>
      <c r="M450" s="190"/>
      <c r="N450" s="225"/>
      <c r="O450" s="225"/>
      <c r="P450" s="204"/>
      <c r="Q450" s="204"/>
      <c r="R450" s="225"/>
      <c r="S450" s="225"/>
      <c r="T450" s="225"/>
      <c r="U450" s="225"/>
    </row>
    <row r="451" spans="1:21">
      <c r="I451" s="208"/>
      <c r="K451" s="207"/>
      <c r="L451" s="206"/>
      <c r="M451" s="190"/>
      <c r="N451" s="225"/>
      <c r="O451" s="225"/>
      <c r="P451" s="204"/>
      <c r="Q451" s="204"/>
      <c r="R451" s="225"/>
      <c r="S451" s="225"/>
      <c r="T451" s="225"/>
      <c r="U451" s="225"/>
    </row>
    <row r="452" spans="1:21">
      <c r="E452" s="321" t="s">
        <v>617</v>
      </c>
      <c r="I452" s="208"/>
      <c r="K452" s="207"/>
      <c r="L452" s="206"/>
      <c r="M452" s="190"/>
      <c r="N452" s="225"/>
      <c r="O452" s="225"/>
      <c r="P452" s="204"/>
      <c r="Q452" s="204"/>
      <c r="R452" s="225"/>
      <c r="S452" s="225"/>
      <c r="T452" s="225"/>
      <c r="U452" s="225"/>
    </row>
    <row r="453" spans="1:21">
      <c r="E453" s="210" t="s">
        <v>233</v>
      </c>
      <c r="F453" s="229">
        <v>2005</v>
      </c>
      <c r="G453" s="228">
        <v>5</v>
      </c>
      <c r="H453" s="209">
        <v>0</v>
      </c>
      <c r="I453" s="208" t="s">
        <v>86</v>
      </c>
      <c r="J453" s="227">
        <v>7</v>
      </c>
      <c r="K453" s="207">
        <f t="shared" ref="K453:K484" si="363">F453+J453</f>
        <v>2012</v>
      </c>
      <c r="L453" s="206">
        <f t="shared" si="338"/>
        <v>2012.4166666666667</v>
      </c>
      <c r="M453" s="190">
        <f>+'Depreciation - Orig.'!P419</f>
        <v>34293.759999999995</v>
      </c>
      <c r="N453" s="204">
        <f t="shared" ref="N453:N484" si="364">M453-M453*H453</f>
        <v>34293.759999999995</v>
      </c>
      <c r="O453" s="204">
        <f t="shared" ref="O453:O484" si="365">N453/J453/12</f>
        <v>408.25904761904758</v>
      </c>
      <c r="P453" s="204">
        <f t="shared" ref="P453:P484" si="366">+O453*12</f>
        <v>4899.1085714285709</v>
      </c>
      <c r="Q453" s="204">
        <f t="shared" ref="Q453:Q489" si="367">+IF(L453&lt;=$N$5,0,IF(K453&gt;$N$4,P453,(O453*G453)))</f>
        <v>0</v>
      </c>
      <c r="R453" s="204"/>
      <c r="S453" s="204">
        <f t="shared" ref="S453:S484" si="368">+IF(Q453=0,M453,IF($N$3-F453&lt;1,0,(($N$3-F453)*P453)))</f>
        <v>34293.759999999995</v>
      </c>
      <c r="T453" s="204">
        <f t="shared" ref="T453:T484" si="369">+IF(Q453=0,S453,S453+Q453)</f>
        <v>34293.759999999995</v>
      </c>
      <c r="U453" s="204">
        <f t="shared" ref="U453:U489" si="370">M453-T453</f>
        <v>0</v>
      </c>
    </row>
    <row r="454" spans="1:21">
      <c r="A454" s="270"/>
      <c r="B454" s="270"/>
      <c r="C454" s="271"/>
      <c r="D454" s="270"/>
      <c r="E454" s="272" t="s">
        <v>602</v>
      </c>
      <c r="F454" s="273">
        <v>2020</v>
      </c>
      <c r="G454" s="271">
        <v>12</v>
      </c>
      <c r="H454" s="274">
        <v>0</v>
      </c>
      <c r="I454" s="275" t="s">
        <v>86</v>
      </c>
      <c r="J454" s="276">
        <v>3</v>
      </c>
      <c r="K454" s="277">
        <f>F454+J454</f>
        <v>2023</v>
      </c>
      <c r="L454" s="278">
        <f>+K454+(G454/12)</f>
        <v>2024</v>
      </c>
      <c r="M454" s="279">
        <f>+'Depreciation - Orig.'!N419-M453</f>
        <v>8573.4400000000023</v>
      </c>
      <c r="N454" s="280">
        <f>M454-M454*H454</f>
        <v>8573.4400000000023</v>
      </c>
      <c r="O454" s="280">
        <f>N454/J454/12</f>
        <v>238.15111111111116</v>
      </c>
      <c r="P454" s="280">
        <f>+O454*12</f>
        <v>2857.813333333334</v>
      </c>
      <c r="Q454" s="280">
        <f>+IF(L454&lt;=$N$5,0,IF(K454&gt;$N$4,P454,(O454*G454)))</f>
        <v>2857.813333333334</v>
      </c>
      <c r="R454" s="280"/>
      <c r="S454" s="280">
        <f>+IF(Q454=0,M454,IF($N$3-F454&lt;1,0,(($N$3-F454)*P454)))</f>
        <v>0</v>
      </c>
      <c r="T454" s="280">
        <f>+IF(Q454=0,S454,S454+Q454)</f>
        <v>2857.813333333334</v>
      </c>
      <c r="U454" s="280">
        <f>M454-T454</f>
        <v>5715.6266666666688</v>
      </c>
    </row>
    <row r="455" spans="1:21">
      <c r="E455" s="210" t="s">
        <v>239</v>
      </c>
      <c r="F455" s="229">
        <v>2007</v>
      </c>
      <c r="G455" s="228">
        <v>5</v>
      </c>
      <c r="H455" s="209">
        <v>0</v>
      </c>
      <c r="I455" s="208" t="s">
        <v>86</v>
      </c>
      <c r="J455" s="227">
        <v>5</v>
      </c>
      <c r="K455" s="207">
        <f t="shared" si="363"/>
        <v>2012</v>
      </c>
      <c r="L455" s="206">
        <f t="shared" si="338"/>
        <v>2012.4166666666667</v>
      </c>
      <c r="M455" s="190">
        <v>1618.75</v>
      </c>
      <c r="N455" s="204">
        <f t="shared" si="364"/>
        <v>1618.75</v>
      </c>
      <c r="O455" s="204">
        <f t="shared" si="365"/>
        <v>26.979166666666668</v>
      </c>
      <c r="P455" s="204">
        <f t="shared" si="366"/>
        <v>323.75</v>
      </c>
      <c r="Q455" s="204">
        <f t="shared" si="367"/>
        <v>0</v>
      </c>
      <c r="R455" s="204"/>
      <c r="S455" s="204">
        <f t="shared" si="368"/>
        <v>1618.75</v>
      </c>
      <c r="T455" s="204">
        <f t="shared" si="369"/>
        <v>1618.75</v>
      </c>
      <c r="U455" s="204">
        <f t="shared" si="370"/>
        <v>0</v>
      </c>
    </row>
    <row r="456" spans="1:21">
      <c r="E456" s="210" t="s">
        <v>240</v>
      </c>
      <c r="F456" s="229">
        <v>2007</v>
      </c>
      <c r="G456" s="228">
        <v>11</v>
      </c>
      <c r="H456" s="209">
        <v>0</v>
      </c>
      <c r="I456" s="208" t="s">
        <v>86</v>
      </c>
      <c r="J456" s="227">
        <v>7</v>
      </c>
      <c r="K456" s="207">
        <f t="shared" si="363"/>
        <v>2014</v>
      </c>
      <c r="L456" s="206">
        <f t="shared" si="338"/>
        <v>2014.9166666666667</v>
      </c>
      <c r="M456" s="190">
        <f>+'Depreciation - Orig.'!P421</f>
        <v>1168.624</v>
      </c>
      <c r="N456" s="204">
        <f t="shared" si="364"/>
        <v>1168.624</v>
      </c>
      <c r="O456" s="204">
        <f t="shared" si="365"/>
        <v>13.912190476190476</v>
      </c>
      <c r="P456" s="204">
        <f t="shared" si="366"/>
        <v>166.94628571428572</v>
      </c>
      <c r="Q456" s="204">
        <f t="shared" si="367"/>
        <v>0</v>
      </c>
      <c r="R456" s="204"/>
      <c r="S456" s="204">
        <f t="shared" si="368"/>
        <v>1168.624</v>
      </c>
      <c r="T456" s="204">
        <f t="shared" si="369"/>
        <v>1168.624</v>
      </c>
      <c r="U456" s="204">
        <f t="shared" si="370"/>
        <v>0</v>
      </c>
    </row>
    <row r="457" spans="1:21">
      <c r="A457" s="270"/>
      <c r="B457" s="270"/>
      <c r="C457" s="271"/>
      <c r="D457" s="270"/>
      <c r="E457" s="272" t="s">
        <v>603</v>
      </c>
      <c r="F457" s="273">
        <v>2020</v>
      </c>
      <c r="G457" s="271">
        <v>12</v>
      </c>
      <c r="H457" s="274">
        <v>0</v>
      </c>
      <c r="I457" s="275" t="s">
        <v>86</v>
      </c>
      <c r="J457" s="276">
        <v>3</v>
      </c>
      <c r="K457" s="277">
        <f>F457+J457</f>
        <v>2023</v>
      </c>
      <c r="L457" s="278">
        <f>+K457+(G457/12)</f>
        <v>2024</v>
      </c>
      <c r="M457" s="279">
        <f>+'Depreciation - Orig.'!N421-Depreciation!M456</f>
        <v>292.15599999999995</v>
      </c>
      <c r="N457" s="280">
        <f>M457-M457*H457</f>
        <v>292.15599999999995</v>
      </c>
      <c r="O457" s="280">
        <f>N457/J457/12</f>
        <v>8.115444444444444</v>
      </c>
      <c r="P457" s="280">
        <f>+O457*12</f>
        <v>97.385333333333335</v>
      </c>
      <c r="Q457" s="280">
        <f>+IF(L457&lt;=$N$5,0,IF(K457&gt;$N$4,P457,(O457*G457)))</f>
        <v>97.385333333333335</v>
      </c>
      <c r="R457" s="280"/>
      <c r="S457" s="280">
        <f>+IF(Q457=0,M457,IF($N$3-F457&lt;1,0,(($N$3-F457)*P457)))</f>
        <v>0</v>
      </c>
      <c r="T457" s="280">
        <f>+IF(Q457=0,S457,S457+Q457)</f>
        <v>97.385333333333335</v>
      </c>
      <c r="U457" s="280">
        <f>M457-T457</f>
        <v>194.77066666666661</v>
      </c>
    </row>
    <row r="458" spans="1:21">
      <c r="E458" s="210" t="s">
        <v>241</v>
      </c>
      <c r="F458" s="229">
        <v>2007</v>
      </c>
      <c r="G458" s="228">
        <v>12</v>
      </c>
      <c r="H458" s="209">
        <v>0</v>
      </c>
      <c r="I458" s="208" t="s">
        <v>86</v>
      </c>
      <c r="J458" s="227">
        <v>5</v>
      </c>
      <c r="K458" s="207">
        <f t="shared" si="363"/>
        <v>2012</v>
      </c>
      <c r="L458" s="206">
        <f t="shared" si="338"/>
        <v>2013</v>
      </c>
      <c r="M458" s="190">
        <v>2776.1</v>
      </c>
      <c r="N458" s="204">
        <f t="shared" si="364"/>
        <v>2776.1</v>
      </c>
      <c r="O458" s="204">
        <f t="shared" si="365"/>
        <v>46.268333333333338</v>
      </c>
      <c r="P458" s="204">
        <f t="shared" si="366"/>
        <v>555.22</v>
      </c>
      <c r="Q458" s="204">
        <f t="shared" si="367"/>
        <v>0</v>
      </c>
      <c r="R458" s="204"/>
      <c r="S458" s="204">
        <f t="shared" si="368"/>
        <v>2776.1</v>
      </c>
      <c r="T458" s="204">
        <f t="shared" si="369"/>
        <v>2776.1</v>
      </c>
      <c r="U458" s="204">
        <f t="shared" si="370"/>
        <v>0</v>
      </c>
    </row>
    <row r="459" spans="1:21">
      <c r="C459" s="230" t="s">
        <v>242</v>
      </c>
      <c r="D459" s="230" t="s">
        <v>243</v>
      </c>
      <c r="E459" s="210" t="s">
        <v>244</v>
      </c>
      <c r="F459" s="229">
        <v>2008</v>
      </c>
      <c r="G459" s="228">
        <v>7</v>
      </c>
      <c r="H459" s="209">
        <v>0</v>
      </c>
      <c r="I459" s="208" t="s">
        <v>86</v>
      </c>
      <c r="J459" s="227">
        <v>7</v>
      </c>
      <c r="K459" s="207">
        <f>F459+J459</f>
        <v>2015</v>
      </c>
      <c r="L459" s="206">
        <f>+K459+(G459/12)</f>
        <v>2015.5833333333333</v>
      </c>
      <c r="M459" s="190">
        <f>'Depreciation - Orig.'!P423</f>
        <v>37626.015999999996</v>
      </c>
      <c r="N459" s="204">
        <f>M459-M459*H459</f>
        <v>37626.015999999996</v>
      </c>
      <c r="O459" s="204">
        <f>N459/J459/12</f>
        <v>447.92876190476187</v>
      </c>
      <c r="P459" s="204">
        <f>+O459*12</f>
        <v>5375.1451428571427</v>
      </c>
      <c r="Q459" s="204">
        <f>+IF(L459&lt;=$N$5,0,IF(K459&gt;$N$4,P459,(O459*G459)))</f>
        <v>0</v>
      </c>
      <c r="R459" s="204"/>
      <c r="S459" s="204">
        <f>+IF(Q459=0,M459,IF($N$3-F459&lt;1,0,(($N$3-F459)*P459)))</f>
        <v>37626.015999999996</v>
      </c>
      <c r="T459" s="204">
        <f>+IF(Q459=0,S459,S459+Q459)</f>
        <v>37626.015999999996</v>
      </c>
      <c r="U459" s="204">
        <f>M459-T459</f>
        <v>0</v>
      </c>
    </row>
    <row r="460" spans="1:21">
      <c r="A460" s="270"/>
      <c r="B460" s="270"/>
      <c r="C460" s="271"/>
      <c r="D460" s="270"/>
      <c r="E460" s="272" t="s">
        <v>523</v>
      </c>
      <c r="F460" s="273">
        <v>2020</v>
      </c>
      <c r="G460" s="271">
        <v>12</v>
      </c>
      <c r="H460" s="274">
        <v>0</v>
      </c>
      <c r="I460" s="275" t="s">
        <v>86</v>
      </c>
      <c r="J460" s="276">
        <v>3</v>
      </c>
      <c r="K460" s="277">
        <f>F460+J460</f>
        <v>2023</v>
      </c>
      <c r="L460" s="278">
        <f>+K460+(G460/12)</f>
        <v>2024</v>
      </c>
      <c r="M460" s="279">
        <f>'Depreciation - Orig.'!N423-Depreciation!M459</f>
        <v>9406.5040000000008</v>
      </c>
      <c r="N460" s="280">
        <f>M460-M460*H460</f>
        <v>9406.5040000000008</v>
      </c>
      <c r="O460" s="280">
        <f>N460/J460/12</f>
        <v>261.29177777777778</v>
      </c>
      <c r="P460" s="280">
        <f>+O460*12</f>
        <v>3135.5013333333336</v>
      </c>
      <c r="Q460" s="280">
        <f>+IF(L460&lt;=$N$5,0,IF(K460&gt;$N$4,P460,(O460*G460)))</f>
        <v>3135.5013333333336</v>
      </c>
      <c r="R460" s="280"/>
      <c r="S460" s="280">
        <f>+IF(Q460=0,M460,IF($N$3-F460&lt;1,0,(($N$3-F460)*P460)))</f>
        <v>0</v>
      </c>
      <c r="T460" s="280">
        <f>+IF(Q460=0,S460,S460+Q460)</f>
        <v>3135.5013333333336</v>
      </c>
      <c r="U460" s="280">
        <f>M460-T460</f>
        <v>6271.0026666666672</v>
      </c>
    </row>
    <row r="461" spans="1:21">
      <c r="B461" s="230">
        <v>107208</v>
      </c>
      <c r="C461" s="228" t="s">
        <v>301</v>
      </c>
      <c r="D461" s="230">
        <v>8992</v>
      </c>
      <c r="E461" s="210" t="s">
        <v>300</v>
      </c>
      <c r="F461" s="229">
        <v>2008</v>
      </c>
      <c r="G461" s="228">
        <v>11</v>
      </c>
      <c r="H461" s="209">
        <v>0</v>
      </c>
      <c r="I461" s="208" t="s">
        <v>86</v>
      </c>
      <c r="J461" s="227">
        <v>5</v>
      </c>
      <c r="K461" s="207">
        <f t="shared" si="363"/>
        <v>2013</v>
      </c>
      <c r="L461" s="206">
        <f t="shared" si="338"/>
        <v>2013.9166666666667</v>
      </c>
      <c r="M461" s="226">
        <f>'Depreciation - Orig.'!P424</f>
        <v>670</v>
      </c>
      <c r="N461" s="204">
        <f t="shared" si="364"/>
        <v>670</v>
      </c>
      <c r="O461" s="204">
        <f t="shared" si="365"/>
        <v>11.166666666666666</v>
      </c>
      <c r="P461" s="204">
        <f t="shared" si="366"/>
        <v>134</v>
      </c>
      <c r="Q461" s="204">
        <f t="shared" si="367"/>
        <v>0</v>
      </c>
      <c r="R461" s="204"/>
      <c r="S461" s="204">
        <f t="shared" si="368"/>
        <v>670</v>
      </c>
      <c r="T461" s="204">
        <f t="shared" si="369"/>
        <v>670</v>
      </c>
      <c r="U461" s="204">
        <f t="shared" si="370"/>
        <v>0</v>
      </c>
    </row>
    <row r="462" spans="1:21">
      <c r="A462" s="270"/>
      <c r="B462" s="270"/>
      <c r="C462" s="271"/>
      <c r="D462" s="270"/>
      <c r="E462" s="272" t="s">
        <v>524</v>
      </c>
      <c r="F462" s="273">
        <v>2020</v>
      </c>
      <c r="G462" s="271">
        <v>12</v>
      </c>
      <c r="H462" s="274">
        <v>0</v>
      </c>
      <c r="I462" s="275" t="s">
        <v>86</v>
      </c>
      <c r="J462" s="276">
        <v>3</v>
      </c>
      <c r="K462" s="277">
        <f t="shared" si="363"/>
        <v>2023</v>
      </c>
      <c r="L462" s="278">
        <f>+K462+(G462/12)</f>
        <v>2024</v>
      </c>
      <c r="M462" s="279">
        <f>'Depreciation - Orig.'!N424-Depreciation!M461</f>
        <v>330</v>
      </c>
      <c r="N462" s="280">
        <f t="shared" si="364"/>
        <v>330</v>
      </c>
      <c r="O462" s="280">
        <f t="shared" si="365"/>
        <v>9.1666666666666661</v>
      </c>
      <c r="P462" s="280">
        <f>+O462*12</f>
        <v>110</v>
      </c>
      <c r="Q462" s="280">
        <f t="shared" si="367"/>
        <v>110</v>
      </c>
      <c r="R462" s="280"/>
      <c r="S462" s="280">
        <f>+IF(Q462=0,M462,IF($N$3-F462&lt;1,0,(($N$3-F462)*P462)))</f>
        <v>0</v>
      </c>
      <c r="T462" s="280">
        <f>+IF(Q462=0,S462,S462+Q462)</f>
        <v>110</v>
      </c>
      <c r="U462" s="280">
        <f t="shared" si="370"/>
        <v>220</v>
      </c>
    </row>
    <row r="463" spans="1:21">
      <c r="C463" s="230" t="s">
        <v>2</v>
      </c>
      <c r="D463" s="230" t="s">
        <v>2</v>
      </c>
      <c r="E463" s="210" t="s">
        <v>245</v>
      </c>
      <c r="F463" s="229">
        <v>2009</v>
      </c>
      <c r="G463" s="228">
        <v>7</v>
      </c>
      <c r="H463" s="209">
        <v>0</v>
      </c>
      <c r="I463" s="208" t="s">
        <v>86</v>
      </c>
      <c r="J463" s="227">
        <v>7</v>
      </c>
      <c r="K463" s="207">
        <f t="shared" si="363"/>
        <v>2016</v>
      </c>
      <c r="L463" s="206">
        <f t="shared" si="338"/>
        <v>2016.5833333333333</v>
      </c>
      <c r="M463" s="190">
        <f>+'Depreciation - Orig.'!P425</f>
        <v>5594</v>
      </c>
      <c r="N463" s="204">
        <f t="shared" si="364"/>
        <v>5594</v>
      </c>
      <c r="O463" s="204">
        <f t="shared" si="365"/>
        <v>66.595238095238088</v>
      </c>
      <c r="P463" s="204">
        <f t="shared" si="366"/>
        <v>799.14285714285711</v>
      </c>
      <c r="Q463" s="204">
        <f t="shared" si="367"/>
        <v>0</v>
      </c>
      <c r="R463" s="204"/>
      <c r="S463" s="204">
        <f t="shared" si="368"/>
        <v>5594</v>
      </c>
      <c r="T463" s="204">
        <f t="shared" si="369"/>
        <v>5594</v>
      </c>
      <c r="U463" s="204">
        <f t="shared" si="370"/>
        <v>0</v>
      </c>
    </row>
    <row r="464" spans="1:21">
      <c r="A464" s="270"/>
      <c r="B464" s="270"/>
      <c r="C464" s="271"/>
      <c r="D464" s="270"/>
      <c r="E464" s="272" t="s">
        <v>604</v>
      </c>
      <c r="F464" s="273">
        <v>2020</v>
      </c>
      <c r="G464" s="271">
        <v>12</v>
      </c>
      <c r="H464" s="274">
        <v>0</v>
      </c>
      <c r="I464" s="275" t="s">
        <v>86</v>
      </c>
      <c r="J464" s="276">
        <v>3</v>
      </c>
      <c r="K464" s="277">
        <f>F464+J464</f>
        <v>2023</v>
      </c>
      <c r="L464" s="278">
        <f>+K464+(G464/12)</f>
        <v>2024</v>
      </c>
      <c r="M464" s="279">
        <f>+'Depreciation - Orig.'!N425-Depreciation!M463</f>
        <v>1398.5</v>
      </c>
      <c r="N464" s="280">
        <f>M464-M464*H464</f>
        <v>1398.5</v>
      </c>
      <c r="O464" s="280">
        <f>N464/J464/12</f>
        <v>38.847222222222221</v>
      </c>
      <c r="P464" s="280">
        <f>+O464*12</f>
        <v>466.16666666666663</v>
      </c>
      <c r="Q464" s="280">
        <f>+IF(L464&lt;=$N$5,0,IF(K464&gt;$N$4,P464,(O464*G464)))</f>
        <v>466.16666666666663</v>
      </c>
      <c r="R464" s="280"/>
      <c r="S464" s="280">
        <f>+IF(Q464=0,M464,IF($N$3-F464&lt;1,0,(($N$3-F464)*P464)))</f>
        <v>0</v>
      </c>
      <c r="T464" s="280">
        <f>+IF(Q464=0,S464,S464+Q464)</f>
        <v>466.16666666666663</v>
      </c>
      <c r="U464" s="280">
        <f>M464-T464</f>
        <v>932.33333333333337</v>
      </c>
    </row>
    <row r="465" spans="1:21">
      <c r="C465" s="230" t="s">
        <v>2</v>
      </c>
      <c r="D465" s="230" t="s">
        <v>2</v>
      </c>
      <c r="E465" s="210" t="s">
        <v>246</v>
      </c>
      <c r="F465" s="229">
        <v>2009</v>
      </c>
      <c r="G465" s="228">
        <v>12</v>
      </c>
      <c r="H465" s="209">
        <v>0</v>
      </c>
      <c r="I465" s="208" t="s">
        <v>86</v>
      </c>
      <c r="J465" s="227">
        <v>5</v>
      </c>
      <c r="K465" s="207">
        <f t="shared" si="363"/>
        <v>2014</v>
      </c>
      <c r="L465" s="206">
        <f t="shared" si="338"/>
        <v>2015</v>
      </c>
      <c r="M465" s="190">
        <v>1565.27</v>
      </c>
      <c r="N465" s="204">
        <f t="shared" si="364"/>
        <v>1565.27</v>
      </c>
      <c r="O465" s="204">
        <f t="shared" si="365"/>
        <v>26.087833333333332</v>
      </c>
      <c r="P465" s="204">
        <f t="shared" si="366"/>
        <v>313.05399999999997</v>
      </c>
      <c r="Q465" s="204">
        <f t="shared" si="367"/>
        <v>0</v>
      </c>
      <c r="R465" s="204"/>
      <c r="S465" s="204">
        <f t="shared" si="368"/>
        <v>1565.27</v>
      </c>
      <c r="T465" s="204">
        <f t="shared" si="369"/>
        <v>1565.27</v>
      </c>
      <c r="U465" s="204">
        <f t="shared" si="370"/>
        <v>0</v>
      </c>
    </row>
    <row r="466" spans="1:21">
      <c r="C466" s="230" t="s">
        <v>2</v>
      </c>
      <c r="D466" s="230" t="s">
        <v>2</v>
      </c>
      <c r="E466" s="210" t="s">
        <v>247</v>
      </c>
      <c r="F466" s="229">
        <v>2010</v>
      </c>
      <c r="G466" s="228">
        <v>12</v>
      </c>
      <c r="H466" s="209">
        <v>0</v>
      </c>
      <c r="I466" s="208" t="s">
        <v>86</v>
      </c>
      <c r="J466" s="227">
        <v>7</v>
      </c>
      <c r="K466" s="207">
        <f t="shared" si="363"/>
        <v>2017</v>
      </c>
      <c r="L466" s="206">
        <f t="shared" si="338"/>
        <v>2018</v>
      </c>
      <c r="M466" s="190">
        <v>3253.09</v>
      </c>
      <c r="N466" s="204">
        <f t="shared" si="364"/>
        <v>3253.09</v>
      </c>
      <c r="O466" s="204">
        <f t="shared" si="365"/>
        <v>38.72726190476191</v>
      </c>
      <c r="P466" s="204">
        <f t="shared" si="366"/>
        <v>464.72714285714289</v>
      </c>
      <c r="Q466" s="204">
        <f t="shared" si="367"/>
        <v>0</v>
      </c>
      <c r="R466" s="204"/>
      <c r="S466" s="204">
        <f t="shared" si="368"/>
        <v>3253.09</v>
      </c>
      <c r="T466" s="204">
        <f t="shared" si="369"/>
        <v>3253.09</v>
      </c>
      <c r="U466" s="204">
        <f t="shared" si="370"/>
        <v>0</v>
      </c>
    </row>
    <row r="467" spans="1:21">
      <c r="E467" s="210" t="s">
        <v>248</v>
      </c>
      <c r="F467" s="229">
        <v>2010</v>
      </c>
      <c r="G467" s="228">
        <v>12</v>
      </c>
      <c r="H467" s="209">
        <v>0</v>
      </c>
      <c r="I467" s="208" t="s">
        <v>86</v>
      </c>
      <c r="J467" s="227">
        <v>7</v>
      </c>
      <c r="K467" s="207">
        <f t="shared" si="363"/>
        <v>2017</v>
      </c>
      <c r="L467" s="206">
        <f t="shared" si="338"/>
        <v>2018</v>
      </c>
      <c r="M467" s="190">
        <v>4681.47</v>
      </c>
      <c r="N467" s="204">
        <f t="shared" si="364"/>
        <v>4681.47</v>
      </c>
      <c r="O467" s="204">
        <f t="shared" si="365"/>
        <v>55.731785714285714</v>
      </c>
      <c r="P467" s="204">
        <f t="shared" si="366"/>
        <v>668.78142857142859</v>
      </c>
      <c r="Q467" s="204">
        <f t="shared" si="367"/>
        <v>0</v>
      </c>
      <c r="R467" s="204"/>
      <c r="S467" s="204">
        <f t="shared" si="368"/>
        <v>4681.47</v>
      </c>
      <c r="T467" s="204">
        <f t="shared" si="369"/>
        <v>4681.47</v>
      </c>
      <c r="U467" s="204">
        <f t="shared" si="370"/>
        <v>0</v>
      </c>
    </row>
    <row r="468" spans="1:21">
      <c r="E468" s="210" t="s">
        <v>249</v>
      </c>
      <c r="F468" s="229">
        <v>2010</v>
      </c>
      <c r="G468" s="228">
        <v>12</v>
      </c>
      <c r="H468" s="209">
        <v>0</v>
      </c>
      <c r="I468" s="208" t="s">
        <v>86</v>
      </c>
      <c r="J468" s="227">
        <v>7</v>
      </c>
      <c r="K468" s="207">
        <f t="shared" si="363"/>
        <v>2017</v>
      </c>
      <c r="L468" s="206">
        <f t="shared" si="338"/>
        <v>2018</v>
      </c>
      <c r="M468" s="190">
        <v>3765.82</v>
      </c>
      <c r="N468" s="204">
        <f t="shared" si="364"/>
        <v>3765.82</v>
      </c>
      <c r="O468" s="204">
        <f t="shared" si="365"/>
        <v>44.831190476190478</v>
      </c>
      <c r="P468" s="204">
        <f t="shared" si="366"/>
        <v>537.97428571428577</v>
      </c>
      <c r="Q468" s="204">
        <f t="shared" si="367"/>
        <v>0</v>
      </c>
      <c r="R468" s="204"/>
      <c r="S468" s="204">
        <f t="shared" si="368"/>
        <v>3765.82</v>
      </c>
      <c r="T468" s="204">
        <f t="shared" si="369"/>
        <v>3765.82</v>
      </c>
      <c r="U468" s="204">
        <f t="shared" si="370"/>
        <v>0</v>
      </c>
    </row>
    <row r="469" spans="1:21">
      <c r="E469" s="210" t="s">
        <v>250</v>
      </c>
      <c r="F469" s="229">
        <v>2011</v>
      </c>
      <c r="G469" s="228">
        <v>1</v>
      </c>
      <c r="H469" s="209">
        <v>0</v>
      </c>
      <c r="I469" s="208" t="s">
        <v>86</v>
      </c>
      <c r="J469" s="227">
        <v>7</v>
      </c>
      <c r="K469" s="207">
        <f t="shared" si="363"/>
        <v>2018</v>
      </c>
      <c r="L469" s="206">
        <f t="shared" si="338"/>
        <v>2018.0833333333333</v>
      </c>
      <c r="M469" s="190">
        <f>1674.5+7417</f>
        <v>9091.5</v>
      </c>
      <c r="N469" s="204">
        <f t="shared" si="364"/>
        <v>9091.5</v>
      </c>
      <c r="O469" s="204">
        <f t="shared" si="365"/>
        <v>108.23214285714285</v>
      </c>
      <c r="P469" s="204">
        <f t="shared" si="366"/>
        <v>1298.7857142857142</v>
      </c>
      <c r="Q469" s="204">
        <f t="shared" si="367"/>
        <v>0</v>
      </c>
      <c r="R469" s="204"/>
      <c r="S469" s="204">
        <f t="shared" si="368"/>
        <v>9091.5</v>
      </c>
      <c r="T469" s="204">
        <f t="shared" si="369"/>
        <v>9091.5</v>
      </c>
      <c r="U469" s="204">
        <f t="shared" si="370"/>
        <v>0</v>
      </c>
    </row>
    <row r="470" spans="1:21">
      <c r="B470" s="230">
        <v>212566</v>
      </c>
      <c r="E470" s="185" t="s">
        <v>535</v>
      </c>
      <c r="F470" s="229">
        <v>2011</v>
      </c>
      <c r="G470" s="228">
        <v>1</v>
      </c>
      <c r="H470" s="233">
        <v>0</v>
      </c>
      <c r="I470" s="208" t="s">
        <v>86</v>
      </c>
      <c r="J470" s="227">
        <v>1</v>
      </c>
      <c r="K470" s="207">
        <f>F470+J470</f>
        <v>2012</v>
      </c>
      <c r="L470" s="206">
        <f>+K470+(G470/12)</f>
        <v>2012.0833333333333</v>
      </c>
      <c r="M470" s="235">
        <v>0</v>
      </c>
      <c r="N470" s="204">
        <f>M470-M470*H470</f>
        <v>0</v>
      </c>
      <c r="O470" s="204">
        <f>N470/J470/12</f>
        <v>0</v>
      </c>
      <c r="P470" s="204">
        <f>+O470*12</f>
        <v>0</v>
      </c>
      <c r="Q470" s="204">
        <f>+IF(L470&lt;=$N$5,0,IF(K470&gt;$N$4,P470,(O470*G470)))</f>
        <v>0</v>
      </c>
      <c r="R470" s="204"/>
      <c r="S470" s="204">
        <f>+IF(Q470=0,M470,IF($N$3-F470&lt;1,0,(($N$3-F470)*P470)))</f>
        <v>0</v>
      </c>
      <c r="T470" s="204">
        <f>+IF(Q470=0,S470,S470+Q470)</f>
        <v>0</v>
      </c>
      <c r="U470" s="204">
        <f>M470-T470</f>
        <v>0</v>
      </c>
    </row>
    <row r="471" spans="1:21">
      <c r="E471" s="210" t="s">
        <v>251</v>
      </c>
      <c r="F471" s="229">
        <v>2011</v>
      </c>
      <c r="G471" s="228">
        <v>7</v>
      </c>
      <c r="H471" s="209">
        <v>0</v>
      </c>
      <c r="I471" s="208" t="s">
        <v>86</v>
      </c>
      <c r="J471" s="227">
        <v>7</v>
      </c>
      <c r="K471" s="207">
        <f t="shared" si="363"/>
        <v>2018</v>
      </c>
      <c r="L471" s="206">
        <f t="shared" si="338"/>
        <v>2018.5833333333333</v>
      </c>
      <c r="M471" s="190">
        <v>5203.2</v>
      </c>
      <c r="N471" s="204">
        <f t="shared" si="364"/>
        <v>5203.2</v>
      </c>
      <c r="O471" s="204">
        <f t="shared" si="365"/>
        <v>61.942857142857143</v>
      </c>
      <c r="P471" s="204">
        <f t="shared" si="366"/>
        <v>743.31428571428569</v>
      </c>
      <c r="Q471" s="204">
        <f t="shared" si="367"/>
        <v>0</v>
      </c>
      <c r="R471" s="204"/>
      <c r="S471" s="204">
        <f t="shared" si="368"/>
        <v>5203.2</v>
      </c>
      <c r="T471" s="204">
        <f t="shared" si="369"/>
        <v>5203.2</v>
      </c>
      <c r="U471" s="204">
        <f t="shared" si="370"/>
        <v>0</v>
      </c>
    </row>
    <row r="472" spans="1:21">
      <c r="B472" s="230">
        <v>91092</v>
      </c>
      <c r="E472" s="210" t="s">
        <v>252</v>
      </c>
      <c r="F472" s="229">
        <v>2012</v>
      </c>
      <c r="G472" s="228">
        <v>1</v>
      </c>
      <c r="H472" s="209">
        <v>0</v>
      </c>
      <c r="I472" s="208" t="s">
        <v>86</v>
      </c>
      <c r="J472" s="227">
        <v>7</v>
      </c>
      <c r="K472" s="207">
        <f t="shared" si="363"/>
        <v>2019</v>
      </c>
      <c r="L472" s="206">
        <f t="shared" si="338"/>
        <v>2019.0833333333333</v>
      </c>
      <c r="M472" s="190">
        <v>6806.52</v>
      </c>
      <c r="N472" s="204">
        <f t="shared" si="364"/>
        <v>6806.52</v>
      </c>
      <c r="O472" s="204">
        <f t="shared" si="365"/>
        <v>81.03</v>
      </c>
      <c r="P472" s="204">
        <f t="shared" si="366"/>
        <v>972.36</v>
      </c>
      <c r="Q472" s="204">
        <f t="shared" si="367"/>
        <v>0</v>
      </c>
      <c r="R472" s="204"/>
      <c r="S472" s="204">
        <f t="shared" si="368"/>
        <v>6806.52</v>
      </c>
      <c r="T472" s="204">
        <f t="shared" si="369"/>
        <v>6806.52</v>
      </c>
      <c r="U472" s="204">
        <f t="shared" si="370"/>
        <v>0</v>
      </c>
    </row>
    <row r="473" spans="1:21">
      <c r="B473" s="230">
        <v>95050</v>
      </c>
      <c r="E473" s="210" t="s">
        <v>253</v>
      </c>
      <c r="F473" s="229">
        <v>2012</v>
      </c>
      <c r="G473" s="228">
        <v>4</v>
      </c>
      <c r="H473" s="209">
        <v>0</v>
      </c>
      <c r="I473" s="208" t="s">
        <v>86</v>
      </c>
      <c r="J473" s="227">
        <v>5</v>
      </c>
      <c r="K473" s="207">
        <f t="shared" si="363"/>
        <v>2017</v>
      </c>
      <c r="L473" s="206">
        <f t="shared" si="338"/>
        <v>2017.3333333333333</v>
      </c>
      <c r="M473" s="190">
        <v>466.06</v>
      </c>
      <c r="N473" s="204">
        <f t="shared" si="364"/>
        <v>466.06</v>
      </c>
      <c r="O473" s="204">
        <f t="shared" si="365"/>
        <v>7.7676666666666669</v>
      </c>
      <c r="P473" s="204">
        <f t="shared" si="366"/>
        <v>93.212000000000003</v>
      </c>
      <c r="Q473" s="204">
        <f t="shared" si="367"/>
        <v>0</v>
      </c>
      <c r="R473" s="204"/>
      <c r="S473" s="204">
        <f t="shared" si="368"/>
        <v>466.06</v>
      </c>
      <c r="T473" s="204">
        <f t="shared" si="369"/>
        <v>466.06</v>
      </c>
      <c r="U473" s="204">
        <f t="shared" si="370"/>
        <v>0</v>
      </c>
    </row>
    <row r="474" spans="1:21">
      <c r="C474" s="228" t="s">
        <v>2</v>
      </c>
      <c r="D474" s="230" t="s">
        <v>243</v>
      </c>
      <c r="E474" s="210" t="s">
        <v>225</v>
      </c>
      <c r="F474" s="229">
        <v>2012</v>
      </c>
      <c r="G474" s="228">
        <v>7</v>
      </c>
      <c r="H474" s="209">
        <v>0</v>
      </c>
      <c r="I474" s="208" t="s">
        <v>86</v>
      </c>
      <c r="J474" s="227">
        <v>7</v>
      </c>
      <c r="K474" s="207">
        <f t="shared" si="363"/>
        <v>2019</v>
      </c>
      <c r="L474" s="206">
        <f t="shared" si="338"/>
        <v>2019.5833333333333</v>
      </c>
      <c r="M474" s="226">
        <f>'Depreciation - Orig.'!P434</f>
        <v>476</v>
      </c>
      <c r="N474" s="204">
        <f t="shared" si="364"/>
        <v>476</v>
      </c>
      <c r="O474" s="204">
        <f t="shared" si="365"/>
        <v>5.666666666666667</v>
      </c>
      <c r="P474" s="204">
        <f t="shared" si="366"/>
        <v>68</v>
      </c>
      <c r="Q474" s="204">
        <f t="shared" si="367"/>
        <v>0</v>
      </c>
      <c r="R474" s="204"/>
      <c r="S474" s="204">
        <f t="shared" si="368"/>
        <v>476</v>
      </c>
      <c r="T474" s="204">
        <f t="shared" si="369"/>
        <v>476</v>
      </c>
      <c r="U474" s="204">
        <f t="shared" si="370"/>
        <v>0</v>
      </c>
    </row>
    <row r="475" spans="1:21">
      <c r="A475" s="270"/>
      <c r="B475" s="270"/>
      <c r="C475" s="271"/>
      <c r="D475" s="270"/>
      <c r="E475" s="272" t="s">
        <v>522</v>
      </c>
      <c r="F475" s="273">
        <v>2020</v>
      </c>
      <c r="G475" s="271">
        <v>12</v>
      </c>
      <c r="H475" s="274">
        <v>0</v>
      </c>
      <c r="I475" s="275" t="s">
        <v>86</v>
      </c>
      <c r="J475" s="276">
        <v>3</v>
      </c>
      <c r="K475" s="277">
        <f t="shared" si="363"/>
        <v>2023</v>
      </c>
      <c r="L475" s="278">
        <f>+K475+(G475/12)</f>
        <v>2024</v>
      </c>
      <c r="M475" s="279">
        <f>'Depreciation - Orig.'!N434-Depreciation!M474</f>
        <v>119</v>
      </c>
      <c r="N475" s="280">
        <f t="shared" si="364"/>
        <v>119</v>
      </c>
      <c r="O475" s="280">
        <f t="shared" si="365"/>
        <v>3.3055555555555554</v>
      </c>
      <c r="P475" s="280">
        <f>+O475*12</f>
        <v>39.666666666666664</v>
      </c>
      <c r="Q475" s="280">
        <f t="shared" si="367"/>
        <v>39.666666666666664</v>
      </c>
      <c r="R475" s="280"/>
      <c r="S475" s="280">
        <f>+IF(Q475=0,M475,IF($N$3-F475&lt;1,0,(($N$3-F475)*P475)))</f>
        <v>0</v>
      </c>
      <c r="T475" s="280">
        <f>+IF(Q475=0,S475,S475+Q475)</f>
        <v>39.666666666666664</v>
      </c>
      <c r="U475" s="280">
        <f t="shared" si="370"/>
        <v>79.333333333333343</v>
      </c>
    </row>
    <row r="476" spans="1:21">
      <c r="B476" s="230">
        <v>120330</v>
      </c>
      <c r="C476" s="228"/>
      <c r="E476" s="210" t="s">
        <v>323</v>
      </c>
      <c r="F476" s="229">
        <v>2015</v>
      </c>
      <c r="G476" s="228">
        <v>1</v>
      </c>
      <c r="H476" s="209">
        <v>0</v>
      </c>
      <c r="I476" s="208" t="s">
        <v>86</v>
      </c>
      <c r="J476" s="227">
        <v>5</v>
      </c>
      <c r="K476" s="207">
        <f t="shared" si="363"/>
        <v>2020</v>
      </c>
      <c r="L476" s="206">
        <f t="shared" si="338"/>
        <v>2020.0833333333333</v>
      </c>
      <c r="M476" s="226">
        <v>17574.62</v>
      </c>
      <c r="N476" s="204">
        <f t="shared" si="364"/>
        <v>17574.62</v>
      </c>
      <c r="O476" s="204">
        <f t="shared" si="365"/>
        <v>292.91033333333331</v>
      </c>
      <c r="P476" s="204">
        <f t="shared" si="366"/>
        <v>3514.924</v>
      </c>
      <c r="Q476" s="204">
        <f t="shared" si="367"/>
        <v>0</v>
      </c>
      <c r="R476" s="204"/>
      <c r="S476" s="204">
        <f t="shared" si="368"/>
        <v>17574.62</v>
      </c>
      <c r="T476" s="204">
        <f t="shared" si="369"/>
        <v>17574.62</v>
      </c>
      <c r="U476" s="204">
        <f t="shared" si="370"/>
        <v>0</v>
      </c>
    </row>
    <row r="477" spans="1:21">
      <c r="B477" s="230">
        <v>121096</v>
      </c>
      <c r="C477" s="228"/>
      <c r="E477" s="210" t="s">
        <v>324</v>
      </c>
      <c r="F477" s="229">
        <v>2015</v>
      </c>
      <c r="G477" s="228">
        <v>3</v>
      </c>
      <c r="H477" s="209">
        <v>0</v>
      </c>
      <c r="I477" s="208" t="s">
        <v>86</v>
      </c>
      <c r="J477" s="227">
        <v>5</v>
      </c>
      <c r="K477" s="207">
        <f t="shared" si="363"/>
        <v>2020</v>
      </c>
      <c r="L477" s="206">
        <f t="shared" si="338"/>
        <v>2020.25</v>
      </c>
      <c r="M477" s="226">
        <v>8263.36</v>
      </c>
      <c r="N477" s="204">
        <f t="shared" si="364"/>
        <v>8263.36</v>
      </c>
      <c r="O477" s="204">
        <f t="shared" si="365"/>
        <v>137.72266666666667</v>
      </c>
      <c r="P477" s="204">
        <f t="shared" si="366"/>
        <v>1652.672</v>
      </c>
      <c r="Q477" s="204">
        <f t="shared" si="367"/>
        <v>0</v>
      </c>
      <c r="R477" s="204"/>
      <c r="S477" s="204">
        <f t="shared" si="368"/>
        <v>8263.36</v>
      </c>
      <c r="T477" s="204">
        <f t="shared" si="369"/>
        <v>8263.36</v>
      </c>
      <c r="U477" s="204">
        <f t="shared" si="370"/>
        <v>0</v>
      </c>
    </row>
    <row r="478" spans="1:21">
      <c r="B478" s="230">
        <v>124277</v>
      </c>
      <c r="C478" s="228"/>
      <c r="E478" s="210" t="s">
        <v>329</v>
      </c>
      <c r="F478" s="229">
        <v>2015</v>
      </c>
      <c r="G478" s="228">
        <v>7</v>
      </c>
      <c r="H478" s="209">
        <v>0</v>
      </c>
      <c r="I478" s="208" t="s">
        <v>86</v>
      </c>
      <c r="J478" s="227">
        <v>5</v>
      </c>
      <c r="K478" s="207">
        <f t="shared" si="363"/>
        <v>2020</v>
      </c>
      <c r="L478" s="206">
        <f t="shared" si="338"/>
        <v>2020.5833333333333</v>
      </c>
      <c r="M478" s="226">
        <v>4937</v>
      </c>
      <c r="N478" s="204">
        <f t="shared" si="364"/>
        <v>4937</v>
      </c>
      <c r="O478" s="204">
        <f t="shared" si="365"/>
        <v>82.283333333333331</v>
      </c>
      <c r="P478" s="204">
        <f t="shared" si="366"/>
        <v>987.4</v>
      </c>
      <c r="Q478" s="204">
        <f t="shared" si="367"/>
        <v>0</v>
      </c>
      <c r="R478" s="204"/>
      <c r="S478" s="204">
        <f t="shared" si="368"/>
        <v>4937</v>
      </c>
      <c r="T478" s="204">
        <f t="shared" si="369"/>
        <v>4937</v>
      </c>
      <c r="U478" s="204">
        <f t="shared" si="370"/>
        <v>0</v>
      </c>
    </row>
    <row r="479" spans="1:21">
      <c r="B479" s="230">
        <v>139712</v>
      </c>
      <c r="C479" s="228"/>
      <c r="E479" s="210" t="s">
        <v>345</v>
      </c>
      <c r="F479" s="229">
        <v>2016</v>
      </c>
      <c r="G479" s="228">
        <v>6</v>
      </c>
      <c r="H479" s="274">
        <v>0</v>
      </c>
      <c r="I479" s="208" t="s">
        <v>86</v>
      </c>
      <c r="J479" s="227">
        <v>5</v>
      </c>
      <c r="K479" s="207">
        <f t="shared" si="363"/>
        <v>2021</v>
      </c>
      <c r="L479" s="206">
        <f t="shared" si="338"/>
        <v>2021.5</v>
      </c>
      <c r="M479" s="226">
        <v>30385.43</v>
      </c>
      <c r="N479" s="204">
        <f t="shared" si="364"/>
        <v>30385.43</v>
      </c>
      <c r="O479" s="204">
        <f t="shared" si="365"/>
        <v>506.42383333333333</v>
      </c>
      <c r="P479" s="204">
        <f t="shared" si="366"/>
        <v>6077.0860000000002</v>
      </c>
      <c r="Q479" s="204">
        <f t="shared" si="367"/>
        <v>3038.5430000000001</v>
      </c>
      <c r="R479" s="204"/>
      <c r="S479" s="204">
        <f t="shared" si="368"/>
        <v>24308.344000000001</v>
      </c>
      <c r="T479" s="204">
        <f t="shared" si="369"/>
        <v>27346.887000000002</v>
      </c>
      <c r="U479" s="204">
        <f t="shared" si="370"/>
        <v>3038.5429999999978</v>
      </c>
    </row>
    <row r="480" spans="1:21">
      <c r="B480" s="230">
        <v>139763</v>
      </c>
      <c r="C480" s="228"/>
      <c r="E480" s="210" t="s">
        <v>324</v>
      </c>
      <c r="F480" s="229">
        <v>2016</v>
      </c>
      <c r="G480" s="228">
        <v>6</v>
      </c>
      <c r="H480" s="209">
        <v>0</v>
      </c>
      <c r="I480" s="208" t="s">
        <v>86</v>
      </c>
      <c r="J480" s="227">
        <v>5</v>
      </c>
      <c r="K480" s="207">
        <f t="shared" si="363"/>
        <v>2021</v>
      </c>
      <c r="L480" s="206">
        <f t="shared" si="338"/>
        <v>2021.5</v>
      </c>
      <c r="M480" s="226">
        <v>12072.05</v>
      </c>
      <c r="N480" s="204">
        <f t="shared" si="364"/>
        <v>12072.05</v>
      </c>
      <c r="O480" s="204">
        <f t="shared" si="365"/>
        <v>201.20083333333332</v>
      </c>
      <c r="P480" s="204">
        <f t="shared" si="366"/>
        <v>2414.41</v>
      </c>
      <c r="Q480" s="204">
        <f t="shared" si="367"/>
        <v>1207.2049999999999</v>
      </c>
      <c r="R480" s="204"/>
      <c r="S480" s="204">
        <f t="shared" si="368"/>
        <v>9657.64</v>
      </c>
      <c r="T480" s="204">
        <f t="shared" si="369"/>
        <v>10864.844999999999</v>
      </c>
      <c r="U480" s="204">
        <f t="shared" si="370"/>
        <v>1207.2049999999999</v>
      </c>
    </row>
    <row r="481" spans="2:21">
      <c r="B481" s="230">
        <v>170260</v>
      </c>
      <c r="C481" s="228"/>
      <c r="E481" s="210" t="s">
        <v>352</v>
      </c>
      <c r="F481" s="229">
        <v>2016</v>
      </c>
      <c r="G481" s="228">
        <v>11</v>
      </c>
      <c r="H481" s="209">
        <v>0</v>
      </c>
      <c r="I481" s="208" t="s">
        <v>86</v>
      </c>
      <c r="J481" s="227">
        <v>6</v>
      </c>
      <c r="K481" s="207">
        <f t="shared" si="363"/>
        <v>2022</v>
      </c>
      <c r="L481" s="206">
        <f t="shared" si="338"/>
        <v>2022.9166666666667</v>
      </c>
      <c r="M481" s="226">
        <v>9792</v>
      </c>
      <c r="N481" s="204">
        <f t="shared" si="364"/>
        <v>9792</v>
      </c>
      <c r="O481" s="204">
        <f t="shared" si="365"/>
        <v>136</v>
      </c>
      <c r="P481" s="204">
        <f t="shared" si="366"/>
        <v>1632</v>
      </c>
      <c r="Q481" s="204">
        <f t="shared" si="367"/>
        <v>1632</v>
      </c>
      <c r="R481" s="204"/>
      <c r="S481" s="204">
        <f t="shared" si="368"/>
        <v>6528</v>
      </c>
      <c r="T481" s="204">
        <f t="shared" si="369"/>
        <v>8160</v>
      </c>
      <c r="U481" s="204">
        <f t="shared" si="370"/>
        <v>1632</v>
      </c>
    </row>
    <row r="482" spans="2:21">
      <c r="B482" s="230">
        <v>171239</v>
      </c>
      <c r="C482" s="228"/>
      <c r="E482" s="210" t="s">
        <v>353</v>
      </c>
      <c r="F482" s="229">
        <v>2016</v>
      </c>
      <c r="G482" s="228">
        <v>9</v>
      </c>
      <c r="H482" s="209">
        <v>0</v>
      </c>
      <c r="I482" s="208" t="s">
        <v>86</v>
      </c>
      <c r="J482" s="227">
        <v>3</v>
      </c>
      <c r="K482" s="207">
        <f t="shared" si="363"/>
        <v>2019</v>
      </c>
      <c r="L482" s="206">
        <f t="shared" si="338"/>
        <v>2019.75</v>
      </c>
      <c r="M482" s="226">
        <v>495</v>
      </c>
      <c r="N482" s="204">
        <f t="shared" si="364"/>
        <v>495</v>
      </c>
      <c r="O482" s="204">
        <f t="shared" si="365"/>
        <v>13.75</v>
      </c>
      <c r="P482" s="204">
        <f t="shared" si="366"/>
        <v>165</v>
      </c>
      <c r="Q482" s="204">
        <f t="shared" si="367"/>
        <v>0</v>
      </c>
      <c r="R482" s="204"/>
      <c r="S482" s="204">
        <f t="shared" si="368"/>
        <v>495</v>
      </c>
      <c r="T482" s="204">
        <f t="shared" si="369"/>
        <v>495</v>
      </c>
      <c r="U482" s="204">
        <f t="shared" si="370"/>
        <v>0</v>
      </c>
    </row>
    <row r="483" spans="2:21">
      <c r="B483" s="230">
        <v>171697</v>
      </c>
      <c r="C483" s="228"/>
      <c r="E483" s="210" t="s">
        <v>354</v>
      </c>
      <c r="F483" s="229">
        <v>2016</v>
      </c>
      <c r="G483" s="228">
        <v>9</v>
      </c>
      <c r="H483" s="209">
        <v>0</v>
      </c>
      <c r="I483" s="208" t="s">
        <v>86</v>
      </c>
      <c r="J483" s="227">
        <v>3</v>
      </c>
      <c r="K483" s="207">
        <f t="shared" si="363"/>
        <v>2019</v>
      </c>
      <c r="L483" s="206">
        <f t="shared" ref="L483:L527" si="371">+K483+(G483/12)</f>
        <v>2019.75</v>
      </c>
      <c r="M483" s="226">
        <v>7381.27</v>
      </c>
      <c r="N483" s="204">
        <f t="shared" si="364"/>
        <v>7381.27</v>
      </c>
      <c r="O483" s="204">
        <f t="shared" si="365"/>
        <v>205.03527777777779</v>
      </c>
      <c r="P483" s="204">
        <f t="shared" si="366"/>
        <v>2460.4233333333336</v>
      </c>
      <c r="Q483" s="204">
        <f t="shared" si="367"/>
        <v>0</v>
      </c>
      <c r="R483" s="204"/>
      <c r="S483" s="204">
        <f t="shared" si="368"/>
        <v>7381.27</v>
      </c>
      <c r="T483" s="204">
        <f t="shared" si="369"/>
        <v>7381.27</v>
      </c>
      <c r="U483" s="204">
        <f t="shared" si="370"/>
        <v>0</v>
      </c>
    </row>
    <row r="484" spans="2:21">
      <c r="B484" s="230" t="s">
        <v>384</v>
      </c>
      <c r="C484" s="228"/>
      <c r="E484" s="210" t="s">
        <v>432</v>
      </c>
      <c r="F484" s="229">
        <v>2017</v>
      </c>
      <c r="G484" s="228">
        <v>1</v>
      </c>
      <c r="H484" s="209">
        <v>0</v>
      </c>
      <c r="I484" s="208" t="s">
        <v>86</v>
      </c>
      <c r="J484" s="227">
        <v>3</v>
      </c>
      <c r="K484" s="207">
        <f t="shared" si="363"/>
        <v>2020</v>
      </c>
      <c r="L484" s="206">
        <f t="shared" si="371"/>
        <v>2020.0833333333333</v>
      </c>
      <c r="M484" s="226">
        <v>15393.02</v>
      </c>
      <c r="N484" s="204">
        <f t="shared" si="364"/>
        <v>15393.02</v>
      </c>
      <c r="O484" s="204">
        <f t="shared" si="365"/>
        <v>427.58388888888891</v>
      </c>
      <c r="P484" s="204">
        <f t="shared" si="366"/>
        <v>5131.0066666666671</v>
      </c>
      <c r="Q484" s="204">
        <f t="shared" si="367"/>
        <v>0</v>
      </c>
      <c r="R484" s="204"/>
      <c r="S484" s="204">
        <f t="shared" si="368"/>
        <v>15393.02</v>
      </c>
      <c r="T484" s="204">
        <f t="shared" si="369"/>
        <v>15393.02</v>
      </c>
      <c r="U484" s="204">
        <f t="shared" si="370"/>
        <v>0</v>
      </c>
    </row>
    <row r="485" spans="2:21">
      <c r="B485" s="230">
        <v>185174</v>
      </c>
      <c r="C485" s="228"/>
      <c r="D485" s="203" t="s">
        <v>394</v>
      </c>
      <c r="E485" s="210" t="s">
        <v>359</v>
      </c>
      <c r="F485" s="229">
        <v>2017</v>
      </c>
      <c r="G485" s="228">
        <v>8</v>
      </c>
      <c r="H485" s="209">
        <v>0</v>
      </c>
      <c r="I485" s="208" t="s">
        <v>86</v>
      </c>
      <c r="J485" s="227">
        <v>5</v>
      </c>
      <c r="K485" s="207">
        <f>F485+J485</f>
        <v>2022</v>
      </c>
      <c r="L485" s="206">
        <f>+K485+(G485/12)</f>
        <v>2022.6666666666667</v>
      </c>
      <c r="M485" s="226">
        <v>38000</v>
      </c>
      <c r="N485" s="225">
        <f>M485-M485*H485</f>
        <v>38000</v>
      </c>
      <c r="O485" s="225">
        <f>N485/J485/12</f>
        <v>633.33333333333337</v>
      </c>
      <c r="P485" s="204">
        <f>+O485*12</f>
        <v>7600</v>
      </c>
      <c r="Q485" s="204">
        <f>+IF(L485&lt;=$N$5,0,IF(K485&gt;$N$4,P485,(O485*G485)))</f>
        <v>7600</v>
      </c>
      <c r="R485" s="225"/>
      <c r="S485" s="204">
        <f>+IF(Q485=0,M485,IF($N$3-F485&lt;1,0,(($N$3-F485)*P485)))</f>
        <v>22800</v>
      </c>
      <c r="T485" s="204">
        <f>+IF(Q485=0,S485,S485+Q485)</f>
        <v>30400</v>
      </c>
      <c r="U485" s="204">
        <f>M485-T485</f>
        <v>7600</v>
      </c>
    </row>
    <row r="486" spans="2:21">
      <c r="B486" s="230" t="s">
        <v>360</v>
      </c>
      <c r="C486" s="228"/>
      <c r="D486" s="203" t="s">
        <v>394</v>
      </c>
      <c r="E486" s="210" t="s">
        <v>361</v>
      </c>
      <c r="F486" s="229">
        <v>2017</v>
      </c>
      <c r="G486" s="228">
        <v>8</v>
      </c>
      <c r="H486" s="209">
        <v>0</v>
      </c>
      <c r="I486" s="208" t="s">
        <v>86</v>
      </c>
      <c r="J486" s="227">
        <v>3</v>
      </c>
      <c r="K486" s="207">
        <f>F486+J486</f>
        <v>2020</v>
      </c>
      <c r="L486" s="206">
        <f>+K486+(G486/12)</f>
        <v>2020.6666666666667</v>
      </c>
      <c r="M486" s="226">
        <v>500</v>
      </c>
      <c r="N486" s="225">
        <f>M486-M486*H486</f>
        <v>500</v>
      </c>
      <c r="O486" s="225">
        <f>N486/J486/12</f>
        <v>13.888888888888888</v>
      </c>
      <c r="P486" s="204">
        <f>+O486*12</f>
        <v>166.66666666666666</v>
      </c>
      <c r="Q486" s="204">
        <f>+IF(L486&lt;=$N$5,0,IF(K486&gt;$N$4,P486,(O486*G486)))</f>
        <v>0</v>
      </c>
      <c r="R486" s="225"/>
      <c r="S486" s="204">
        <f>+IF(Q486=0,M486,IF($N$3-F486&lt;1,0,(($N$3-F486)*P486)))</f>
        <v>500</v>
      </c>
      <c r="T486" s="204">
        <f>+IF(Q486=0,S486,S486+Q486)</f>
        <v>500</v>
      </c>
      <c r="U486" s="204">
        <f>M486-T486</f>
        <v>0</v>
      </c>
    </row>
    <row r="487" spans="2:21">
      <c r="B487" s="230">
        <v>203539</v>
      </c>
      <c r="E487" s="185" t="s">
        <v>487</v>
      </c>
      <c r="F487" s="229">
        <v>2008</v>
      </c>
      <c r="G487" s="228">
        <v>3</v>
      </c>
      <c r="H487" s="233">
        <v>0</v>
      </c>
      <c r="I487" s="208" t="s">
        <v>86</v>
      </c>
      <c r="J487" s="227">
        <v>3</v>
      </c>
      <c r="K487" s="207">
        <f t="shared" ref="K487:K489" si="372">F487+J487</f>
        <v>2011</v>
      </c>
      <c r="L487" s="206">
        <f t="shared" ref="L487:L489" si="373">+K487+(G487/12)</f>
        <v>2011.25</v>
      </c>
      <c r="M487" s="235">
        <v>18000</v>
      </c>
      <c r="N487" s="204">
        <f t="shared" ref="N487:N489" si="374">M487-M487*H487</f>
        <v>18000</v>
      </c>
      <c r="O487" s="204">
        <f t="shared" ref="O487:O489" si="375">N487/J487/12</f>
        <v>500</v>
      </c>
      <c r="P487" s="204">
        <f t="shared" ref="P487:P489" si="376">+O487*12</f>
        <v>6000</v>
      </c>
      <c r="Q487" s="204">
        <f t="shared" si="367"/>
        <v>0</v>
      </c>
      <c r="R487" s="204"/>
      <c r="S487" s="204">
        <f t="shared" ref="S487:S489" si="377">+IF(Q487=0,M487,IF($N$3-F487&lt;1,0,(($N$3-F487)*P487)))</f>
        <v>18000</v>
      </c>
      <c r="T487" s="204">
        <f t="shared" ref="T487:T489" si="378">+IF(Q487=0,S487,S487+Q487)</f>
        <v>18000</v>
      </c>
      <c r="U487" s="204">
        <f t="shared" si="370"/>
        <v>0</v>
      </c>
    </row>
    <row r="488" spans="2:21">
      <c r="B488" s="230">
        <v>206186</v>
      </c>
      <c r="E488" s="185" t="s">
        <v>488</v>
      </c>
      <c r="F488" s="229">
        <v>2018</v>
      </c>
      <c r="G488" s="228">
        <v>3</v>
      </c>
      <c r="H488" s="233">
        <v>0</v>
      </c>
      <c r="I488" s="208" t="s">
        <v>86</v>
      </c>
      <c r="J488" s="227">
        <v>3</v>
      </c>
      <c r="K488" s="207">
        <f t="shared" si="372"/>
        <v>2021</v>
      </c>
      <c r="L488" s="206">
        <f t="shared" si="373"/>
        <v>2021.25</v>
      </c>
      <c r="M488" s="235">
        <v>6467.65</v>
      </c>
      <c r="N488" s="204">
        <f t="shared" si="374"/>
        <v>6467.65</v>
      </c>
      <c r="O488" s="204">
        <f t="shared" si="375"/>
        <v>179.65694444444443</v>
      </c>
      <c r="P488" s="204">
        <f t="shared" si="376"/>
        <v>2155.8833333333332</v>
      </c>
      <c r="Q488" s="204">
        <f t="shared" si="367"/>
        <v>0</v>
      </c>
      <c r="R488" s="204"/>
      <c r="S488" s="204">
        <f t="shared" si="377"/>
        <v>6467.65</v>
      </c>
      <c r="T488" s="204">
        <f t="shared" si="378"/>
        <v>6467.65</v>
      </c>
      <c r="U488" s="204">
        <f t="shared" si="370"/>
        <v>0</v>
      </c>
    </row>
    <row r="489" spans="2:21">
      <c r="B489" s="230">
        <v>228793</v>
      </c>
      <c r="E489" s="185" t="s">
        <v>487</v>
      </c>
      <c r="F489" s="229">
        <v>2008</v>
      </c>
      <c r="G489" s="228">
        <v>11</v>
      </c>
      <c r="H489" s="233">
        <v>0</v>
      </c>
      <c r="I489" s="208" t="s">
        <v>86</v>
      </c>
      <c r="J489" s="227">
        <v>3</v>
      </c>
      <c r="K489" s="207">
        <f t="shared" si="372"/>
        <v>2011</v>
      </c>
      <c r="L489" s="206">
        <f t="shared" si="373"/>
        <v>2011.9166666666667</v>
      </c>
      <c r="M489" s="235">
        <v>18000</v>
      </c>
      <c r="N489" s="204">
        <f t="shared" si="374"/>
        <v>18000</v>
      </c>
      <c r="O489" s="204">
        <f t="shared" si="375"/>
        <v>500</v>
      </c>
      <c r="P489" s="204">
        <f t="shared" si="376"/>
        <v>6000</v>
      </c>
      <c r="Q489" s="204">
        <f t="shared" si="367"/>
        <v>0</v>
      </c>
      <c r="R489" s="204"/>
      <c r="S489" s="204">
        <f t="shared" si="377"/>
        <v>18000</v>
      </c>
      <c r="T489" s="204">
        <f t="shared" si="378"/>
        <v>18000</v>
      </c>
      <c r="U489" s="204">
        <f t="shared" si="370"/>
        <v>0</v>
      </c>
    </row>
    <row r="490" spans="2:21">
      <c r="E490" s="210"/>
      <c r="H490" s="209"/>
      <c r="I490" s="208"/>
      <c r="K490" s="207"/>
      <c r="L490" s="206"/>
      <c r="M490" s="190"/>
      <c r="N490" s="225"/>
      <c r="O490" s="225"/>
      <c r="P490" s="204"/>
      <c r="Q490" s="204"/>
      <c r="R490" s="225"/>
      <c r="S490" s="225"/>
      <c r="T490" s="225"/>
      <c r="U490" s="225"/>
    </row>
    <row r="491" spans="2:21">
      <c r="D491" s="202"/>
      <c r="E491" s="322" t="s">
        <v>254</v>
      </c>
      <c r="F491" s="312"/>
      <c r="G491" s="313"/>
      <c r="H491" s="313"/>
      <c r="I491" s="308"/>
      <c r="J491" s="309"/>
      <c r="K491" s="310"/>
      <c r="L491" s="323"/>
      <c r="M491" s="183">
        <f t="shared" ref="M491:U491" si="379">SUM(M453:M490)</f>
        <v>326437.18</v>
      </c>
      <c r="N491" s="169">
        <f t="shared" si="379"/>
        <v>326437.18</v>
      </c>
      <c r="O491" s="169">
        <f t="shared" si="379"/>
        <v>5839.7939206349201</v>
      </c>
      <c r="P491" s="240">
        <f t="shared" si="379"/>
        <v>70077.527047619049</v>
      </c>
      <c r="Q491" s="240">
        <f t="shared" si="379"/>
        <v>20184.281333333332</v>
      </c>
      <c r="R491" s="169">
        <f t="shared" si="379"/>
        <v>0</v>
      </c>
      <c r="S491" s="169">
        <f t="shared" si="379"/>
        <v>279362.08400000003</v>
      </c>
      <c r="T491" s="169">
        <f t="shared" si="379"/>
        <v>299546.36533333338</v>
      </c>
      <c r="U491" s="169">
        <f t="shared" si="379"/>
        <v>26890.814666666665</v>
      </c>
    </row>
    <row r="492" spans="2:21">
      <c r="E492" s="210"/>
      <c r="H492" s="209"/>
      <c r="I492" s="208"/>
      <c r="K492" s="207"/>
      <c r="L492" s="206"/>
      <c r="M492" s="190"/>
      <c r="N492" s="225"/>
      <c r="O492" s="225"/>
      <c r="P492" s="204"/>
      <c r="Q492" s="204"/>
      <c r="R492" s="225"/>
      <c r="S492" s="225"/>
      <c r="T492" s="225"/>
      <c r="U492" s="225"/>
    </row>
    <row r="493" spans="2:21">
      <c r="E493" s="321" t="s">
        <v>618</v>
      </c>
      <c r="I493" s="208"/>
      <c r="K493" s="207"/>
      <c r="L493" s="206"/>
      <c r="M493" s="190"/>
      <c r="N493" s="225"/>
      <c r="O493" s="225"/>
      <c r="P493" s="204"/>
      <c r="Q493" s="204"/>
      <c r="R493" s="225"/>
      <c r="S493" s="225"/>
      <c r="T493" s="225"/>
      <c r="U493" s="225"/>
    </row>
    <row r="494" spans="2:21">
      <c r="B494" s="230">
        <v>90451</v>
      </c>
      <c r="D494" s="230" t="s">
        <v>273</v>
      </c>
      <c r="E494" s="185" t="s">
        <v>274</v>
      </c>
      <c r="F494" s="229">
        <v>2012</v>
      </c>
      <c r="G494" s="228">
        <v>1</v>
      </c>
      <c r="H494" s="209">
        <v>0</v>
      </c>
      <c r="I494" s="208" t="s">
        <v>86</v>
      </c>
      <c r="J494" s="227">
        <v>5</v>
      </c>
      <c r="K494" s="207">
        <f t="shared" ref="K494:K502" si="380">F494+J494</f>
        <v>2017</v>
      </c>
      <c r="L494" s="206">
        <f t="shared" si="371"/>
        <v>2017.0833333333333</v>
      </c>
      <c r="M494" s="190">
        <v>559.78</v>
      </c>
      <c r="N494" s="225">
        <f t="shared" ref="N494:N502" si="381">M494-M494*H494</f>
        <v>559.78</v>
      </c>
      <c r="O494" s="225">
        <f t="shared" ref="O494:O502" si="382">N494/J494/12</f>
        <v>9.3296666666666663</v>
      </c>
      <c r="P494" s="204">
        <f t="shared" ref="P494:P502" si="383">+O494*12</f>
        <v>111.95599999999999</v>
      </c>
      <c r="Q494" s="204">
        <f t="shared" ref="Q494:Q502" si="384">+IF(L494&lt;=$N$5,0,IF(K494&gt;$N$4,P494,(O494*G494)))</f>
        <v>0</v>
      </c>
      <c r="R494" s="225"/>
      <c r="S494" s="204">
        <f t="shared" ref="S494:S502" si="385">+IF(Q494=0,M494,IF($N$3-F494&lt;1,0,(($N$3-F494)*P494)))</f>
        <v>559.78</v>
      </c>
      <c r="T494" s="204">
        <f t="shared" ref="T494:T502" si="386">+IF(Q494=0,S494,S494+Q494)</f>
        <v>559.78</v>
      </c>
      <c r="U494" s="204">
        <f t="shared" ref="U494:U502" si="387">M494-T494</f>
        <v>0</v>
      </c>
    </row>
    <row r="495" spans="2:21">
      <c r="B495" s="230">
        <v>93958</v>
      </c>
      <c r="E495" s="185" t="s">
        <v>289</v>
      </c>
      <c r="F495" s="229">
        <v>2012</v>
      </c>
      <c r="G495" s="228">
        <v>5</v>
      </c>
      <c r="H495" s="209">
        <v>0</v>
      </c>
      <c r="I495" s="208" t="s">
        <v>86</v>
      </c>
      <c r="J495" s="227">
        <v>5</v>
      </c>
      <c r="K495" s="207">
        <f t="shared" si="380"/>
        <v>2017</v>
      </c>
      <c r="L495" s="206">
        <f t="shared" si="371"/>
        <v>2017.4166666666667</v>
      </c>
      <c r="M495" s="190">
        <v>950</v>
      </c>
      <c r="N495" s="225">
        <f t="shared" si="381"/>
        <v>950</v>
      </c>
      <c r="O495" s="225">
        <f t="shared" si="382"/>
        <v>15.833333333333334</v>
      </c>
      <c r="P495" s="204">
        <f t="shared" si="383"/>
        <v>190</v>
      </c>
      <c r="Q495" s="204">
        <f t="shared" si="384"/>
        <v>0</v>
      </c>
      <c r="R495" s="225"/>
      <c r="S495" s="204">
        <f t="shared" si="385"/>
        <v>950</v>
      </c>
      <c r="T495" s="204">
        <f t="shared" si="386"/>
        <v>950</v>
      </c>
      <c r="U495" s="204">
        <f t="shared" si="387"/>
        <v>0</v>
      </c>
    </row>
    <row r="496" spans="2:21">
      <c r="B496" s="230">
        <v>113270</v>
      </c>
      <c r="E496" s="185" t="s">
        <v>313</v>
      </c>
      <c r="F496" s="229">
        <v>2014</v>
      </c>
      <c r="G496" s="228">
        <v>4</v>
      </c>
      <c r="H496" s="209">
        <v>0</v>
      </c>
      <c r="I496" s="208" t="s">
        <v>86</v>
      </c>
      <c r="J496" s="227">
        <v>5</v>
      </c>
      <c r="K496" s="207">
        <f t="shared" si="380"/>
        <v>2019</v>
      </c>
      <c r="L496" s="206">
        <f t="shared" si="371"/>
        <v>2019.3333333333333</v>
      </c>
      <c r="M496" s="190">
        <v>1013.04</v>
      </c>
      <c r="N496" s="225">
        <f t="shared" si="381"/>
        <v>1013.04</v>
      </c>
      <c r="O496" s="225">
        <f t="shared" si="382"/>
        <v>16.884</v>
      </c>
      <c r="P496" s="204">
        <f t="shared" si="383"/>
        <v>202.608</v>
      </c>
      <c r="Q496" s="204">
        <f t="shared" si="384"/>
        <v>0</v>
      </c>
      <c r="R496" s="225"/>
      <c r="S496" s="204">
        <f t="shared" si="385"/>
        <v>1013.04</v>
      </c>
      <c r="T496" s="204">
        <f t="shared" si="386"/>
        <v>1013.04</v>
      </c>
      <c r="U496" s="204">
        <f t="shared" si="387"/>
        <v>0</v>
      </c>
    </row>
    <row r="497" spans="2:21">
      <c r="B497" s="230">
        <v>122702</v>
      </c>
      <c r="D497" s="230">
        <v>2</v>
      </c>
      <c r="E497" s="185" t="s">
        <v>325</v>
      </c>
      <c r="F497" s="229">
        <v>2015</v>
      </c>
      <c r="G497" s="228">
        <v>4</v>
      </c>
      <c r="H497" s="209">
        <v>0</v>
      </c>
      <c r="I497" s="208" t="s">
        <v>86</v>
      </c>
      <c r="J497" s="227">
        <v>5</v>
      </c>
      <c r="K497" s="207">
        <f t="shared" si="380"/>
        <v>2020</v>
      </c>
      <c r="L497" s="206">
        <f t="shared" si="371"/>
        <v>2020.3333333333333</v>
      </c>
      <c r="M497" s="190">
        <v>655</v>
      </c>
      <c r="N497" s="225">
        <f t="shared" si="381"/>
        <v>655</v>
      </c>
      <c r="O497" s="225">
        <f t="shared" si="382"/>
        <v>10.916666666666666</v>
      </c>
      <c r="P497" s="204">
        <f t="shared" si="383"/>
        <v>131</v>
      </c>
      <c r="Q497" s="204">
        <f t="shared" si="384"/>
        <v>0</v>
      </c>
      <c r="R497" s="225"/>
      <c r="S497" s="204">
        <f t="shared" si="385"/>
        <v>655</v>
      </c>
      <c r="T497" s="204">
        <f t="shared" si="386"/>
        <v>655</v>
      </c>
      <c r="U497" s="204">
        <f t="shared" si="387"/>
        <v>0</v>
      </c>
    </row>
    <row r="498" spans="2:21">
      <c r="B498" s="230">
        <v>169283</v>
      </c>
      <c r="D498" s="230" t="s">
        <v>273</v>
      </c>
      <c r="E498" s="185" t="s">
        <v>349</v>
      </c>
      <c r="F498" s="229">
        <v>2016</v>
      </c>
      <c r="G498" s="228">
        <v>9</v>
      </c>
      <c r="H498" s="209">
        <v>0</v>
      </c>
      <c r="I498" s="208" t="s">
        <v>86</v>
      </c>
      <c r="J498" s="227">
        <v>2</v>
      </c>
      <c r="K498" s="207">
        <f t="shared" si="380"/>
        <v>2018</v>
      </c>
      <c r="L498" s="206">
        <f t="shared" si="371"/>
        <v>2018.75</v>
      </c>
      <c r="M498" s="190">
        <v>1425.16</v>
      </c>
      <c r="N498" s="225">
        <f t="shared" si="381"/>
        <v>1425.16</v>
      </c>
      <c r="O498" s="225">
        <f t="shared" si="382"/>
        <v>59.381666666666668</v>
      </c>
      <c r="P498" s="204">
        <f t="shared" si="383"/>
        <v>712.58</v>
      </c>
      <c r="Q498" s="204">
        <f t="shared" si="384"/>
        <v>0</v>
      </c>
      <c r="R498" s="225"/>
      <c r="S498" s="204">
        <f t="shared" si="385"/>
        <v>1425.16</v>
      </c>
      <c r="T498" s="204">
        <f t="shared" si="386"/>
        <v>1425.16</v>
      </c>
      <c r="U498" s="204">
        <f t="shared" si="387"/>
        <v>0</v>
      </c>
    </row>
    <row r="499" spans="2:21">
      <c r="B499" s="230">
        <v>183282</v>
      </c>
      <c r="E499" s="185" t="s">
        <v>376</v>
      </c>
      <c r="F499" s="229">
        <v>2017</v>
      </c>
      <c r="G499" s="228">
        <v>5</v>
      </c>
      <c r="H499" s="209">
        <v>0</v>
      </c>
      <c r="I499" s="208" t="s">
        <v>86</v>
      </c>
      <c r="J499" s="227">
        <v>3</v>
      </c>
      <c r="K499" s="207">
        <f t="shared" si="380"/>
        <v>2020</v>
      </c>
      <c r="L499" s="206">
        <f t="shared" si="371"/>
        <v>2020.4166666666667</v>
      </c>
      <c r="M499" s="190">
        <v>510.23</v>
      </c>
      <c r="N499" s="225">
        <f t="shared" si="381"/>
        <v>510.23</v>
      </c>
      <c r="O499" s="225">
        <f t="shared" si="382"/>
        <v>14.173055555555557</v>
      </c>
      <c r="P499" s="204">
        <f t="shared" si="383"/>
        <v>170.07666666666668</v>
      </c>
      <c r="Q499" s="204">
        <f t="shared" si="384"/>
        <v>0</v>
      </c>
      <c r="R499" s="225"/>
      <c r="S499" s="204">
        <f t="shared" si="385"/>
        <v>510.23</v>
      </c>
      <c r="T499" s="204">
        <f t="shared" si="386"/>
        <v>510.23</v>
      </c>
      <c r="U499" s="204">
        <f t="shared" si="387"/>
        <v>0</v>
      </c>
    </row>
    <row r="500" spans="2:21">
      <c r="B500" s="230">
        <v>182212</v>
      </c>
      <c r="E500" s="185" t="s">
        <v>390</v>
      </c>
      <c r="F500" s="229">
        <v>2017</v>
      </c>
      <c r="G500" s="228">
        <v>5</v>
      </c>
      <c r="H500" s="209">
        <v>0</v>
      </c>
      <c r="I500" s="208" t="s">
        <v>86</v>
      </c>
      <c r="J500" s="227">
        <v>3</v>
      </c>
      <c r="K500" s="207">
        <f t="shared" si="380"/>
        <v>2020</v>
      </c>
      <c r="L500" s="206">
        <f t="shared" si="371"/>
        <v>2020.4166666666667</v>
      </c>
      <c r="M500" s="190">
        <v>1360.13</v>
      </c>
      <c r="N500" s="225">
        <f t="shared" si="381"/>
        <v>1360.13</v>
      </c>
      <c r="O500" s="225">
        <f t="shared" si="382"/>
        <v>37.781388888888891</v>
      </c>
      <c r="P500" s="204">
        <f t="shared" si="383"/>
        <v>453.37666666666667</v>
      </c>
      <c r="Q500" s="204">
        <f t="shared" si="384"/>
        <v>0</v>
      </c>
      <c r="R500" s="225"/>
      <c r="S500" s="204">
        <f t="shared" si="385"/>
        <v>1360.13</v>
      </c>
      <c r="T500" s="204">
        <f t="shared" si="386"/>
        <v>1360.13</v>
      </c>
      <c r="U500" s="204">
        <f t="shared" si="387"/>
        <v>0</v>
      </c>
    </row>
    <row r="501" spans="2:21">
      <c r="B501" s="230">
        <v>182211</v>
      </c>
      <c r="E501" s="185" t="s">
        <v>391</v>
      </c>
      <c r="F501" s="229">
        <v>2017</v>
      </c>
      <c r="G501" s="228">
        <v>4</v>
      </c>
      <c r="H501" s="209">
        <v>0</v>
      </c>
      <c r="I501" s="208" t="s">
        <v>86</v>
      </c>
      <c r="J501" s="227">
        <v>3</v>
      </c>
      <c r="K501" s="207">
        <f t="shared" si="380"/>
        <v>2020</v>
      </c>
      <c r="L501" s="206">
        <f t="shared" si="371"/>
        <v>2020.3333333333333</v>
      </c>
      <c r="M501" s="190">
        <v>1016.67</v>
      </c>
      <c r="N501" s="225">
        <f t="shared" si="381"/>
        <v>1016.67</v>
      </c>
      <c r="O501" s="225">
        <f t="shared" si="382"/>
        <v>28.240833333333331</v>
      </c>
      <c r="P501" s="204">
        <f t="shared" si="383"/>
        <v>338.89</v>
      </c>
      <c r="Q501" s="204">
        <f t="shared" si="384"/>
        <v>0</v>
      </c>
      <c r="R501" s="225"/>
      <c r="S501" s="204">
        <f t="shared" si="385"/>
        <v>1016.67</v>
      </c>
      <c r="T501" s="204">
        <f t="shared" si="386"/>
        <v>1016.67</v>
      </c>
      <c r="U501" s="204">
        <f t="shared" si="387"/>
        <v>0</v>
      </c>
    </row>
    <row r="502" spans="2:21">
      <c r="B502" s="230">
        <v>182210</v>
      </c>
      <c r="E502" s="185" t="s">
        <v>392</v>
      </c>
      <c r="F502" s="229">
        <v>2017</v>
      </c>
      <c r="G502" s="228">
        <v>4</v>
      </c>
      <c r="H502" s="209">
        <v>0</v>
      </c>
      <c r="I502" s="208" t="s">
        <v>86</v>
      </c>
      <c r="J502" s="227">
        <v>3</v>
      </c>
      <c r="K502" s="207">
        <f t="shared" si="380"/>
        <v>2020</v>
      </c>
      <c r="L502" s="206">
        <f t="shared" si="371"/>
        <v>2020.3333333333333</v>
      </c>
      <c r="M502" s="190">
        <v>1016.66</v>
      </c>
      <c r="N502" s="225">
        <f t="shared" si="381"/>
        <v>1016.66</v>
      </c>
      <c r="O502" s="225">
        <f t="shared" si="382"/>
        <v>28.240555555555556</v>
      </c>
      <c r="P502" s="204">
        <f t="shared" si="383"/>
        <v>338.88666666666666</v>
      </c>
      <c r="Q502" s="204">
        <f t="shared" si="384"/>
        <v>0</v>
      </c>
      <c r="R502" s="225"/>
      <c r="S502" s="204">
        <f t="shared" si="385"/>
        <v>1016.66</v>
      </c>
      <c r="T502" s="204">
        <f t="shared" si="386"/>
        <v>1016.66</v>
      </c>
      <c r="U502" s="204">
        <f t="shared" si="387"/>
        <v>0</v>
      </c>
    </row>
    <row r="503" spans="2:21">
      <c r="I503" s="208"/>
      <c r="K503" s="207"/>
      <c r="L503" s="206"/>
      <c r="M503" s="168"/>
      <c r="N503" s="225"/>
      <c r="O503" s="225"/>
      <c r="P503" s="204"/>
      <c r="Q503" s="204"/>
      <c r="R503" s="225"/>
      <c r="S503" s="225"/>
      <c r="T503" s="225"/>
      <c r="U503" s="225"/>
    </row>
    <row r="504" spans="2:21">
      <c r="E504" s="322" t="s">
        <v>275</v>
      </c>
      <c r="F504" s="305"/>
      <c r="G504" s="306"/>
      <c r="H504" s="306"/>
      <c r="I504" s="308"/>
      <c r="J504" s="309"/>
      <c r="K504" s="310"/>
      <c r="L504" s="323"/>
      <c r="M504" s="183">
        <f t="shared" ref="M504:U504" si="388">SUM(M494:M503)</f>
        <v>8506.67</v>
      </c>
      <c r="N504" s="169">
        <f t="shared" si="388"/>
        <v>8506.67</v>
      </c>
      <c r="O504" s="169">
        <f t="shared" si="388"/>
        <v>220.78116666666668</v>
      </c>
      <c r="P504" s="240">
        <f t="shared" si="388"/>
        <v>2649.3740000000003</v>
      </c>
      <c r="Q504" s="240">
        <f t="shared" si="388"/>
        <v>0</v>
      </c>
      <c r="R504" s="169">
        <f t="shared" si="388"/>
        <v>0</v>
      </c>
      <c r="S504" s="169">
        <f t="shared" si="388"/>
        <v>8506.67</v>
      </c>
      <c r="T504" s="169">
        <f t="shared" si="388"/>
        <v>8506.67</v>
      </c>
      <c r="U504" s="169">
        <f t="shared" si="388"/>
        <v>0</v>
      </c>
    </row>
    <row r="505" spans="2:21">
      <c r="L505" s="206"/>
    </row>
    <row r="506" spans="2:21">
      <c r="E506" s="321" t="s">
        <v>305</v>
      </c>
      <c r="L506" s="206"/>
    </row>
    <row r="507" spans="2:21">
      <c r="E507" s="185" t="s">
        <v>276</v>
      </c>
      <c r="F507" s="229">
        <v>2003</v>
      </c>
      <c r="G507" s="228">
        <v>1</v>
      </c>
      <c r="H507" s="209">
        <v>0</v>
      </c>
      <c r="I507" s="208" t="s">
        <v>86</v>
      </c>
      <c r="J507" s="227">
        <v>5</v>
      </c>
      <c r="K507" s="207">
        <f t="shared" ref="K507:K527" si="389">F507+J507</f>
        <v>2008</v>
      </c>
      <c r="L507" s="206">
        <f t="shared" si="371"/>
        <v>2008.0833333333333</v>
      </c>
      <c r="M507" s="190">
        <v>896</v>
      </c>
      <c r="N507" s="225">
        <f t="shared" ref="N507:N522" si="390">M507-M507*H507</f>
        <v>896</v>
      </c>
      <c r="O507" s="225">
        <f t="shared" ref="O507:O522" si="391">N507/J507/12</f>
        <v>14.933333333333332</v>
      </c>
      <c r="P507" s="204">
        <f t="shared" ref="P507:P522" si="392">+O507*12</f>
        <v>179.2</v>
      </c>
      <c r="Q507" s="204">
        <f t="shared" ref="Q507:Q527" si="393">+IF(L507&lt;=$N$5,0,IF(K507&gt;$N$4,P507,(O507*G507)))</f>
        <v>0</v>
      </c>
      <c r="R507" s="225"/>
      <c r="S507" s="204">
        <f t="shared" ref="S507:S522" si="394">+IF(Q507=0,M507,IF($N$3-F507&lt;1,0,(($N$3-F507)*P507)))</f>
        <v>896</v>
      </c>
      <c r="T507" s="204">
        <f t="shared" ref="T507:T522" si="395">+IF(Q507=0,S507,S507+Q507)</f>
        <v>896</v>
      </c>
      <c r="U507" s="204">
        <f t="shared" ref="U507:U527" si="396">M507-T507</f>
        <v>0</v>
      </c>
    </row>
    <row r="508" spans="2:21">
      <c r="E508" s="185" t="s">
        <v>24</v>
      </c>
      <c r="F508" s="229">
        <v>2003</v>
      </c>
      <c r="G508" s="228">
        <v>1</v>
      </c>
      <c r="H508" s="209">
        <v>0</v>
      </c>
      <c r="I508" s="208" t="s">
        <v>86</v>
      </c>
      <c r="J508" s="227">
        <v>10</v>
      </c>
      <c r="K508" s="207">
        <f t="shared" si="389"/>
        <v>2013</v>
      </c>
      <c r="L508" s="206">
        <f t="shared" si="371"/>
        <v>2013.0833333333333</v>
      </c>
      <c r="M508" s="190">
        <v>11846</v>
      </c>
      <c r="N508" s="225">
        <f t="shared" si="390"/>
        <v>11846</v>
      </c>
      <c r="O508" s="225">
        <f t="shared" si="391"/>
        <v>98.716666666666654</v>
      </c>
      <c r="P508" s="204">
        <f t="shared" si="392"/>
        <v>1184.5999999999999</v>
      </c>
      <c r="Q508" s="204">
        <f t="shared" si="393"/>
        <v>0</v>
      </c>
      <c r="R508" s="225"/>
      <c r="S508" s="204">
        <f t="shared" si="394"/>
        <v>11846</v>
      </c>
      <c r="T508" s="204">
        <f t="shared" si="395"/>
        <v>11846</v>
      </c>
      <c r="U508" s="204">
        <f t="shared" si="396"/>
        <v>0</v>
      </c>
    </row>
    <row r="509" spans="2:21">
      <c r="E509" s="210" t="s">
        <v>277</v>
      </c>
      <c r="F509" s="229">
        <v>2005</v>
      </c>
      <c r="G509" s="228">
        <v>10</v>
      </c>
      <c r="H509" s="209">
        <v>0</v>
      </c>
      <c r="I509" s="208" t="s">
        <v>86</v>
      </c>
      <c r="J509" s="227">
        <v>10</v>
      </c>
      <c r="K509" s="207">
        <f t="shared" si="389"/>
        <v>2015</v>
      </c>
      <c r="L509" s="206">
        <f t="shared" si="371"/>
        <v>2015.8333333333333</v>
      </c>
      <c r="M509" s="190">
        <v>4273.5200000000004</v>
      </c>
      <c r="N509" s="225">
        <f t="shared" si="390"/>
        <v>4273.5200000000004</v>
      </c>
      <c r="O509" s="225">
        <f t="shared" si="391"/>
        <v>35.612666666666669</v>
      </c>
      <c r="P509" s="204">
        <f t="shared" si="392"/>
        <v>427.35200000000003</v>
      </c>
      <c r="Q509" s="204">
        <f t="shared" si="393"/>
        <v>0</v>
      </c>
      <c r="R509" s="225"/>
      <c r="S509" s="204">
        <f t="shared" si="394"/>
        <v>4273.5200000000004</v>
      </c>
      <c r="T509" s="204">
        <f t="shared" si="395"/>
        <v>4273.5200000000004</v>
      </c>
      <c r="U509" s="204">
        <f t="shared" si="396"/>
        <v>0</v>
      </c>
    </row>
    <row r="510" spans="2:21">
      <c r="E510" s="210" t="s">
        <v>278</v>
      </c>
      <c r="F510" s="229">
        <v>2008</v>
      </c>
      <c r="G510" s="228">
        <v>5</v>
      </c>
      <c r="H510" s="209">
        <v>0</v>
      </c>
      <c r="I510" s="208" t="s">
        <v>86</v>
      </c>
      <c r="J510" s="227">
        <v>3</v>
      </c>
      <c r="K510" s="207">
        <f t="shared" si="389"/>
        <v>2011</v>
      </c>
      <c r="L510" s="206">
        <f t="shared" si="371"/>
        <v>2011.4166666666667</v>
      </c>
      <c r="M510" s="190">
        <v>2786.96</v>
      </c>
      <c r="N510" s="225">
        <f t="shared" si="390"/>
        <v>2786.96</v>
      </c>
      <c r="O510" s="225">
        <f t="shared" si="391"/>
        <v>77.415555555555557</v>
      </c>
      <c r="P510" s="204">
        <f t="shared" si="392"/>
        <v>928.98666666666668</v>
      </c>
      <c r="Q510" s="204">
        <f t="shared" si="393"/>
        <v>0</v>
      </c>
      <c r="R510" s="225"/>
      <c r="S510" s="204">
        <f t="shared" si="394"/>
        <v>2786.96</v>
      </c>
      <c r="T510" s="204">
        <f t="shared" si="395"/>
        <v>2786.96</v>
      </c>
      <c r="U510" s="204">
        <f t="shared" si="396"/>
        <v>0</v>
      </c>
    </row>
    <row r="511" spans="2:21">
      <c r="E511" s="210" t="s">
        <v>279</v>
      </c>
      <c r="F511" s="229">
        <v>2009</v>
      </c>
      <c r="G511" s="228">
        <v>7</v>
      </c>
      <c r="H511" s="209">
        <v>0</v>
      </c>
      <c r="I511" s="208" t="s">
        <v>86</v>
      </c>
      <c r="J511" s="227">
        <v>10</v>
      </c>
      <c r="K511" s="207">
        <f t="shared" si="389"/>
        <v>2019</v>
      </c>
      <c r="L511" s="206">
        <f t="shared" si="371"/>
        <v>2019.5833333333333</v>
      </c>
      <c r="M511" s="190">
        <v>9000</v>
      </c>
      <c r="N511" s="225">
        <f t="shared" si="390"/>
        <v>9000</v>
      </c>
      <c r="O511" s="225">
        <f t="shared" si="391"/>
        <v>75</v>
      </c>
      <c r="P511" s="204">
        <f t="shared" si="392"/>
        <v>900</v>
      </c>
      <c r="Q511" s="204">
        <f t="shared" si="393"/>
        <v>0</v>
      </c>
      <c r="R511" s="225"/>
      <c r="S511" s="204">
        <f t="shared" si="394"/>
        <v>9000</v>
      </c>
      <c r="T511" s="204">
        <f t="shared" si="395"/>
        <v>9000</v>
      </c>
      <c r="U511" s="204">
        <f t="shared" si="396"/>
        <v>0</v>
      </c>
    </row>
    <row r="512" spans="2:21">
      <c r="E512" s="210" t="s">
        <v>280</v>
      </c>
      <c r="F512" s="229">
        <v>2009</v>
      </c>
      <c r="G512" s="228">
        <v>7</v>
      </c>
      <c r="H512" s="209">
        <v>0</v>
      </c>
      <c r="I512" s="208" t="s">
        <v>86</v>
      </c>
      <c r="J512" s="227">
        <v>10</v>
      </c>
      <c r="K512" s="207">
        <f t="shared" si="389"/>
        <v>2019</v>
      </c>
      <c r="L512" s="206">
        <f t="shared" si="371"/>
        <v>2019.5833333333333</v>
      </c>
      <c r="M512" s="190">
        <v>9687</v>
      </c>
      <c r="N512" s="225">
        <f t="shared" si="390"/>
        <v>9687</v>
      </c>
      <c r="O512" s="225">
        <f t="shared" si="391"/>
        <v>80.725000000000009</v>
      </c>
      <c r="P512" s="204">
        <f t="shared" si="392"/>
        <v>968.7</v>
      </c>
      <c r="Q512" s="204">
        <f t="shared" si="393"/>
        <v>0</v>
      </c>
      <c r="R512" s="225"/>
      <c r="S512" s="204">
        <f t="shared" si="394"/>
        <v>9687</v>
      </c>
      <c r="T512" s="204">
        <f t="shared" si="395"/>
        <v>9687</v>
      </c>
      <c r="U512" s="204">
        <f t="shared" si="396"/>
        <v>0</v>
      </c>
    </row>
    <row r="513" spans="2:21">
      <c r="E513" s="210" t="s">
        <v>281</v>
      </c>
      <c r="F513" s="229">
        <v>2010</v>
      </c>
      <c r="G513" s="228">
        <v>2</v>
      </c>
      <c r="H513" s="209">
        <v>0</v>
      </c>
      <c r="I513" s="208" t="s">
        <v>86</v>
      </c>
      <c r="J513" s="227">
        <v>10</v>
      </c>
      <c r="K513" s="207">
        <f t="shared" si="389"/>
        <v>2020</v>
      </c>
      <c r="L513" s="206">
        <f t="shared" si="371"/>
        <v>2020.1666666666667</v>
      </c>
      <c r="M513" s="190">
        <v>1470.45</v>
      </c>
      <c r="N513" s="225">
        <f t="shared" si="390"/>
        <v>1470.45</v>
      </c>
      <c r="O513" s="225">
        <f t="shared" si="391"/>
        <v>12.253750000000002</v>
      </c>
      <c r="P513" s="204">
        <f t="shared" si="392"/>
        <v>147.04500000000002</v>
      </c>
      <c r="Q513" s="204">
        <f t="shared" si="393"/>
        <v>0</v>
      </c>
      <c r="R513" s="225"/>
      <c r="S513" s="204">
        <f t="shared" si="394"/>
        <v>1470.45</v>
      </c>
      <c r="T513" s="204">
        <f t="shared" si="395"/>
        <v>1470.45</v>
      </c>
      <c r="U513" s="204">
        <f t="shared" si="396"/>
        <v>0</v>
      </c>
    </row>
    <row r="514" spans="2:21">
      <c r="E514" s="210" t="s">
        <v>282</v>
      </c>
      <c r="F514" s="229">
        <v>2010</v>
      </c>
      <c r="G514" s="228">
        <v>7</v>
      </c>
      <c r="H514" s="209">
        <v>0</v>
      </c>
      <c r="I514" s="208" t="s">
        <v>86</v>
      </c>
      <c r="J514" s="227">
        <v>10</v>
      </c>
      <c r="K514" s="207">
        <f t="shared" si="389"/>
        <v>2020</v>
      </c>
      <c r="L514" s="206">
        <f t="shared" si="371"/>
        <v>2020.5833333333333</v>
      </c>
      <c r="M514" s="190">
        <v>65592.52</v>
      </c>
      <c r="N514" s="225">
        <f t="shared" si="390"/>
        <v>65592.52</v>
      </c>
      <c r="O514" s="225">
        <f t="shared" si="391"/>
        <v>546.60433333333333</v>
      </c>
      <c r="P514" s="204">
        <f t="shared" si="392"/>
        <v>6559.2520000000004</v>
      </c>
      <c r="Q514" s="204">
        <f t="shared" si="393"/>
        <v>0</v>
      </c>
      <c r="R514" s="225"/>
      <c r="S514" s="204">
        <f t="shared" si="394"/>
        <v>65592.52</v>
      </c>
      <c r="T514" s="204">
        <f t="shared" si="395"/>
        <v>65592.52</v>
      </c>
      <c r="U514" s="204">
        <f t="shared" si="396"/>
        <v>0</v>
      </c>
    </row>
    <row r="515" spans="2:21">
      <c r="E515" s="210" t="s">
        <v>283</v>
      </c>
      <c r="F515" s="229">
        <v>2011</v>
      </c>
      <c r="G515" s="228">
        <v>3</v>
      </c>
      <c r="H515" s="209">
        <v>0</v>
      </c>
      <c r="I515" s="208" t="s">
        <v>86</v>
      </c>
      <c r="J515" s="227">
        <v>20</v>
      </c>
      <c r="K515" s="207">
        <f t="shared" si="389"/>
        <v>2031</v>
      </c>
      <c r="L515" s="206">
        <f t="shared" si="371"/>
        <v>2031.25</v>
      </c>
      <c r="M515" s="190">
        <f>613.03+85803.33+72899+2665+1853+730.63+67750+1738.83+58.38+2444.87+2444.88-M514</f>
        <v>173408.43</v>
      </c>
      <c r="N515" s="225">
        <f t="shared" si="390"/>
        <v>173408.43</v>
      </c>
      <c r="O515" s="225">
        <f t="shared" si="391"/>
        <v>722.53512499999999</v>
      </c>
      <c r="P515" s="204">
        <f t="shared" si="392"/>
        <v>8670.4215000000004</v>
      </c>
      <c r="Q515" s="204">
        <f t="shared" si="393"/>
        <v>8670.4215000000004</v>
      </c>
      <c r="R515" s="225"/>
      <c r="S515" s="204">
        <f t="shared" si="394"/>
        <v>78033.7935</v>
      </c>
      <c r="T515" s="204">
        <f t="shared" si="395"/>
        <v>86704.214999999997</v>
      </c>
      <c r="U515" s="204">
        <f t="shared" si="396"/>
        <v>86704.214999999997</v>
      </c>
    </row>
    <row r="516" spans="2:21">
      <c r="E516" s="210" t="s">
        <v>284</v>
      </c>
      <c r="F516" s="229">
        <v>2011</v>
      </c>
      <c r="G516" s="228">
        <v>9</v>
      </c>
      <c r="H516" s="209">
        <v>0</v>
      </c>
      <c r="I516" s="208" t="s">
        <v>86</v>
      </c>
      <c r="J516" s="227">
        <v>7</v>
      </c>
      <c r="K516" s="207">
        <f t="shared" si="389"/>
        <v>2018</v>
      </c>
      <c r="L516" s="206">
        <f t="shared" si="371"/>
        <v>2018.75</v>
      </c>
      <c r="M516" s="190">
        <v>2840.07</v>
      </c>
      <c r="N516" s="225">
        <f t="shared" si="390"/>
        <v>2840.07</v>
      </c>
      <c r="O516" s="225">
        <f t="shared" si="391"/>
        <v>33.810357142857143</v>
      </c>
      <c r="P516" s="204">
        <f t="shared" si="392"/>
        <v>405.72428571428571</v>
      </c>
      <c r="Q516" s="204">
        <f t="shared" si="393"/>
        <v>0</v>
      </c>
      <c r="R516" s="225"/>
      <c r="S516" s="204">
        <f t="shared" si="394"/>
        <v>2840.07</v>
      </c>
      <c r="T516" s="204">
        <f t="shared" si="395"/>
        <v>2840.07</v>
      </c>
      <c r="U516" s="204">
        <f t="shared" si="396"/>
        <v>0</v>
      </c>
    </row>
    <row r="517" spans="2:21">
      <c r="B517" s="230">
        <v>97283</v>
      </c>
      <c r="E517" s="210" t="s">
        <v>291</v>
      </c>
      <c r="F517" s="229">
        <v>2012</v>
      </c>
      <c r="G517" s="228">
        <v>10</v>
      </c>
      <c r="H517" s="209">
        <v>0</v>
      </c>
      <c r="I517" s="208" t="s">
        <v>86</v>
      </c>
      <c r="J517" s="227">
        <v>10</v>
      </c>
      <c r="K517" s="207">
        <f t="shared" si="389"/>
        <v>2022</v>
      </c>
      <c r="L517" s="206">
        <f t="shared" si="371"/>
        <v>2022.8333333333333</v>
      </c>
      <c r="M517" s="190">
        <v>6890</v>
      </c>
      <c r="N517" s="225">
        <f t="shared" si="390"/>
        <v>6890</v>
      </c>
      <c r="O517" s="225">
        <f t="shared" si="391"/>
        <v>57.416666666666664</v>
      </c>
      <c r="P517" s="204">
        <f t="shared" si="392"/>
        <v>689</v>
      </c>
      <c r="Q517" s="204">
        <f t="shared" si="393"/>
        <v>689</v>
      </c>
      <c r="R517" s="225"/>
      <c r="S517" s="204">
        <f t="shared" si="394"/>
        <v>5512</v>
      </c>
      <c r="T517" s="204">
        <f t="shared" si="395"/>
        <v>6201</v>
      </c>
      <c r="U517" s="204">
        <f t="shared" si="396"/>
        <v>689</v>
      </c>
    </row>
    <row r="518" spans="2:21">
      <c r="B518" s="230">
        <v>97221</v>
      </c>
      <c r="E518" s="210" t="s">
        <v>292</v>
      </c>
      <c r="F518" s="229">
        <v>2012</v>
      </c>
      <c r="G518" s="228">
        <v>10</v>
      </c>
      <c r="H518" s="209">
        <v>0</v>
      </c>
      <c r="I518" s="208" t="s">
        <v>86</v>
      </c>
      <c r="J518" s="227">
        <v>10</v>
      </c>
      <c r="K518" s="207">
        <f t="shared" si="389"/>
        <v>2022</v>
      </c>
      <c r="L518" s="206">
        <f t="shared" si="371"/>
        <v>2022.8333333333333</v>
      </c>
      <c r="M518" s="190">
        <v>11318</v>
      </c>
      <c r="N518" s="225">
        <f t="shared" si="390"/>
        <v>11318</v>
      </c>
      <c r="O518" s="225">
        <f t="shared" si="391"/>
        <v>94.316666666666663</v>
      </c>
      <c r="P518" s="204">
        <f t="shared" si="392"/>
        <v>1131.8</v>
      </c>
      <c r="Q518" s="204">
        <f t="shared" si="393"/>
        <v>1131.8</v>
      </c>
      <c r="R518" s="225"/>
      <c r="S518" s="204">
        <f t="shared" si="394"/>
        <v>9054.4</v>
      </c>
      <c r="T518" s="204">
        <f t="shared" si="395"/>
        <v>10186.199999999999</v>
      </c>
      <c r="U518" s="204">
        <f t="shared" si="396"/>
        <v>1131.8000000000011</v>
      </c>
    </row>
    <row r="519" spans="2:21">
      <c r="B519" s="230">
        <v>97148</v>
      </c>
      <c r="E519" s="210" t="s">
        <v>293</v>
      </c>
      <c r="F519" s="229">
        <v>2012</v>
      </c>
      <c r="G519" s="228">
        <v>10</v>
      </c>
      <c r="H519" s="209">
        <v>0</v>
      </c>
      <c r="I519" s="208" t="s">
        <v>86</v>
      </c>
      <c r="J519" s="227">
        <v>10</v>
      </c>
      <c r="K519" s="207">
        <f t="shared" si="389"/>
        <v>2022</v>
      </c>
      <c r="L519" s="206">
        <f t="shared" si="371"/>
        <v>2022.8333333333333</v>
      </c>
      <c r="M519" s="190">
        <v>2409</v>
      </c>
      <c r="N519" s="225">
        <f t="shared" si="390"/>
        <v>2409</v>
      </c>
      <c r="O519" s="225">
        <f t="shared" si="391"/>
        <v>20.074999999999999</v>
      </c>
      <c r="P519" s="204">
        <f t="shared" si="392"/>
        <v>240.89999999999998</v>
      </c>
      <c r="Q519" s="204">
        <f t="shared" si="393"/>
        <v>240.89999999999998</v>
      </c>
      <c r="R519" s="225"/>
      <c r="S519" s="204">
        <f t="shared" si="394"/>
        <v>1927.1999999999998</v>
      </c>
      <c r="T519" s="204">
        <f t="shared" si="395"/>
        <v>2168.1</v>
      </c>
      <c r="U519" s="204">
        <f t="shared" si="396"/>
        <v>240.90000000000009</v>
      </c>
    </row>
    <row r="520" spans="2:21">
      <c r="B520" s="230">
        <v>109576</v>
      </c>
      <c r="E520" s="210" t="s">
        <v>304</v>
      </c>
      <c r="F520" s="229">
        <v>2014</v>
      </c>
      <c r="G520" s="228">
        <v>1</v>
      </c>
      <c r="H520" s="209">
        <v>0</v>
      </c>
      <c r="I520" s="208" t="s">
        <v>86</v>
      </c>
      <c r="J520" s="227">
        <v>15</v>
      </c>
      <c r="K520" s="207">
        <f t="shared" si="389"/>
        <v>2029</v>
      </c>
      <c r="L520" s="206">
        <f t="shared" si="371"/>
        <v>2029.0833333333333</v>
      </c>
      <c r="M520" s="190">
        <f>17617.71+1022.03+14778.49+55756.7+317+10412.07+2675.38+1884</f>
        <v>104463.38</v>
      </c>
      <c r="N520" s="225">
        <f t="shared" si="390"/>
        <v>104463.38</v>
      </c>
      <c r="O520" s="225">
        <f t="shared" si="391"/>
        <v>580.35211111111118</v>
      </c>
      <c r="P520" s="204">
        <f t="shared" si="392"/>
        <v>6964.2253333333338</v>
      </c>
      <c r="Q520" s="204">
        <f t="shared" si="393"/>
        <v>6964.2253333333338</v>
      </c>
      <c r="R520" s="225"/>
      <c r="S520" s="204">
        <f t="shared" si="394"/>
        <v>41785.351999999999</v>
      </c>
      <c r="T520" s="204">
        <f t="shared" si="395"/>
        <v>48749.577333333335</v>
      </c>
      <c r="U520" s="204">
        <f t="shared" si="396"/>
        <v>55713.80266666667</v>
      </c>
    </row>
    <row r="521" spans="2:21">
      <c r="B521" s="230">
        <v>110007</v>
      </c>
      <c r="E521" s="210" t="s">
        <v>282</v>
      </c>
      <c r="F521" s="229">
        <v>2013</v>
      </c>
      <c r="G521" s="228">
        <v>12</v>
      </c>
      <c r="H521" s="209">
        <v>0</v>
      </c>
      <c r="I521" s="208" t="s">
        <v>86</v>
      </c>
      <c r="J521" s="227">
        <v>20</v>
      </c>
      <c r="K521" s="207">
        <f t="shared" si="389"/>
        <v>2033</v>
      </c>
      <c r="L521" s="206">
        <f t="shared" si="371"/>
        <v>2034</v>
      </c>
      <c r="M521" s="190">
        <v>4622.1000000000004</v>
      </c>
      <c r="N521" s="225">
        <f t="shared" si="390"/>
        <v>4622.1000000000004</v>
      </c>
      <c r="O521" s="225">
        <f t="shared" si="391"/>
        <v>19.258750000000003</v>
      </c>
      <c r="P521" s="204">
        <f t="shared" si="392"/>
        <v>231.10500000000002</v>
      </c>
      <c r="Q521" s="204">
        <f t="shared" si="393"/>
        <v>231.10500000000002</v>
      </c>
      <c r="R521" s="225"/>
      <c r="S521" s="204">
        <f t="shared" si="394"/>
        <v>1617.7350000000001</v>
      </c>
      <c r="T521" s="204">
        <f t="shared" si="395"/>
        <v>1848.8400000000001</v>
      </c>
      <c r="U521" s="204">
        <f t="shared" si="396"/>
        <v>2773.26</v>
      </c>
    </row>
    <row r="522" spans="2:21">
      <c r="B522" s="230">
        <v>116395</v>
      </c>
      <c r="E522" s="210" t="s">
        <v>322</v>
      </c>
      <c r="F522" s="229">
        <v>2014</v>
      </c>
      <c r="G522" s="228">
        <v>10</v>
      </c>
      <c r="H522" s="209">
        <v>0</v>
      </c>
      <c r="I522" s="208" t="s">
        <v>86</v>
      </c>
      <c r="J522" s="227">
        <v>5</v>
      </c>
      <c r="K522" s="207">
        <f t="shared" si="389"/>
        <v>2019</v>
      </c>
      <c r="L522" s="206">
        <f t="shared" si="371"/>
        <v>2019.8333333333333</v>
      </c>
      <c r="M522" s="190">
        <v>3942.89</v>
      </c>
      <c r="N522" s="225">
        <f t="shared" si="390"/>
        <v>3942.89</v>
      </c>
      <c r="O522" s="225">
        <f t="shared" si="391"/>
        <v>65.714833333333331</v>
      </c>
      <c r="P522" s="204">
        <f t="shared" si="392"/>
        <v>788.57799999999997</v>
      </c>
      <c r="Q522" s="204">
        <f t="shared" si="393"/>
        <v>0</v>
      </c>
      <c r="R522" s="225"/>
      <c r="S522" s="204">
        <f t="shared" si="394"/>
        <v>3942.89</v>
      </c>
      <c r="T522" s="204">
        <f t="shared" si="395"/>
        <v>3942.89</v>
      </c>
      <c r="U522" s="204">
        <f t="shared" si="396"/>
        <v>0</v>
      </c>
    </row>
    <row r="523" spans="2:21">
      <c r="B523" s="230">
        <v>194636</v>
      </c>
      <c r="E523" s="210" t="s">
        <v>483</v>
      </c>
      <c r="F523" s="229">
        <v>2018</v>
      </c>
      <c r="G523" s="228">
        <v>10</v>
      </c>
      <c r="H523" s="209">
        <v>0</v>
      </c>
      <c r="I523" s="208" t="s">
        <v>86</v>
      </c>
      <c r="J523" s="227">
        <v>10</v>
      </c>
      <c r="K523" s="207">
        <f t="shared" si="389"/>
        <v>2028</v>
      </c>
      <c r="L523" s="206">
        <f t="shared" si="371"/>
        <v>2028.8333333333333</v>
      </c>
      <c r="M523" s="190">
        <v>13031.65</v>
      </c>
      <c r="N523" s="225">
        <f t="shared" ref="N523:N527" si="397">M523-M523*H523</f>
        <v>13031.65</v>
      </c>
      <c r="O523" s="225">
        <f t="shared" ref="O523:O527" si="398">N523/J523/12</f>
        <v>108.59708333333333</v>
      </c>
      <c r="P523" s="204">
        <f t="shared" ref="P523:P527" si="399">+O523*12</f>
        <v>1303.165</v>
      </c>
      <c r="Q523" s="204">
        <f t="shared" si="393"/>
        <v>1303.165</v>
      </c>
      <c r="R523" s="225"/>
      <c r="S523" s="204">
        <f t="shared" ref="S523:S527" si="400">+IF(Q523=0,M523,IF($N$3-F523&lt;1,0,(($N$3-F523)*P523)))</f>
        <v>2606.33</v>
      </c>
      <c r="T523" s="204">
        <f t="shared" ref="T523:T527" si="401">+IF(Q523=0,S523,S523+Q523)</f>
        <v>3909.4949999999999</v>
      </c>
      <c r="U523" s="204">
        <f t="shared" si="396"/>
        <v>9122.1549999999988</v>
      </c>
    </row>
    <row r="524" spans="2:21">
      <c r="B524" s="230">
        <v>195654</v>
      </c>
      <c r="E524" s="210" t="s">
        <v>484</v>
      </c>
      <c r="F524" s="229">
        <v>2018</v>
      </c>
      <c r="G524" s="228">
        <v>10</v>
      </c>
      <c r="H524" s="209">
        <v>0</v>
      </c>
      <c r="I524" s="208" t="s">
        <v>86</v>
      </c>
      <c r="J524" s="227">
        <v>10</v>
      </c>
      <c r="K524" s="207">
        <f t="shared" si="389"/>
        <v>2028</v>
      </c>
      <c r="L524" s="206">
        <f t="shared" si="371"/>
        <v>2028.8333333333333</v>
      </c>
      <c r="M524" s="190">
        <v>36063.39</v>
      </c>
      <c r="N524" s="225">
        <f t="shared" si="397"/>
        <v>36063.39</v>
      </c>
      <c r="O524" s="225">
        <f t="shared" si="398"/>
        <v>300.52825000000001</v>
      </c>
      <c r="P524" s="204">
        <f t="shared" si="399"/>
        <v>3606.3389999999999</v>
      </c>
      <c r="Q524" s="204">
        <f t="shared" si="393"/>
        <v>3606.3389999999999</v>
      </c>
      <c r="R524" s="225"/>
      <c r="S524" s="204">
        <f t="shared" si="400"/>
        <v>7212.6779999999999</v>
      </c>
      <c r="T524" s="204">
        <f t="shared" si="401"/>
        <v>10819.017</v>
      </c>
      <c r="U524" s="204">
        <f t="shared" si="396"/>
        <v>25244.373</v>
      </c>
    </row>
    <row r="525" spans="2:21">
      <c r="B525" s="230">
        <v>194635</v>
      </c>
      <c r="E525" s="210" t="s">
        <v>484</v>
      </c>
      <c r="F525" s="229">
        <v>2018</v>
      </c>
      <c r="G525" s="228">
        <v>10</v>
      </c>
      <c r="H525" s="209">
        <v>0</v>
      </c>
      <c r="I525" s="208" t="s">
        <v>86</v>
      </c>
      <c r="J525" s="227">
        <v>10</v>
      </c>
      <c r="K525" s="207">
        <f t="shared" si="389"/>
        <v>2028</v>
      </c>
      <c r="L525" s="206">
        <f t="shared" si="371"/>
        <v>2028.8333333333333</v>
      </c>
      <c r="M525" s="190">
        <v>33614.33</v>
      </c>
      <c r="N525" s="225">
        <f t="shared" si="397"/>
        <v>33614.33</v>
      </c>
      <c r="O525" s="225">
        <f t="shared" si="398"/>
        <v>280.11941666666667</v>
      </c>
      <c r="P525" s="204">
        <f t="shared" si="399"/>
        <v>3361.433</v>
      </c>
      <c r="Q525" s="204">
        <f t="shared" si="393"/>
        <v>3361.433</v>
      </c>
      <c r="R525" s="225"/>
      <c r="S525" s="204">
        <f t="shared" si="400"/>
        <v>6722.866</v>
      </c>
      <c r="T525" s="204">
        <f t="shared" si="401"/>
        <v>10084.298999999999</v>
      </c>
      <c r="U525" s="204">
        <f t="shared" si="396"/>
        <v>23530.031000000003</v>
      </c>
    </row>
    <row r="526" spans="2:21">
      <c r="B526" s="230">
        <v>207741</v>
      </c>
      <c r="E526" s="210" t="s">
        <v>485</v>
      </c>
      <c r="F526" s="229">
        <v>2018</v>
      </c>
      <c r="G526" s="228">
        <v>10</v>
      </c>
      <c r="H526" s="209">
        <v>0</v>
      </c>
      <c r="I526" s="208" t="s">
        <v>86</v>
      </c>
      <c r="J526" s="227">
        <v>10</v>
      </c>
      <c r="K526" s="207">
        <f t="shared" si="389"/>
        <v>2028</v>
      </c>
      <c r="L526" s="206">
        <f t="shared" si="371"/>
        <v>2028.8333333333333</v>
      </c>
      <c r="M526" s="190">
        <v>28752.5</v>
      </c>
      <c r="N526" s="225">
        <f t="shared" si="397"/>
        <v>28752.5</v>
      </c>
      <c r="O526" s="225">
        <f t="shared" si="398"/>
        <v>239.60416666666666</v>
      </c>
      <c r="P526" s="204">
        <f t="shared" si="399"/>
        <v>2875.25</v>
      </c>
      <c r="Q526" s="204">
        <f t="shared" si="393"/>
        <v>2875.25</v>
      </c>
      <c r="R526" s="225"/>
      <c r="S526" s="204">
        <f t="shared" si="400"/>
        <v>5750.5</v>
      </c>
      <c r="T526" s="204">
        <f t="shared" si="401"/>
        <v>8625.75</v>
      </c>
      <c r="U526" s="204">
        <f t="shared" si="396"/>
        <v>20126.75</v>
      </c>
    </row>
    <row r="527" spans="2:21">
      <c r="B527" s="230">
        <v>242794</v>
      </c>
      <c r="C527" s="202"/>
      <c r="E527" s="210" t="s">
        <v>579</v>
      </c>
      <c r="F527" s="229">
        <v>2020</v>
      </c>
      <c r="G527" s="228">
        <v>12</v>
      </c>
      <c r="H527" s="209">
        <v>0</v>
      </c>
      <c r="I527" s="208" t="s">
        <v>86</v>
      </c>
      <c r="J527" s="227">
        <v>10</v>
      </c>
      <c r="K527" s="207">
        <f t="shared" si="389"/>
        <v>2030</v>
      </c>
      <c r="L527" s="206">
        <f t="shared" si="371"/>
        <v>2031</v>
      </c>
      <c r="M527" s="190">
        <v>74833.509999999995</v>
      </c>
      <c r="N527" s="225">
        <f t="shared" si="397"/>
        <v>74833.509999999995</v>
      </c>
      <c r="O527" s="225">
        <f t="shared" si="398"/>
        <v>623.6125833333333</v>
      </c>
      <c r="P527" s="204">
        <f t="shared" si="399"/>
        <v>7483.3509999999997</v>
      </c>
      <c r="Q527" s="204">
        <f t="shared" si="393"/>
        <v>7483.3509999999997</v>
      </c>
      <c r="R527" s="225"/>
      <c r="S527" s="204">
        <f t="shared" si="400"/>
        <v>0</v>
      </c>
      <c r="T527" s="204">
        <f t="shared" si="401"/>
        <v>7483.3509999999997</v>
      </c>
      <c r="U527" s="204">
        <f t="shared" si="396"/>
        <v>67350.159</v>
      </c>
    </row>
    <row r="528" spans="2:21">
      <c r="C528" s="202"/>
      <c r="E528" s="210" t="s">
        <v>579</v>
      </c>
      <c r="F528" s="229">
        <v>20201</v>
      </c>
      <c r="G528" s="228">
        <v>3</v>
      </c>
      <c r="H528" s="209">
        <v>0</v>
      </c>
      <c r="I528" s="208" t="s">
        <v>86</v>
      </c>
      <c r="J528" s="227">
        <v>10</v>
      </c>
      <c r="K528" s="207">
        <f t="shared" ref="K528" si="402">F528+J528</f>
        <v>20211</v>
      </c>
      <c r="L528" s="206">
        <f t="shared" ref="L528" si="403">+K528+(G528/12)</f>
        <v>20211.25</v>
      </c>
      <c r="M528" s="190">
        <v>30000</v>
      </c>
      <c r="N528" s="225">
        <f t="shared" ref="N528" si="404">M528-M528*H528</f>
        <v>30000</v>
      </c>
      <c r="O528" s="225">
        <f t="shared" ref="O528" si="405">N528/J528/12</f>
        <v>250</v>
      </c>
      <c r="P528" s="204">
        <f t="shared" ref="P528" si="406">+O528*12</f>
        <v>3000</v>
      </c>
      <c r="Q528" s="204">
        <f t="shared" ref="Q528" si="407">+IF(L528&lt;=$N$5,0,IF(K528&gt;$N$4,P528,(O528*G528)))</f>
        <v>3000</v>
      </c>
      <c r="R528" s="225"/>
      <c r="S528" s="204">
        <f t="shared" ref="S528" si="408">+IF(Q528=0,M528,IF($N$3-F528&lt;1,0,(($N$3-F528)*P528)))</f>
        <v>0</v>
      </c>
      <c r="T528" s="204">
        <f t="shared" ref="T528" si="409">+IF(Q528=0,S528,S528+Q528)</f>
        <v>3000</v>
      </c>
      <c r="U528" s="204">
        <f t="shared" ref="U528" si="410">M528-T528</f>
        <v>27000</v>
      </c>
    </row>
    <row r="529" spans="3:42">
      <c r="E529" s="210"/>
      <c r="H529" s="209"/>
      <c r="I529" s="208"/>
      <c r="K529" s="207"/>
      <c r="L529" s="206"/>
      <c r="M529" s="190"/>
      <c r="N529" s="225"/>
      <c r="O529" s="225"/>
      <c r="P529" s="204"/>
      <c r="Q529" s="204"/>
      <c r="R529" s="225"/>
      <c r="S529" s="225"/>
      <c r="T529" s="225"/>
      <c r="U529" s="225"/>
    </row>
    <row r="530" spans="3:42">
      <c r="D530" s="202"/>
      <c r="E530" s="322" t="s">
        <v>285</v>
      </c>
      <c r="F530" s="312"/>
      <c r="G530" s="313"/>
      <c r="H530" s="313"/>
      <c r="I530" s="306"/>
      <c r="J530" s="300"/>
      <c r="K530" s="312"/>
      <c r="L530" s="323"/>
      <c r="M530" s="183">
        <f>SUM(M507:M529)</f>
        <v>631741.70000000007</v>
      </c>
      <c r="N530" s="183">
        <f t="shared" ref="N530" si="411">SUM(N507:N529)</f>
        <v>631741.70000000007</v>
      </c>
      <c r="O530" s="183">
        <f t="shared" ref="O530:U530" si="412">SUM(O507:O529)</f>
        <v>4337.2023154761901</v>
      </c>
      <c r="P530" s="240">
        <f t="shared" si="412"/>
        <v>52046.427785714288</v>
      </c>
      <c r="Q530" s="240">
        <f t="shared" si="412"/>
        <v>39556.989833333333</v>
      </c>
      <c r="R530" s="183">
        <f t="shared" si="412"/>
        <v>0</v>
      </c>
      <c r="S530" s="183">
        <f t="shared" si="412"/>
        <v>272558.26449999993</v>
      </c>
      <c r="T530" s="183">
        <f t="shared" si="412"/>
        <v>312115.2543333334</v>
      </c>
      <c r="U530" s="183">
        <f t="shared" si="412"/>
        <v>319626.44566666667</v>
      </c>
    </row>
    <row r="531" spans="3:42">
      <c r="E531" s="311"/>
      <c r="F531" s="305"/>
      <c r="G531" s="306"/>
      <c r="H531" s="306"/>
      <c r="I531" s="306"/>
      <c r="J531" s="309"/>
      <c r="K531" s="305"/>
      <c r="L531" s="323"/>
      <c r="M531" s="325"/>
      <c r="N531" s="324"/>
      <c r="O531" s="324"/>
    </row>
    <row r="532" spans="3:42" s="202" customFormat="1">
      <c r="E532" s="326" t="s">
        <v>619</v>
      </c>
      <c r="F532" s="327"/>
      <c r="G532" s="328"/>
      <c r="H532" s="328"/>
      <c r="I532" s="328"/>
      <c r="J532" s="329"/>
      <c r="K532" s="327"/>
      <c r="L532" s="330"/>
      <c r="M532" s="195">
        <f>M39+M79+M97+M114+M138+M228+M289+M335+M350+M409+M449+M491+M504+M530+M417+M420+M430+M436+M441+M148+M378+M393+M168+M51</f>
        <v>12366741.039572647</v>
      </c>
      <c r="N532" s="195">
        <f t="shared" ref="N532:U532" si="413">N39+N79+N97+N114+N138+N228+N289+N335+N350+N409+N449+N491+N504+N530+N417+N420+N430+N436+N441+N148+N378+N393</f>
        <v>11342976.379572647</v>
      </c>
      <c r="O532" s="195">
        <f t="shared" si="413"/>
        <v>132176.24999641196</v>
      </c>
      <c r="P532" s="195">
        <f t="shared" si="413"/>
        <v>1586114.9999569438</v>
      </c>
      <c r="Q532" s="195">
        <f t="shared" si="413"/>
        <v>970034.26356620679</v>
      </c>
      <c r="R532" s="195">
        <f t="shared" si="413"/>
        <v>0</v>
      </c>
      <c r="S532" s="195">
        <f t="shared" si="413"/>
        <v>6084994.0767188882</v>
      </c>
      <c r="T532" s="195">
        <f t="shared" si="413"/>
        <v>7055028.3402850945</v>
      </c>
      <c r="U532" s="195">
        <f t="shared" si="413"/>
        <v>4287948.0392875541</v>
      </c>
    </row>
    <row r="533" spans="3:42">
      <c r="E533" s="198"/>
      <c r="H533" s="209"/>
      <c r="L533" s="206"/>
      <c r="N533" s="167"/>
      <c r="O533" s="167"/>
      <c r="P533" s="235"/>
      <c r="Q533" s="235"/>
      <c r="S533" s="228"/>
      <c r="T533" s="228"/>
      <c r="U533" s="228"/>
    </row>
    <row r="534" spans="3:42">
      <c r="E534" s="186"/>
      <c r="L534" s="206"/>
      <c r="N534" s="167"/>
      <c r="O534" s="167"/>
      <c r="P534" s="235"/>
      <c r="Q534" s="235"/>
      <c r="S534" s="228"/>
      <c r="T534" s="228"/>
      <c r="U534" s="228"/>
    </row>
    <row r="535" spans="3:42">
      <c r="E535" s="166" t="s">
        <v>302</v>
      </c>
      <c r="L535" s="206"/>
      <c r="M535" s="190"/>
      <c r="N535" s="167"/>
      <c r="O535" s="167"/>
      <c r="P535" s="235"/>
      <c r="Q535" s="235"/>
      <c r="S535" s="167"/>
      <c r="T535" s="167"/>
      <c r="U535" s="167"/>
    </row>
    <row r="536" spans="3:42" s="164" customFormat="1">
      <c r="E536" s="155" t="s">
        <v>229</v>
      </c>
      <c r="F536" s="163">
        <v>1987</v>
      </c>
      <c r="G536" s="162">
        <v>6</v>
      </c>
      <c r="H536" s="161">
        <v>0</v>
      </c>
      <c r="I536" s="160" t="s">
        <v>86</v>
      </c>
      <c r="J536" s="159">
        <v>5</v>
      </c>
      <c r="K536" s="158">
        <f>F536+J536</f>
        <v>1992</v>
      </c>
      <c r="L536" s="206">
        <f t="shared" ref="L536:L551" si="414">+K536+(G536/12)</f>
        <v>1992.5</v>
      </c>
      <c r="M536" s="157">
        <v>970</v>
      </c>
      <c r="N536" s="165">
        <f>M536-M536*H536</f>
        <v>970</v>
      </c>
      <c r="O536" s="165">
        <f>N536/J536/12</f>
        <v>16.166666666666668</v>
      </c>
      <c r="P536" s="204">
        <f t="shared" ref="P536:P537" si="415">+O536*12</f>
        <v>194</v>
      </c>
      <c r="Q536" s="204">
        <f t="shared" ref="Q536:Q537" si="416">+IF(L536&lt;=$N$5,0,IF(K536&gt;$N$4,P536,(O536*G536)))</f>
        <v>0</v>
      </c>
      <c r="R536" s="165"/>
      <c r="S536" s="204">
        <f t="shared" ref="S536:S537" si="417">+IF(Q536=0,M536,IF($N$3-F536&lt;1,0,(($N$3-F536)*P536)))</f>
        <v>970</v>
      </c>
      <c r="T536" s="204">
        <f t="shared" ref="T536:T537" si="418">+IF(Q536=0,S536,S536+Q536)</f>
        <v>970</v>
      </c>
      <c r="U536" s="204">
        <f t="shared" ref="U536:U551" si="419">M536-T536</f>
        <v>0</v>
      </c>
    </row>
    <row r="537" spans="3:42" s="164" customFormat="1">
      <c r="C537" s="162" t="s">
        <v>84</v>
      </c>
      <c r="D537" s="164">
        <v>16</v>
      </c>
      <c r="E537" s="156" t="s">
        <v>85</v>
      </c>
      <c r="F537" s="163">
        <v>1994</v>
      </c>
      <c r="G537" s="162">
        <v>8</v>
      </c>
      <c r="H537" s="161">
        <v>0.2</v>
      </c>
      <c r="I537" s="160" t="s">
        <v>86</v>
      </c>
      <c r="J537" s="159">
        <v>5</v>
      </c>
      <c r="K537" s="158">
        <f>F537+J537</f>
        <v>1999</v>
      </c>
      <c r="L537" s="206">
        <f t="shared" si="414"/>
        <v>1999.6666666666667</v>
      </c>
      <c r="M537" s="157">
        <f>101658</f>
        <v>101658</v>
      </c>
      <c r="N537" s="165">
        <f>M537-M537*H537</f>
        <v>81326.399999999994</v>
      </c>
      <c r="O537" s="165">
        <f>N537/J537/12</f>
        <v>1355.4399999999998</v>
      </c>
      <c r="P537" s="204">
        <f t="shared" si="415"/>
        <v>16265.279999999999</v>
      </c>
      <c r="Q537" s="204">
        <f t="shared" si="416"/>
        <v>0</v>
      </c>
      <c r="R537" s="165"/>
      <c r="S537" s="204">
        <f t="shared" si="417"/>
        <v>101658</v>
      </c>
      <c r="T537" s="204">
        <f t="shared" si="418"/>
        <v>101658</v>
      </c>
      <c r="U537" s="204">
        <f t="shared" si="419"/>
        <v>0</v>
      </c>
      <c r="AP537" s="164" t="s">
        <v>87</v>
      </c>
    </row>
    <row r="538" spans="3:42">
      <c r="L538" s="206"/>
      <c r="M538" s="190"/>
      <c r="N538" s="167"/>
      <c r="O538" s="167"/>
      <c r="P538" s="235"/>
      <c r="Q538" s="235"/>
      <c r="S538" s="167"/>
      <c r="T538" s="167"/>
      <c r="U538" s="167"/>
    </row>
    <row r="539" spans="3:42">
      <c r="E539" s="186"/>
      <c r="L539" s="206"/>
      <c r="M539" s="182"/>
      <c r="N539" s="181"/>
      <c r="O539" s="181"/>
      <c r="P539" s="285"/>
      <c r="Q539" s="285"/>
      <c r="R539" s="181"/>
      <c r="S539" s="181"/>
      <c r="T539" s="181"/>
      <c r="U539" s="181"/>
    </row>
    <row r="540" spans="3:42">
      <c r="E540" s="166" t="s">
        <v>321</v>
      </c>
      <c r="L540" s="206"/>
      <c r="M540" s="182"/>
      <c r="N540" s="181"/>
      <c r="O540" s="181"/>
      <c r="P540" s="285"/>
      <c r="Q540" s="285"/>
      <c r="R540" s="181"/>
      <c r="S540" s="181"/>
      <c r="T540" s="181"/>
      <c r="U540" s="181"/>
    </row>
    <row r="541" spans="3:42">
      <c r="D541" s="230">
        <v>2</v>
      </c>
      <c r="E541" s="184" t="s">
        <v>192</v>
      </c>
      <c r="F541" s="229">
        <v>2006</v>
      </c>
      <c r="G541" s="228">
        <v>6</v>
      </c>
      <c r="H541" s="209">
        <v>0</v>
      </c>
      <c r="I541" s="208" t="s">
        <v>86</v>
      </c>
      <c r="J541" s="227">
        <v>10</v>
      </c>
      <c r="K541" s="207">
        <f>F541+J541</f>
        <v>2016</v>
      </c>
      <c r="L541" s="206">
        <f t="shared" si="414"/>
        <v>2016.5</v>
      </c>
      <c r="M541" s="190">
        <v>6600</v>
      </c>
      <c r="N541" s="225">
        <f>M541-M541*H541</f>
        <v>6600</v>
      </c>
      <c r="O541" s="225">
        <f>N541/J541/12</f>
        <v>55</v>
      </c>
      <c r="P541" s="204">
        <f t="shared" ref="P541:P542" si="420">+O541*12</f>
        <v>660</v>
      </c>
      <c r="Q541" s="204">
        <f t="shared" ref="Q541:Q542" si="421">+IF(L541&lt;=$N$5,0,IF(K541&gt;$N$4,P541,(O541*G541)))</f>
        <v>0</v>
      </c>
      <c r="R541" s="225"/>
      <c r="S541" s="204">
        <f t="shared" ref="S541:S542" si="422">+IF(Q541=0,M541,IF($N$3-F541&lt;1,0,(($N$3-F541)*P541)))</f>
        <v>6600</v>
      </c>
      <c r="T541" s="204">
        <f t="shared" ref="T541:T542" si="423">+IF(Q541=0,S541,S541+Q541)</f>
        <v>6600</v>
      </c>
      <c r="U541" s="204">
        <f t="shared" si="419"/>
        <v>0</v>
      </c>
    </row>
    <row r="542" spans="3:42">
      <c r="C542" s="228" t="s">
        <v>99</v>
      </c>
      <c r="D542" s="230">
        <v>34</v>
      </c>
      <c r="E542" s="210" t="s">
        <v>103</v>
      </c>
      <c r="F542" s="229">
        <v>2009</v>
      </c>
      <c r="G542" s="228">
        <v>12</v>
      </c>
      <c r="H542" s="209">
        <v>0.2</v>
      </c>
      <c r="I542" s="208" t="s">
        <v>86</v>
      </c>
      <c r="J542" s="227">
        <v>7</v>
      </c>
      <c r="K542" s="207">
        <f>F542+J542</f>
        <v>2016</v>
      </c>
      <c r="L542" s="206">
        <f t="shared" si="414"/>
        <v>2017</v>
      </c>
      <c r="M542" s="226">
        <v>143203.54999999999</v>
      </c>
      <c r="N542" s="225">
        <f>M542-M542*H542</f>
        <v>114562.84</v>
      </c>
      <c r="O542" s="225">
        <f>N542/J542/12</f>
        <v>1363.8433333333332</v>
      </c>
      <c r="P542" s="204">
        <f t="shared" si="420"/>
        <v>16366.119999999999</v>
      </c>
      <c r="Q542" s="204">
        <f t="shared" si="421"/>
        <v>0</v>
      </c>
      <c r="R542" s="225"/>
      <c r="S542" s="204">
        <f t="shared" si="422"/>
        <v>143203.54999999999</v>
      </c>
      <c r="T542" s="204">
        <f t="shared" si="423"/>
        <v>143203.54999999999</v>
      </c>
      <c r="U542" s="204">
        <f t="shared" si="419"/>
        <v>0</v>
      </c>
    </row>
    <row r="543" spans="3:42">
      <c r="E543" s="186"/>
      <c r="L543" s="206"/>
      <c r="M543" s="182"/>
      <c r="N543" s="181"/>
      <c r="O543" s="181"/>
      <c r="P543" s="285"/>
      <c r="Q543" s="285"/>
      <c r="R543" s="181"/>
      <c r="S543" s="181"/>
      <c r="T543" s="181"/>
      <c r="U543" s="181"/>
    </row>
    <row r="544" spans="3:42">
      <c r="E544" s="186"/>
      <c r="L544" s="206"/>
      <c r="M544" s="182"/>
      <c r="N544" s="181"/>
      <c r="O544" s="181"/>
      <c r="P544" s="285"/>
      <c r="Q544" s="285"/>
      <c r="R544" s="181"/>
      <c r="S544" s="181"/>
      <c r="T544" s="181"/>
      <c r="U544" s="181"/>
    </row>
    <row r="545" spans="1:21">
      <c r="E545" s="166" t="s">
        <v>326</v>
      </c>
      <c r="L545" s="206"/>
      <c r="M545" s="182"/>
      <c r="N545" s="181"/>
      <c r="O545" s="181"/>
      <c r="P545" s="285"/>
      <c r="Q545" s="285"/>
      <c r="R545" s="181"/>
      <c r="S545" s="181"/>
      <c r="T545" s="181"/>
      <c r="U545" s="181"/>
    </row>
    <row r="546" spans="1:21">
      <c r="C546" s="228" t="s">
        <v>94</v>
      </c>
      <c r="D546" s="230">
        <v>13</v>
      </c>
      <c r="E546" s="210" t="s">
        <v>97</v>
      </c>
      <c r="F546" s="229">
        <v>2009</v>
      </c>
      <c r="G546" s="228">
        <v>3</v>
      </c>
      <c r="H546" s="209">
        <v>0.33</v>
      </c>
      <c r="I546" s="208" t="s">
        <v>86</v>
      </c>
      <c r="J546" s="227">
        <v>5</v>
      </c>
      <c r="K546" s="207">
        <f>F546+J546</f>
        <v>2014</v>
      </c>
      <c r="L546" s="206">
        <f t="shared" si="414"/>
        <v>2014.25</v>
      </c>
      <c r="M546" s="226">
        <v>25333.34</v>
      </c>
      <c r="N546" s="225">
        <f>M546-M546*H546</f>
        <v>16973.337800000001</v>
      </c>
      <c r="O546" s="225">
        <f>N546/J546/12</f>
        <v>282.88896333333338</v>
      </c>
      <c r="P546" s="204">
        <f t="shared" ref="P546:P547" si="424">+O546*12</f>
        <v>3394.6675600000008</v>
      </c>
      <c r="Q546" s="204">
        <f t="shared" ref="Q546:Q547" si="425">+IF(L546&lt;=$N$5,0,IF(K546&gt;$N$4,P546,(O546*G546)))</f>
        <v>0</v>
      </c>
      <c r="R546" s="225"/>
      <c r="S546" s="204">
        <f t="shared" ref="S546:S547" si="426">+IF(Q546=0,M546,IF($N$3-F546&lt;1,0,(($N$3-F546)*P546)))</f>
        <v>25333.34</v>
      </c>
      <c r="T546" s="204">
        <f t="shared" ref="T546:T547" si="427">+IF(Q546=0,S546,S546+Q546)</f>
        <v>25333.34</v>
      </c>
      <c r="U546" s="204">
        <f t="shared" si="419"/>
        <v>0</v>
      </c>
    </row>
    <row r="547" spans="1:21">
      <c r="C547" s="228" t="s">
        <v>88</v>
      </c>
      <c r="D547" s="230">
        <v>5</v>
      </c>
      <c r="E547" s="210" t="s">
        <v>134</v>
      </c>
      <c r="F547" s="229">
        <v>2006</v>
      </c>
      <c r="G547" s="228">
        <v>5</v>
      </c>
      <c r="H547" s="209">
        <v>0.2</v>
      </c>
      <c r="I547" s="208" t="s">
        <v>86</v>
      </c>
      <c r="J547" s="227">
        <v>7</v>
      </c>
      <c r="K547" s="207">
        <f>F547+J547</f>
        <v>2013</v>
      </c>
      <c r="L547" s="206">
        <f t="shared" si="414"/>
        <v>2013.4166666666667</v>
      </c>
      <c r="M547" s="226">
        <v>117561</v>
      </c>
      <c r="N547" s="225">
        <f>M547-M547*H547</f>
        <v>94048.8</v>
      </c>
      <c r="O547" s="225">
        <f>N547/J547/12</f>
        <v>1119.6285714285716</v>
      </c>
      <c r="P547" s="204">
        <f t="shared" si="424"/>
        <v>13435.54285714286</v>
      </c>
      <c r="Q547" s="204">
        <f t="shared" si="425"/>
        <v>0</v>
      </c>
      <c r="R547" s="225"/>
      <c r="S547" s="204">
        <f t="shared" si="426"/>
        <v>117561</v>
      </c>
      <c r="T547" s="204">
        <f t="shared" si="427"/>
        <v>117561</v>
      </c>
      <c r="U547" s="204">
        <f t="shared" si="419"/>
        <v>0</v>
      </c>
    </row>
    <row r="548" spans="1:21">
      <c r="E548" s="186"/>
      <c r="L548" s="206"/>
      <c r="M548" s="182"/>
      <c r="N548" s="181"/>
      <c r="O548" s="181"/>
      <c r="P548" s="285"/>
      <c r="Q548" s="285"/>
      <c r="R548" s="181"/>
      <c r="S548" s="181"/>
      <c r="T548" s="181"/>
      <c r="U548" s="181"/>
    </row>
    <row r="549" spans="1:21">
      <c r="E549" s="186"/>
      <c r="L549" s="206"/>
      <c r="M549" s="182"/>
      <c r="N549" s="181"/>
      <c r="O549" s="181"/>
      <c r="P549" s="285"/>
      <c r="Q549" s="285"/>
      <c r="R549" s="181"/>
      <c r="S549" s="181"/>
      <c r="T549" s="181"/>
      <c r="U549" s="181"/>
    </row>
    <row r="550" spans="1:21">
      <c r="E550" s="166" t="s">
        <v>430</v>
      </c>
      <c r="L550" s="206"/>
      <c r="M550" s="168"/>
      <c r="N550" s="154"/>
      <c r="O550" s="154"/>
      <c r="P550" s="287"/>
      <c r="Q550" s="287"/>
    </row>
    <row r="551" spans="1:21">
      <c r="C551" s="228" t="s">
        <v>99</v>
      </c>
      <c r="D551" s="230">
        <v>32</v>
      </c>
      <c r="E551" s="210" t="s">
        <v>101</v>
      </c>
      <c r="F551" s="229">
        <v>2009</v>
      </c>
      <c r="G551" s="228">
        <v>12</v>
      </c>
      <c r="H551" s="209">
        <v>0.2</v>
      </c>
      <c r="I551" s="208" t="s">
        <v>86</v>
      </c>
      <c r="J551" s="227">
        <v>7</v>
      </c>
      <c r="K551" s="207">
        <f>F551+J551</f>
        <v>2016</v>
      </c>
      <c r="L551" s="206">
        <f t="shared" si="414"/>
        <v>2017</v>
      </c>
      <c r="M551" s="226">
        <v>143203.54999999999</v>
      </c>
      <c r="N551" s="225">
        <f>M551-M551*H551</f>
        <v>114562.84</v>
      </c>
      <c r="O551" s="225">
        <f>N551/J551/12</f>
        <v>1363.8433333333332</v>
      </c>
      <c r="P551" s="204">
        <f t="shared" ref="P551" si="428">+O551*12</f>
        <v>16366.119999999999</v>
      </c>
      <c r="Q551" s="204">
        <f>+IF(L551&lt;=$N$5,0,IF(K551&gt;$N$4,P551,(O551*G551)))</f>
        <v>0</v>
      </c>
      <c r="R551" s="225"/>
      <c r="S551" s="204">
        <f t="shared" ref="S551" si="429">+IF(Q551=0,M551,IF($N$3-F551&lt;1,0,(($N$3-F551)*P551)))</f>
        <v>143203.54999999999</v>
      </c>
      <c r="T551" s="204">
        <f t="shared" ref="T551" si="430">+IF(Q551=0,S551,S551+Q551)</f>
        <v>143203.54999999999</v>
      </c>
      <c r="U551" s="204">
        <f t="shared" si="419"/>
        <v>0</v>
      </c>
    </row>
    <row r="553" spans="1:21">
      <c r="C553" s="228"/>
      <c r="E553" s="166" t="s">
        <v>518</v>
      </c>
      <c r="H553" s="209"/>
      <c r="I553" s="208"/>
      <c r="K553" s="207"/>
      <c r="M553" s="188"/>
      <c r="N553" s="225"/>
      <c r="O553" s="225"/>
      <c r="P553" s="204"/>
      <c r="Q553" s="204"/>
      <c r="R553" s="225"/>
      <c r="S553" s="225"/>
      <c r="T553" s="225"/>
      <c r="U553" s="225"/>
    </row>
    <row r="554" spans="1:21">
      <c r="C554" s="228" t="s">
        <v>94</v>
      </c>
      <c r="D554" s="230">
        <v>14</v>
      </c>
      <c r="E554" s="210" t="s">
        <v>98</v>
      </c>
      <c r="F554" s="229">
        <v>2009</v>
      </c>
      <c r="G554" s="228">
        <v>3</v>
      </c>
      <c r="H554" s="209">
        <v>0</v>
      </c>
      <c r="I554" s="208" t="s">
        <v>86</v>
      </c>
      <c r="J554" s="227">
        <v>5</v>
      </c>
      <c r="K554" s="207">
        <f>F554+J554</f>
        <v>2014</v>
      </c>
      <c r="L554" s="206">
        <f t="shared" ref="L554:L560" si="431">+K554+(G554/12)</f>
        <v>2014.25</v>
      </c>
      <c r="M554" s="205">
        <f>'Depreciation - Orig.'!P19</f>
        <v>16973.337800000001</v>
      </c>
      <c r="N554" s="204">
        <f>M554-M554*H554</f>
        <v>16973.337800000001</v>
      </c>
      <c r="O554" s="204">
        <f>N554/J554/12</f>
        <v>282.88896333333338</v>
      </c>
      <c r="P554" s="204">
        <f t="shared" ref="P554:P560" si="432">+O554*12</f>
        <v>3394.6675600000008</v>
      </c>
      <c r="Q554" s="204">
        <f t="shared" ref="Q554:Q560" si="433">+IF(L554&lt;=$N$5,0,IF(K554&gt;$N$4,P554,(O554*G554)))</f>
        <v>0</v>
      </c>
      <c r="R554" s="204"/>
      <c r="S554" s="204">
        <f t="shared" ref="S554:S560" si="434">+IF(Q554=0,M554,IF($N$3-F554&lt;1,0,(($N$3-F554)*P554)))</f>
        <v>16973.337800000001</v>
      </c>
      <c r="T554" s="204">
        <f t="shared" ref="T554:T560" si="435">+IF(Q554=0,S554,S554+Q554)</f>
        <v>16973.337800000001</v>
      </c>
      <c r="U554" s="204">
        <f t="shared" ref="U554:U560" si="436">M554-T554</f>
        <v>0</v>
      </c>
    </row>
    <row r="555" spans="1:21">
      <c r="A555" s="270"/>
      <c r="B555" s="270"/>
      <c r="C555" s="271"/>
      <c r="D555" s="270"/>
      <c r="E555" s="272" t="s">
        <v>493</v>
      </c>
      <c r="F555" s="273">
        <v>2018</v>
      </c>
      <c r="G555" s="271">
        <v>6</v>
      </c>
      <c r="H555" s="274">
        <v>0</v>
      </c>
      <c r="I555" s="275" t="s">
        <v>86</v>
      </c>
      <c r="J555" s="276">
        <v>3</v>
      </c>
      <c r="K555" s="277">
        <f>F555+J555</f>
        <v>2021</v>
      </c>
      <c r="L555" s="278">
        <f t="shared" si="431"/>
        <v>2021.5</v>
      </c>
      <c r="M555" s="279">
        <f>'Depreciation - Orig.'!N19-Depreciation!M554</f>
        <v>8360.002199999999</v>
      </c>
      <c r="N555" s="280">
        <f>M555-M555*H555</f>
        <v>8360.002199999999</v>
      </c>
      <c r="O555" s="280">
        <f>N555/J555/12</f>
        <v>232.22228333333331</v>
      </c>
      <c r="P555" s="280">
        <f t="shared" si="432"/>
        <v>2786.6673999999998</v>
      </c>
      <c r="Q555" s="280">
        <f t="shared" si="433"/>
        <v>1393.3336999999999</v>
      </c>
      <c r="R555" s="280"/>
      <c r="S555" s="280">
        <f t="shared" si="434"/>
        <v>5573.3347999999996</v>
      </c>
      <c r="T555" s="280">
        <f t="shared" si="435"/>
        <v>6966.6684999999998</v>
      </c>
      <c r="U555" s="280">
        <f t="shared" si="436"/>
        <v>1393.3336999999992</v>
      </c>
    </row>
    <row r="556" spans="1:21">
      <c r="B556" s="230" t="s">
        <v>333</v>
      </c>
      <c r="C556" s="228" t="s">
        <v>331</v>
      </c>
      <c r="D556" s="203">
        <v>15</v>
      </c>
      <c r="E556" s="242" t="s">
        <v>334</v>
      </c>
      <c r="F556" s="229">
        <v>2015</v>
      </c>
      <c r="G556" s="228">
        <v>9</v>
      </c>
      <c r="H556" s="209">
        <v>0</v>
      </c>
      <c r="I556" s="208" t="s">
        <v>86</v>
      </c>
      <c r="J556" s="227">
        <v>5</v>
      </c>
      <c r="K556" s="207">
        <f>F556+J556</f>
        <v>2020</v>
      </c>
      <c r="L556" s="206">
        <f t="shared" si="431"/>
        <v>2020.75</v>
      </c>
      <c r="M556" s="205">
        <v>3755</v>
      </c>
      <c r="N556" s="204">
        <f>M556-M556*H556</f>
        <v>3755</v>
      </c>
      <c r="O556" s="204">
        <f>N556/J556/12</f>
        <v>62.583333333333336</v>
      </c>
      <c r="P556" s="204">
        <f t="shared" si="432"/>
        <v>751</v>
      </c>
      <c r="Q556" s="204">
        <f t="shared" si="433"/>
        <v>0</v>
      </c>
      <c r="R556" s="204"/>
      <c r="S556" s="204">
        <f t="shared" si="434"/>
        <v>3755</v>
      </c>
      <c r="T556" s="204">
        <f t="shared" si="435"/>
        <v>3755</v>
      </c>
      <c r="U556" s="204">
        <f t="shared" si="436"/>
        <v>0</v>
      </c>
    </row>
    <row r="557" spans="1:21">
      <c r="C557" s="228" t="s">
        <v>99</v>
      </c>
      <c r="D557" s="230">
        <v>33</v>
      </c>
      <c r="E557" s="210" t="s">
        <v>102</v>
      </c>
      <c r="F557" s="229">
        <v>2009</v>
      </c>
      <c r="G557" s="228">
        <v>12</v>
      </c>
      <c r="H557" s="209">
        <v>0</v>
      </c>
      <c r="I557" s="208" t="s">
        <v>86</v>
      </c>
      <c r="J557" s="227">
        <v>7</v>
      </c>
      <c r="K557" s="207">
        <f>F557+J557</f>
        <v>2016</v>
      </c>
      <c r="L557" s="206">
        <f t="shared" si="431"/>
        <v>2017</v>
      </c>
      <c r="M557" s="205">
        <f>'Depreciation - Orig.'!P21</f>
        <v>114562.84</v>
      </c>
      <c r="N557" s="204">
        <f>M557-M557*H557</f>
        <v>114562.84</v>
      </c>
      <c r="O557" s="204">
        <f>N557/J557/12</f>
        <v>1363.8433333333332</v>
      </c>
      <c r="P557" s="204">
        <f t="shared" si="432"/>
        <v>16366.119999999999</v>
      </c>
      <c r="Q557" s="204">
        <f t="shared" si="433"/>
        <v>0</v>
      </c>
      <c r="R557" s="204"/>
      <c r="S557" s="204">
        <f t="shared" si="434"/>
        <v>114562.84</v>
      </c>
      <c r="T557" s="204">
        <f t="shared" si="435"/>
        <v>114562.84</v>
      </c>
      <c r="U557" s="204">
        <f t="shared" si="436"/>
        <v>0</v>
      </c>
    </row>
    <row r="558" spans="1:21">
      <c r="A558" s="270"/>
      <c r="B558" s="270"/>
      <c r="C558" s="271"/>
      <c r="D558" s="270"/>
      <c r="E558" s="272" t="s">
        <v>495</v>
      </c>
      <c r="F558" s="273">
        <v>2018</v>
      </c>
      <c r="G558" s="271">
        <v>6</v>
      </c>
      <c r="H558" s="274">
        <v>0</v>
      </c>
      <c r="I558" s="275" t="s">
        <v>86</v>
      </c>
      <c r="J558" s="276">
        <v>3</v>
      </c>
      <c r="K558" s="277">
        <f t="shared" ref="K558" si="437">F558+J558</f>
        <v>2021</v>
      </c>
      <c r="L558" s="278">
        <f t="shared" si="431"/>
        <v>2021.5</v>
      </c>
      <c r="M558" s="279">
        <f>'Depreciation - Orig.'!N21-Depreciation!M122</f>
        <v>28640.709999999992</v>
      </c>
      <c r="N558" s="280">
        <f t="shared" ref="N558" si="438">M558-M558*H558</f>
        <v>28640.709999999992</v>
      </c>
      <c r="O558" s="280">
        <f t="shared" ref="O558" si="439">N558/J558/12</f>
        <v>795.5752777777775</v>
      </c>
      <c r="P558" s="280">
        <f t="shared" si="432"/>
        <v>9546.90333333333</v>
      </c>
      <c r="Q558" s="280">
        <f t="shared" si="433"/>
        <v>4773.451666666665</v>
      </c>
      <c r="R558" s="280"/>
      <c r="S558" s="280">
        <f t="shared" si="434"/>
        <v>19093.80666666666</v>
      </c>
      <c r="T558" s="280">
        <f t="shared" si="435"/>
        <v>23867.258333333324</v>
      </c>
      <c r="U558" s="280">
        <f t="shared" si="436"/>
        <v>4773.4516666666677</v>
      </c>
    </row>
    <row r="559" spans="1:21" ht="12.75" customHeight="1">
      <c r="D559" s="230">
        <v>7</v>
      </c>
      <c r="E559" s="184" t="s">
        <v>181</v>
      </c>
      <c r="F559" s="229">
        <v>2002</v>
      </c>
      <c r="G559" s="228">
        <v>12</v>
      </c>
      <c r="H559" s="209">
        <v>0</v>
      </c>
      <c r="I559" s="208" t="s">
        <v>86</v>
      </c>
      <c r="J559" s="227">
        <v>10</v>
      </c>
      <c r="K559" s="207">
        <f>F559+J559</f>
        <v>2012</v>
      </c>
      <c r="L559" s="206">
        <f t="shared" si="431"/>
        <v>2013</v>
      </c>
      <c r="M559" s="235">
        <v>12478</v>
      </c>
      <c r="N559" s="204">
        <f>M559-M559*H559</f>
        <v>12478</v>
      </c>
      <c r="O559" s="204">
        <f>N559/J559/12</f>
        <v>103.98333333333333</v>
      </c>
      <c r="P559" s="204">
        <f t="shared" si="432"/>
        <v>1247.8</v>
      </c>
      <c r="Q559" s="204">
        <f t="shared" si="433"/>
        <v>0</v>
      </c>
      <c r="R559" s="204"/>
      <c r="S559" s="204">
        <f t="shared" si="434"/>
        <v>12478</v>
      </c>
      <c r="T559" s="204">
        <f t="shared" si="435"/>
        <v>12478</v>
      </c>
      <c r="U559" s="204">
        <f t="shared" si="436"/>
        <v>0</v>
      </c>
    </row>
    <row r="560" spans="1:21">
      <c r="B560" s="230">
        <v>170294</v>
      </c>
      <c r="D560" s="230" t="s">
        <v>273</v>
      </c>
      <c r="E560" s="185" t="s">
        <v>266</v>
      </c>
      <c r="F560" s="229">
        <v>2016</v>
      </c>
      <c r="G560" s="228">
        <v>11</v>
      </c>
      <c r="H560" s="209">
        <v>0</v>
      </c>
      <c r="I560" s="208" t="s">
        <v>86</v>
      </c>
      <c r="J560" s="227">
        <v>5</v>
      </c>
      <c r="K560" s="207">
        <f>F560+J560</f>
        <v>2021</v>
      </c>
      <c r="L560" s="206">
        <f t="shared" si="431"/>
        <v>2021.9166666666667</v>
      </c>
      <c r="M560" s="190">
        <v>9460.1200000000008</v>
      </c>
      <c r="N560" s="225">
        <f>M560-M560*H560</f>
        <v>9460.1200000000008</v>
      </c>
      <c r="O560" s="225">
        <f>N560/J560/12</f>
        <v>157.66866666666667</v>
      </c>
      <c r="P560" s="204">
        <f t="shared" si="432"/>
        <v>1892.0239999999999</v>
      </c>
      <c r="Q560" s="204">
        <f t="shared" si="433"/>
        <v>1734.3553333333334</v>
      </c>
      <c r="R560" s="225"/>
      <c r="S560" s="204">
        <f t="shared" si="434"/>
        <v>7568.0959999999995</v>
      </c>
      <c r="T560" s="204">
        <f t="shared" si="435"/>
        <v>9302.4513333333325</v>
      </c>
      <c r="U560" s="204">
        <f t="shared" si="436"/>
        <v>157.66866666666829</v>
      </c>
    </row>
    <row r="561" spans="1:21">
      <c r="C561" s="228"/>
      <c r="E561" s="210"/>
      <c r="H561" s="209"/>
      <c r="I561" s="208"/>
      <c r="K561" s="207"/>
      <c r="M561" s="188"/>
      <c r="N561" s="225"/>
      <c r="O561" s="225"/>
      <c r="P561" s="204"/>
      <c r="Q561" s="204"/>
      <c r="R561" s="225"/>
      <c r="S561" s="225"/>
      <c r="T561" s="225"/>
      <c r="U561" s="225"/>
    </row>
    <row r="562" spans="1:21">
      <c r="C562" s="228"/>
      <c r="E562" s="198"/>
      <c r="H562" s="209"/>
      <c r="I562" s="208"/>
      <c r="J562" s="189"/>
      <c r="K562" s="207"/>
      <c r="M562" s="190"/>
      <c r="N562" s="225"/>
      <c r="O562" s="225"/>
      <c r="P562" s="204"/>
      <c r="Q562" s="204"/>
      <c r="R562" s="225"/>
      <c r="S562" s="225"/>
      <c r="T562" s="225"/>
      <c r="U562" s="225"/>
    </row>
    <row r="563" spans="1:21">
      <c r="C563" s="228"/>
      <c r="E563" s="210"/>
      <c r="H563" s="209"/>
      <c r="I563" s="208"/>
      <c r="K563" s="207"/>
      <c r="M563" s="190"/>
      <c r="N563" s="225"/>
      <c r="O563" s="225"/>
      <c r="P563" s="204"/>
      <c r="Q563" s="204"/>
      <c r="R563" s="225"/>
      <c r="S563" s="225"/>
      <c r="T563" s="225"/>
      <c r="U563" s="225"/>
    </row>
    <row r="564" spans="1:21">
      <c r="C564" s="228"/>
      <c r="E564" s="166" t="s">
        <v>556</v>
      </c>
      <c r="H564" s="209"/>
      <c r="I564" s="208"/>
      <c r="J564" s="189"/>
      <c r="K564" s="207"/>
      <c r="M564" s="190"/>
      <c r="N564" s="225"/>
      <c r="O564" s="225"/>
      <c r="P564" s="204"/>
      <c r="Q564" s="204"/>
      <c r="R564" s="225"/>
      <c r="S564" s="225"/>
      <c r="T564" s="225"/>
      <c r="U564" s="225"/>
    </row>
    <row r="565" spans="1:21">
      <c r="B565" s="230">
        <v>183686</v>
      </c>
      <c r="C565" s="228" t="s">
        <v>331</v>
      </c>
      <c r="D565" s="203">
        <v>44</v>
      </c>
      <c r="E565" s="210" t="s">
        <v>402</v>
      </c>
      <c r="F565" s="229">
        <v>2017</v>
      </c>
      <c r="G565" s="228">
        <v>6</v>
      </c>
      <c r="H565" s="209">
        <v>0</v>
      </c>
      <c r="I565" s="208" t="s">
        <v>86</v>
      </c>
      <c r="J565" s="227">
        <v>3</v>
      </c>
      <c r="K565" s="207">
        <f>F565+J565</f>
        <v>2020</v>
      </c>
      <c r="L565" s="206">
        <f t="shared" ref="L565:L570" si="440">+K565+(G565/12)</f>
        <v>2020.5</v>
      </c>
      <c r="M565" s="205">
        <v>5000</v>
      </c>
      <c r="N565" s="204">
        <f>M565-M565*H565</f>
        <v>5000</v>
      </c>
      <c r="O565" s="204">
        <f>N565/J565/12</f>
        <v>138.88888888888889</v>
      </c>
      <c r="P565" s="204">
        <f t="shared" ref="P565:P570" si="441">+O565*12</f>
        <v>1666.6666666666665</v>
      </c>
      <c r="Q565" s="204">
        <f t="shared" ref="Q565:Q570" si="442">+IF(L565&lt;=$N$5,0,IF(K565&gt;$N$4,P565,(O565*G565)))</f>
        <v>0</v>
      </c>
      <c r="R565" s="204"/>
      <c r="S565" s="204">
        <f t="shared" ref="S565:S570" si="443">+IF(Q565=0,M565,IF($N$3-F565&lt;1,0,(($N$3-F565)*P565)))</f>
        <v>5000</v>
      </c>
      <c r="T565" s="204">
        <f t="shared" ref="T565:T570" si="444">+IF(Q565=0,S565,S565+Q565)</f>
        <v>5000</v>
      </c>
      <c r="U565" s="204">
        <f>M565-T565</f>
        <v>0</v>
      </c>
    </row>
    <row r="566" spans="1:21">
      <c r="B566" s="230" t="s">
        <v>427</v>
      </c>
      <c r="C566" s="228"/>
      <c r="D566" s="203">
        <v>42</v>
      </c>
      <c r="E566" s="210" t="s">
        <v>408</v>
      </c>
      <c r="F566" s="229">
        <v>2017</v>
      </c>
      <c r="G566" s="228">
        <v>6</v>
      </c>
      <c r="H566" s="209">
        <v>0</v>
      </c>
      <c r="I566" s="208" t="s">
        <v>86</v>
      </c>
      <c r="J566" s="227">
        <v>3</v>
      </c>
      <c r="K566" s="207">
        <f>F566+J566</f>
        <v>2020</v>
      </c>
      <c r="L566" s="206">
        <f t="shared" si="440"/>
        <v>2020.5</v>
      </c>
      <c r="M566" s="205">
        <v>1342.06</v>
      </c>
      <c r="N566" s="204">
        <f>M566-M566*H566</f>
        <v>1342.06</v>
      </c>
      <c r="O566" s="204">
        <f>N566/J566/12</f>
        <v>37.279444444444444</v>
      </c>
      <c r="P566" s="204">
        <f t="shared" si="441"/>
        <v>447.35333333333335</v>
      </c>
      <c r="Q566" s="204">
        <f t="shared" si="442"/>
        <v>0</v>
      </c>
      <c r="R566" s="204"/>
      <c r="S566" s="204">
        <f t="shared" si="443"/>
        <v>1342.06</v>
      </c>
      <c r="T566" s="204">
        <f t="shared" si="444"/>
        <v>1342.06</v>
      </c>
      <c r="U566" s="204">
        <f>M566-T566</f>
        <v>0</v>
      </c>
    </row>
    <row r="567" spans="1:21">
      <c r="B567" s="230">
        <v>183683</v>
      </c>
      <c r="C567" s="228" t="s">
        <v>331</v>
      </c>
      <c r="D567" s="203">
        <v>43</v>
      </c>
      <c r="E567" s="210" t="s">
        <v>405</v>
      </c>
      <c r="F567" s="229">
        <v>2017</v>
      </c>
      <c r="G567" s="228">
        <v>6</v>
      </c>
      <c r="H567" s="209">
        <v>0</v>
      </c>
      <c r="I567" s="208" t="s">
        <v>86</v>
      </c>
      <c r="J567" s="227">
        <v>3</v>
      </c>
      <c r="K567" s="207">
        <f>F567+J567</f>
        <v>2020</v>
      </c>
      <c r="L567" s="206">
        <f t="shared" si="440"/>
        <v>2020.5</v>
      </c>
      <c r="M567" s="205">
        <v>5000</v>
      </c>
      <c r="N567" s="204">
        <f>M567-M567*H567</f>
        <v>5000</v>
      </c>
      <c r="O567" s="204">
        <f>N567/J567/12</f>
        <v>138.88888888888889</v>
      </c>
      <c r="P567" s="204">
        <f t="shared" si="441"/>
        <v>1666.6666666666665</v>
      </c>
      <c r="Q567" s="204">
        <f t="shared" si="442"/>
        <v>0</v>
      </c>
      <c r="R567" s="204"/>
      <c r="S567" s="204">
        <f t="shared" si="443"/>
        <v>5000</v>
      </c>
      <c r="T567" s="204">
        <f t="shared" si="444"/>
        <v>5000</v>
      </c>
      <c r="U567" s="204">
        <f>M567-T567</f>
        <v>0</v>
      </c>
    </row>
    <row r="568" spans="1:21">
      <c r="B568" s="230" t="s">
        <v>411</v>
      </c>
      <c r="C568" s="228"/>
      <c r="D568" s="203">
        <v>43</v>
      </c>
      <c r="E568" s="210" t="s">
        <v>408</v>
      </c>
      <c r="F568" s="229">
        <v>2017</v>
      </c>
      <c r="G568" s="228">
        <v>6</v>
      </c>
      <c r="H568" s="209">
        <v>0</v>
      </c>
      <c r="I568" s="208" t="s">
        <v>86</v>
      </c>
      <c r="J568" s="227">
        <v>3</v>
      </c>
      <c r="K568" s="207">
        <f>F568+J568</f>
        <v>2020</v>
      </c>
      <c r="L568" s="206">
        <f t="shared" si="440"/>
        <v>2020.5</v>
      </c>
      <c r="M568" s="205">
        <v>1386.5</v>
      </c>
      <c r="N568" s="204">
        <f>M568-M568*H568</f>
        <v>1386.5</v>
      </c>
      <c r="O568" s="204">
        <f>N568/J568/12</f>
        <v>38.513888888888893</v>
      </c>
      <c r="P568" s="204">
        <f t="shared" si="441"/>
        <v>462.16666666666674</v>
      </c>
      <c r="Q568" s="204">
        <f t="shared" si="442"/>
        <v>0</v>
      </c>
      <c r="R568" s="204"/>
      <c r="S568" s="204">
        <f t="shared" si="443"/>
        <v>1386.5</v>
      </c>
      <c r="T568" s="204">
        <f t="shared" si="444"/>
        <v>1386.5</v>
      </c>
      <c r="U568" s="204">
        <f>M568-T568</f>
        <v>0</v>
      </c>
    </row>
    <row r="569" spans="1:21">
      <c r="A569" s="294"/>
      <c r="B569" s="294"/>
      <c r="C569" s="296" t="s">
        <v>99</v>
      </c>
      <c r="D569" s="294">
        <v>31</v>
      </c>
      <c r="E569" s="315" t="s">
        <v>100</v>
      </c>
      <c r="F569" s="295">
        <v>2009</v>
      </c>
      <c r="G569" s="228">
        <v>12</v>
      </c>
      <c r="H569" s="209">
        <v>0</v>
      </c>
      <c r="I569" s="208" t="s">
        <v>86</v>
      </c>
      <c r="J569" s="227">
        <v>7</v>
      </c>
      <c r="K569" s="207">
        <f>F569+J569</f>
        <v>2016</v>
      </c>
      <c r="L569" s="206">
        <f t="shared" si="440"/>
        <v>2017</v>
      </c>
      <c r="M569" s="205">
        <f>'Depreciation - Orig.'!P20</f>
        <v>114562.84</v>
      </c>
      <c r="N569" s="204">
        <f>M569-M569*H569</f>
        <v>114562.84</v>
      </c>
      <c r="O569" s="204">
        <f>N569/J569/12</f>
        <v>1363.8433333333332</v>
      </c>
      <c r="P569" s="204">
        <f t="shared" si="441"/>
        <v>16366.119999999999</v>
      </c>
      <c r="Q569" s="204">
        <f t="shared" si="442"/>
        <v>0</v>
      </c>
      <c r="R569" s="204"/>
      <c r="S569" s="204">
        <f t="shared" si="443"/>
        <v>114562.84</v>
      </c>
      <c r="T569" s="204">
        <f t="shared" si="444"/>
        <v>114562.84</v>
      </c>
      <c r="U569" s="204">
        <f>+M569-T569</f>
        <v>0</v>
      </c>
    </row>
    <row r="570" spans="1:21">
      <c r="A570" s="270"/>
      <c r="B570" s="270"/>
      <c r="C570" s="271"/>
      <c r="D570" s="270"/>
      <c r="E570" s="272" t="s">
        <v>494</v>
      </c>
      <c r="F570" s="273">
        <v>2020</v>
      </c>
      <c r="G570" s="271">
        <v>12</v>
      </c>
      <c r="H570" s="274">
        <v>0</v>
      </c>
      <c r="I570" s="275" t="s">
        <v>86</v>
      </c>
      <c r="J570" s="276">
        <v>3</v>
      </c>
      <c r="K570" s="277">
        <f t="shared" ref="K570" si="445">F570+J570</f>
        <v>2023</v>
      </c>
      <c r="L570" s="278">
        <f t="shared" si="440"/>
        <v>2024</v>
      </c>
      <c r="M570" s="279">
        <f>'Depreciation - Orig.'!N20-Depreciation!M569</f>
        <v>28640.709999999992</v>
      </c>
      <c r="N570" s="280">
        <f t="shared" ref="N570" si="446">M570-M570*H570</f>
        <v>28640.709999999992</v>
      </c>
      <c r="O570" s="280">
        <f t="shared" ref="O570" si="447">N570/J570/12</f>
        <v>795.5752777777775</v>
      </c>
      <c r="P570" s="280">
        <f t="shared" si="441"/>
        <v>9546.90333333333</v>
      </c>
      <c r="Q570" s="280">
        <f t="shared" si="442"/>
        <v>9546.90333333333</v>
      </c>
      <c r="R570" s="280"/>
      <c r="S570" s="280">
        <f t="shared" si="443"/>
        <v>0</v>
      </c>
      <c r="T570" s="280">
        <f t="shared" si="444"/>
        <v>9546.90333333333</v>
      </c>
      <c r="U570" s="280">
        <f>+M570-T570</f>
        <v>19093.806666666664</v>
      </c>
    </row>
    <row r="571" spans="1:21">
      <c r="C571" s="228"/>
      <c r="E571" s="210"/>
      <c r="H571" s="209"/>
      <c r="I571" s="208"/>
      <c r="K571" s="207"/>
      <c r="M571" s="190"/>
      <c r="N571" s="225"/>
      <c r="O571" s="225"/>
      <c r="P571" s="204"/>
      <c r="Q571" s="204"/>
      <c r="R571" s="225"/>
      <c r="S571" s="225"/>
      <c r="T571" s="225"/>
      <c r="U571" s="225"/>
    </row>
    <row r="572" spans="1:21">
      <c r="C572" s="228"/>
      <c r="E572" s="198"/>
      <c r="H572" s="209"/>
      <c r="I572" s="208"/>
      <c r="K572" s="207"/>
      <c r="M572" s="190"/>
      <c r="N572" s="225"/>
      <c r="O572" s="225"/>
      <c r="P572" s="204"/>
      <c r="Q572" s="204"/>
      <c r="R572" s="225"/>
      <c r="S572" s="225"/>
      <c r="T572" s="225"/>
      <c r="U572" s="225"/>
    </row>
    <row r="573" spans="1:21">
      <c r="C573" s="228"/>
      <c r="E573" s="210"/>
      <c r="H573" s="209"/>
      <c r="I573" s="208"/>
      <c r="K573" s="207"/>
      <c r="M573" s="190"/>
      <c r="N573" s="225"/>
      <c r="O573" s="225"/>
      <c r="P573" s="204"/>
      <c r="Q573" s="204"/>
      <c r="R573" s="225"/>
      <c r="S573" s="225"/>
      <c r="T573" s="225"/>
      <c r="U573" s="225"/>
    </row>
    <row r="574" spans="1:21">
      <c r="C574" s="228"/>
      <c r="E574" s="210"/>
      <c r="H574" s="209"/>
      <c r="I574" s="208"/>
      <c r="K574" s="207"/>
      <c r="M574" s="188"/>
      <c r="N574" s="225"/>
      <c r="O574" s="225"/>
      <c r="P574" s="204"/>
      <c r="Q574" s="204"/>
      <c r="R574" s="225"/>
      <c r="S574" s="225"/>
      <c r="T574" s="225"/>
      <c r="U574" s="225"/>
    </row>
    <row r="575" spans="1:21">
      <c r="C575" s="228"/>
      <c r="E575" s="210"/>
      <c r="H575" s="209"/>
      <c r="I575" s="208"/>
      <c r="K575" s="207"/>
      <c r="N575" s="225"/>
      <c r="O575" s="225"/>
      <c r="P575" s="204"/>
      <c r="Q575" s="204"/>
      <c r="R575" s="225"/>
      <c r="S575" s="225"/>
      <c r="T575" s="225"/>
      <c r="U575" s="225"/>
    </row>
    <row r="576" spans="1:21">
      <c r="C576" s="228"/>
      <c r="E576" s="210"/>
      <c r="H576" s="209"/>
      <c r="I576" s="208"/>
      <c r="K576" s="207"/>
      <c r="N576" s="225"/>
      <c r="O576" s="225"/>
      <c r="P576" s="204"/>
      <c r="Q576" s="204"/>
      <c r="R576" s="225"/>
      <c r="S576" s="225"/>
      <c r="T576" s="225"/>
      <c r="U576" s="225"/>
    </row>
    <row r="577" spans="3:21">
      <c r="C577" s="228"/>
      <c r="E577" s="210"/>
      <c r="H577" s="209"/>
      <c r="I577" s="208"/>
      <c r="K577" s="207"/>
      <c r="N577" s="225"/>
      <c r="O577" s="225"/>
      <c r="P577" s="204"/>
      <c r="Q577" s="204"/>
      <c r="R577" s="225"/>
      <c r="S577" s="225"/>
      <c r="T577" s="225"/>
      <c r="U577" s="225"/>
    </row>
    <row r="578" spans="3:21">
      <c r="C578" s="228"/>
      <c r="E578" s="210"/>
      <c r="H578" s="209"/>
      <c r="I578" s="208"/>
      <c r="K578" s="207"/>
      <c r="N578" s="225"/>
      <c r="O578" s="225"/>
      <c r="P578" s="204"/>
      <c r="Q578" s="204"/>
      <c r="R578" s="225"/>
      <c r="S578" s="225"/>
      <c r="T578" s="225"/>
      <c r="U578" s="225"/>
    </row>
    <row r="579" spans="3:21">
      <c r="C579" s="228"/>
      <c r="E579" s="210"/>
      <c r="H579" s="209"/>
      <c r="I579" s="208"/>
      <c r="K579" s="207"/>
      <c r="N579" s="225"/>
      <c r="O579" s="225"/>
      <c r="P579" s="204"/>
      <c r="Q579" s="204"/>
      <c r="R579" s="225"/>
      <c r="S579" s="225"/>
      <c r="T579" s="225"/>
      <c r="U579" s="225"/>
    </row>
    <row r="580" spans="3:21">
      <c r="C580" s="228"/>
      <c r="E580" s="210"/>
      <c r="H580" s="209"/>
      <c r="I580" s="208"/>
      <c r="K580" s="207"/>
      <c r="N580" s="225"/>
      <c r="O580" s="225"/>
      <c r="P580" s="204"/>
      <c r="Q580" s="204"/>
      <c r="R580" s="225"/>
      <c r="S580" s="225"/>
      <c r="T580" s="225"/>
      <c r="U580" s="225"/>
    </row>
    <row r="581" spans="3:21">
      <c r="C581" s="228"/>
      <c r="E581" s="210"/>
      <c r="H581" s="209"/>
      <c r="I581" s="208"/>
      <c r="K581" s="207"/>
      <c r="M581" s="194"/>
      <c r="N581" s="225"/>
      <c r="O581" s="225"/>
      <c r="P581" s="204"/>
      <c r="Q581" s="204"/>
      <c r="R581" s="225"/>
      <c r="S581" s="225"/>
      <c r="T581" s="225"/>
      <c r="U581" s="225"/>
    </row>
    <row r="582" spans="3:21">
      <c r="C582" s="228"/>
      <c r="E582" s="210"/>
      <c r="H582" s="209"/>
      <c r="I582" s="208"/>
      <c r="K582" s="207"/>
      <c r="M582" s="194"/>
      <c r="N582" s="225"/>
      <c r="O582" s="225"/>
      <c r="P582" s="204"/>
      <c r="Q582" s="204"/>
      <c r="R582" s="225"/>
      <c r="S582" s="225"/>
      <c r="T582" s="225"/>
      <c r="U582" s="225"/>
    </row>
    <row r="583" spans="3:21">
      <c r="C583" s="228"/>
      <c r="E583" s="210"/>
      <c r="H583" s="209"/>
      <c r="I583" s="208"/>
      <c r="K583" s="207"/>
      <c r="N583" s="225"/>
      <c r="O583" s="225"/>
      <c r="P583" s="204"/>
      <c r="Q583" s="204"/>
      <c r="R583" s="225"/>
      <c r="S583" s="225"/>
      <c r="T583" s="225"/>
      <c r="U583" s="225"/>
    </row>
    <row r="584" spans="3:21">
      <c r="C584" s="228"/>
      <c r="E584" s="210"/>
      <c r="H584" s="209"/>
      <c r="I584" s="208"/>
      <c r="K584" s="207"/>
      <c r="N584" s="225"/>
      <c r="O584" s="225"/>
      <c r="P584" s="204"/>
      <c r="Q584" s="204"/>
      <c r="R584" s="225"/>
      <c r="S584" s="225"/>
      <c r="T584" s="225"/>
      <c r="U584" s="225"/>
    </row>
    <row r="585" spans="3:21">
      <c r="C585" s="228"/>
      <c r="E585" s="198"/>
      <c r="H585" s="209"/>
      <c r="I585" s="208"/>
      <c r="J585" s="189"/>
      <c r="K585" s="207"/>
      <c r="M585" s="190"/>
      <c r="N585" s="225"/>
      <c r="O585" s="225"/>
      <c r="P585" s="204"/>
      <c r="Q585" s="204"/>
      <c r="R585" s="225"/>
      <c r="S585" s="225"/>
      <c r="T585" s="225"/>
      <c r="U585" s="225"/>
    </row>
    <row r="586" spans="3:21">
      <c r="N586" s="153"/>
      <c r="O586" s="153"/>
      <c r="R586" s="153"/>
      <c r="S586" s="153"/>
      <c r="T586" s="153"/>
      <c r="U586" s="153"/>
    </row>
  </sheetData>
  <mergeCells count="1">
    <mergeCell ref="A3:B3"/>
  </mergeCells>
  <pageMargins left="0.5" right="0.5" top="0.5" bottom="0.55000000000000004" header="0.5" footer="0.5"/>
  <pageSetup scale="63" fitToHeight="8" pageOrder="overThenDown" orientation="landscape" r:id="rId1"/>
  <headerFooter alignWithMargins="0"/>
  <rowBreaks count="4" manualBreakCount="4">
    <brk id="171" max="20" man="1"/>
    <brk id="229" max="20" man="1"/>
    <brk id="394" max="20" man="1"/>
    <brk id="492" max="20" man="1"/>
  </rowBreaks>
  <drawing r:id="rId2"/>
  <legacyDrawing r:id="rId3"/>
  <controls>
    <mc:AlternateContent xmlns:mc="http://schemas.openxmlformats.org/markup-compatibility/2006">
      <mc:Choice Requires="x14">
        <control shapeId="5121" r:id="rId4" name="CheckBox1">
          <controlPr defaultSize="0" autoLine="0" r:id="rId5">
            <anchor moveWithCells="1">
              <from>
                <xdr:col>2</xdr:col>
                <xdr:colOff>104775</xdr:colOff>
                <xdr:row>7</xdr:row>
                <xdr:rowOff>0</xdr:rowOff>
              </from>
              <to>
                <xdr:col>2</xdr:col>
                <xdr:colOff>180975</xdr:colOff>
                <xdr:row>7</xdr:row>
                <xdr:rowOff>76200</xdr:rowOff>
              </to>
            </anchor>
          </controlPr>
        </control>
      </mc:Choice>
      <mc:Fallback>
        <control shapeId="5121" r:id="rId4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/>
  <dimension ref="A1:CB569"/>
  <sheetViews>
    <sheetView showGridLines="0" zoomScale="115" zoomScaleNormal="115" workbookViewId="0">
      <pane ySplit="10" topLeftCell="A391" activePane="bottomLeft" state="frozen"/>
      <selection pane="bottomLeft" activeCell="H5" sqref="H5"/>
    </sheetView>
  </sheetViews>
  <sheetFormatPr defaultColWidth="12.5703125" defaultRowHeight="12"/>
  <cols>
    <col min="1" max="1" width="10.42578125" style="1" customWidth="1"/>
    <col min="2" max="2" width="8.140625" style="1" customWidth="1"/>
    <col min="3" max="3" width="10" style="1" bestFit="1" customWidth="1"/>
    <col min="4" max="4" width="35" style="1" customWidth="1"/>
    <col min="5" max="5" width="6.7109375" style="3" customWidth="1"/>
    <col min="6" max="6" width="6.140625" style="4" customWidth="1"/>
    <col min="7" max="7" width="8.5703125" style="4" customWidth="1"/>
    <col min="8" max="8" width="2.28515625" style="1" customWidth="1"/>
    <col min="9" max="9" width="7.85546875" style="4" customWidth="1"/>
    <col min="10" max="10" width="6.140625" style="5" customWidth="1"/>
    <col min="11" max="11" width="8.42578125" style="3" customWidth="1"/>
    <col min="12" max="12" width="6.140625" style="1" customWidth="1"/>
    <col min="13" max="13" width="0.42578125" style="1" customWidth="1"/>
    <col min="14" max="14" width="9.42578125" style="6" bestFit="1" customWidth="1"/>
    <col min="15" max="15" width="6.7109375" style="1" customWidth="1"/>
    <col min="16" max="16" width="12" style="1" customWidth="1"/>
    <col min="17" max="17" width="12.28515625" style="1" customWidth="1"/>
    <col min="18" max="18" width="9.85546875" style="1" bestFit="1" customWidth="1"/>
    <col min="19" max="19" width="6.7109375" style="1" bestFit="1" customWidth="1"/>
    <col min="20" max="20" width="13.85546875" style="1" customWidth="1"/>
    <col min="21" max="21" width="6.7109375" style="1" customWidth="1"/>
    <col min="22" max="22" width="9.85546875" style="1" customWidth="1"/>
    <col min="23" max="23" width="1.140625" style="1" customWidth="1"/>
    <col min="24" max="25" width="10.85546875" style="1" customWidth="1"/>
    <col min="26" max="26" width="5.85546875" style="1" customWidth="1"/>
    <col min="27" max="28" width="11.28515625" style="1" bestFit="1" customWidth="1"/>
    <col min="29" max="29" width="10" style="1" bestFit="1" customWidth="1"/>
    <col min="30" max="30" width="7.85546875" style="1" bestFit="1" customWidth="1"/>
    <col min="31" max="31" width="8.42578125" style="1" bestFit="1" customWidth="1"/>
    <col min="32" max="32" width="9.7109375" style="1" customWidth="1"/>
    <col min="33" max="34" width="7.85546875" style="1" bestFit="1" customWidth="1"/>
    <col min="35" max="35" width="12.5703125" style="1"/>
    <col min="36" max="36" width="13.42578125" style="144" bestFit="1" customWidth="1"/>
    <col min="37" max="37" width="2.85546875" style="144" customWidth="1"/>
    <col min="38" max="38" width="17.5703125" style="144" bestFit="1" customWidth="1"/>
    <col min="39" max="39" width="2.7109375" style="144" customWidth="1"/>
    <col min="40" max="40" width="16.28515625" style="144" bestFit="1" customWidth="1"/>
    <col min="41" max="41" width="3.7109375" style="144" customWidth="1"/>
    <col min="42" max="42" width="18.28515625" style="144" bestFit="1" customWidth="1"/>
    <col min="43" max="43" width="2.85546875" style="144" customWidth="1"/>
    <col min="44" max="44" width="13.42578125" style="144" bestFit="1" customWidth="1"/>
    <col min="45" max="16384" width="12.5703125" style="1"/>
  </cols>
  <sheetData>
    <row r="1" spans="1:80">
      <c r="D1" s="2" t="s">
        <v>27</v>
      </c>
      <c r="P1" s="7"/>
      <c r="Q1" s="7"/>
      <c r="AE1" s="8"/>
      <c r="AJ1" s="1"/>
      <c r="AK1" s="1"/>
      <c r="AL1" s="1"/>
      <c r="AM1" s="1"/>
      <c r="AN1" s="1"/>
      <c r="AO1" s="1"/>
      <c r="AP1" s="1"/>
      <c r="AQ1" s="1"/>
      <c r="AR1" s="1"/>
    </row>
    <row r="2" spans="1:80">
      <c r="D2" s="2" t="s">
        <v>28</v>
      </c>
      <c r="P2" s="9">
        <v>12</v>
      </c>
      <c r="Q2" s="10" t="s">
        <v>29</v>
      </c>
      <c r="AJ2" s="1"/>
      <c r="AK2" s="1"/>
      <c r="AL2" s="1"/>
      <c r="AM2" s="1"/>
      <c r="AN2" s="1"/>
      <c r="AO2" s="1"/>
      <c r="AP2" s="1"/>
      <c r="AQ2" s="1"/>
      <c r="AR2" s="1"/>
      <c r="BX2" s="1" t="s">
        <v>30</v>
      </c>
    </row>
    <row r="3" spans="1:80">
      <c r="D3" s="11">
        <f>'Depr Summary'!H6</f>
        <v>44165</v>
      </c>
      <c r="P3" s="9">
        <v>0</v>
      </c>
      <c r="Q3" s="10" t="s">
        <v>31</v>
      </c>
      <c r="AE3" s="1" t="s">
        <v>32</v>
      </c>
      <c r="AF3" s="1" t="s">
        <v>33</v>
      </c>
      <c r="AJ3" s="1"/>
      <c r="AK3" s="1"/>
      <c r="AL3" s="1"/>
      <c r="AM3" s="1"/>
      <c r="AN3" s="1"/>
      <c r="AO3" s="1"/>
      <c r="AP3" s="1"/>
      <c r="AQ3" s="1"/>
      <c r="AR3" s="1"/>
    </row>
    <row r="4" spans="1:80">
      <c r="P4" s="12">
        <v>2017</v>
      </c>
      <c r="Q4" s="10" t="s">
        <v>34</v>
      </c>
      <c r="AE4" s="1" t="s">
        <v>35</v>
      </c>
      <c r="AF4" s="1" t="s">
        <v>36</v>
      </c>
      <c r="AJ4" s="1"/>
      <c r="AK4" s="1"/>
      <c r="AL4" s="1"/>
      <c r="AM4" s="1"/>
      <c r="AN4" s="1"/>
      <c r="AO4" s="1"/>
      <c r="AP4" s="1"/>
      <c r="AQ4" s="1"/>
      <c r="AR4" s="1"/>
      <c r="BW4" s="1">
        <v>1</v>
      </c>
      <c r="BX4" s="1" t="s">
        <v>37</v>
      </c>
      <c r="CA4" s="1">
        <v>12</v>
      </c>
      <c r="CB4" s="1" t="s">
        <v>38</v>
      </c>
    </row>
    <row r="5" spans="1:80">
      <c r="P5" s="12">
        <v>2018</v>
      </c>
      <c r="Q5" s="10" t="s">
        <v>46</v>
      </c>
      <c r="AE5" s="1" t="s">
        <v>39</v>
      </c>
      <c r="AF5" s="1" t="s">
        <v>40</v>
      </c>
      <c r="AJ5" s="332" t="s">
        <v>434</v>
      </c>
      <c r="AK5" s="332"/>
      <c r="AL5" s="332"/>
      <c r="AM5" s="332"/>
      <c r="AN5" s="332"/>
      <c r="AO5" s="332"/>
      <c r="AP5" s="332"/>
      <c r="AQ5" s="332"/>
      <c r="AR5" s="332"/>
      <c r="BX5" s="1">
        <v>1993</v>
      </c>
      <c r="CA5" s="1">
        <v>0</v>
      </c>
      <c r="CB5" s="1" t="s">
        <v>41</v>
      </c>
    </row>
    <row r="6" spans="1:80">
      <c r="AE6" s="1" t="s">
        <v>42</v>
      </c>
      <c r="AF6" s="1" t="s">
        <v>43</v>
      </c>
      <c r="AJ6" s="332"/>
      <c r="AK6" s="332"/>
      <c r="AL6" s="332"/>
      <c r="AM6" s="332"/>
      <c r="AN6" s="332"/>
      <c r="AO6" s="332"/>
      <c r="AP6" s="332"/>
      <c r="AQ6" s="332"/>
      <c r="AR6" s="332"/>
      <c r="CA6" s="1">
        <v>93</v>
      </c>
      <c r="CB6" s="1" t="s">
        <v>34</v>
      </c>
    </row>
    <row r="7" spans="1:80" ht="15">
      <c r="S7" s="4" t="s">
        <v>47</v>
      </c>
      <c r="V7" s="15" t="s">
        <v>25</v>
      </c>
      <c r="X7" s="4" t="s">
        <v>48</v>
      </c>
      <c r="Y7" s="4" t="s">
        <v>49</v>
      </c>
      <c r="AA7" s="15" t="s">
        <v>49</v>
      </c>
      <c r="AB7" s="15" t="s">
        <v>49</v>
      </c>
      <c r="AE7" s="1" t="s">
        <v>44</v>
      </c>
      <c r="AF7" s="1" t="s">
        <v>45</v>
      </c>
      <c r="AJ7" s="146"/>
      <c r="AK7" s="146"/>
      <c r="AL7" s="146"/>
      <c r="AM7" s="146"/>
      <c r="AN7" s="147" t="s">
        <v>435</v>
      </c>
      <c r="AO7" s="146"/>
      <c r="AP7" s="147" t="s">
        <v>435</v>
      </c>
      <c r="AQ7" s="146"/>
      <c r="AR7" s="146"/>
      <c r="CA7" s="1">
        <v>94</v>
      </c>
      <c r="CB7" s="1" t="s">
        <v>46</v>
      </c>
    </row>
    <row r="8" spans="1:80" ht="15">
      <c r="B8" s="15"/>
      <c r="C8" s="15" t="s">
        <v>2</v>
      </c>
      <c r="D8" s="16" t="s">
        <v>50</v>
      </c>
      <c r="E8" s="17" t="s">
        <v>51</v>
      </c>
      <c r="F8" s="15"/>
      <c r="G8" s="18" t="s">
        <v>9</v>
      </c>
      <c r="H8" s="7"/>
      <c r="I8" s="15" t="s">
        <v>2</v>
      </c>
      <c r="J8" s="17"/>
      <c r="K8" s="17" t="s">
        <v>52</v>
      </c>
      <c r="L8" s="15" t="s">
        <v>2</v>
      </c>
      <c r="N8" s="19" t="s">
        <v>2</v>
      </c>
      <c r="O8" s="4" t="s">
        <v>53</v>
      </c>
      <c r="P8" s="16" t="s">
        <v>2</v>
      </c>
      <c r="Q8" s="16"/>
      <c r="R8" s="15" t="s">
        <v>54</v>
      </c>
      <c r="S8" s="4" t="s">
        <v>52</v>
      </c>
      <c r="T8" s="15" t="s">
        <v>25</v>
      </c>
      <c r="U8" s="15" t="s">
        <v>55</v>
      </c>
      <c r="V8" s="15" t="s">
        <v>49</v>
      </c>
      <c r="X8" s="4" t="s">
        <v>56</v>
      </c>
      <c r="Y8" s="4" t="s">
        <v>56</v>
      </c>
      <c r="Z8" s="4" t="s">
        <v>57</v>
      </c>
      <c r="AA8" s="15" t="s">
        <v>58</v>
      </c>
      <c r="AB8" s="15" t="s">
        <v>58</v>
      </c>
      <c r="AC8" s="15" t="s">
        <v>5</v>
      </c>
      <c r="AJ8" s="148" t="s">
        <v>436</v>
      </c>
      <c r="AK8" s="145"/>
      <c r="AL8" s="148" t="s">
        <v>437</v>
      </c>
      <c r="AM8" s="145"/>
      <c r="AN8" s="148" t="s">
        <v>438</v>
      </c>
      <c r="AO8" s="145"/>
      <c r="AP8" s="148" t="s">
        <v>438</v>
      </c>
      <c r="AQ8" s="145"/>
      <c r="AR8" s="148" t="s">
        <v>439</v>
      </c>
    </row>
    <row r="9" spans="1:80" ht="15">
      <c r="B9" s="15"/>
      <c r="C9" s="15" t="s">
        <v>59</v>
      </c>
      <c r="D9" s="16"/>
      <c r="E9" s="17" t="s">
        <v>60</v>
      </c>
      <c r="F9" s="15"/>
      <c r="G9" s="18" t="s">
        <v>61</v>
      </c>
      <c r="H9" s="7"/>
      <c r="I9" s="15" t="s">
        <v>62</v>
      </c>
      <c r="J9" s="17" t="s">
        <v>63</v>
      </c>
      <c r="K9" s="17" t="s">
        <v>64</v>
      </c>
      <c r="L9" s="15" t="s">
        <v>53</v>
      </c>
      <c r="M9" s="1" t="s">
        <v>65</v>
      </c>
      <c r="N9" s="19" t="s">
        <v>53</v>
      </c>
      <c r="O9" s="4" t="s">
        <v>47</v>
      </c>
      <c r="P9" s="15" t="s">
        <v>11</v>
      </c>
      <c r="Q9" s="15" t="s">
        <v>66</v>
      </c>
      <c r="R9" s="15" t="s">
        <v>52</v>
      </c>
      <c r="S9" s="4" t="s">
        <v>67</v>
      </c>
      <c r="T9" s="15" t="s">
        <v>68</v>
      </c>
      <c r="U9" s="15" t="s">
        <v>69</v>
      </c>
      <c r="V9" s="15" t="s">
        <v>70</v>
      </c>
      <c r="W9" s="15"/>
      <c r="X9" s="15" t="s">
        <v>71</v>
      </c>
      <c r="Y9" s="15" t="s">
        <v>71</v>
      </c>
      <c r="Z9" s="15" t="s">
        <v>69</v>
      </c>
      <c r="AA9" s="15" t="s">
        <v>72</v>
      </c>
      <c r="AB9" s="15" t="s">
        <v>72</v>
      </c>
      <c r="AC9" s="15" t="s">
        <v>7</v>
      </c>
      <c r="AD9" s="4" t="s">
        <v>32</v>
      </c>
      <c r="AE9" s="4" t="s">
        <v>73</v>
      </c>
      <c r="AF9" s="4" t="s">
        <v>74</v>
      </c>
      <c r="AG9" s="4" t="s">
        <v>42</v>
      </c>
      <c r="AH9" s="4" t="s">
        <v>44</v>
      </c>
      <c r="AJ9" s="148" t="s">
        <v>440</v>
      </c>
      <c r="AK9" s="145"/>
      <c r="AL9" s="148" t="s">
        <v>441</v>
      </c>
      <c r="AM9" s="145"/>
      <c r="AN9" s="148" t="s">
        <v>442</v>
      </c>
      <c r="AO9" s="145"/>
      <c r="AP9" s="148" t="s">
        <v>443</v>
      </c>
      <c r="AQ9" s="145"/>
      <c r="AR9" s="148" t="s">
        <v>7</v>
      </c>
      <c r="BW9" s="1">
        <v>2</v>
      </c>
      <c r="BX9" s="1" t="s">
        <v>75</v>
      </c>
    </row>
    <row r="10" spans="1:80">
      <c r="A10" s="20" t="s">
        <v>287</v>
      </c>
      <c r="B10" s="20" t="s">
        <v>76</v>
      </c>
      <c r="C10" s="20" t="s">
        <v>77</v>
      </c>
      <c r="D10" s="21" t="s">
        <v>78</v>
      </c>
      <c r="E10" s="22" t="s">
        <v>52</v>
      </c>
      <c r="F10" s="20" t="s">
        <v>79</v>
      </c>
      <c r="G10" s="23" t="s">
        <v>55</v>
      </c>
      <c r="H10" s="7" t="s">
        <v>80</v>
      </c>
      <c r="I10" s="20" t="s">
        <v>81</v>
      </c>
      <c r="J10" s="22" t="s">
        <v>82</v>
      </c>
      <c r="K10" s="22" t="s">
        <v>11</v>
      </c>
      <c r="L10" s="20" t="s">
        <v>8</v>
      </c>
      <c r="M10" s="24" t="s">
        <v>80</v>
      </c>
      <c r="N10" s="25" t="s">
        <v>8</v>
      </c>
      <c r="O10" s="24" t="s">
        <v>80</v>
      </c>
      <c r="P10" s="20" t="s">
        <v>8</v>
      </c>
      <c r="Q10" s="20" t="s">
        <v>11</v>
      </c>
      <c r="R10" s="20" t="s">
        <v>11</v>
      </c>
      <c r="S10" s="24" t="s">
        <v>80</v>
      </c>
      <c r="T10" s="15" t="s">
        <v>83</v>
      </c>
      <c r="U10" s="20" t="s">
        <v>80</v>
      </c>
      <c r="V10" s="15" t="s">
        <v>72</v>
      </c>
      <c r="W10" s="15"/>
      <c r="X10" s="26">
        <f>'Depr Summary'!F6</f>
        <v>43800</v>
      </c>
      <c r="Y10" s="27">
        <f>+D3</f>
        <v>44165</v>
      </c>
      <c r="Z10" s="15" t="s">
        <v>55</v>
      </c>
      <c r="AA10" s="28">
        <f>+X10</f>
        <v>43800</v>
      </c>
      <c r="AB10" s="28">
        <f>+D3</f>
        <v>44165</v>
      </c>
      <c r="AC10" s="28">
        <f>+D3</f>
        <v>44165</v>
      </c>
      <c r="AJ10" s="1"/>
      <c r="AK10" s="1"/>
      <c r="AL10" s="1"/>
      <c r="AM10" s="1"/>
      <c r="AN10" s="1"/>
      <c r="AO10" s="1"/>
      <c r="AP10" s="1"/>
      <c r="AQ10" s="1"/>
      <c r="AR10" s="1"/>
    </row>
    <row r="11" spans="1:80">
      <c r="B11" s="4" t="s">
        <v>316</v>
      </c>
      <c r="C11" s="1">
        <v>4</v>
      </c>
      <c r="D11" s="29" t="s">
        <v>317</v>
      </c>
      <c r="E11" s="3">
        <v>2004</v>
      </c>
      <c r="F11" s="4">
        <v>9</v>
      </c>
      <c r="G11" s="30">
        <v>0.2</v>
      </c>
      <c r="H11" s="7"/>
      <c r="I11" s="14" t="s">
        <v>86</v>
      </c>
      <c r="J11" s="5">
        <v>7</v>
      </c>
      <c r="K11" s="13">
        <f t="shared" ref="K11:K31" si="0">E11+J11</f>
        <v>2011</v>
      </c>
      <c r="N11" s="6">
        <f>67645+505+39053+302+925+4519</f>
        <v>112949</v>
      </c>
      <c r="O11" s="31"/>
      <c r="P11" s="7">
        <f t="shared" ref="P11:P26" si="1">N11-N11*G11</f>
        <v>90359.2</v>
      </c>
      <c r="Q11" s="7">
        <f t="shared" ref="Q11:Q26" si="2">P11/J11/12</f>
        <v>1075.7047619047619</v>
      </c>
      <c r="R11" s="7">
        <f t="shared" ref="R11:R25" si="3">IF(O11&gt;0,0,IF(OR(AD11&gt;AE11,AF11&lt;AG11),0,IF(AND(AF11&gt;=AG11,AF11&lt;=AE11),Q11*((AF11-AG11)*12),IF(AND(AG11&lt;=AD11,AE11&gt;=AD11),((AE11-AD11)*12)*Q11,IF(AF11&gt;AE11,12*Q11,0)))))</f>
        <v>0</v>
      </c>
      <c r="S11" s="7"/>
      <c r="T11" s="7">
        <f t="shared" ref="T11:T25" si="4">IF(S11&gt;0,S11,R11)</f>
        <v>0</v>
      </c>
      <c r="U11" s="7">
        <v>1</v>
      </c>
      <c r="V11" s="7">
        <f t="shared" ref="V11:V25" si="5">U11*SUM(R11:S11)</f>
        <v>0</v>
      </c>
      <c r="W11" s="7"/>
      <c r="X11" s="7">
        <f t="shared" ref="X11:X25" si="6">IF(AD11&gt;AE11,0,IF(AF11&lt;AG11,P11,IF(AND(AF11&gt;=AG11,AF11&lt;=AE11),(P11-T11),IF(AND(AG11&lt;=AD11,AE11&gt;=AD11),0,IF(AF11&gt;AE11,((AG11-AD11)*12)*Q11,0)))))</f>
        <v>90359.2</v>
      </c>
      <c r="Y11" s="7">
        <f t="shared" ref="Y11:Y25" si="7">X11*U11</f>
        <v>90359.2</v>
      </c>
      <c r="Z11" s="7">
        <v>1</v>
      </c>
      <c r="AA11" s="7">
        <f t="shared" ref="AA11:AA25" si="8">Y11*Z11</f>
        <v>90359.2</v>
      </c>
      <c r="AB11" s="7">
        <f t="shared" ref="AB11:AB25" si="9">IF(O11&gt;0,0,AA11+V11*Z11)*Z11</f>
        <v>90359.2</v>
      </c>
      <c r="AC11" s="7">
        <f t="shared" ref="AC11:AC25" si="10">IF(O11&gt;0,(N11-AA11)/2,IF(AD11&gt;=AG11,(((N11*U11)*Z11)-AB11)/2,((((N11*U11)*Z11)-AA11)+(((N11*U11)*Z11)-AB11))/2))</f>
        <v>22589.800000000003</v>
      </c>
      <c r="AD11" s="7">
        <f t="shared" ref="AD11:AD35" si="11">$E11+(($F11-1)/12)</f>
        <v>2004.6666666666667</v>
      </c>
      <c r="AE11" s="7">
        <f t="shared" ref="AE11:AE541" si="12">($P$5+1)-($P$2/12)</f>
        <v>2018</v>
      </c>
      <c r="AF11" s="7">
        <f t="shared" ref="AF11:AF35" si="13">$K11+(($F11-1)/12)</f>
        <v>2011.6666666666667</v>
      </c>
      <c r="AG11" s="7">
        <f t="shared" ref="AG11:AG541" si="14">$P$4+($P$3/12)</f>
        <v>2017</v>
      </c>
      <c r="AH11" s="7">
        <f t="shared" ref="AH11:AH35" si="15">$L11+(($M11-1)/12)</f>
        <v>-8.3333333333333329E-2</v>
      </c>
      <c r="AJ11" s="144">
        <f>+IF((AF11-AG11)&gt;3,((N11-P11)/(AF11-AG11)),(N11-P11)/3)</f>
        <v>7529.9333333333343</v>
      </c>
      <c r="AL11" s="144">
        <f>+AJ11+R11</f>
        <v>7529.9333333333343</v>
      </c>
      <c r="AN11" s="144">
        <f>+IF(AF11&lt;AG11,-AC11,0)</f>
        <v>-22589.800000000003</v>
      </c>
      <c r="AP11" s="144">
        <f>+IF(AF11&gt;AG11,IF(AJ11&gt;0,IF(O11&gt;0,(N11-AA11)/2,IF(AD11&gt;=AG11,(((N11*U11)*Z11)-(AB11+AJ11))/2,((((N11*U11)*Z11)-AA11)+(((N11*U11)*Z11)-(AB11+AJ11)))/2)),0),0)</f>
        <v>0</v>
      </c>
      <c r="AR11" s="144">
        <f t="shared" ref="AR11:AR35" si="16">+AC11+AN11+(IF(AP11&gt;0,(AP11-AC11),0))</f>
        <v>0</v>
      </c>
    </row>
    <row r="12" spans="1:80">
      <c r="B12" s="4" t="s">
        <v>84</v>
      </c>
      <c r="D12" s="29" t="s">
        <v>89</v>
      </c>
      <c r="E12" s="3">
        <v>2005</v>
      </c>
      <c r="F12" s="4">
        <v>12</v>
      </c>
      <c r="G12" s="30">
        <v>0</v>
      </c>
      <c r="H12" s="7"/>
      <c r="I12" s="14" t="s">
        <v>86</v>
      </c>
      <c r="J12" s="5">
        <v>3</v>
      </c>
      <c r="K12" s="13">
        <f t="shared" si="0"/>
        <v>2008</v>
      </c>
      <c r="N12" s="6">
        <v>9887</v>
      </c>
      <c r="P12" s="7">
        <f t="shared" si="1"/>
        <v>9887</v>
      </c>
      <c r="Q12" s="7">
        <f t="shared" si="2"/>
        <v>274.63888888888886</v>
      </c>
      <c r="R12" s="7">
        <f t="shared" si="3"/>
        <v>0</v>
      </c>
      <c r="S12" s="7"/>
      <c r="T12" s="7">
        <f t="shared" si="4"/>
        <v>0</v>
      </c>
      <c r="U12" s="7">
        <v>1</v>
      </c>
      <c r="V12" s="7">
        <f t="shared" si="5"/>
        <v>0</v>
      </c>
      <c r="W12" s="7"/>
      <c r="X12" s="7">
        <f t="shared" si="6"/>
        <v>9887</v>
      </c>
      <c r="Y12" s="7">
        <f t="shared" si="7"/>
        <v>9887</v>
      </c>
      <c r="Z12" s="7">
        <v>1</v>
      </c>
      <c r="AA12" s="7">
        <f t="shared" si="8"/>
        <v>9887</v>
      </c>
      <c r="AB12" s="7">
        <f t="shared" si="9"/>
        <v>9887</v>
      </c>
      <c r="AC12" s="7">
        <f t="shared" si="10"/>
        <v>0</v>
      </c>
      <c r="AD12" s="7">
        <f t="shared" si="11"/>
        <v>2005.9166666666667</v>
      </c>
      <c r="AE12" s="7">
        <f t="shared" si="12"/>
        <v>2018</v>
      </c>
      <c r="AF12" s="7">
        <f t="shared" si="13"/>
        <v>2008.9166666666667</v>
      </c>
      <c r="AG12" s="7">
        <f t="shared" si="14"/>
        <v>2017</v>
      </c>
      <c r="AH12" s="7">
        <f t="shared" si="15"/>
        <v>-8.3333333333333329E-2</v>
      </c>
      <c r="AJ12" s="144">
        <f t="shared" ref="AJ12:AJ35" si="17">+IF((AF12-AG12)&gt;3,((N12-P12)/(AF12-AG12)),(N12-P12)/3)</f>
        <v>0</v>
      </c>
      <c r="AL12" s="144">
        <f t="shared" ref="AL12:AL35" si="18">+AJ12+R12</f>
        <v>0</v>
      </c>
      <c r="AN12" s="144">
        <f t="shared" ref="AN12:AN35" si="19">+IF(AF12&lt;AG12,-AC12,0)</f>
        <v>0</v>
      </c>
      <c r="AP12" s="144">
        <f t="shared" ref="AP12:AP35" si="20">+IF(AF12&gt;AG12,IF(AJ12&gt;0,IF(O12&gt;0,(N12-AA12)/2,IF(AD12&gt;=AG12,(((N12*U12)*Z12)-(AB12+AJ12))/2,((((N12*U12)*Z12)-AA12)+(((N12*U12)*Z12)-(AB12+AJ12)))/2)),0),0)</f>
        <v>0</v>
      </c>
      <c r="AR12" s="144">
        <f t="shared" si="16"/>
        <v>0</v>
      </c>
    </row>
    <row r="13" spans="1:80">
      <c r="B13" s="4" t="s">
        <v>90</v>
      </c>
      <c r="C13" s="32" t="s">
        <v>91</v>
      </c>
      <c r="D13" s="29" t="s">
        <v>92</v>
      </c>
      <c r="E13" s="3">
        <v>2007</v>
      </c>
      <c r="F13" s="4">
        <v>1</v>
      </c>
      <c r="G13" s="30">
        <v>0.2</v>
      </c>
      <c r="H13" s="7"/>
      <c r="I13" s="14" t="s">
        <v>86</v>
      </c>
      <c r="J13" s="5">
        <v>7</v>
      </c>
      <c r="K13" s="13">
        <f t="shared" si="0"/>
        <v>2014</v>
      </c>
      <c r="N13" s="6">
        <v>29915.5</v>
      </c>
      <c r="O13" s="31"/>
      <c r="P13" s="7">
        <f t="shared" si="1"/>
        <v>23932.400000000001</v>
      </c>
      <c r="Q13" s="7">
        <f t="shared" si="2"/>
        <v>284.90952380952382</v>
      </c>
      <c r="R13" s="7">
        <f t="shared" si="3"/>
        <v>0</v>
      </c>
      <c r="S13" s="7"/>
      <c r="T13" s="7">
        <f t="shared" si="4"/>
        <v>0</v>
      </c>
      <c r="U13" s="7">
        <v>1</v>
      </c>
      <c r="V13" s="7">
        <f t="shared" si="5"/>
        <v>0</v>
      </c>
      <c r="W13" s="7"/>
      <c r="X13" s="7">
        <f t="shared" si="6"/>
        <v>23932.400000000001</v>
      </c>
      <c r="Y13" s="7">
        <f t="shared" si="7"/>
        <v>23932.400000000001</v>
      </c>
      <c r="Z13" s="7">
        <v>1</v>
      </c>
      <c r="AA13" s="7">
        <f t="shared" si="8"/>
        <v>23932.400000000001</v>
      </c>
      <c r="AB13" s="7">
        <f t="shared" si="9"/>
        <v>23932.400000000001</v>
      </c>
      <c r="AC13" s="7">
        <f t="shared" si="10"/>
        <v>5983.0999999999985</v>
      </c>
      <c r="AD13" s="7">
        <f t="shared" si="11"/>
        <v>2007</v>
      </c>
      <c r="AE13" s="7">
        <f t="shared" si="12"/>
        <v>2018</v>
      </c>
      <c r="AF13" s="7">
        <f t="shared" si="13"/>
        <v>2014</v>
      </c>
      <c r="AG13" s="7">
        <f t="shared" si="14"/>
        <v>2017</v>
      </c>
      <c r="AH13" s="7">
        <f t="shared" si="15"/>
        <v>-8.3333333333333329E-2</v>
      </c>
      <c r="AJ13" s="144">
        <f t="shared" si="17"/>
        <v>1994.3666666666661</v>
      </c>
      <c r="AL13" s="144">
        <f t="shared" si="18"/>
        <v>1994.3666666666661</v>
      </c>
      <c r="AN13" s="144">
        <f t="shared" si="19"/>
        <v>-5983.0999999999985</v>
      </c>
      <c r="AP13" s="144">
        <f t="shared" si="20"/>
        <v>0</v>
      </c>
      <c r="AR13" s="144">
        <f t="shared" si="16"/>
        <v>0</v>
      </c>
    </row>
    <row r="14" spans="1:80">
      <c r="B14" s="4" t="s">
        <v>94</v>
      </c>
      <c r="C14" s="1">
        <v>10</v>
      </c>
      <c r="D14" s="29" t="s">
        <v>95</v>
      </c>
      <c r="E14" s="3">
        <v>2007</v>
      </c>
      <c r="F14" s="4">
        <v>12</v>
      </c>
      <c r="G14" s="30">
        <v>0.2</v>
      </c>
      <c r="H14" s="7"/>
      <c r="I14" s="14" t="s">
        <v>86</v>
      </c>
      <c r="J14" s="5">
        <v>7</v>
      </c>
      <c r="K14" s="13">
        <f t="shared" si="0"/>
        <v>2014</v>
      </c>
      <c r="N14" s="6">
        <f>128239.25+141041.05</f>
        <v>269280.3</v>
      </c>
      <c r="O14" s="31"/>
      <c r="P14" s="7">
        <f t="shared" si="1"/>
        <v>215424.24</v>
      </c>
      <c r="Q14" s="7">
        <f t="shared" si="2"/>
        <v>2564.5742857142855</v>
      </c>
      <c r="R14" s="7">
        <f t="shared" si="3"/>
        <v>0</v>
      </c>
      <c r="S14" s="7"/>
      <c r="T14" s="7">
        <f t="shared" si="4"/>
        <v>0</v>
      </c>
      <c r="U14" s="7">
        <v>1</v>
      </c>
      <c r="V14" s="7">
        <f t="shared" si="5"/>
        <v>0</v>
      </c>
      <c r="W14" s="7"/>
      <c r="X14" s="7">
        <f t="shared" si="6"/>
        <v>215424.24</v>
      </c>
      <c r="Y14" s="7">
        <f t="shared" si="7"/>
        <v>215424.24</v>
      </c>
      <c r="Z14" s="7">
        <v>1</v>
      </c>
      <c r="AA14" s="7">
        <f t="shared" si="8"/>
        <v>215424.24</v>
      </c>
      <c r="AB14" s="7">
        <f t="shared" si="9"/>
        <v>215424.24</v>
      </c>
      <c r="AC14" s="7">
        <f t="shared" si="10"/>
        <v>53856.06</v>
      </c>
      <c r="AD14" s="7">
        <f t="shared" si="11"/>
        <v>2007.9166666666667</v>
      </c>
      <c r="AE14" s="7">
        <f t="shared" si="12"/>
        <v>2018</v>
      </c>
      <c r="AF14" s="7">
        <f t="shared" si="13"/>
        <v>2014.9166666666667</v>
      </c>
      <c r="AG14" s="7">
        <f t="shared" si="14"/>
        <v>2017</v>
      </c>
      <c r="AH14" s="7">
        <f t="shared" si="15"/>
        <v>-8.3333333333333329E-2</v>
      </c>
      <c r="AJ14" s="144">
        <f t="shared" si="17"/>
        <v>17952.02</v>
      </c>
      <c r="AL14" s="144">
        <f t="shared" si="18"/>
        <v>17952.02</v>
      </c>
      <c r="AN14" s="144">
        <f t="shared" si="19"/>
        <v>-53856.06</v>
      </c>
      <c r="AP14" s="144">
        <f t="shared" si="20"/>
        <v>0</v>
      </c>
      <c r="AR14" s="144">
        <f t="shared" si="16"/>
        <v>0</v>
      </c>
    </row>
    <row r="15" spans="1:80" s="109" customFormat="1">
      <c r="A15" s="109" t="s">
        <v>398</v>
      </c>
      <c r="B15" s="110"/>
      <c r="C15" s="111">
        <v>16</v>
      </c>
      <c r="D15" s="112" t="s">
        <v>401</v>
      </c>
      <c r="E15" s="113">
        <v>2007</v>
      </c>
      <c r="F15" s="110">
        <v>11</v>
      </c>
      <c r="G15" s="114">
        <v>0</v>
      </c>
      <c r="H15" s="115"/>
      <c r="I15" s="116" t="s">
        <v>86</v>
      </c>
      <c r="J15" s="117">
        <v>10</v>
      </c>
      <c r="K15" s="118">
        <f>E15+J15</f>
        <v>2017</v>
      </c>
      <c r="N15" s="119">
        <v>861.33</v>
      </c>
      <c r="O15" s="120"/>
      <c r="P15" s="115">
        <f t="shared" ref="P15:P17" si="21">N15-N15*G15</f>
        <v>861.33</v>
      </c>
      <c r="Q15" s="115">
        <f t="shared" ref="Q15:Q17" si="22">P15/J15/12</f>
        <v>7.1777500000000005</v>
      </c>
      <c r="R15" s="115">
        <f t="shared" ref="R15" si="23">IF(O15&gt;0,0,IF(OR(AD15&gt;AE15,AF15&lt;AG15),0,IF(AND(AF15&gt;=AG15,AF15&lt;=AE15),Q15*((AF15-AG15)*12),IF(AND(AG15&lt;=AD15,AE15&gt;=AD15),((AE15-AD15)*12)*Q15,IF(AF15&gt;AE15,12*Q15,0)))))</f>
        <v>71.777499999993481</v>
      </c>
      <c r="S15" s="115"/>
      <c r="T15" s="115">
        <f t="shared" ref="T15" si="24">IF(S15&gt;0,S15,R15)</f>
        <v>71.777499999993481</v>
      </c>
      <c r="U15" s="115">
        <v>1</v>
      </c>
      <c r="V15" s="115">
        <f t="shared" ref="V15" si="25">U15*SUM(R15:S15)</f>
        <v>71.777499999993481</v>
      </c>
      <c r="W15" s="115"/>
      <c r="X15" s="115">
        <f t="shared" ref="X15" si="26">IF(AD15&gt;AE15,0,IF(AF15&lt;AG15,P15,IF(AND(AF15&gt;=AG15,AF15&lt;=AE15),(P15-T15),IF(AND(AG15&lt;=AD15,AE15&gt;=AD15),0,IF(AF15&gt;AE15,((AG15-AD15)*12)*Q15,0)))))</f>
        <v>789.5525000000066</v>
      </c>
      <c r="Y15" s="115">
        <f t="shared" ref="Y15" si="27">X15*U15</f>
        <v>789.5525000000066</v>
      </c>
      <c r="Z15" s="115">
        <v>1</v>
      </c>
      <c r="AA15" s="115">
        <f t="shared" ref="AA15" si="28">Y15*Z15</f>
        <v>789.5525000000066</v>
      </c>
      <c r="AB15" s="115">
        <f t="shared" ref="AB15" si="29">IF(O15&gt;0,0,AA15+V15*Z15)*Z15</f>
        <v>861.33</v>
      </c>
      <c r="AC15" s="115">
        <f t="shared" ref="AC15" si="30">IF(O15&gt;0,(N15-AA15)/2,IF(AD15&gt;=AG15,(((N15*U15)*Z15)-AB15)/2,((((N15*U15)*Z15)-AA15)+(((N15*U15)*Z15)-AB15))/2))</f>
        <v>35.888749999996719</v>
      </c>
      <c r="AD15" s="115">
        <f>$E15+(($F15-1)/12)</f>
        <v>2007.8333333333333</v>
      </c>
      <c r="AE15" s="115">
        <f t="shared" si="12"/>
        <v>2018</v>
      </c>
      <c r="AF15" s="115">
        <f>$K15+(($F15-1)/12)</f>
        <v>2017.8333333333333</v>
      </c>
      <c r="AG15" s="115">
        <f t="shared" si="14"/>
        <v>2017</v>
      </c>
      <c r="AH15" s="115">
        <f>$L15+(($M15-1)/12)</f>
        <v>-8.3333333333333329E-2</v>
      </c>
      <c r="AJ15" s="144">
        <f t="shared" si="17"/>
        <v>0</v>
      </c>
      <c r="AK15" s="144"/>
      <c r="AL15" s="144">
        <f t="shared" si="18"/>
        <v>71.777499999993481</v>
      </c>
      <c r="AM15" s="144"/>
      <c r="AN15" s="144">
        <f t="shared" si="19"/>
        <v>0</v>
      </c>
      <c r="AO15" s="144"/>
      <c r="AP15" s="144">
        <f t="shared" si="20"/>
        <v>0</v>
      </c>
      <c r="AQ15" s="144"/>
      <c r="AR15" s="144">
        <f t="shared" si="16"/>
        <v>35.888749999996719</v>
      </c>
    </row>
    <row r="16" spans="1:80" s="109" customFormat="1">
      <c r="A16" s="109">
        <v>174774</v>
      </c>
      <c r="B16" s="110" t="s">
        <v>331</v>
      </c>
      <c r="C16" s="111">
        <v>16</v>
      </c>
      <c r="D16" s="112" t="s">
        <v>397</v>
      </c>
      <c r="E16" s="113">
        <v>2007</v>
      </c>
      <c r="F16" s="110">
        <v>11</v>
      </c>
      <c r="G16" s="114">
        <v>0.2</v>
      </c>
      <c r="H16" s="115"/>
      <c r="I16" s="116" t="s">
        <v>86</v>
      </c>
      <c r="J16" s="117">
        <v>10</v>
      </c>
      <c r="K16" s="118">
        <f>E16+J16</f>
        <v>2017</v>
      </c>
      <c r="N16" s="119">
        <v>128398.25</v>
      </c>
      <c r="O16" s="120"/>
      <c r="P16" s="115">
        <f t="shared" ref="P16" si="31">N16-N16*G16</f>
        <v>102718.6</v>
      </c>
      <c r="Q16" s="115">
        <f t="shared" ref="Q16" si="32">P16/J16/12</f>
        <v>855.98833333333334</v>
      </c>
      <c r="R16" s="115">
        <f t="shared" ref="R16" si="33">IF(O16&gt;0,0,IF(OR(AD16&gt;AE16,AF16&lt;AG16),0,IF(AND(AF16&gt;=AG16,AF16&lt;=AE16),Q16*((AF16-AG16)*12),IF(AND(AG16&lt;=AD16,AE16&gt;=AD16),((AE16-AD16)*12)*Q16,IF(AF16&gt;AE16,12*Q16,0)))))</f>
        <v>8559.8833333325547</v>
      </c>
      <c r="S16" s="115"/>
      <c r="T16" s="115">
        <f t="shared" ref="T16" si="34">IF(S16&gt;0,S16,R16)</f>
        <v>8559.8833333325547</v>
      </c>
      <c r="U16" s="115">
        <v>1</v>
      </c>
      <c r="V16" s="115">
        <f t="shared" ref="V16" si="35">U16*SUM(R16:S16)</f>
        <v>8559.8833333325547</v>
      </c>
      <c r="W16" s="115"/>
      <c r="X16" s="115">
        <f t="shared" ref="X16" si="36">IF(AD16&gt;AE16,0,IF(AF16&lt;AG16,P16,IF(AND(AF16&gt;=AG16,AF16&lt;=AE16),(P16-T16),IF(AND(AG16&lt;=AD16,AE16&gt;=AD16),0,IF(AF16&gt;AE16,((AG16-AD16)*12)*Q16,0)))))</f>
        <v>94158.716666667446</v>
      </c>
      <c r="Y16" s="115">
        <f t="shared" ref="Y16" si="37">X16*U16</f>
        <v>94158.716666667446</v>
      </c>
      <c r="Z16" s="115">
        <v>1</v>
      </c>
      <c r="AA16" s="115">
        <f t="shared" ref="AA16" si="38">Y16*Z16</f>
        <v>94158.716666667446</v>
      </c>
      <c r="AB16" s="115">
        <f t="shared" ref="AB16" si="39">IF(O16&gt;0,0,AA16+V16*Z16)*Z16</f>
        <v>102718.6</v>
      </c>
      <c r="AC16" s="115">
        <f t="shared" ref="AC16" si="40">IF(O16&gt;0,(N16-AA16)/2,IF(AD16&gt;=AG16,(((N16*U16)*Z16)-AB16)/2,((((N16*U16)*Z16)-AA16)+(((N16*U16)*Z16)-AB16))/2))</f>
        <v>29959.591666666274</v>
      </c>
      <c r="AD16" s="115">
        <f>$E16+(($F16-1)/12)</f>
        <v>2007.8333333333333</v>
      </c>
      <c r="AE16" s="115">
        <f t="shared" si="12"/>
        <v>2018</v>
      </c>
      <c r="AF16" s="115">
        <f>$K16+(($F16-1)/12)</f>
        <v>2017.8333333333333</v>
      </c>
      <c r="AG16" s="115">
        <f t="shared" si="14"/>
        <v>2017</v>
      </c>
      <c r="AH16" s="115">
        <f>$L16+(($M16-1)/12)</f>
        <v>-8.3333333333333329E-2</v>
      </c>
      <c r="AJ16" s="144">
        <f>+IF((AF16-AG16)&gt;3,((N16-P16)/(AF16-AG16)),(N16-P16)/3)</f>
        <v>8559.8833333333314</v>
      </c>
      <c r="AK16" s="144"/>
      <c r="AL16" s="144">
        <f>+AJ16+R16</f>
        <v>17119.766666665884</v>
      </c>
      <c r="AM16" s="144"/>
      <c r="AN16" s="144">
        <f>+IF(AF16&lt;AG16,-AC16,0)</f>
        <v>0</v>
      </c>
      <c r="AO16" s="144"/>
      <c r="AP16" s="144">
        <f>+IF(AF16&gt;AG16,IF(AJ16&gt;0,IF(O16&gt;0,(N16-AA16)/2,IF(AD16&gt;=AG16,(((N16*U16)*Z16)-(AB16+AJ16))/2,((((N16*U16)*Z16)-AA16)+(((N16*U16)*Z16)-(AB16+AJ16)))/2)),0),0)</f>
        <v>25679.649999999609</v>
      </c>
      <c r="AQ16" s="144"/>
      <c r="AR16" s="144">
        <f>+AC16+AN16+(IF(AP16&gt;0,(AP16-AC16),0))</f>
        <v>25679.649999999609</v>
      </c>
    </row>
    <row r="17" spans="1:44" s="109" customFormat="1">
      <c r="A17" s="109" t="s">
        <v>428</v>
      </c>
      <c r="B17" s="110" t="s">
        <v>331</v>
      </c>
      <c r="C17" s="111">
        <v>16</v>
      </c>
      <c r="D17" s="112" t="s">
        <v>429</v>
      </c>
      <c r="E17" s="113">
        <v>2008</v>
      </c>
      <c r="F17" s="110">
        <v>1</v>
      </c>
      <c r="G17" s="114">
        <v>0.2</v>
      </c>
      <c r="H17" s="115"/>
      <c r="I17" s="116" t="s">
        <v>86</v>
      </c>
      <c r="J17" s="117">
        <v>9.11</v>
      </c>
      <c r="K17" s="118">
        <f>E17+J17</f>
        <v>2017.11</v>
      </c>
      <c r="N17" s="119">
        <v>96133.02</v>
      </c>
      <c r="O17" s="120"/>
      <c r="P17" s="115">
        <f t="shared" si="21"/>
        <v>76906.415999999997</v>
      </c>
      <c r="Q17" s="115">
        <f t="shared" si="22"/>
        <v>703.49813391877058</v>
      </c>
      <c r="R17" s="115">
        <f t="shared" ref="R17" si="41">IF(O17&gt;0,0,IF(OR(AD17&gt;AE17,AF17&lt;AG17),0,IF(AND(AF17&gt;=AG17,AF17&lt;=AE17),Q17*((AF17-AG17)*12),IF(AND(AG17&lt;=AD17,AE17&gt;=AD17),((AE17-AD17)*12)*Q17,IF(AF17&gt;AE17,12*Q17,0)))))</f>
        <v>928.61753677193258</v>
      </c>
      <c r="S17" s="115"/>
      <c r="T17" s="115">
        <f t="shared" ref="T17" si="42">IF(S17&gt;0,S17,R17)</f>
        <v>928.61753677193258</v>
      </c>
      <c r="U17" s="115">
        <v>1</v>
      </c>
      <c r="V17" s="115">
        <f t="shared" ref="V17" si="43">U17*SUM(R17:S17)</f>
        <v>928.61753677193258</v>
      </c>
      <c r="W17" s="115"/>
      <c r="X17" s="115">
        <f t="shared" ref="X17" si="44">IF(AD17&gt;AE17,0,IF(AF17&lt;AG17,P17,IF(AND(AF17&gt;=AG17,AF17&lt;=AE17),(P17-T17),IF(AND(AG17&lt;=AD17,AE17&gt;=AD17),0,IF(AF17&gt;AE17,((AG17-AD17)*12)*Q17,0)))))</f>
        <v>75977.798463228071</v>
      </c>
      <c r="Y17" s="115">
        <f t="shared" ref="Y17" si="45">X17*U17</f>
        <v>75977.798463228071</v>
      </c>
      <c r="Z17" s="115">
        <v>1</v>
      </c>
      <c r="AA17" s="115">
        <f t="shared" ref="AA17" si="46">Y17*Z17</f>
        <v>75977.798463228071</v>
      </c>
      <c r="AB17" s="115">
        <f t="shared" ref="AB17" si="47">IF(O17&gt;0,0,AA17+V17*Z17)*Z17</f>
        <v>76906.415999999997</v>
      </c>
      <c r="AC17" s="115">
        <f t="shared" ref="AC17" si="48">IF(O17&gt;0,(N17-AA17)/2,IF(AD17&gt;=AG17,(((N17*U17)*Z17)-AB17)/2,((((N17*U17)*Z17)-AA17)+(((N17*U17)*Z17)-AB17))/2))</f>
        <v>19690.91276838597</v>
      </c>
      <c r="AD17" s="115">
        <f>$E17+(($F17-1)/12)</f>
        <v>2008</v>
      </c>
      <c r="AE17" s="115">
        <f t="shared" si="12"/>
        <v>2018</v>
      </c>
      <c r="AF17" s="115">
        <f>$K17+(($F17-1)/12)</f>
        <v>2017.11</v>
      </c>
      <c r="AG17" s="115">
        <f t="shared" si="14"/>
        <v>2017</v>
      </c>
      <c r="AH17" s="115">
        <f>$L17+(($M17-1)/12)</f>
        <v>-8.3333333333333329E-2</v>
      </c>
      <c r="AJ17" s="144">
        <f t="shared" si="17"/>
        <v>6408.8680000000022</v>
      </c>
      <c r="AK17" s="144"/>
      <c r="AL17" s="144">
        <f t="shared" si="18"/>
        <v>7337.4855367719347</v>
      </c>
      <c r="AM17" s="144"/>
      <c r="AN17" s="144">
        <f t="shared" si="19"/>
        <v>0</v>
      </c>
      <c r="AO17" s="144"/>
      <c r="AP17" s="144">
        <f t="shared" si="20"/>
        <v>16486.478768385969</v>
      </c>
      <c r="AQ17" s="144"/>
      <c r="AR17" s="144">
        <f t="shared" si="16"/>
        <v>16486.478768385969</v>
      </c>
    </row>
    <row r="18" spans="1:44">
      <c r="B18" s="4" t="s">
        <v>2</v>
      </c>
      <c r="D18" s="29" t="s">
        <v>96</v>
      </c>
      <c r="E18" s="3">
        <v>2008</v>
      </c>
      <c r="F18" s="4">
        <v>7</v>
      </c>
      <c r="G18" s="30">
        <v>0.2</v>
      </c>
      <c r="H18" s="7"/>
      <c r="I18" s="14" t="s">
        <v>86</v>
      </c>
      <c r="J18" s="5">
        <v>7</v>
      </c>
      <c r="K18" s="13">
        <f t="shared" si="0"/>
        <v>2015</v>
      </c>
      <c r="N18" s="6">
        <v>4160</v>
      </c>
      <c r="O18" s="31"/>
      <c r="P18" s="7">
        <f t="shared" si="1"/>
        <v>3328</v>
      </c>
      <c r="Q18" s="7">
        <f t="shared" si="2"/>
        <v>39.61904761904762</v>
      </c>
      <c r="R18" s="7">
        <f t="shared" si="3"/>
        <v>0</v>
      </c>
      <c r="S18" s="7"/>
      <c r="T18" s="7">
        <f t="shared" si="4"/>
        <v>0</v>
      </c>
      <c r="U18" s="7">
        <v>1</v>
      </c>
      <c r="V18" s="7">
        <f t="shared" si="5"/>
        <v>0</v>
      </c>
      <c r="W18" s="7"/>
      <c r="X18" s="7">
        <f t="shared" si="6"/>
        <v>3328</v>
      </c>
      <c r="Y18" s="7">
        <f t="shared" si="7"/>
        <v>3328</v>
      </c>
      <c r="Z18" s="7">
        <v>1</v>
      </c>
      <c r="AA18" s="7">
        <f t="shared" si="8"/>
        <v>3328</v>
      </c>
      <c r="AB18" s="7">
        <f t="shared" si="9"/>
        <v>3328</v>
      </c>
      <c r="AC18" s="7">
        <f t="shared" si="10"/>
        <v>832</v>
      </c>
      <c r="AD18" s="7">
        <f t="shared" si="11"/>
        <v>2008.5</v>
      </c>
      <c r="AE18" s="7">
        <f t="shared" si="12"/>
        <v>2018</v>
      </c>
      <c r="AF18" s="7">
        <f t="shared" si="13"/>
        <v>2015.5</v>
      </c>
      <c r="AG18" s="7">
        <f t="shared" si="14"/>
        <v>2017</v>
      </c>
      <c r="AH18" s="7">
        <f t="shared" si="15"/>
        <v>-8.3333333333333329E-2</v>
      </c>
      <c r="AJ18" s="144">
        <f t="shared" si="17"/>
        <v>277.33333333333331</v>
      </c>
      <c r="AL18" s="144">
        <f t="shared" si="18"/>
        <v>277.33333333333331</v>
      </c>
      <c r="AN18" s="144">
        <f t="shared" si="19"/>
        <v>-832</v>
      </c>
      <c r="AP18" s="144">
        <f t="shared" si="20"/>
        <v>0</v>
      </c>
      <c r="AR18" s="144">
        <f t="shared" si="16"/>
        <v>0</v>
      </c>
    </row>
    <row r="19" spans="1:44">
      <c r="B19" s="4" t="s">
        <v>94</v>
      </c>
      <c r="C19" s="1">
        <v>14</v>
      </c>
      <c r="D19" s="29" t="s">
        <v>98</v>
      </c>
      <c r="E19" s="3">
        <v>2009</v>
      </c>
      <c r="F19" s="4">
        <v>3</v>
      </c>
      <c r="G19" s="30">
        <v>0.33</v>
      </c>
      <c r="H19" s="7"/>
      <c r="I19" s="14" t="s">
        <v>86</v>
      </c>
      <c r="J19" s="5">
        <v>5</v>
      </c>
      <c r="K19" s="13">
        <f t="shared" si="0"/>
        <v>2014</v>
      </c>
      <c r="N19" s="6">
        <v>25333.34</v>
      </c>
      <c r="O19" s="31"/>
      <c r="P19" s="7">
        <f t="shared" si="1"/>
        <v>16973.337800000001</v>
      </c>
      <c r="Q19" s="7">
        <f t="shared" si="2"/>
        <v>282.88896333333338</v>
      </c>
      <c r="R19" s="7">
        <f t="shared" si="3"/>
        <v>0</v>
      </c>
      <c r="S19" s="7"/>
      <c r="T19" s="7">
        <f t="shared" si="4"/>
        <v>0</v>
      </c>
      <c r="U19" s="7">
        <v>1</v>
      </c>
      <c r="V19" s="7">
        <f t="shared" si="5"/>
        <v>0</v>
      </c>
      <c r="W19" s="7"/>
      <c r="X19" s="7">
        <f t="shared" si="6"/>
        <v>16973.337800000001</v>
      </c>
      <c r="Y19" s="7">
        <f t="shared" si="7"/>
        <v>16973.337800000001</v>
      </c>
      <c r="Z19" s="7">
        <v>1</v>
      </c>
      <c r="AA19" s="7">
        <f t="shared" si="8"/>
        <v>16973.337800000001</v>
      </c>
      <c r="AB19" s="7">
        <f t="shared" si="9"/>
        <v>16973.337800000001</v>
      </c>
      <c r="AC19" s="7">
        <f t="shared" si="10"/>
        <v>8360.002199999999</v>
      </c>
      <c r="AD19" s="7">
        <f t="shared" si="11"/>
        <v>2009.1666666666667</v>
      </c>
      <c r="AE19" s="7">
        <f t="shared" si="12"/>
        <v>2018</v>
      </c>
      <c r="AF19" s="7">
        <f t="shared" si="13"/>
        <v>2014.1666666666667</v>
      </c>
      <c r="AG19" s="7">
        <f t="shared" si="14"/>
        <v>2017</v>
      </c>
      <c r="AH19" s="7">
        <f t="shared" si="15"/>
        <v>-8.3333333333333329E-2</v>
      </c>
      <c r="AJ19" s="144">
        <f t="shared" si="17"/>
        <v>2786.6673999999998</v>
      </c>
      <c r="AL19" s="144">
        <f t="shared" si="18"/>
        <v>2786.6673999999998</v>
      </c>
      <c r="AN19" s="144">
        <f t="shared" si="19"/>
        <v>-8360.002199999999</v>
      </c>
      <c r="AP19" s="144">
        <f t="shared" si="20"/>
        <v>0</v>
      </c>
      <c r="AR19" s="144">
        <f t="shared" si="16"/>
        <v>0</v>
      </c>
    </row>
    <row r="20" spans="1:44">
      <c r="B20" s="4" t="s">
        <v>99</v>
      </c>
      <c r="C20" s="1">
        <v>31</v>
      </c>
      <c r="D20" s="29" t="s">
        <v>100</v>
      </c>
      <c r="E20" s="3">
        <v>2009</v>
      </c>
      <c r="F20" s="4">
        <v>12</v>
      </c>
      <c r="G20" s="30">
        <v>0.2</v>
      </c>
      <c r="H20" s="7"/>
      <c r="I20" s="14" t="s">
        <v>86</v>
      </c>
      <c r="J20" s="5">
        <v>7</v>
      </c>
      <c r="K20" s="13">
        <f t="shared" si="0"/>
        <v>2016</v>
      </c>
      <c r="N20" s="6">
        <v>143203.54999999999</v>
      </c>
      <c r="O20" s="31"/>
      <c r="P20" s="7">
        <f t="shared" si="1"/>
        <v>114562.84</v>
      </c>
      <c r="Q20" s="7">
        <f t="shared" si="2"/>
        <v>1363.8433333333332</v>
      </c>
      <c r="R20" s="7">
        <f t="shared" si="3"/>
        <v>0</v>
      </c>
      <c r="S20" s="7"/>
      <c r="T20" s="7">
        <f t="shared" si="4"/>
        <v>0</v>
      </c>
      <c r="U20" s="7">
        <v>1</v>
      </c>
      <c r="V20" s="7">
        <f t="shared" si="5"/>
        <v>0</v>
      </c>
      <c r="W20" s="7"/>
      <c r="X20" s="7">
        <f t="shared" si="6"/>
        <v>114562.84</v>
      </c>
      <c r="Y20" s="7">
        <f t="shared" si="7"/>
        <v>114562.84</v>
      </c>
      <c r="Z20" s="7">
        <v>1</v>
      </c>
      <c r="AA20" s="7">
        <f t="shared" si="8"/>
        <v>114562.84</v>
      </c>
      <c r="AB20" s="7">
        <f t="shared" si="9"/>
        <v>114562.84</v>
      </c>
      <c r="AC20" s="7">
        <f t="shared" si="10"/>
        <v>28640.709999999992</v>
      </c>
      <c r="AD20" s="7">
        <f t="shared" si="11"/>
        <v>2009.9166666666667</v>
      </c>
      <c r="AE20" s="7">
        <f t="shared" si="12"/>
        <v>2018</v>
      </c>
      <c r="AF20" s="7">
        <f t="shared" si="13"/>
        <v>2016.9166666666667</v>
      </c>
      <c r="AG20" s="7">
        <f t="shared" si="14"/>
        <v>2017</v>
      </c>
      <c r="AH20" s="7">
        <f t="shared" si="15"/>
        <v>-8.3333333333333329E-2</v>
      </c>
      <c r="AJ20" s="144">
        <f t="shared" si="17"/>
        <v>9546.90333333333</v>
      </c>
      <c r="AL20" s="144">
        <f t="shared" si="18"/>
        <v>9546.90333333333</v>
      </c>
      <c r="AN20" s="144">
        <f t="shared" si="19"/>
        <v>-28640.709999999992</v>
      </c>
      <c r="AP20" s="144">
        <f t="shared" si="20"/>
        <v>0</v>
      </c>
      <c r="AR20" s="144">
        <f t="shared" si="16"/>
        <v>0</v>
      </c>
    </row>
    <row r="21" spans="1:44">
      <c r="B21" s="4" t="s">
        <v>99</v>
      </c>
      <c r="C21" s="1">
        <v>33</v>
      </c>
      <c r="D21" s="29" t="s">
        <v>102</v>
      </c>
      <c r="E21" s="3">
        <v>2009</v>
      </c>
      <c r="F21" s="4">
        <v>12</v>
      </c>
      <c r="G21" s="30">
        <v>0.2</v>
      </c>
      <c r="H21" s="7"/>
      <c r="I21" s="14" t="s">
        <v>86</v>
      </c>
      <c r="J21" s="5">
        <v>7</v>
      </c>
      <c r="K21" s="13">
        <f t="shared" si="0"/>
        <v>2016</v>
      </c>
      <c r="N21" s="6">
        <v>143203.54999999999</v>
      </c>
      <c r="O21" s="31"/>
      <c r="P21" s="7">
        <f t="shared" si="1"/>
        <v>114562.84</v>
      </c>
      <c r="Q21" s="7">
        <f t="shared" si="2"/>
        <v>1363.8433333333332</v>
      </c>
      <c r="R21" s="7">
        <f t="shared" si="3"/>
        <v>0</v>
      </c>
      <c r="S21" s="7"/>
      <c r="T21" s="7">
        <f t="shared" si="4"/>
        <v>0</v>
      </c>
      <c r="U21" s="7">
        <v>1</v>
      </c>
      <c r="V21" s="7">
        <f t="shared" si="5"/>
        <v>0</v>
      </c>
      <c r="W21" s="7"/>
      <c r="X21" s="7">
        <f t="shared" si="6"/>
        <v>114562.84</v>
      </c>
      <c r="Y21" s="7">
        <f t="shared" si="7"/>
        <v>114562.84</v>
      </c>
      <c r="Z21" s="7">
        <v>1</v>
      </c>
      <c r="AA21" s="7">
        <f t="shared" si="8"/>
        <v>114562.84</v>
      </c>
      <c r="AB21" s="7">
        <f t="shared" si="9"/>
        <v>114562.84</v>
      </c>
      <c r="AC21" s="7">
        <f t="shared" si="10"/>
        <v>28640.709999999992</v>
      </c>
      <c r="AD21" s="7">
        <f t="shared" si="11"/>
        <v>2009.9166666666667</v>
      </c>
      <c r="AE21" s="7">
        <f t="shared" si="12"/>
        <v>2018</v>
      </c>
      <c r="AF21" s="7">
        <f t="shared" si="13"/>
        <v>2016.9166666666667</v>
      </c>
      <c r="AG21" s="7">
        <f t="shared" si="14"/>
        <v>2017</v>
      </c>
      <c r="AH21" s="7">
        <f t="shared" si="15"/>
        <v>-8.3333333333333329E-2</v>
      </c>
      <c r="AJ21" s="144">
        <f t="shared" si="17"/>
        <v>9546.90333333333</v>
      </c>
      <c r="AL21" s="144">
        <f t="shared" si="18"/>
        <v>9546.90333333333</v>
      </c>
      <c r="AN21" s="144">
        <f t="shared" si="19"/>
        <v>-28640.709999999992</v>
      </c>
      <c r="AP21" s="144">
        <f t="shared" si="20"/>
        <v>0</v>
      </c>
      <c r="AR21" s="144">
        <f t="shared" si="16"/>
        <v>0</v>
      </c>
    </row>
    <row r="22" spans="1:44">
      <c r="B22" s="4" t="s">
        <v>99</v>
      </c>
      <c r="C22" s="1">
        <v>35</v>
      </c>
      <c r="D22" s="29" t="s">
        <v>104</v>
      </c>
      <c r="E22" s="3">
        <v>2009</v>
      </c>
      <c r="F22" s="4">
        <v>12</v>
      </c>
      <c r="G22" s="30">
        <v>0.2</v>
      </c>
      <c r="H22" s="7"/>
      <c r="I22" s="14" t="s">
        <v>86</v>
      </c>
      <c r="J22" s="5">
        <v>7</v>
      </c>
      <c r="K22" s="13">
        <f t="shared" si="0"/>
        <v>2016</v>
      </c>
      <c r="N22" s="6">
        <v>143203.54999999999</v>
      </c>
      <c r="O22" s="31"/>
      <c r="P22" s="7">
        <f t="shared" si="1"/>
        <v>114562.84</v>
      </c>
      <c r="Q22" s="7">
        <f t="shared" si="2"/>
        <v>1363.8433333333332</v>
      </c>
      <c r="R22" s="7">
        <f t="shared" si="3"/>
        <v>0</v>
      </c>
      <c r="S22" s="7"/>
      <c r="T22" s="7">
        <f t="shared" si="4"/>
        <v>0</v>
      </c>
      <c r="U22" s="7">
        <v>1</v>
      </c>
      <c r="V22" s="7">
        <f t="shared" si="5"/>
        <v>0</v>
      </c>
      <c r="W22" s="7"/>
      <c r="X22" s="7">
        <f t="shared" si="6"/>
        <v>114562.84</v>
      </c>
      <c r="Y22" s="7">
        <f t="shared" si="7"/>
        <v>114562.84</v>
      </c>
      <c r="Z22" s="7">
        <v>1</v>
      </c>
      <c r="AA22" s="7">
        <f t="shared" si="8"/>
        <v>114562.84</v>
      </c>
      <c r="AB22" s="7">
        <f t="shared" si="9"/>
        <v>114562.84</v>
      </c>
      <c r="AC22" s="7">
        <f t="shared" si="10"/>
        <v>28640.709999999992</v>
      </c>
      <c r="AD22" s="7">
        <f t="shared" si="11"/>
        <v>2009.9166666666667</v>
      </c>
      <c r="AE22" s="7">
        <f t="shared" si="12"/>
        <v>2018</v>
      </c>
      <c r="AF22" s="7">
        <f t="shared" si="13"/>
        <v>2016.9166666666667</v>
      </c>
      <c r="AG22" s="7">
        <f t="shared" si="14"/>
        <v>2017</v>
      </c>
      <c r="AH22" s="7">
        <f t="shared" si="15"/>
        <v>-8.3333333333333329E-2</v>
      </c>
      <c r="AJ22" s="144">
        <f t="shared" si="17"/>
        <v>9546.90333333333</v>
      </c>
      <c r="AL22" s="144">
        <f t="shared" si="18"/>
        <v>9546.90333333333</v>
      </c>
      <c r="AN22" s="144">
        <f t="shared" si="19"/>
        <v>-28640.709999999992</v>
      </c>
      <c r="AP22" s="144">
        <f t="shared" si="20"/>
        <v>0</v>
      </c>
      <c r="AR22" s="144">
        <f t="shared" si="16"/>
        <v>0</v>
      </c>
    </row>
    <row r="23" spans="1:44">
      <c r="B23" s="4" t="s">
        <v>99</v>
      </c>
      <c r="C23" s="1">
        <v>36</v>
      </c>
      <c r="D23" s="29" t="s">
        <v>105</v>
      </c>
      <c r="E23" s="3">
        <v>2009</v>
      </c>
      <c r="F23" s="4">
        <v>12</v>
      </c>
      <c r="G23" s="30">
        <v>0.2</v>
      </c>
      <c r="H23" s="7"/>
      <c r="I23" s="14" t="s">
        <v>86</v>
      </c>
      <c r="J23" s="5">
        <v>7</v>
      </c>
      <c r="K23" s="13">
        <f t="shared" si="0"/>
        <v>2016</v>
      </c>
      <c r="N23" s="6">
        <v>135051.04999999999</v>
      </c>
      <c r="O23" s="31"/>
      <c r="P23" s="7">
        <f t="shared" si="1"/>
        <v>108040.84</v>
      </c>
      <c r="Q23" s="7">
        <f t="shared" si="2"/>
        <v>1286.2004761904761</v>
      </c>
      <c r="R23" s="7">
        <f t="shared" si="3"/>
        <v>0</v>
      </c>
      <c r="S23" s="7"/>
      <c r="T23" s="7">
        <f t="shared" si="4"/>
        <v>0</v>
      </c>
      <c r="U23" s="7">
        <v>1</v>
      </c>
      <c r="V23" s="7">
        <f t="shared" si="5"/>
        <v>0</v>
      </c>
      <c r="W23" s="7"/>
      <c r="X23" s="7">
        <f t="shared" si="6"/>
        <v>108040.84</v>
      </c>
      <c r="Y23" s="7">
        <f t="shared" si="7"/>
        <v>108040.84</v>
      </c>
      <c r="Z23" s="7">
        <v>1</v>
      </c>
      <c r="AA23" s="7">
        <f t="shared" si="8"/>
        <v>108040.84</v>
      </c>
      <c r="AB23" s="7">
        <f t="shared" si="9"/>
        <v>108040.84</v>
      </c>
      <c r="AC23" s="7">
        <f t="shared" si="10"/>
        <v>27010.209999999992</v>
      </c>
      <c r="AD23" s="7">
        <f t="shared" si="11"/>
        <v>2009.9166666666667</v>
      </c>
      <c r="AE23" s="7">
        <f t="shared" si="12"/>
        <v>2018</v>
      </c>
      <c r="AF23" s="7">
        <f t="shared" si="13"/>
        <v>2016.9166666666667</v>
      </c>
      <c r="AG23" s="7">
        <f t="shared" si="14"/>
        <v>2017</v>
      </c>
      <c r="AH23" s="7">
        <f t="shared" si="15"/>
        <v>-8.3333333333333329E-2</v>
      </c>
      <c r="AJ23" s="144">
        <f t="shared" si="17"/>
        <v>9003.40333333333</v>
      </c>
      <c r="AL23" s="144">
        <f t="shared" si="18"/>
        <v>9003.40333333333</v>
      </c>
      <c r="AN23" s="144">
        <f t="shared" si="19"/>
        <v>-27010.209999999992</v>
      </c>
      <c r="AP23" s="144">
        <f t="shared" si="20"/>
        <v>0</v>
      </c>
      <c r="AR23" s="144">
        <f t="shared" si="16"/>
        <v>0</v>
      </c>
    </row>
    <row r="24" spans="1:44">
      <c r="B24" s="4" t="s">
        <v>2</v>
      </c>
      <c r="C24" s="1">
        <v>11</v>
      </c>
      <c r="D24" s="29" t="s">
        <v>106</v>
      </c>
      <c r="E24" s="3">
        <v>2010</v>
      </c>
      <c r="F24" s="4">
        <v>3</v>
      </c>
      <c r="G24" s="30">
        <v>0.2</v>
      </c>
      <c r="H24" s="7"/>
      <c r="I24" s="14" t="s">
        <v>86</v>
      </c>
      <c r="J24" s="5">
        <v>7</v>
      </c>
      <c r="K24" s="13">
        <f t="shared" si="0"/>
        <v>2017</v>
      </c>
      <c r="N24" s="6">
        <f>17074-7760.9</f>
        <v>9313.1</v>
      </c>
      <c r="O24" s="31"/>
      <c r="P24" s="7">
        <f t="shared" si="1"/>
        <v>7450.4800000000005</v>
      </c>
      <c r="Q24" s="7">
        <f t="shared" si="2"/>
        <v>88.696190476190495</v>
      </c>
      <c r="R24" s="7">
        <f t="shared" si="3"/>
        <v>177.39238095246165</v>
      </c>
      <c r="S24" s="7"/>
      <c r="T24" s="7">
        <f t="shared" si="4"/>
        <v>177.39238095246165</v>
      </c>
      <c r="U24" s="7">
        <v>1</v>
      </c>
      <c r="V24" s="7">
        <f t="shared" si="5"/>
        <v>177.39238095246165</v>
      </c>
      <c r="W24" s="7"/>
      <c r="X24" s="7">
        <f t="shared" si="6"/>
        <v>7273.0876190475392</v>
      </c>
      <c r="Y24" s="7">
        <f t="shared" si="7"/>
        <v>7273.0876190475392</v>
      </c>
      <c r="Z24" s="7">
        <v>1</v>
      </c>
      <c r="AA24" s="7">
        <f t="shared" si="8"/>
        <v>7273.0876190475392</v>
      </c>
      <c r="AB24" s="7">
        <f t="shared" si="9"/>
        <v>7450.4800000000005</v>
      </c>
      <c r="AC24" s="7">
        <f t="shared" si="10"/>
        <v>1951.3161904762305</v>
      </c>
      <c r="AD24" s="7">
        <f t="shared" si="11"/>
        <v>2010.1666666666667</v>
      </c>
      <c r="AE24" s="7">
        <f t="shared" si="12"/>
        <v>2018</v>
      </c>
      <c r="AF24" s="7">
        <f t="shared" si="13"/>
        <v>2017.1666666666667</v>
      </c>
      <c r="AG24" s="7">
        <f t="shared" si="14"/>
        <v>2017</v>
      </c>
      <c r="AH24" s="7">
        <f t="shared" si="15"/>
        <v>-8.3333333333333329E-2</v>
      </c>
      <c r="AJ24" s="144">
        <f t="shared" si="17"/>
        <v>620.87333333333333</v>
      </c>
      <c r="AL24" s="144">
        <f t="shared" si="18"/>
        <v>798.26571428579496</v>
      </c>
      <c r="AN24" s="144">
        <f t="shared" si="19"/>
        <v>0</v>
      </c>
      <c r="AP24" s="144">
        <f t="shared" si="20"/>
        <v>1640.879523809564</v>
      </c>
      <c r="AR24" s="144">
        <f t="shared" si="16"/>
        <v>1640.879523809564</v>
      </c>
    </row>
    <row r="25" spans="1:44">
      <c r="A25" s="1">
        <v>95491</v>
      </c>
      <c r="B25" s="4" t="s">
        <v>2</v>
      </c>
      <c r="C25" s="32"/>
      <c r="D25" s="29" t="s">
        <v>290</v>
      </c>
      <c r="E25" s="3">
        <v>2012</v>
      </c>
      <c r="F25" s="4">
        <v>7</v>
      </c>
      <c r="G25" s="30">
        <v>0.2</v>
      </c>
      <c r="H25" s="7"/>
      <c r="I25" s="14" t="s">
        <v>86</v>
      </c>
      <c r="J25" s="5">
        <v>7</v>
      </c>
      <c r="K25" s="13">
        <f t="shared" si="0"/>
        <v>2019</v>
      </c>
      <c r="N25" s="6">
        <f>595*2</f>
        <v>1190</v>
      </c>
      <c r="O25" s="31"/>
      <c r="P25" s="7">
        <f t="shared" si="1"/>
        <v>952</v>
      </c>
      <c r="Q25" s="7">
        <f t="shared" si="2"/>
        <v>11.333333333333334</v>
      </c>
      <c r="R25" s="7">
        <f t="shared" si="3"/>
        <v>136</v>
      </c>
      <c r="S25" s="7"/>
      <c r="T25" s="7">
        <f t="shared" si="4"/>
        <v>136</v>
      </c>
      <c r="U25" s="7">
        <v>1</v>
      </c>
      <c r="V25" s="7">
        <f t="shared" si="5"/>
        <v>136</v>
      </c>
      <c r="W25" s="7"/>
      <c r="X25" s="7">
        <f t="shared" si="6"/>
        <v>612</v>
      </c>
      <c r="Y25" s="7">
        <f t="shared" si="7"/>
        <v>612</v>
      </c>
      <c r="Z25" s="7">
        <v>1</v>
      </c>
      <c r="AA25" s="7">
        <f t="shared" si="8"/>
        <v>612</v>
      </c>
      <c r="AB25" s="7">
        <f t="shared" si="9"/>
        <v>748</v>
      </c>
      <c r="AC25" s="7">
        <f t="shared" si="10"/>
        <v>510</v>
      </c>
      <c r="AD25" s="7">
        <f t="shared" si="11"/>
        <v>2012.5</v>
      </c>
      <c r="AE25" s="7">
        <f t="shared" si="12"/>
        <v>2018</v>
      </c>
      <c r="AF25" s="7">
        <f t="shared" si="13"/>
        <v>2019.5</v>
      </c>
      <c r="AG25" s="7">
        <f t="shared" si="14"/>
        <v>2017</v>
      </c>
      <c r="AH25" s="7">
        <f t="shared" si="15"/>
        <v>-8.3333333333333329E-2</v>
      </c>
      <c r="AJ25" s="144">
        <f t="shared" si="17"/>
        <v>79.333333333333329</v>
      </c>
      <c r="AL25" s="144">
        <f t="shared" si="18"/>
        <v>215.33333333333331</v>
      </c>
      <c r="AN25" s="144">
        <f t="shared" si="19"/>
        <v>0</v>
      </c>
      <c r="AP25" s="144">
        <f t="shared" si="20"/>
        <v>470.33333333333331</v>
      </c>
      <c r="AR25" s="144">
        <f t="shared" si="16"/>
        <v>470.33333333333331</v>
      </c>
    </row>
    <row r="26" spans="1:44">
      <c r="A26" s="1" t="s">
        <v>307</v>
      </c>
      <c r="B26" s="4" t="s">
        <v>303</v>
      </c>
      <c r="C26" s="32">
        <v>4</v>
      </c>
      <c r="D26" s="29" t="s">
        <v>306</v>
      </c>
      <c r="E26" s="3">
        <v>2013</v>
      </c>
      <c r="F26" s="4">
        <v>12</v>
      </c>
      <c r="G26" s="30">
        <v>0.33</v>
      </c>
      <c r="H26" s="7"/>
      <c r="I26" s="14" t="s">
        <v>86</v>
      </c>
      <c r="J26" s="5">
        <v>5</v>
      </c>
      <c r="K26" s="13">
        <f t="shared" si="0"/>
        <v>2018</v>
      </c>
      <c r="N26" s="6">
        <f>9990.93+8711.3+1183.08</f>
        <v>19885.309999999998</v>
      </c>
      <c r="O26" s="31"/>
      <c r="P26" s="7">
        <f t="shared" si="1"/>
        <v>13323.157699999998</v>
      </c>
      <c r="Q26" s="7">
        <f t="shared" si="2"/>
        <v>222.05262833333327</v>
      </c>
      <c r="R26" s="7">
        <f t="shared" ref="R26" si="49">IF(O26&gt;0,0,IF(OR(AD26&gt;AE26,AF26&lt;AG26),0,IF(AND(AF26&gt;=AG26,AF26&lt;=AE26),Q26*((AF26-AG26)*12),IF(AND(AG26&lt;=AD26,AE26&gt;=AD26),((AE26-AD26)*12)*Q26,IF(AF26&gt;AE26,12*Q26,0)))))</f>
        <v>2664.6315399999994</v>
      </c>
      <c r="S26" s="7"/>
      <c r="T26" s="7">
        <f t="shared" ref="T26" si="50">IF(S26&gt;0,S26,R26)</f>
        <v>2664.6315399999994</v>
      </c>
      <c r="U26" s="7">
        <v>1</v>
      </c>
      <c r="V26" s="7">
        <f t="shared" ref="V26" si="51">U26*SUM(R26:S26)</f>
        <v>2664.6315399999994</v>
      </c>
      <c r="W26" s="7"/>
      <c r="X26" s="7">
        <f t="shared" ref="X26" si="52">IF(AD26&gt;AE26,0,IF(AF26&lt;AG26,P26,IF(AND(AF26&gt;=AG26,AF26&lt;=AE26),(P26-T26),IF(AND(AG26&lt;=AD26,AE26&gt;=AD26),0,IF(AF26&gt;AE26,((AG26-AD26)*12)*Q26,0)))))</f>
        <v>8215.9472483331283</v>
      </c>
      <c r="Y26" s="7">
        <f t="shared" ref="Y26" si="53">X26*U26</f>
        <v>8215.9472483331283</v>
      </c>
      <c r="Z26" s="7">
        <v>1</v>
      </c>
      <c r="AA26" s="7">
        <f t="shared" ref="AA26" si="54">Y26*Z26</f>
        <v>8215.9472483331283</v>
      </c>
      <c r="AB26" s="7">
        <f t="shared" ref="AB26" si="55">IF(O26&gt;0,0,AA26+V26*Z26)*Z26</f>
        <v>10880.578788333129</v>
      </c>
      <c r="AC26" s="7">
        <f t="shared" ref="AC26" si="56">IF(O26&gt;0,(N26-AA26)/2,IF(AD26&gt;=AG26,(((N26*U26)*Z26)-AB26)/2,((((N26*U26)*Z26)-AA26)+(((N26*U26)*Z26)-AB26))/2))</f>
        <v>10337.04698166687</v>
      </c>
      <c r="AD26" s="7">
        <f t="shared" si="11"/>
        <v>2013.9166666666667</v>
      </c>
      <c r="AE26" s="7">
        <f t="shared" si="12"/>
        <v>2018</v>
      </c>
      <c r="AF26" s="7">
        <f t="shared" si="13"/>
        <v>2018.9166666666667</v>
      </c>
      <c r="AG26" s="7">
        <f t="shared" si="14"/>
        <v>2017</v>
      </c>
      <c r="AH26" s="7">
        <f t="shared" si="15"/>
        <v>-8.3333333333333329E-2</v>
      </c>
      <c r="AJ26" s="144">
        <f t="shared" si="17"/>
        <v>2187.3840999999998</v>
      </c>
      <c r="AL26" s="144">
        <f t="shared" si="18"/>
        <v>4852.0156399999996</v>
      </c>
      <c r="AN26" s="144">
        <f t="shared" si="19"/>
        <v>0</v>
      </c>
      <c r="AP26" s="144">
        <f t="shared" si="20"/>
        <v>9243.3549316668687</v>
      </c>
      <c r="AR26" s="144">
        <f t="shared" si="16"/>
        <v>9243.3549316668687</v>
      </c>
    </row>
    <row r="27" spans="1:44">
      <c r="A27" s="1">
        <v>117318</v>
      </c>
      <c r="B27" s="4" t="s">
        <v>318</v>
      </c>
      <c r="C27" s="32">
        <v>30</v>
      </c>
      <c r="D27" s="29" t="s">
        <v>319</v>
      </c>
      <c r="E27" s="3">
        <v>2014</v>
      </c>
      <c r="F27" s="4">
        <v>11</v>
      </c>
      <c r="G27" s="30">
        <v>0.2</v>
      </c>
      <c r="H27" s="7"/>
      <c r="I27" s="14" t="s">
        <v>86</v>
      </c>
      <c r="J27" s="5">
        <v>7</v>
      </c>
      <c r="K27" s="13">
        <f t="shared" si="0"/>
        <v>2021</v>
      </c>
      <c r="N27" s="6">
        <v>207432.32000000001</v>
      </c>
      <c r="O27" s="31"/>
      <c r="P27" s="7">
        <f t="shared" ref="P27" si="57">N27-N27*G27</f>
        <v>165945.856</v>
      </c>
      <c r="Q27" s="7">
        <f t="shared" ref="Q27" si="58">P27/J27/12</f>
        <v>1975.5459047619049</v>
      </c>
      <c r="R27" s="7">
        <f t="shared" ref="R27" si="59">IF(O27&gt;0,0,IF(OR(AD27&gt;AE27,AF27&lt;AG27),0,IF(AND(AF27&gt;=AG27,AF27&lt;=AE27),Q27*((AF27-AG27)*12),IF(AND(AG27&lt;=AD27,AE27&gt;=AD27),((AE27-AD27)*12)*Q27,IF(AF27&gt;AE27,12*Q27,0)))))</f>
        <v>23706.550857142858</v>
      </c>
      <c r="S27" s="7"/>
      <c r="T27" s="7">
        <f t="shared" ref="T27" si="60">IF(S27&gt;0,S27,R27)</f>
        <v>23706.550857142858</v>
      </c>
      <c r="U27" s="7">
        <v>1</v>
      </c>
      <c r="V27" s="7">
        <f t="shared" ref="V27" si="61">U27*SUM(R27:S27)</f>
        <v>23706.550857142858</v>
      </c>
      <c r="W27" s="7"/>
      <c r="X27" s="7">
        <f t="shared" ref="X27" si="62">IF(AD27&gt;AE27,0,IF(AF27&lt;AG27,P27,IF(AND(AF27&gt;=AG27,AF27&lt;=AE27),(P27-T27),IF(AND(AG27&lt;=AD27,AE27&gt;=AD27),0,IF(AF27&gt;AE27,((AG27-AD27)*12)*Q27,0)))))</f>
        <v>51364.193523811322</v>
      </c>
      <c r="Y27" s="7">
        <f t="shared" ref="Y27" si="63">X27*U27</f>
        <v>51364.193523811322</v>
      </c>
      <c r="Z27" s="7">
        <v>1</v>
      </c>
      <c r="AA27" s="7">
        <f t="shared" ref="AA27" si="64">Y27*Z27</f>
        <v>51364.193523811322</v>
      </c>
      <c r="AB27" s="7">
        <f t="shared" ref="AB27" si="65">IF(O27&gt;0,0,AA27+V27*Z27)*Z27</f>
        <v>75070.744380954187</v>
      </c>
      <c r="AC27" s="7">
        <f t="shared" ref="AC27" si="66">IF(O27&gt;0,(N27-AA27)/2,IF(AD27&gt;=AG27,(((N27*U27)*Z27)-AB27)/2,((((N27*U27)*Z27)-AA27)+(((N27*U27)*Z27)-AB27))/2))</f>
        <v>144214.85104761727</v>
      </c>
      <c r="AD27" s="7">
        <f t="shared" si="11"/>
        <v>2014.8333333333333</v>
      </c>
      <c r="AE27" s="7">
        <f t="shared" si="12"/>
        <v>2018</v>
      </c>
      <c r="AF27" s="7">
        <f t="shared" si="13"/>
        <v>2021.8333333333333</v>
      </c>
      <c r="AG27" s="7">
        <f t="shared" si="14"/>
        <v>2017</v>
      </c>
      <c r="AH27" s="7">
        <f t="shared" si="15"/>
        <v>-8.3333333333333329E-2</v>
      </c>
      <c r="AJ27" s="144">
        <f t="shared" si="17"/>
        <v>8583.4063448277229</v>
      </c>
      <c r="AL27" s="144">
        <f t="shared" si="18"/>
        <v>32289.957201970581</v>
      </c>
      <c r="AN27" s="144">
        <f t="shared" si="19"/>
        <v>0</v>
      </c>
      <c r="AP27" s="144">
        <f t="shared" si="20"/>
        <v>139923.1478752034</v>
      </c>
      <c r="AR27" s="144">
        <f t="shared" si="16"/>
        <v>139923.1478752034</v>
      </c>
    </row>
    <row r="28" spans="1:44">
      <c r="A28" s="1" t="s">
        <v>330</v>
      </c>
      <c r="B28" s="4" t="s">
        <v>331</v>
      </c>
      <c r="C28" s="32">
        <v>12</v>
      </c>
      <c r="D28" s="29" t="s">
        <v>332</v>
      </c>
      <c r="E28" s="3">
        <v>2015</v>
      </c>
      <c r="F28" s="4">
        <v>6</v>
      </c>
      <c r="G28" s="30">
        <v>0.2</v>
      </c>
      <c r="H28" s="7"/>
      <c r="I28" s="14" t="s">
        <v>86</v>
      </c>
      <c r="J28" s="5">
        <v>7</v>
      </c>
      <c r="K28" s="13">
        <f t="shared" si="0"/>
        <v>2022</v>
      </c>
      <c r="N28" s="6">
        <f>313311.01+882</f>
        <v>314193.01</v>
      </c>
      <c r="O28" s="31"/>
      <c r="P28" s="7">
        <f t="shared" ref="P28" si="67">N28-N28*G28</f>
        <v>251354.408</v>
      </c>
      <c r="Q28" s="7">
        <f t="shared" ref="Q28" si="68">P28/J28/12</f>
        <v>2992.3143809523808</v>
      </c>
      <c r="R28" s="7">
        <f t="shared" ref="R28" si="69">IF(O28&gt;0,0,IF(OR(AD28&gt;AE28,AF28&lt;AG28),0,IF(AND(AF28&gt;=AG28,AF28&lt;=AE28),Q28*((AF28-AG28)*12),IF(AND(AG28&lt;=AD28,AE28&gt;=AD28),((AE28-AD28)*12)*Q28,IF(AF28&gt;AE28,12*Q28,0)))))</f>
        <v>35907.77257142857</v>
      </c>
      <c r="S28" s="7"/>
      <c r="T28" s="7">
        <f t="shared" ref="T28" si="70">IF(S28&gt;0,S28,R28)</f>
        <v>35907.77257142857</v>
      </c>
      <c r="U28" s="7">
        <v>1</v>
      </c>
      <c r="V28" s="7">
        <f t="shared" ref="V28" si="71">U28*SUM(R28:S28)</f>
        <v>35907.77257142857</v>
      </c>
      <c r="W28" s="7"/>
      <c r="X28" s="7">
        <f t="shared" ref="X28" si="72">IF(AD28&gt;AE28,0,IF(AF28&lt;AG28,P28,IF(AND(AF28&gt;=AG28,AF28&lt;=AE28),(P28-T28),IF(AND(AG28&lt;=AD28,AE28&gt;=AD28),0,IF(AF28&gt;AE28,((AG28-AD28)*12)*Q28,0)))))</f>
        <v>56853.973238092512</v>
      </c>
      <c r="Y28" s="7">
        <f t="shared" ref="Y28" si="73">X28*U28</f>
        <v>56853.973238092512</v>
      </c>
      <c r="Z28" s="7">
        <v>1</v>
      </c>
      <c r="AA28" s="7">
        <f t="shared" ref="AA28" si="74">Y28*Z28</f>
        <v>56853.973238092512</v>
      </c>
      <c r="AB28" s="7">
        <f t="shared" ref="AB28" si="75">IF(O28&gt;0,0,AA28+V28*Z28)*Z28</f>
        <v>92761.74580952109</v>
      </c>
      <c r="AC28" s="7">
        <f t="shared" ref="AC28" si="76">IF(O28&gt;0,(N28-AA28)/2,IF(AD28&gt;=AG28,(((N28*U28)*Z28)-AB28)/2,((((N28*U28)*Z28)-AA28)+(((N28*U28)*Z28)-AB28))/2))</f>
        <v>239385.15047619323</v>
      </c>
      <c r="AD28" s="7">
        <f t="shared" si="11"/>
        <v>2015.4166666666667</v>
      </c>
      <c r="AE28" s="7">
        <f t="shared" si="12"/>
        <v>2018</v>
      </c>
      <c r="AF28" s="7">
        <f t="shared" si="13"/>
        <v>2022.4166666666667</v>
      </c>
      <c r="AG28" s="7">
        <f t="shared" si="14"/>
        <v>2017</v>
      </c>
      <c r="AH28" s="7">
        <f t="shared" si="15"/>
        <v>-8.3333333333333329E-2</v>
      </c>
      <c r="AJ28" s="144">
        <f t="shared" si="17"/>
        <v>11600.972676922916</v>
      </c>
      <c r="AL28" s="144">
        <f t="shared" si="18"/>
        <v>47508.745248351486</v>
      </c>
      <c r="AN28" s="144">
        <f t="shared" si="19"/>
        <v>0</v>
      </c>
      <c r="AP28" s="144">
        <f t="shared" si="20"/>
        <v>233584.66413773177</v>
      </c>
      <c r="AR28" s="144">
        <f t="shared" si="16"/>
        <v>233584.66413773177</v>
      </c>
    </row>
    <row r="29" spans="1:44">
      <c r="A29" s="1" t="s">
        <v>333</v>
      </c>
      <c r="B29" s="4" t="s">
        <v>331</v>
      </c>
      <c r="C29" s="32">
        <v>15</v>
      </c>
      <c r="D29" s="29" t="s">
        <v>334</v>
      </c>
      <c r="E29" s="3">
        <v>2015</v>
      </c>
      <c r="F29" s="4">
        <v>9</v>
      </c>
      <c r="G29" s="30">
        <v>0.33</v>
      </c>
      <c r="H29" s="7"/>
      <c r="I29" s="14" t="s">
        <v>86</v>
      </c>
      <c r="J29" s="5">
        <v>5</v>
      </c>
      <c r="K29" s="13">
        <f t="shared" si="0"/>
        <v>2020</v>
      </c>
      <c r="N29" s="6">
        <f>3255+500</f>
        <v>3755</v>
      </c>
      <c r="O29" s="31"/>
      <c r="P29" s="7">
        <f t="shared" ref="P29:P31" si="77">N29-N29*G29</f>
        <v>2515.85</v>
      </c>
      <c r="Q29" s="7">
        <f t="shared" ref="Q29:Q31" si="78">P29/J29/12</f>
        <v>41.930833333333332</v>
      </c>
      <c r="R29" s="7">
        <f t="shared" ref="R29:R31" si="79">IF(O29&gt;0,0,IF(OR(AD29&gt;AE29,AF29&lt;AG29),0,IF(AND(AF29&gt;=AG29,AF29&lt;=AE29),Q29*((AF29-AG29)*12),IF(AND(AG29&lt;=AD29,AE29&gt;=AD29),((AE29-AD29)*12)*Q29,IF(AF29&gt;AE29,12*Q29,0)))))</f>
        <v>503.16999999999996</v>
      </c>
      <c r="S29" s="7"/>
      <c r="T29" s="7">
        <f t="shared" ref="T29:T31" si="80">IF(S29&gt;0,S29,R29)</f>
        <v>503.16999999999996</v>
      </c>
      <c r="U29" s="7">
        <v>1</v>
      </c>
      <c r="V29" s="7">
        <f t="shared" ref="V29:V31" si="81">U29*SUM(R29:S29)</f>
        <v>503.16999999999996</v>
      </c>
      <c r="W29" s="7"/>
      <c r="X29" s="7">
        <f t="shared" ref="X29:X31" si="82">IF(AD29&gt;AE29,0,IF(AF29&lt;AG29,P29,IF(AND(AF29&gt;=AG29,AF29&lt;=AE29),(P29-T29),IF(AND(AG29&lt;=AD29,AE29&gt;=AD29),0,IF(AF29&gt;AE29,((AG29-AD29)*12)*Q29,0)))))</f>
        <v>670.89333333329523</v>
      </c>
      <c r="Y29" s="7">
        <f t="shared" ref="Y29:Y31" si="83">X29*U29</f>
        <v>670.89333333329523</v>
      </c>
      <c r="Z29" s="7">
        <v>1</v>
      </c>
      <c r="AA29" s="7">
        <f t="shared" ref="AA29:AA31" si="84">Y29*Z29</f>
        <v>670.89333333329523</v>
      </c>
      <c r="AB29" s="7">
        <f t="shared" ref="AB29:AB31" si="85">IF(O29&gt;0,0,AA29+V29*Z29)*Z29</f>
        <v>1174.0633333332953</v>
      </c>
      <c r="AC29" s="7">
        <f t="shared" ref="AC29:AC31" si="86">IF(O29&gt;0,(N29-AA29)/2,IF(AD29&gt;=AG29,(((N29*U29)*Z29)-AB29)/2,((((N29*U29)*Z29)-AA29)+(((N29*U29)*Z29)-AB29))/2))</f>
        <v>2832.5216666667047</v>
      </c>
      <c r="AD29" s="7">
        <f t="shared" si="11"/>
        <v>2015.6666666666667</v>
      </c>
      <c r="AE29" s="7">
        <f t="shared" si="12"/>
        <v>2018</v>
      </c>
      <c r="AF29" s="7">
        <f t="shared" si="13"/>
        <v>2020.6666666666667</v>
      </c>
      <c r="AG29" s="7">
        <f t="shared" si="14"/>
        <v>2017</v>
      </c>
      <c r="AH29" s="7">
        <f t="shared" si="15"/>
        <v>-8.3333333333333329E-2</v>
      </c>
      <c r="AJ29" s="144">
        <f t="shared" si="17"/>
        <v>337.94999999999305</v>
      </c>
      <c r="AL29" s="144">
        <f t="shared" si="18"/>
        <v>841.11999999999307</v>
      </c>
      <c r="AN29" s="144">
        <f t="shared" si="19"/>
        <v>0</v>
      </c>
      <c r="AP29" s="144">
        <f t="shared" si="20"/>
        <v>2663.546666666708</v>
      </c>
      <c r="AR29" s="144">
        <f t="shared" si="16"/>
        <v>2663.546666666708</v>
      </c>
    </row>
    <row r="30" spans="1:44">
      <c r="A30" s="1">
        <v>131544</v>
      </c>
      <c r="B30" s="4"/>
      <c r="C30" s="32"/>
      <c r="D30" s="29" t="s">
        <v>340</v>
      </c>
      <c r="E30" s="3">
        <v>2016</v>
      </c>
      <c r="F30" s="4">
        <v>3</v>
      </c>
      <c r="G30" s="30">
        <v>0</v>
      </c>
      <c r="H30" s="7"/>
      <c r="I30" s="14" t="s">
        <v>86</v>
      </c>
      <c r="J30" s="5">
        <v>1</v>
      </c>
      <c r="K30" s="13">
        <f t="shared" si="0"/>
        <v>2017</v>
      </c>
      <c r="N30" s="33">
        <f>5975.04/24*14</f>
        <v>3485.44</v>
      </c>
      <c r="O30" s="31"/>
      <c r="P30" s="7">
        <f t="shared" si="77"/>
        <v>3485.44</v>
      </c>
      <c r="Q30" s="7">
        <f t="shared" si="78"/>
        <v>290.45333333333332</v>
      </c>
      <c r="R30" s="7">
        <f t="shared" si="79"/>
        <v>580.90666666693085</v>
      </c>
      <c r="S30" s="7"/>
      <c r="T30" s="7">
        <f t="shared" si="80"/>
        <v>580.90666666693085</v>
      </c>
      <c r="U30" s="7">
        <v>1</v>
      </c>
      <c r="V30" s="7">
        <f t="shared" si="81"/>
        <v>580.90666666693085</v>
      </c>
      <c r="W30" s="7"/>
      <c r="X30" s="7">
        <f t="shared" si="82"/>
        <v>2904.5333333330691</v>
      </c>
      <c r="Y30" s="7">
        <f t="shared" si="83"/>
        <v>2904.5333333330691</v>
      </c>
      <c r="Z30" s="7">
        <v>1</v>
      </c>
      <c r="AA30" s="7">
        <f t="shared" si="84"/>
        <v>2904.5333333330691</v>
      </c>
      <c r="AB30" s="7">
        <f t="shared" si="85"/>
        <v>3485.44</v>
      </c>
      <c r="AC30" s="7">
        <f t="shared" si="86"/>
        <v>290.45333333346548</v>
      </c>
      <c r="AD30" s="7">
        <f t="shared" si="11"/>
        <v>2016.1666666666667</v>
      </c>
      <c r="AE30" s="7">
        <f t="shared" si="12"/>
        <v>2018</v>
      </c>
      <c r="AF30" s="7">
        <f t="shared" si="13"/>
        <v>2017.1666666666667</v>
      </c>
      <c r="AG30" s="7">
        <f t="shared" si="14"/>
        <v>2017</v>
      </c>
      <c r="AH30" s="7">
        <f t="shared" si="15"/>
        <v>-8.3333333333333329E-2</v>
      </c>
      <c r="AJ30" s="144">
        <f t="shared" si="17"/>
        <v>0</v>
      </c>
      <c r="AL30" s="144">
        <f t="shared" si="18"/>
        <v>580.90666666693085</v>
      </c>
      <c r="AN30" s="144">
        <f t="shared" si="19"/>
        <v>0</v>
      </c>
      <c r="AP30" s="144">
        <f t="shared" si="20"/>
        <v>0</v>
      </c>
      <c r="AR30" s="144">
        <f t="shared" si="16"/>
        <v>290.45333333346548</v>
      </c>
    </row>
    <row r="31" spans="1:44">
      <c r="A31" s="1">
        <v>165805</v>
      </c>
      <c r="B31" s="4"/>
      <c r="C31" s="32"/>
      <c r="D31" s="29" t="s">
        <v>348</v>
      </c>
      <c r="E31" s="3">
        <v>2016</v>
      </c>
      <c r="F31" s="4">
        <v>6</v>
      </c>
      <c r="G31" s="30">
        <v>0</v>
      </c>
      <c r="H31" s="7"/>
      <c r="I31" s="14" t="s">
        <v>86</v>
      </c>
      <c r="J31" s="5">
        <v>1</v>
      </c>
      <c r="K31" s="13">
        <f t="shared" si="0"/>
        <v>2017</v>
      </c>
      <c r="N31" s="33">
        <f>6255.46/30*20</f>
        <v>4170.3066666666664</v>
      </c>
      <c r="O31" s="31"/>
      <c r="P31" s="7">
        <f t="shared" si="77"/>
        <v>4170.3066666666664</v>
      </c>
      <c r="Q31" s="7">
        <f t="shared" si="78"/>
        <v>347.52555555555551</v>
      </c>
      <c r="R31" s="7">
        <f t="shared" si="79"/>
        <v>1737.6277777780936</v>
      </c>
      <c r="S31" s="7"/>
      <c r="T31" s="7">
        <f t="shared" si="80"/>
        <v>1737.6277777780936</v>
      </c>
      <c r="U31" s="7">
        <v>1</v>
      </c>
      <c r="V31" s="7">
        <f t="shared" si="81"/>
        <v>1737.6277777780936</v>
      </c>
      <c r="W31" s="7"/>
      <c r="X31" s="7">
        <f t="shared" si="82"/>
        <v>2432.6788888885731</v>
      </c>
      <c r="Y31" s="7">
        <f t="shared" si="83"/>
        <v>2432.6788888885731</v>
      </c>
      <c r="Z31" s="7">
        <v>1</v>
      </c>
      <c r="AA31" s="7">
        <f t="shared" si="84"/>
        <v>2432.6788888885731</v>
      </c>
      <c r="AB31" s="7">
        <f t="shared" si="85"/>
        <v>4170.3066666666664</v>
      </c>
      <c r="AC31" s="7">
        <f t="shared" si="86"/>
        <v>868.81388888904667</v>
      </c>
      <c r="AD31" s="7">
        <f t="shared" si="11"/>
        <v>2016.4166666666667</v>
      </c>
      <c r="AE31" s="7">
        <f t="shared" si="12"/>
        <v>2018</v>
      </c>
      <c r="AF31" s="7">
        <f t="shared" si="13"/>
        <v>2017.4166666666667</v>
      </c>
      <c r="AG31" s="7">
        <f t="shared" si="14"/>
        <v>2017</v>
      </c>
      <c r="AH31" s="7">
        <f t="shared" si="15"/>
        <v>-8.3333333333333329E-2</v>
      </c>
      <c r="AJ31" s="144">
        <f t="shared" si="17"/>
        <v>0</v>
      </c>
      <c r="AL31" s="144">
        <f t="shared" si="18"/>
        <v>1737.6277777780936</v>
      </c>
      <c r="AN31" s="144">
        <f t="shared" si="19"/>
        <v>0</v>
      </c>
      <c r="AP31" s="144">
        <f t="shared" si="20"/>
        <v>0</v>
      </c>
      <c r="AR31" s="144">
        <f t="shared" si="16"/>
        <v>868.81388888904667</v>
      </c>
    </row>
    <row r="32" spans="1:44" s="109" customFormat="1">
      <c r="A32" s="109" t="s">
        <v>400</v>
      </c>
      <c r="B32" s="110"/>
      <c r="C32" s="111">
        <v>16</v>
      </c>
      <c r="D32" s="112" t="s">
        <v>399</v>
      </c>
      <c r="E32" s="113">
        <v>2016</v>
      </c>
      <c r="F32" s="110">
        <v>7</v>
      </c>
      <c r="G32" s="114">
        <v>0</v>
      </c>
      <c r="H32" s="115"/>
      <c r="I32" s="116" t="s">
        <v>86</v>
      </c>
      <c r="J32" s="117">
        <v>10</v>
      </c>
      <c r="K32" s="118">
        <f>E32+J32</f>
        <v>2026</v>
      </c>
      <c r="N32" s="119">
        <v>25528.62</v>
      </c>
      <c r="O32" s="120"/>
      <c r="P32" s="115">
        <f>N32-N32*G32</f>
        <v>25528.62</v>
      </c>
      <c r="Q32" s="115">
        <f>P32/J32/12</f>
        <v>212.73850000000002</v>
      </c>
      <c r="R32" s="115">
        <f t="shared" ref="R32" si="87">IF(O32&gt;0,0,IF(OR(AD32&gt;AE32,AF32&lt;AG32),0,IF(AND(AF32&gt;=AG32,AF32&lt;=AE32),Q32*((AF32-AG32)*12),IF(AND(AG32&lt;=AD32,AE32&gt;=AD32),((AE32-AD32)*12)*Q32,IF(AF32&gt;AE32,12*Q32,0)))))</f>
        <v>2552.8620000000001</v>
      </c>
      <c r="S32" s="115"/>
      <c r="T32" s="115">
        <f t="shared" ref="T32" si="88">IF(S32&gt;0,S32,R32)</f>
        <v>2552.8620000000001</v>
      </c>
      <c r="U32" s="115">
        <v>1</v>
      </c>
      <c r="V32" s="115">
        <f t="shared" ref="V32" si="89">U32*SUM(R32:S32)</f>
        <v>2552.8620000000001</v>
      </c>
      <c r="W32" s="115"/>
      <c r="X32" s="115">
        <f t="shared" ref="X32" si="90">IF(AD32&gt;AE32,0,IF(AF32&lt;AG32,P32,IF(AND(AF32&gt;=AG32,AF32&lt;=AE32),(P32-T32),IF(AND(AG32&lt;=AD32,AE32&gt;=AD32),0,IF(AF32&gt;AE32,((AG32-AD32)*12)*Q32,0)))))</f>
        <v>1276.431</v>
      </c>
      <c r="Y32" s="115">
        <f t="shared" ref="Y32" si="91">X32*U32</f>
        <v>1276.431</v>
      </c>
      <c r="Z32" s="115">
        <v>1</v>
      </c>
      <c r="AA32" s="115">
        <f t="shared" ref="AA32" si="92">Y32*Z32</f>
        <v>1276.431</v>
      </c>
      <c r="AB32" s="115">
        <f t="shared" ref="AB32" si="93">IF(O32&gt;0,0,AA32+V32*Z32)*Z32</f>
        <v>3829.2930000000001</v>
      </c>
      <c r="AC32" s="115">
        <f t="shared" ref="AC32" si="94">IF(O32&gt;0,(N32-AA32)/2,IF(AD32&gt;=AG32,(((N32*U32)*Z32)-AB32)/2,((((N32*U32)*Z32)-AA32)+(((N32*U32)*Z32)-AB32))/2))</f>
        <v>22975.757999999998</v>
      </c>
      <c r="AD32" s="115">
        <f>$E32+(($F32-1)/12)</f>
        <v>2016.5</v>
      </c>
      <c r="AE32" s="115">
        <f t="shared" si="12"/>
        <v>2018</v>
      </c>
      <c r="AF32" s="115">
        <f>$K32+(($F32-1)/12)</f>
        <v>2026.5</v>
      </c>
      <c r="AG32" s="115">
        <f t="shared" si="14"/>
        <v>2017</v>
      </c>
      <c r="AH32" s="115">
        <f>$L32+(($M32-1)/12)</f>
        <v>-8.3333333333333329E-2</v>
      </c>
      <c r="AJ32" s="144">
        <f t="shared" si="17"/>
        <v>0</v>
      </c>
      <c r="AK32" s="144"/>
      <c r="AL32" s="144">
        <f t="shared" si="18"/>
        <v>2552.8620000000001</v>
      </c>
      <c r="AM32" s="144"/>
      <c r="AN32" s="144">
        <f t="shared" si="19"/>
        <v>0</v>
      </c>
      <c r="AO32" s="144"/>
      <c r="AP32" s="144">
        <f t="shared" si="20"/>
        <v>0</v>
      </c>
      <c r="AQ32" s="144"/>
      <c r="AR32" s="144">
        <f t="shared" si="16"/>
        <v>22975.757999999998</v>
      </c>
    </row>
    <row r="33" spans="1:44">
      <c r="A33" s="1">
        <v>171078</v>
      </c>
      <c r="B33" s="4"/>
      <c r="C33" s="32"/>
      <c r="D33" s="29" t="s">
        <v>355</v>
      </c>
      <c r="E33" s="3">
        <v>2016</v>
      </c>
      <c r="F33" s="4">
        <v>12</v>
      </c>
      <c r="G33" s="30">
        <v>0</v>
      </c>
      <c r="H33" s="7"/>
      <c r="I33" s="14" t="s">
        <v>86</v>
      </c>
      <c r="J33" s="5">
        <v>5</v>
      </c>
      <c r="K33" s="13">
        <f t="shared" ref="K33:K35" si="95">E33+J33</f>
        <v>2021</v>
      </c>
      <c r="N33" s="34">
        <f>22670.1/26*14</f>
        <v>12206.976923076922</v>
      </c>
      <c r="O33" s="31"/>
      <c r="P33" s="7">
        <f t="shared" ref="P33" si="96">N33-N33*G33</f>
        <v>12206.976923076922</v>
      </c>
      <c r="Q33" s="7">
        <f t="shared" ref="Q33" si="97">P33/J33/12</f>
        <v>203.44961538461538</v>
      </c>
      <c r="R33" s="7">
        <f t="shared" ref="R33" si="98">IF(O33&gt;0,0,IF(OR(AD33&gt;AE33,AF33&lt;AG33),0,IF(AND(AF33&gt;=AG33,AF33&lt;=AE33),Q33*((AF33-AG33)*12),IF(AND(AG33&lt;=AD33,AE33&gt;=AD33),((AE33-AD33)*12)*Q33,IF(AF33&gt;AE33,12*Q33,0)))))</f>
        <v>2441.3953846153845</v>
      </c>
      <c r="S33" s="7"/>
      <c r="T33" s="7">
        <f t="shared" ref="T33" si="99">IF(S33&gt;0,S33,R33)</f>
        <v>2441.3953846153845</v>
      </c>
      <c r="U33" s="7">
        <v>1</v>
      </c>
      <c r="V33" s="7">
        <f t="shared" ref="V33" si="100">U33*SUM(R33:S33)</f>
        <v>2441.3953846153845</v>
      </c>
      <c r="W33" s="7"/>
      <c r="X33" s="7">
        <f t="shared" ref="X33" si="101">IF(AD33&gt;AE33,0,IF(AF33&lt;AG33,P33,IF(AND(AF33&gt;=AG33,AF33&lt;=AE33),(P33-T33),IF(AND(AG33&lt;=AD33,AE33&gt;=AD33),0,IF(AF33&gt;AE33,((AG33-AD33)*12)*Q33,0)))))</f>
        <v>203.44961538443036</v>
      </c>
      <c r="Y33" s="7">
        <f t="shared" ref="Y33" si="102">X33*U33</f>
        <v>203.44961538443036</v>
      </c>
      <c r="Z33" s="7">
        <v>1</v>
      </c>
      <c r="AA33" s="7">
        <f t="shared" ref="AA33" si="103">Y33*Z33</f>
        <v>203.44961538443036</v>
      </c>
      <c r="AB33" s="7">
        <f t="shared" ref="AB33" si="104">IF(O33&gt;0,0,AA33+V33*Z33)*Z33</f>
        <v>2644.8449999998147</v>
      </c>
      <c r="AC33" s="7">
        <f t="shared" ref="AC33" si="105">IF(O33&gt;0,(N33-AA33)/2,IF(AD33&gt;=AG33,(((N33*U33)*Z33)-AB33)/2,((((N33*U33)*Z33)-AA33)+(((N33*U33)*Z33)-AB33))/2))</f>
        <v>10782.829615384799</v>
      </c>
      <c r="AD33" s="7">
        <f t="shared" si="11"/>
        <v>2016.9166666666667</v>
      </c>
      <c r="AE33" s="7">
        <f t="shared" si="12"/>
        <v>2018</v>
      </c>
      <c r="AF33" s="7">
        <f t="shared" si="13"/>
        <v>2021.9166666666667</v>
      </c>
      <c r="AG33" s="7">
        <f t="shared" si="14"/>
        <v>2017</v>
      </c>
      <c r="AH33" s="7">
        <f t="shared" si="15"/>
        <v>-8.3333333333333329E-2</v>
      </c>
      <c r="AJ33" s="144">
        <f t="shared" si="17"/>
        <v>0</v>
      </c>
      <c r="AL33" s="144">
        <f t="shared" si="18"/>
        <v>2441.3953846153845</v>
      </c>
      <c r="AN33" s="144">
        <f t="shared" si="19"/>
        <v>0</v>
      </c>
      <c r="AP33" s="144">
        <f t="shared" si="20"/>
        <v>0</v>
      </c>
      <c r="AR33" s="144">
        <f t="shared" si="16"/>
        <v>10782.829615384799</v>
      </c>
    </row>
    <row r="34" spans="1:44" s="109" customFormat="1">
      <c r="A34" s="109">
        <v>184363</v>
      </c>
      <c r="B34" s="110" t="s">
        <v>331</v>
      </c>
      <c r="C34" s="111">
        <v>9</v>
      </c>
      <c r="D34" s="112" t="s">
        <v>395</v>
      </c>
      <c r="E34" s="113">
        <v>2017</v>
      </c>
      <c r="F34" s="110">
        <v>7</v>
      </c>
      <c r="G34" s="114">
        <v>0</v>
      </c>
      <c r="H34" s="115"/>
      <c r="I34" s="116" t="s">
        <v>86</v>
      </c>
      <c r="J34" s="117">
        <v>10</v>
      </c>
      <c r="K34" s="118">
        <f t="shared" si="95"/>
        <v>2027</v>
      </c>
      <c r="N34" s="119">
        <v>338304.94</v>
      </c>
      <c r="O34" s="120"/>
      <c r="P34" s="115">
        <f t="shared" ref="P34" si="106">N34-N34*G34</f>
        <v>338304.94</v>
      </c>
      <c r="Q34" s="115">
        <f t="shared" ref="Q34" si="107">P34/J34/12</f>
        <v>2819.2078333333334</v>
      </c>
      <c r="R34" s="115">
        <f t="shared" ref="R34" si="108">IF(O34&gt;0,0,IF(OR(AD34&gt;AE34,AF34&lt;AG34),0,IF(AND(AF34&gt;=AG34,AF34&lt;=AE34),Q34*((AF34-AG34)*12),IF(AND(AG34&lt;=AD34,AE34&gt;=AD34),((AE34-AD34)*12)*Q34,IF(AF34&gt;AE34,12*Q34,0)))))</f>
        <v>16915.246999999999</v>
      </c>
      <c r="S34" s="115"/>
      <c r="T34" s="115">
        <f t="shared" ref="T34" si="109">IF(S34&gt;0,S34,R34)</f>
        <v>16915.246999999999</v>
      </c>
      <c r="U34" s="115">
        <v>1</v>
      </c>
      <c r="V34" s="115">
        <f t="shared" ref="V34" si="110">U34*SUM(R34:S34)</f>
        <v>16915.246999999999</v>
      </c>
      <c r="W34" s="115"/>
      <c r="X34" s="115">
        <f t="shared" ref="X34" si="111">IF(AD34&gt;AE34,0,IF(AF34&lt;AG34,P34,IF(AND(AF34&gt;=AG34,AF34&lt;=AE34),(P34-T34),IF(AND(AG34&lt;=AD34,AE34&gt;=AD34),0,IF(AF34&gt;AE34,((AG34-AD34)*12)*Q34,0)))))</f>
        <v>0</v>
      </c>
      <c r="Y34" s="115">
        <f t="shared" ref="Y34" si="112">X34*U34</f>
        <v>0</v>
      </c>
      <c r="Z34" s="115">
        <v>1</v>
      </c>
      <c r="AA34" s="115">
        <f t="shared" ref="AA34" si="113">Y34*Z34</f>
        <v>0</v>
      </c>
      <c r="AB34" s="115">
        <f t="shared" ref="AB34" si="114">IF(O34&gt;0,0,AA34+V34*Z34)*Z34</f>
        <v>16915.246999999999</v>
      </c>
      <c r="AC34" s="115">
        <f t="shared" ref="AC34" si="115">IF(O34&gt;0,(N34-AA34)/2,IF(AD34&gt;=AG34,(((N34*U34)*Z34)-AB34)/2,((((N34*U34)*Z34)-AA34)+(((N34*U34)*Z34)-AB34))/2))</f>
        <v>160694.84650000001</v>
      </c>
      <c r="AD34" s="115">
        <f t="shared" si="11"/>
        <v>2017.5</v>
      </c>
      <c r="AE34" s="115">
        <f t="shared" si="12"/>
        <v>2018</v>
      </c>
      <c r="AF34" s="115">
        <f t="shared" si="13"/>
        <v>2027.5</v>
      </c>
      <c r="AG34" s="115">
        <f t="shared" si="14"/>
        <v>2017</v>
      </c>
      <c r="AH34" s="115">
        <f t="shared" si="15"/>
        <v>-8.3333333333333329E-2</v>
      </c>
      <c r="AJ34" s="144">
        <f t="shared" si="17"/>
        <v>0</v>
      </c>
      <c r="AK34" s="144"/>
      <c r="AL34" s="144">
        <f t="shared" si="18"/>
        <v>16915.246999999999</v>
      </c>
      <c r="AM34" s="144"/>
      <c r="AN34" s="144">
        <f t="shared" si="19"/>
        <v>0</v>
      </c>
      <c r="AO34" s="144"/>
      <c r="AP34" s="144">
        <f t="shared" si="20"/>
        <v>0</v>
      </c>
      <c r="AQ34" s="144"/>
      <c r="AR34" s="144">
        <f t="shared" si="16"/>
        <v>160694.84650000001</v>
      </c>
    </row>
    <row r="35" spans="1:44" s="109" customFormat="1">
      <c r="A35" s="109" t="s">
        <v>449</v>
      </c>
      <c r="B35" s="110" t="s">
        <v>318</v>
      </c>
      <c r="C35" s="111">
        <v>22</v>
      </c>
      <c r="D35" s="112" t="s">
        <v>396</v>
      </c>
      <c r="E35" s="113">
        <v>2017</v>
      </c>
      <c r="F35" s="110">
        <v>5</v>
      </c>
      <c r="G35" s="114">
        <v>0</v>
      </c>
      <c r="H35" s="115"/>
      <c r="I35" s="116" t="s">
        <v>86</v>
      </c>
      <c r="J35" s="117">
        <v>10</v>
      </c>
      <c r="K35" s="118">
        <f t="shared" si="95"/>
        <v>2027</v>
      </c>
      <c r="N35" s="119">
        <f>213770.91+1490.08+8033.71</f>
        <v>223294.69999999998</v>
      </c>
      <c r="O35" s="120"/>
      <c r="P35" s="115">
        <f t="shared" ref="P35" si="116">N35-N35*G35</f>
        <v>223294.69999999998</v>
      </c>
      <c r="Q35" s="115">
        <f t="shared" ref="Q35" si="117">P35/J35/12</f>
        <v>1860.7891666666665</v>
      </c>
      <c r="R35" s="115">
        <f t="shared" ref="R35" si="118">IF(O35&gt;0,0,IF(OR(AD35&gt;AE35,AF35&lt;AG35),0,IF(AND(AF35&gt;=AG35,AF35&lt;=AE35),Q35*((AF35-AG35)*12),IF(AND(AG35&lt;=AD35,AE35&gt;=AD35),((AE35-AD35)*12)*Q35,IF(AF35&gt;AE35,12*Q35,0)))))</f>
        <v>14886.313333335023</v>
      </c>
      <c r="S35" s="115"/>
      <c r="T35" s="115">
        <f t="shared" ref="T35" si="119">IF(S35&gt;0,S35,R35)</f>
        <v>14886.313333335023</v>
      </c>
      <c r="U35" s="115">
        <v>1</v>
      </c>
      <c r="V35" s="115">
        <f t="shared" ref="V35" si="120">U35*SUM(R35:S35)</f>
        <v>14886.313333335023</v>
      </c>
      <c r="W35" s="115"/>
      <c r="X35" s="115">
        <f t="shared" ref="X35" si="121">IF(AD35&gt;AE35,0,IF(AF35&lt;AG35,P35,IF(AND(AF35&gt;=AG35,AF35&lt;=AE35),(P35-T35),IF(AND(AG35&lt;=AD35,AE35&gt;=AD35),0,IF(AF35&gt;AE35,((AG35-AD35)*12)*Q35,0)))))</f>
        <v>0</v>
      </c>
      <c r="Y35" s="115">
        <f t="shared" ref="Y35" si="122">X35*U35</f>
        <v>0</v>
      </c>
      <c r="Z35" s="115">
        <v>1</v>
      </c>
      <c r="AA35" s="115">
        <f t="shared" ref="AA35" si="123">Y35*Z35</f>
        <v>0</v>
      </c>
      <c r="AB35" s="115">
        <f t="shared" ref="AB35" si="124">IF(O35&gt;0,0,AA35+V35*Z35)*Z35</f>
        <v>14886.313333335023</v>
      </c>
      <c r="AC35" s="115">
        <f t="shared" ref="AC35" si="125">IF(O35&gt;0,(N35-AA35)/2,IF(AD35&gt;=AG35,(((N35*U35)*Z35)-AB35)/2,((((N35*U35)*Z35)-AA35)+(((N35*U35)*Z35)-AB35))/2))</f>
        <v>104204.19333333249</v>
      </c>
      <c r="AD35" s="115">
        <f t="shared" si="11"/>
        <v>2017.3333333333333</v>
      </c>
      <c r="AE35" s="115">
        <f t="shared" si="12"/>
        <v>2018</v>
      </c>
      <c r="AF35" s="115">
        <f t="shared" si="13"/>
        <v>2027.3333333333333</v>
      </c>
      <c r="AG35" s="115">
        <f t="shared" si="14"/>
        <v>2017</v>
      </c>
      <c r="AH35" s="115">
        <f t="shared" si="15"/>
        <v>-8.3333333333333329E-2</v>
      </c>
      <c r="AJ35" s="144">
        <f t="shared" si="17"/>
        <v>0</v>
      </c>
      <c r="AK35" s="144"/>
      <c r="AL35" s="144">
        <f t="shared" si="18"/>
        <v>14886.313333335023</v>
      </c>
      <c r="AM35" s="144"/>
      <c r="AN35" s="144">
        <f t="shared" si="19"/>
        <v>0</v>
      </c>
      <c r="AO35" s="144"/>
      <c r="AP35" s="144">
        <f t="shared" si="20"/>
        <v>0</v>
      </c>
      <c r="AQ35" s="144"/>
      <c r="AR35" s="144">
        <f t="shared" si="16"/>
        <v>104204.19333333249</v>
      </c>
    </row>
    <row r="36" spans="1:44">
      <c r="B36" s="4"/>
      <c r="C36" s="32"/>
      <c r="D36" s="29"/>
      <c r="G36" s="30"/>
      <c r="H36" s="7"/>
      <c r="I36" s="14"/>
      <c r="K36" s="13"/>
      <c r="O36" s="31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44" s="35" customFormat="1">
      <c r="B37" s="15"/>
      <c r="C37" s="9"/>
      <c r="D37" s="2" t="s">
        <v>108</v>
      </c>
      <c r="E37" s="12"/>
      <c r="F37" s="36"/>
      <c r="G37" s="36"/>
      <c r="H37" s="37"/>
      <c r="I37" s="36"/>
      <c r="J37" s="17"/>
      <c r="K37" s="12"/>
      <c r="N37" s="99">
        <f>SUM(N11:N36)</f>
        <v>2404339.1635897444</v>
      </c>
      <c r="O37" s="100"/>
      <c r="P37" s="101">
        <f t="shared" ref="P37:AC37" si="126">SUM(P11:P36)</f>
        <v>2040652.6190897434</v>
      </c>
      <c r="Q37" s="101">
        <f t="shared" si="126"/>
        <v>22532.767440176402</v>
      </c>
      <c r="R37" s="101">
        <f t="shared" si="126"/>
        <v>111770.1478820238</v>
      </c>
      <c r="S37" s="101">
        <f t="shared" si="126"/>
        <v>0</v>
      </c>
      <c r="T37" s="101">
        <f t="shared" si="126"/>
        <v>111770.1478820238</v>
      </c>
      <c r="U37" s="101">
        <f t="shared" si="126"/>
        <v>25</v>
      </c>
      <c r="V37" s="101">
        <f t="shared" si="126"/>
        <v>111770.1478820238</v>
      </c>
      <c r="W37" s="101">
        <f t="shared" si="126"/>
        <v>0</v>
      </c>
      <c r="X37" s="101">
        <f t="shared" si="126"/>
        <v>1114366.7932301194</v>
      </c>
      <c r="Y37" s="101">
        <f t="shared" si="126"/>
        <v>1114366.7932301194</v>
      </c>
      <c r="Z37" s="101">
        <f t="shared" si="126"/>
        <v>25</v>
      </c>
      <c r="AA37" s="101">
        <f t="shared" si="126"/>
        <v>1114366.7932301194</v>
      </c>
      <c r="AB37" s="101">
        <f t="shared" si="126"/>
        <v>1226136.941112143</v>
      </c>
      <c r="AC37" s="101">
        <f t="shared" si="126"/>
        <v>953287.47641861229</v>
      </c>
      <c r="AD37" s="101"/>
      <c r="AE37" s="101"/>
      <c r="AF37" s="101"/>
      <c r="AG37" s="101"/>
      <c r="AH37" s="101"/>
      <c r="AJ37" s="143">
        <f>SUM(AJ11:AJ36)</f>
        <v>106563.10518841729</v>
      </c>
      <c r="AK37" s="143">
        <f>SUM(AK11:AK36)</f>
        <v>0</v>
      </c>
      <c r="AL37" s="143">
        <f>SUM(AL11:AL36)</f>
        <v>218333.2530704411</v>
      </c>
      <c r="AM37" s="143"/>
      <c r="AN37" s="143">
        <f>SUM(AN11:AN36)</f>
        <v>-204553.30219999998</v>
      </c>
      <c r="AO37" s="143">
        <f>SUM(AO11:AO36)</f>
        <v>0</v>
      </c>
      <c r="AP37" s="143">
        <f>SUM(AP11:AP36)</f>
        <v>429692.0552367972</v>
      </c>
      <c r="AQ37" s="143">
        <f>SUM(AQ11:AQ36)</f>
        <v>0</v>
      </c>
      <c r="AR37" s="143">
        <f>SUM(AR11:AR36)</f>
        <v>729544.83865773701</v>
      </c>
    </row>
    <row r="38" spans="1:44" s="35" customFormat="1">
      <c r="B38" s="15"/>
      <c r="C38" s="9"/>
      <c r="D38" s="37"/>
      <c r="E38" s="12"/>
      <c r="F38" s="36"/>
      <c r="G38" s="36"/>
      <c r="H38" s="37"/>
      <c r="I38" s="36"/>
      <c r="J38" s="17"/>
      <c r="K38" s="12"/>
      <c r="N38" s="9"/>
      <c r="O38" s="38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J38" s="142"/>
      <c r="AK38" s="142"/>
      <c r="AL38" s="142"/>
      <c r="AM38" s="142"/>
      <c r="AN38" s="142"/>
      <c r="AO38" s="142"/>
      <c r="AP38" s="142"/>
      <c r="AQ38" s="142"/>
      <c r="AR38" s="142"/>
    </row>
    <row r="39" spans="1:44" s="35" customFormat="1">
      <c r="B39" s="15"/>
      <c r="C39" s="9"/>
      <c r="D39" s="2" t="s">
        <v>12</v>
      </c>
      <c r="E39" s="12"/>
      <c r="F39" s="36"/>
      <c r="G39" s="36"/>
      <c r="H39" s="37"/>
      <c r="I39" s="36"/>
      <c r="J39" s="17"/>
      <c r="K39" s="12"/>
      <c r="N39" s="9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J39" s="144">
        <f t="shared" ref="AJ39:AJ50" si="127">+IF((AF39-AG39)&gt;3,((N39-P39)/(AF39-AG39)),(N39-P39)/3)</f>
        <v>0</v>
      </c>
      <c r="AK39" s="144"/>
      <c r="AL39" s="144">
        <f t="shared" ref="AL39:AL50" si="128">+AJ39+R39</f>
        <v>0</v>
      </c>
      <c r="AM39" s="144"/>
      <c r="AN39" s="144">
        <f t="shared" ref="AN39:AN50" si="129">+IF(AF39&lt;AG39,-AC39,0)</f>
        <v>0</v>
      </c>
      <c r="AO39" s="144"/>
      <c r="AP39" s="144">
        <f t="shared" ref="AP39:AP50" si="130">+IF(AF39&gt;AG39,IF(AJ39&gt;0,IF(O39&gt;0,(N39-AA39)/2,IF(AD39&gt;=AG39,(((N39*U39)*Z39)-(AB39+AJ39))/2,((((N39*U39)*Z39)-AA39)+(((N39*U39)*Z39)-(AB39+AJ39)))/2)),0),0)</f>
        <v>0</v>
      </c>
      <c r="AQ39" s="144"/>
      <c r="AR39" s="144">
        <f t="shared" ref="AR39:AR50" si="131">+AC39+AN39+(IF(AP39&gt;0,(AP39-AC39),0))</f>
        <v>0</v>
      </c>
    </row>
    <row r="40" spans="1:44">
      <c r="B40" s="4" t="s">
        <v>109</v>
      </c>
      <c r="C40" s="1">
        <v>25</v>
      </c>
      <c r="D40" s="39" t="s">
        <v>110</v>
      </c>
      <c r="E40" s="3">
        <v>2004</v>
      </c>
      <c r="F40" s="4">
        <v>2</v>
      </c>
      <c r="G40" s="30">
        <v>0.2</v>
      </c>
      <c r="H40" s="7"/>
      <c r="I40" s="14" t="s">
        <v>86</v>
      </c>
      <c r="J40" s="5">
        <v>7</v>
      </c>
      <c r="K40" s="13">
        <f t="shared" ref="K40:K50" si="132">E40+J40</f>
        <v>2011</v>
      </c>
      <c r="N40" s="6">
        <f>(101641+39958+925)</f>
        <v>142524</v>
      </c>
      <c r="O40" s="31"/>
      <c r="P40" s="7">
        <f t="shared" ref="P40:P46" si="133">N40-N40*G40</f>
        <v>114019.2</v>
      </c>
      <c r="Q40" s="7">
        <f t="shared" ref="Q40:Q46" si="134">P40/J40/12</f>
        <v>1357.3714285714284</v>
      </c>
      <c r="R40" s="7">
        <f t="shared" ref="R40:R46" si="135">IF(O40&gt;0,0,IF(OR(AD40&gt;AE40,AF40&lt;AG40),0,IF(AND(AF40&gt;=AG40,AF40&lt;=AE40),Q40*((AF40-AG40)*12),IF(AND(AG40&lt;=AD40,AE40&gt;=AD40),((AE40-AD40)*12)*Q40,IF(AF40&gt;AE40,12*Q40,0)))))</f>
        <v>0</v>
      </c>
      <c r="S40" s="7"/>
      <c r="T40" s="7">
        <f t="shared" ref="T40:T46" si="136">IF(S40&gt;0,S40,R40)</f>
        <v>0</v>
      </c>
      <c r="U40" s="7">
        <v>1</v>
      </c>
      <c r="V40" s="7">
        <f t="shared" ref="V40:V46" si="137">U40*SUM(R40:S40)</f>
        <v>0</v>
      </c>
      <c r="W40" s="7"/>
      <c r="X40" s="7">
        <f t="shared" ref="X40:X46" si="138">IF(AD40&gt;AE40,0,IF(AF40&lt;AG40,P40,IF(AND(AF40&gt;=AG40,AF40&lt;=AE40),(P40-T40),IF(AND(AG40&lt;=AD40,AE40&gt;=AD40),0,IF(AF40&gt;AE40,((AG40-AD40)*12)*Q40,0)))))</f>
        <v>114019.2</v>
      </c>
      <c r="Y40" s="7">
        <f t="shared" ref="Y40:Y46" si="139">X40*U40</f>
        <v>114019.2</v>
      </c>
      <c r="Z40" s="7">
        <v>1</v>
      </c>
      <c r="AA40" s="7">
        <f t="shared" ref="AA40:AA46" si="140">Y40*Z40</f>
        <v>114019.2</v>
      </c>
      <c r="AB40" s="7">
        <f t="shared" ref="AB40:AB46" si="141">IF(O40&gt;0,0,AA40+V40*Z40)*Z40</f>
        <v>114019.2</v>
      </c>
      <c r="AC40" s="7">
        <f t="shared" ref="AC40:AC46" si="142">IF(O40&gt;0,(N40-AA40)/2,IF(AD40&gt;=AG40,(((N40*U40)*Z40)-AB40)/2,((((N40*U40)*Z40)-AA40)+(((N40*U40)*Z40)-AB40))/2))</f>
        <v>28504.800000000003</v>
      </c>
      <c r="AD40" s="7">
        <f t="shared" ref="AD40:AD50" si="143">$E40+(($F40-1)/12)</f>
        <v>2004.0833333333333</v>
      </c>
      <c r="AE40" s="7">
        <f t="shared" ref="AE40:AE49" si="144">($P$5+1)-($P$2/12)</f>
        <v>2018</v>
      </c>
      <c r="AF40" s="7">
        <f t="shared" ref="AF40:AF50" si="145">$K40+(($F40-1)/12)</f>
        <v>2011.0833333333333</v>
      </c>
      <c r="AG40" s="7">
        <f t="shared" ref="AG40:AG49" si="146">$P$4+($P$3/12)</f>
        <v>2017</v>
      </c>
      <c r="AH40" s="7">
        <f t="shared" ref="AH40:AH50" si="147">$L40+(($M40-1)/12)</f>
        <v>-8.3333333333333329E-2</v>
      </c>
      <c r="AJ40" s="144">
        <f t="shared" si="127"/>
        <v>9501.6</v>
      </c>
      <c r="AL40" s="144">
        <f t="shared" si="128"/>
        <v>9501.6</v>
      </c>
      <c r="AN40" s="144">
        <f t="shared" si="129"/>
        <v>-28504.800000000003</v>
      </c>
      <c r="AP40" s="144">
        <f t="shared" si="130"/>
        <v>0</v>
      </c>
      <c r="AR40" s="144">
        <f t="shared" si="131"/>
        <v>0</v>
      </c>
    </row>
    <row r="41" spans="1:44">
      <c r="B41" s="4" t="s">
        <v>111</v>
      </c>
      <c r="C41" s="1">
        <v>7</v>
      </c>
      <c r="D41" s="29" t="s">
        <v>112</v>
      </c>
      <c r="E41" s="3">
        <v>2006</v>
      </c>
      <c r="F41" s="4">
        <v>10</v>
      </c>
      <c r="G41" s="30">
        <v>0.2</v>
      </c>
      <c r="H41" s="7"/>
      <c r="I41" s="14" t="s">
        <v>86</v>
      </c>
      <c r="J41" s="5">
        <v>7</v>
      </c>
      <c r="K41" s="13">
        <f t="shared" si="132"/>
        <v>2013</v>
      </c>
      <c r="N41" s="6">
        <f>128063.15+54351.26</f>
        <v>182414.41</v>
      </c>
      <c r="O41" s="31"/>
      <c r="P41" s="7">
        <f t="shared" si="133"/>
        <v>145931.52799999999</v>
      </c>
      <c r="Q41" s="7">
        <f t="shared" si="134"/>
        <v>1737.2800952380951</v>
      </c>
      <c r="R41" s="7">
        <f t="shared" si="135"/>
        <v>0</v>
      </c>
      <c r="S41" s="7"/>
      <c r="T41" s="7">
        <f t="shared" si="136"/>
        <v>0</v>
      </c>
      <c r="U41" s="7">
        <v>1</v>
      </c>
      <c r="V41" s="7">
        <f t="shared" si="137"/>
        <v>0</v>
      </c>
      <c r="W41" s="7"/>
      <c r="X41" s="7">
        <f t="shared" si="138"/>
        <v>145931.52799999999</v>
      </c>
      <c r="Y41" s="7">
        <f t="shared" si="139"/>
        <v>145931.52799999999</v>
      </c>
      <c r="Z41" s="7">
        <v>1</v>
      </c>
      <c r="AA41" s="7">
        <f t="shared" si="140"/>
        <v>145931.52799999999</v>
      </c>
      <c r="AB41" s="7">
        <f t="shared" si="141"/>
        <v>145931.52799999999</v>
      </c>
      <c r="AC41" s="7">
        <f t="shared" si="142"/>
        <v>36482.882000000012</v>
      </c>
      <c r="AD41" s="7">
        <f t="shared" si="143"/>
        <v>2006.75</v>
      </c>
      <c r="AE41" s="7">
        <f t="shared" si="144"/>
        <v>2018</v>
      </c>
      <c r="AF41" s="7">
        <f t="shared" si="145"/>
        <v>2013.75</v>
      </c>
      <c r="AG41" s="7">
        <f t="shared" si="146"/>
        <v>2017</v>
      </c>
      <c r="AH41" s="7">
        <f t="shared" si="147"/>
        <v>-8.3333333333333329E-2</v>
      </c>
      <c r="AJ41" s="144">
        <f t="shared" si="127"/>
        <v>12160.960666666671</v>
      </c>
      <c r="AL41" s="144">
        <f t="shared" si="128"/>
        <v>12160.960666666671</v>
      </c>
      <c r="AN41" s="144">
        <f t="shared" si="129"/>
        <v>-36482.882000000012</v>
      </c>
      <c r="AP41" s="144">
        <f t="shared" si="130"/>
        <v>0</v>
      </c>
      <c r="AR41" s="144">
        <f t="shared" si="131"/>
        <v>0</v>
      </c>
    </row>
    <row r="42" spans="1:44">
      <c r="B42" s="4" t="s">
        <v>111</v>
      </c>
      <c r="C42" s="1">
        <v>24</v>
      </c>
      <c r="D42" s="29" t="s">
        <v>113</v>
      </c>
      <c r="E42" s="3">
        <v>2009</v>
      </c>
      <c r="F42" s="4">
        <v>4</v>
      </c>
      <c r="G42" s="30">
        <v>0.33</v>
      </c>
      <c r="H42" s="7"/>
      <c r="I42" s="14" t="s">
        <v>86</v>
      </c>
      <c r="J42" s="5">
        <v>5</v>
      </c>
      <c r="K42" s="13">
        <f t="shared" si="132"/>
        <v>2014</v>
      </c>
      <c r="N42" s="6">
        <v>159970.28</v>
      </c>
      <c r="O42" s="31"/>
      <c r="P42" s="7">
        <f t="shared" si="133"/>
        <v>107180.0876</v>
      </c>
      <c r="Q42" s="7">
        <f t="shared" si="134"/>
        <v>1786.3347933333334</v>
      </c>
      <c r="R42" s="7">
        <f t="shared" si="135"/>
        <v>0</v>
      </c>
      <c r="S42" s="7"/>
      <c r="T42" s="7">
        <f t="shared" si="136"/>
        <v>0</v>
      </c>
      <c r="U42" s="7">
        <v>1</v>
      </c>
      <c r="V42" s="7">
        <f t="shared" si="137"/>
        <v>0</v>
      </c>
      <c r="W42" s="7"/>
      <c r="X42" s="7">
        <f t="shared" si="138"/>
        <v>107180.0876</v>
      </c>
      <c r="Y42" s="7">
        <f t="shared" si="139"/>
        <v>107180.0876</v>
      </c>
      <c r="Z42" s="7">
        <v>1</v>
      </c>
      <c r="AA42" s="7">
        <f t="shared" si="140"/>
        <v>107180.0876</v>
      </c>
      <c r="AB42" s="7">
        <f t="shared" si="141"/>
        <v>107180.0876</v>
      </c>
      <c r="AC42" s="7">
        <f t="shared" si="142"/>
        <v>52790.1924</v>
      </c>
      <c r="AD42" s="7">
        <f t="shared" si="143"/>
        <v>2009.25</v>
      </c>
      <c r="AE42" s="7">
        <f t="shared" si="144"/>
        <v>2018</v>
      </c>
      <c r="AF42" s="7">
        <f t="shared" si="145"/>
        <v>2014.25</v>
      </c>
      <c r="AG42" s="7">
        <f t="shared" si="146"/>
        <v>2017</v>
      </c>
      <c r="AH42" s="7">
        <f t="shared" si="147"/>
        <v>-8.3333333333333329E-2</v>
      </c>
      <c r="AJ42" s="144">
        <f t="shared" si="127"/>
        <v>17596.730800000001</v>
      </c>
      <c r="AL42" s="144">
        <f t="shared" si="128"/>
        <v>17596.730800000001</v>
      </c>
      <c r="AN42" s="144">
        <f t="shared" si="129"/>
        <v>-52790.1924</v>
      </c>
      <c r="AP42" s="144">
        <f t="shared" si="130"/>
        <v>0</v>
      </c>
      <c r="AR42" s="144">
        <f t="shared" si="131"/>
        <v>0</v>
      </c>
    </row>
    <row r="43" spans="1:44">
      <c r="B43" s="4" t="s">
        <v>111</v>
      </c>
      <c r="C43" s="1">
        <v>37</v>
      </c>
      <c r="D43" s="29" t="s">
        <v>114</v>
      </c>
      <c r="E43" s="3">
        <v>2009</v>
      </c>
      <c r="F43" s="4">
        <v>12</v>
      </c>
      <c r="G43" s="30">
        <v>0.2</v>
      </c>
      <c r="H43" s="7"/>
      <c r="I43" s="14" t="s">
        <v>86</v>
      </c>
      <c r="J43" s="5">
        <v>7</v>
      </c>
      <c r="K43" s="13">
        <f t="shared" si="132"/>
        <v>2016</v>
      </c>
      <c r="N43" s="6">
        <f>127754.92+54317.87</f>
        <v>182072.79</v>
      </c>
      <c r="O43" s="31"/>
      <c r="P43" s="7">
        <f t="shared" si="133"/>
        <v>145658.23200000002</v>
      </c>
      <c r="Q43" s="7">
        <f t="shared" si="134"/>
        <v>1734.0265714285715</v>
      </c>
      <c r="R43" s="7">
        <f t="shared" si="135"/>
        <v>0</v>
      </c>
      <c r="S43" s="7"/>
      <c r="T43" s="7">
        <f t="shared" si="136"/>
        <v>0</v>
      </c>
      <c r="U43" s="7">
        <v>1</v>
      </c>
      <c r="V43" s="7">
        <f t="shared" si="137"/>
        <v>0</v>
      </c>
      <c r="W43" s="7"/>
      <c r="X43" s="7">
        <f t="shared" si="138"/>
        <v>145658.23200000002</v>
      </c>
      <c r="Y43" s="7">
        <f t="shared" si="139"/>
        <v>145658.23200000002</v>
      </c>
      <c r="Z43" s="7">
        <v>1</v>
      </c>
      <c r="AA43" s="7">
        <f t="shared" si="140"/>
        <v>145658.23200000002</v>
      </c>
      <c r="AB43" s="7">
        <f t="shared" si="141"/>
        <v>145658.23200000002</v>
      </c>
      <c r="AC43" s="7">
        <f t="shared" si="142"/>
        <v>36414.55799999999</v>
      </c>
      <c r="AD43" s="7">
        <f t="shared" si="143"/>
        <v>2009.9166666666667</v>
      </c>
      <c r="AE43" s="7">
        <f t="shared" si="144"/>
        <v>2018</v>
      </c>
      <c r="AF43" s="7">
        <f t="shared" si="145"/>
        <v>2016.9166666666667</v>
      </c>
      <c r="AG43" s="7">
        <f t="shared" si="146"/>
        <v>2017</v>
      </c>
      <c r="AH43" s="7">
        <f t="shared" si="147"/>
        <v>-8.3333333333333329E-2</v>
      </c>
      <c r="AJ43" s="144">
        <f t="shared" si="127"/>
        <v>12138.185999999996</v>
      </c>
      <c r="AL43" s="144">
        <f t="shared" si="128"/>
        <v>12138.185999999996</v>
      </c>
      <c r="AN43" s="144">
        <f t="shared" si="129"/>
        <v>-36414.55799999999</v>
      </c>
      <c r="AP43" s="144">
        <f t="shared" si="130"/>
        <v>0</v>
      </c>
      <c r="AR43" s="144">
        <f t="shared" si="131"/>
        <v>0</v>
      </c>
    </row>
    <row r="44" spans="1:44">
      <c r="B44" s="4" t="s">
        <v>2</v>
      </c>
      <c r="C44" s="32">
        <v>3</v>
      </c>
      <c r="D44" s="29" t="s">
        <v>115</v>
      </c>
      <c r="E44" s="3">
        <v>2010</v>
      </c>
      <c r="F44" s="4">
        <v>3</v>
      </c>
      <c r="G44" s="30">
        <v>0.2</v>
      </c>
      <c r="H44" s="7"/>
      <c r="I44" s="14" t="s">
        <v>86</v>
      </c>
      <c r="J44" s="5">
        <v>7</v>
      </c>
      <c r="K44" s="13">
        <f t="shared" si="132"/>
        <v>2017</v>
      </c>
      <c r="N44" s="6">
        <f>776.09*2+776.09</f>
        <v>2328.27</v>
      </c>
      <c r="O44" s="31"/>
      <c r="P44" s="7">
        <f t="shared" si="133"/>
        <v>1862.616</v>
      </c>
      <c r="Q44" s="7">
        <f t="shared" si="134"/>
        <v>22.174000000000003</v>
      </c>
      <c r="R44" s="7">
        <f t="shared" si="135"/>
        <v>44.348000000020171</v>
      </c>
      <c r="S44" s="7"/>
      <c r="T44" s="7">
        <f t="shared" si="136"/>
        <v>44.348000000020171</v>
      </c>
      <c r="U44" s="7">
        <v>1</v>
      </c>
      <c r="V44" s="7">
        <f t="shared" si="137"/>
        <v>44.348000000020171</v>
      </c>
      <c r="W44" s="7"/>
      <c r="X44" s="7">
        <f t="shared" si="138"/>
        <v>1818.2679999999798</v>
      </c>
      <c r="Y44" s="7">
        <f t="shared" si="139"/>
        <v>1818.2679999999798</v>
      </c>
      <c r="Z44" s="7">
        <v>1</v>
      </c>
      <c r="AA44" s="7">
        <f t="shared" si="140"/>
        <v>1818.2679999999798</v>
      </c>
      <c r="AB44" s="7">
        <f t="shared" si="141"/>
        <v>1862.616</v>
      </c>
      <c r="AC44" s="7">
        <f t="shared" si="142"/>
        <v>487.82800000001009</v>
      </c>
      <c r="AD44" s="7">
        <f t="shared" si="143"/>
        <v>2010.1666666666667</v>
      </c>
      <c r="AE44" s="7">
        <f t="shared" si="144"/>
        <v>2018</v>
      </c>
      <c r="AF44" s="7">
        <f t="shared" si="145"/>
        <v>2017.1666666666667</v>
      </c>
      <c r="AG44" s="7">
        <f t="shared" si="146"/>
        <v>2017</v>
      </c>
      <c r="AH44" s="7">
        <f t="shared" si="147"/>
        <v>-8.3333333333333329E-2</v>
      </c>
      <c r="AJ44" s="144">
        <f t="shared" si="127"/>
        <v>155.21799999999999</v>
      </c>
      <c r="AL44" s="144">
        <f t="shared" si="128"/>
        <v>199.56600000002015</v>
      </c>
      <c r="AN44" s="144">
        <f t="shared" si="129"/>
        <v>0</v>
      </c>
      <c r="AP44" s="144">
        <f t="shared" si="130"/>
        <v>410.21900000001006</v>
      </c>
      <c r="AR44" s="144">
        <f t="shared" si="131"/>
        <v>410.21900000001006</v>
      </c>
    </row>
    <row r="45" spans="1:44">
      <c r="B45" s="4" t="s">
        <v>2</v>
      </c>
      <c r="C45" s="32">
        <v>25</v>
      </c>
      <c r="D45" s="29" t="s">
        <v>116</v>
      </c>
      <c r="E45" s="3">
        <v>2010</v>
      </c>
      <c r="F45" s="4">
        <v>6</v>
      </c>
      <c r="G45" s="30">
        <v>0</v>
      </c>
      <c r="H45" s="7"/>
      <c r="I45" s="14" t="s">
        <v>86</v>
      </c>
      <c r="J45" s="5">
        <v>3</v>
      </c>
      <c r="K45" s="13">
        <f t="shared" si="132"/>
        <v>2013</v>
      </c>
      <c r="N45" s="6">
        <f>5125.25</f>
        <v>5125.25</v>
      </c>
      <c r="O45" s="31"/>
      <c r="P45" s="7">
        <f t="shared" si="133"/>
        <v>5125.25</v>
      </c>
      <c r="Q45" s="7">
        <f t="shared" si="134"/>
        <v>142.36805555555557</v>
      </c>
      <c r="R45" s="7">
        <f t="shared" si="135"/>
        <v>0</v>
      </c>
      <c r="S45" s="7"/>
      <c r="T45" s="7">
        <f t="shared" si="136"/>
        <v>0</v>
      </c>
      <c r="U45" s="7">
        <v>1</v>
      </c>
      <c r="V45" s="7">
        <f t="shared" si="137"/>
        <v>0</v>
      </c>
      <c r="W45" s="7"/>
      <c r="X45" s="7">
        <f t="shared" si="138"/>
        <v>5125.25</v>
      </c>
      <c r="Y45" s="7">
        <f t="shared" si="139"/>
        <v>5125.25</v>
      </c>
      <c r="Z45" s="7">
        <v>1</v>
      </c>
      <c r="AA45" s="7">
        <f t="shared" si="140"/>
        <v>5125.25</v>
      </c>
      <c r="AB45" s="7">
        <f t="shared" si="141"/>
        <v>5125.25</v>
      </c>
      <c r="AC45" s="7">
        <f t="shared" si="142"/>
        <v>0</v>
      </c>
      <c r="AD45" s="7">
        <f t="shared" si="143"/>
        <v>2010.4166666666667</v>
      </c>
      <c r="AE45" s="7">
        <f t="shared" si="144"/>
        <v>2018</v>
      </c>
      <c r="AF45" s="7">
        <f t="shared" si="145"/>
        <v>2013.4166666666667</v>
      </c>
      <c r="AG45" s="7">
        <f t="shared" si="146"/>
        <v>2017</v>
      </c>
      <c r="AH45" s="7">
        <f t="shared" si="147"/>
        <v>-8.3333333333333329E-2</v>
      </c>
      <c r="AJ45" s="144">
        <f t="shared" si="127"/>
        <v>0</v>
      </c>
      <c r="AL45" s="144">
        <f t="shared" si="128"/>
        <v>0</v>
      </c>
      <c r="AN45" s="144">
        <f t="shared" si="129"/>
        <v>0</v>
      </c>
      <c r="AP45" s="144">
        <f t="shared" si="130"/>
        <v>0</v>
      </c>
      <c r="AR45" s="144">
        <f t="shared" si="131"/>
        <v>0</v>
      </c>
    </row>
    <row r="46" spans="1:44">
      <c r="A46" s="1">
        <v>95491</v>
      </c>
      <c r="B46" s="4"/>
      <c r="C46" s="32">
        <v>37</v>
      </c>
      <c r="D46" s="29" t="s">
        <v>225</v>
      </c>
      <c r="E46" s="3">
        <v>2012</v>
      </c>
      <c r="F46" s="4">
        <v>7</v>
      </c>
      <c r="G46" s="30">
        <v>0.2</v>
      </c>
      <c r="H46" s="7"/>
      <c r="I46" s="14" t="s">
        <v>86</v>
      </c>
      <c r="J46" s="5">
        <v>7</v>
      </c>
      <c r="K46" s="13">
        <f t="shared" si="132"/>
        <v>2019</v>
      </c>
      <c r="N46" s="6">
        <f>595</f>
        <v>595</v>
      </c>
      <c r="O46" s="31"/>
      <c r="P46" s="7">
        <f t="shared" si="133"/>
        <v>476</v>
      </c>
      <c r="Q46" s="7">
        <f t="shared" si="134"/>
        <v>5.666666666666667</v>
      </c>
      <c r="R46" s="7">
        <f t="shared" si="135"/>
        <v>68</v>
      </c>
      <c r="S46" s="7"/>
      <c r="T46" s="7">
        <f t="shared" si="136"/>
        <v>68</v>
      </c>
      <c r="U46" s="7">
        <v>1</v>
      </c>
      <c r="V46" s="7">
        <f t="shared" si="137"/>
        <v>68</v>
      </c>
      <c r="W46" s="7"/>
      <c r="X46" s="7">
        <f t="shared" si="138"/>
        <v>306</v>
      </c>
      <c r="Y46" s="7">
        <f t="shared" si="139"/>
        <v>306</v>
      </c>
      <c r="Z46" s="7">
        <v>1</v>
      </c>
      <c r="AA46" s="7">
        <f t="shared" si="140"/>
        <v>306</v>
      </c>
      <c r="AB46" s="7">
        <f t="shared" si="141"/>
        <v>374</v>
      </c>
      <c r="AC46" s="7">
        <f t="shared" si="142"/>
        <v>255</v>
      </c>
      <c r="AD46" s="7">
        <f t="shared" si="143"/>
        <v>2012.5</v>
      </c>
      <c r="AE46" s="7">
        <f t="shared" si="144"/>
        <v>2018</v>
      </c>
      <c r="AF46" s="7">
        <f t="shared" si="145"/>
        <v>2019.5</v>
      </c>
      <c r="AG46" s="7">
        <f t="shared" si="146"/>
        <v>2017</v>
      </c>
      <c r="AH46" s="7">
        <f t="shared" si="147"/>
        <v>-8.3333333333333329E-2</v>
      </c>
      <c r="AJ46" s="144">
        <f t="shared" si="127"/>
        <v>39.666666666666664</v>
      </c>
      <c r="AL46" s="144">
        <f t="shared" si="128"/>
        <v>107.66666666666666</v>
      </c>
      <c r="AN46" s="144">
        <f t="shared" si="129"/>
        <v>0</v>
      </c>
      <c r="AP46" s="144">
        <f t="shared" si="130"/>
        <v>235.16666666666666</v>
      </c>
      <c r="AR46" s="144">
        <f t="shared" si="131"/>
        <v>235.16666666666666</v>
      </c>
    </row>
    <row r="47" spans="1:44">
      <c r="A47" s="1">
        <v>131501</v>
      </c>
      <c r="B47" s="4"/>
      <c r="C47" s="32">
        <v>7</v>
      </c>
      <c r="D47" s="29" t="s">
        <v>337</v>
      </c>
      <c r="E47" s="3">
        <v>2016</v>
      </c>
      <c r="F47" s="4">
        <v>1</v>
      </c>
      <c r="G47" s="30">
        <v>0</v>
      </c>
      <c r="H47" s="7"/>
      <c r="I47" s="14" t="s">
        <v>86</v>
      </c>
      <c r="J47" s="5">
        <v>3</v>
      </c>
      <c r="K47" s="13">
        <f t="shared" si="132"/>
        <v>2019</v>
      </c>
      <c r="N47" s="33">
        <v>6050.04</v>
      </c>
      <c r="O47" s="31"/>
      <c r="P47" s="7">
        <f t="shared" ref="P47" si="148">N47-N47*G47</f>
        <v>6050.04</v>
      </c>
      <c r="Q47" s="7">
        <f t="shared" ref="Q47" si="149">P47/J47/12</f>
        <v>168.05666666666667</v>
      </c>
      <c r="R47" s="7">
        <f t="shared" ref="R47" si="150">IF(O47&gt;0,0,IF(OR(AD47&gt;AE47,AF47&lt;AG47),0,IF(AND(AF47&gt;=AG47,AF47&lt;=AE47),Q47*((AF47-AG47)*12),IF(AND(AG47&lt;=AD47,AE47&gt;=AD47),((AE47-AD47)*12)*Q47,IF(AF47&gt;AE47,12*Q47,0)))))</f>
        <v>2016.68</v>
      </c>
      <c r="S47" s="7"/>
      <c r="T47" s="7">
        <f t="shared" ref="T47" si="151">IF(S47&gt;0,S47,R47)</f>
        <v>2016.68</v>
      </c>
      <c r="U47" s="7">
        <v>1</v>
      </c>
      <c r="V47" s="7">
        <f t="shared" ref="V47" si="152">U47*SUM(R47:S47)</f>
        <v>2016.68</v>
      </c>
      <c r="W47" s="7"/>
      <c r="X47" s="7">
        <f t="shared" ref="X47" si="153">IF(AD47&gt;AE47,0,IF(AF47&lt;AG47,P47,IF(AND(AF47&gt;=AG47,AF47&lt;=AE47),(P47-T47),IF(AND(AG47&lt;=AD47,AE47&gt;=AD47),0,IF(AF47&gt;AE47,((AG47-AD47)*12)*Q47,0)))))</f>
        <v>2016.68</v>
      </c>
      <c r="Y47" s="7">
        <f t="shared" ref="Y47" si="154">X47*U47</f>
        <v>2016.68</v>
      </c>
      <c r="Z47" s="7">
        <v>1</v>
      </c>
      <c r="AA47" s="7">
        <f t="shared" ref="AA47" si="155">Y47*Z47</f>
        <v>2016.68</v>
      </c>
      <c r="AB47" s="7">
        <f t="shared" ref="AB47" si="156">IF(O47&gt;0,0,AA47+V47*Z47)*Z47</f>
        <v>4033.36</v>
      </c>
      <c r="AC47" s="7">
        <f t="shared" ref="AC47" si="157">IF(O47&gt;0,(N47-AA47)/2,IF(AD47&gt;=AG47,(((N47*U47)*Z47)-AB47)/2,((((N47*U47)*Z47)-AA47)+(((N47*U47)*Z47)-AB47))/2))</f>
        <v>3025.0199999999995</v>
      </c>
      <c r="AD47" s="7">
        <f t="shared" si="143"/>
        <v>2016</v>
      </c>
      <c r="AE47" s="7">
        <f t="shared" si="144"/>
        <v>2018</v>
      </c>
      <c r="AF47" s="7">
        <f t="shared" si="145"/>
        <v>2019</v>
      </c>
      <c r="AG47" s="7">
        <f t="shared" si="146"/>
        <v>2017</v>
      </c>
      <c r="AH47" s="7">
        <f t="shared" si="147"/>
        <v>-8.3333333333333329E-2</v>
      </c>
      <c r="AJ47" s="144">
        <f t="shared" si="127"/>
        <v>0</v>
      </c>
      <c r="AL47" s="144">
        <f t="shared" si="128"/>
        <v>2016.68</v>
      </c>
      <c r="AN47" s="144">
        <f t="shared" si="129"/>
        <v>0</v>
      </c>
      <c r="AP47" s="144">
        <f t="shared" si="130"/>
        <v>0</v>
      </c>
      <c r="AR47" s="144">
        <f t="shared" si="131"/>
        <v>3025.0199999999995</v>
      </c>
    </row>
    <row r="48" spans="1:44">
      <c r="A48" s="1">
        <v>131544</v>
      </c>
      <c r="B48" s="4"/>
      <c r="C48" s="32"/>
      <c r="D48" s="29" t="s">
        <v>338</v>
      </c>
      <c r="E48" s="3">
        <v>2016</v>
      </c>
      <c r="F48" s="4">
        <v>3</v>
      </c>
      <c r="G48" s="30">
        <v>0</v>
      </c>
      <c r="H48" s="7"/>
      <c r="I48" s="14" t="s">
        <v>86</v>
      </c>
      <c r="J48" s="5">
        <v>1</v>
      </c>
      <c r="K48" s="13">
        <f t="shared" si="132"/>
        <v>2017</v>
      </c>
      <c r="N48" s="33">
        <f>5975.04/24*4</f>
        <v>995.84</v>
      </c>
      <c r="O48" s="31"/>
      <c r="P48" s="7">
        <f t="shared" ref="P48:P50" si="158">N48-N48*G48</f>
        <v>995.84</v>
      </c>
      <c r="Q48" s="7">
        <f t="shared" ref="Q48:Q50" si="159">P48/J48/12</f>
        <v>82.986666666666665</v>
      </c>
      <c r="R48" s="7">
        <f t="shared" ref="R48:R50" si="160">IF(O48&gt;0,0,IF(OR(AD48&gt;AE48,AF48&lt;AG48),0,IF(AND(AF48&gt;=AG48,AF48&lt;=AE48),Q48*((AF48-AG48)*12),IF(AND(AG48&lt;=AD48,AE48&gt;=AD48),((AE48-AD48)*12)*Q48,IF(AF48&gt;AE48,12*Q48,0)))))</f>
        <v>165.97333333340882</v>
      </c>
      <c r="S48" s="7"/>
      <c r="T48" s="7">
        <f t="shared" ref="T48:T50" si="161">IF(S48&gt;0,S48,R48)</f>
        <v>165.97333333340882</v>
      </c>
      <c r="U48" s="7">
        <v>1</v>
      </c>
      <c r="V48" s="7">
        <f t="shared" ref="V48:V50" si="162">U48*SUM(R48:S48)</f>
        <v>165.97333333340882</v>
      </c>
      <c r="W48" s="7"/>
      <c r="X48" s="7">
        <f t="shared" ref="X48:X50" si="163">IF(AD48&gt;AE48,0,IF(AF48&lt;AG48,P48,IF(AND(AF48&gt;=AG48,AF48&lt;=AE48),(P48-T48),IF(AND(AG48&lt;=AD48,AE48&gt;=AD48),0,IF(AF48&gt;AE48,((AG48-AD48)*12)*Q48,0)))))</f>
        <v>829.86666666659119</v>
      </c>
      <c r="Y48" s="7">
        <f t="shared" ref="Y48:Y50" si="164">X48*U48</f>
        <v>829.86666666659119</v>
      </c>
      <c r="Z48" s="7">
        <v>1</v>
      </c>
      <c r="AA48" s="7">
        <f t="shared" ref="AA48:AA50" si="165">Y48*Z48</f>
        <v>829.86666666659119</v>
      </c>
      <c r="AB48" s="7">
        <f t="shared" ref="AB48:AB50" si="166">IF(O48&gt;0,0,AA48+V48*Z48)*Z48</f>
        <v>995.84</v>
      </c>
      <c r="AC48" s="7">
        <f t="shared" ref="AC48:AC50" si="167">IF(O48&gt;0,(N48-AA48)/2,IF(AD48&gt;=AG48,(((N48*U48)*Z48)-AB48)/2,((((N48*U48)*Z48)-AA48)+(((N48*U48)*Z48)-AB48))/2))</f>
        <v>82.986666666704423</v>
      </c>
      <c r="AD48" s="7">
        <f t="shared" si="143"/>
        <v>2016.1666666666667</v>
      </c>
      <c r="AE48" s="7">
        <f t="shared" si="144"/>
        <v>2018</v>
      </c>
      <c r="AF48" s="7">
        <f t="shared" si="145"/>
        <v>2017.1666666666667</v>
      </c>
      <c r="AG48" s="7">
        <f t="shared" si="146"/>
        <v>2017</v>
      </c>
      <c r="AH48" s="7">
        <f t="shared" si="147"/>
        <v>-8.3333333333333329E-2</v>
      </c>
      <c r="AJ48" s="144">
        <f t="shared" si="127"/>
        <v>0</v>
      </c>
      <c r="AL48" s="144">
        <f t="shared" si="128"/>
        <v>165.97333333340882</v>
      </c>
      <c r="AN48" s="144">
        <f t="shared" si="129"/>
        <v>0</v>
      </c>
      <c r="AP48" s="144">
        <f t="shared" si="130"/>
        <v>0</v>
      </c>
      <c r="AR48" s="144">
        <f t="shared" si="131"/>
        <v>82.986666666704423</v>
      </c>
    </row>
    <row r="49" spans="1:44">
      <c r="A49" s="1">
        <v>165805</v>
      </c>
      <c r="B49" s="4"/>
      <c r="C49" s="32"/>
      <c r="D49" s="29" t="s">
        <v>347</v>
      </c>
      <c r="E49" s="3">
        <v>2016</v>
      </c>
      <c r="F49" s="4">
        <v>6</v>
      </c>
      <c r="G49" s="30">
        <v>0</v>
      </c>
      <c r="H49" s="7"/>
      <c r="I49" s="14" t="s">
        <v>86</v>
      </c>
      <c r="J49" s="5">
        <v>1</v>
      </c>
      <c r="K49" s="13">
        <f t="shared" si="132"/>
        <v>2017</v>
      </c>
      <c r="N49" s="33">
        <f>6255.46/30*4</f>
        <v>834.06133333333332</v>
      </c>
      <c r="O49" s="31"/>
      <c r="P49" s="7">
        <f t="shared" si="158"/>
        <v>834.06133333333332</v>
      </c>
      <c r="Q49" s="7">
        <f t="shared" si="159"/>
        <v>69.505111111111106</v>
      </c>
      <c r="R49" s="7">
        <f t="shared" si="160"/>
        <v>347.52555555561872</v>
      </c>
      <c r="S49" s="7"/>
      <c r="T49" s="7">
        <f t="shared" si="161"/>
        <v>347.52555555561872</v>
      </c>
      <c r="U49" s="7">
        <v>1</v>
      </c>
      <c r="V49" s="7">
        <f t="shared" si="162"/>
        <v>347.52555555561872</v>
      </c>
      <c r="W49" s="7"/>
      <c r="X49" s="7">
        <f t="shared" si="163"/>
        <v>486.5357777777146</v>
      </c>
      <c r="Y49" s="7">
        <f t="shared" si="164"/>
        <v>486.5357777777146</v>
      </c>
      <c r="Z49" s="7">
        <v>1</v>
      </c>
      <c r="AA49" s="7">
        <f t="shared" si="165"/>
        <v>486.5357777777146</v>
      </c>
      <c r="AB49" s="7">
        <f t="shared" si="166"/>
        <v>834.06133333333332</v>
      </c>
      <c r="AC49" s="7">
        <f t="shared" si="167"/>
        <v>173.76277777780936</v>
      </c>
      <c r="AD49" s="7">
        <f t="shared" si="143"/>
        <v>2016.4166666666667</v>
      </c>
      <c r="AE49" s="7">
        <f t="shared" si="144"/>
        <v>2018</v>
      </c>
      <c r="AF49" s="7">
        <f t="shared" si="145"/>
        <v>2017.4166666666667</v>
      </c>
      <c r="AG49" s="7">
        <f t="shared" si="146"/>
        <v>2017</v>
      </c>
      <c r="AH49" s="7">
        <f t="shared" si="147"/>
        <v>-8.3333333333333329E-2</v>
      </c>
      <c r="AJ49" s="144">
        <f t="shared" si="127"/>
        <v>0</v>
      </c>
      <c r="AL49" s="144">
        <f t="shared" si="128"/>
        <v>347.52555555561872</v>
      </c>
      <c r="AN49" s="144">
        <f t="shared" si="129"/>
        <v>0</v>
      </c>
      <c r="AP49" s="144">
        <f t="shared" si="130"/>
        <v>0</v>
      </c>
      <c r="AR49" s="144">
        <f t="shared" si="131"/>
        <v>173.76277777780936</v>
      </c>
    </row>
    <row r="50" spans="1:44">
      <c r="A50" s="1">
        <v>171078</v>
      </c>
      <c r="B50" s="4"/>
      <c r="C50" s="32"/>
      <c r="D50" s="29" t="s">
        <v>356</v>
      </c>
      <c r="E50" s="3">
        <v>2016</v>
      </c>
      <c r="F50" s="4">
        <v>12</v>
      </c>
      <c r="G50" s="30">
        <v>0</v>
      </c>
      <c r="H50" s="7"/>
      <c r="I50" s="14" t="s">
        <v>86</v>
      </c>
      <c r="J50" s="5">
        <v>5</v>
      </c>
      <c r="K50" s="13">
        <f t="shared" si="132"/>
        <v>2021</v>
      </c>
      <c r="N50" s="34">
        <f>22670.1/26*4</f>
        <v>3487.707692307692</v>
      </c>
      <c r="O50" s="31"/>
      <c r="P50" s="7">
        <f t="shared" si="158"/>
        <v>3487.707692307692</v>
      </c>
      <c r="Q50" s="7">
        <f t="shared" si="159"/>
        <v>58.128461538461529</v>
      </c>
      <c r="R50" s="7">
        <f t="shared" si="160"/>
        <v>697.54153846153838</v>
      </c>
      <c r="S50" s="7"/>
      <c r="T50" s="7">
        <f t="shared" si="161"/>
        <v>697.54153846153838</v>
      </c>
      <c r="U50" s="7">
        <v>1</v>
      </c>
      <c r="V50" s="7">
        <f t="shared" si="162"/>
        <v>697.54153846153838</v>
      </c>
      <c r="W50" s="7"/>
      <c r="X50" s="7">
        <f t="shared" si="163"/>
        <v>58.128461538408665</v>
      </c>
      <c r="Y50" s="7">
        <f t="shared" si="164"/>
        <v>58.128461538408665</v>
      </c>
      <c r="Z50" s="7">
        <v>1</v>
      </c>
      <c r="AA50" s="7">
        <f t="shared" si="165"/>
        <v>58.128461538408665</v>
      </c>
      <c r="AB50" s="7">
        <f t="shared" si="166"/>
        <v>755.66999999994709</v>
      </c>
      <c r="AC50" s="7">
        <f t="shared" si="167"/>
        <v>3080.8084615385142</v>
      </c>
      <c r="AD50" s="7">
        <f t="shared" si="143"/>
        <v>2016.9166666666667</v>
      </c>
      <c r="AE50" s="7">
        <f t="shared" si="12"/>
        <v>2018</v>
      </c>
      <c r="AF50" s="7">
        <f t="shared" si="145"/>
        <v>2021.9166666666667</v>
      </c>
      <c r="AG50" s="7">
        <f t="shared" si="14"/>
        <v>2017</v>
      </c>
      <c r="AH50" s="7">
        <f t="shared" si="147"/>
        <v>-8.3333333333333329E-2</v>
      </c>
      <c r="AJ50" s="144">
        <f t="shared" si="127"/>
        <v>0</v>
      </c>
      <c r="AL50" s="144">
        <f t="shared" si="128"/>
        <v>697.54153846153838</v>
      </c>
      <c r="AN50" s="144">
        <f t="shared" si="129"/>
        <v>0</v>
      </c>
      <c r="AP50" s="144">
        <f t="shared" si="130"/>
        <v>0</v>
      </c>
      <c r="AR50" s="144">
        <f t="shared" si="131"/>
        <v>3080.8084615385142</v>
      </c>
    </row>
    <row r="51" spans="1:44">
      <c r="B51" s="4"/>
      <c r="D51" s="29"/>
      <c r="G51" s="30"/>
      <c r="H51" s="7"/>
      <c r="I51" s="14"/>
      <c r="K51" s="13"/>
      <c r="O51" s="31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44" s="35" customFormat="1">
      <c r="B52" s="15"/>
      <c r="D52" s="40" t="s">
        <v>117</v>
      </c>
      <c r="E52" s="41"/>
      <c r="F52" s="15"/>
      <c r="G52" s="42"/>
      <c r="H52" s="37"/>
      <c r="I52" s="36"/>
      <c r="J52" s="17"/>
      <c r="K52" s="12"/>
      <c r="N52" s="102">
        <f>SUM(N40:N51)</f>
        <v>686397.64902564115</v>
      </c>
      <c r="O52" s="100"/>
      <c r="P52" s="102">
        <f>SUM(P40:P51)</f>
        <v>531620.562625641</v>
      </c>
      <c r="Q52" s="102">
        <f>SUM(Q40:Q51)</f>
        <v>7163.8985167765568</v>
      </c>
      <c r="R52" s="102">
        <f>SUM(R40:R51)</f>
        <v>3340.0684273505863</v>
      </c>
      <c r="S52" s="103">
        <f t="shared" ref="S52" si="168">SUM(S40:S43)</f>
        <v>0</v>
      </c>
      <c r="T52" s="102">
        <f t="shared" ref="T52:AC52" si="169">SUM(T40:T51)</f>
        <v>3340.0684273505863</v>
      </c>
      <c r="U52" s="102">
        <f t="shared" si="169"/>
        <v>11</v>
      </c>
      <c r="V52" s="102">
        <f t="shared" si="169"/>
        <v>3340.0684273505863</v>
      </c>
      <c r="W52" s="102">
        <f t="shared" si="169"/>
        <v>0</v>
      </c>
      <c r="X52" s="102">
        <f t="shared" si="169"/>
        <v>523429.77650598268</v>
      </c>
      <c r="Y52" s="102">
        <f t="shared" si="169"/>
        <v>523429.77650598268</v>
      </c>
      <c r="Z52" s="102">
        <f t="shared" si="169"/>
        <v>11</v>
      </c>
      <c r="AA52" s="102">
        <f t="shared" si="169"/>
        <v>523429.77650598268</v>
      </c>
      <c r="AB52" s="102">
        <f t="shared" si="169"/>
        <v>526769.84493333322</v>
      </c>
      <c r="AC52" s="102">
        <f t="shared" si="169"/>
        <v>161297.83830598299</v>
      </c>
      <c r="AD52" s="103"/>
      <c r="AE52" s="103"/>
      <c r="AF52" s="103"/>
      <c r="AG52" s="101"/>
      <c r="AH52" s="101"/>
      <c r="AJ52" s="141">
        <f t="shared" ref="AJ52:AR52" si="170">SUM(AJ40:AJ51)</f>
        <v>51592.362133333336</v>
      </c>
      <c r="AK52" s="141">
        <f t="shared" si="170"/>
        <v>0</v>
      </c>
      <c r="AL52" s="141">
        <f t="shared" si="170"/>
        <v>54932.430560683926</v>
      </c>
      <c r="AM52" s="141">
        <f t="shared" si="170"/>
        <v>0</v>
      </c>
      <c r="AN52" s="141">
        <f t="shared" si="170"/>
        <v>-154192.43239999999</v>
      </c>
      <c r="AO52" s="141">
        <f t="shared" si="170"/>
        <v>0</v>
      </c>
      <c r="AP52" s="141">
        <f t="shared" si="170"/>
        <v>645.38566666667668</v>
      </c>
      <c r="AQ52" s="141">
        <f t="shared" si="170"/>
        <v>0</v>
      </c>
      <c r="AR52" s="141">
        <f t="shared" si="170"/>
        <v>7007.9635726497036</v>
      </c>
    </row>
    <row r="53" spans="1:44" s="35" customFormat="1">
      <c r="B53" s="15"/>
      <c r="C53" s="9"/>
      <c r="D53" s="29"/>
      <c r="E53" s="12"/>
      <c r="F53" s="36"/>
      <c r="G53" s="36"/>
      <c r="H53" s="37"/>
      <c r="I53" s="36"/>
      <c r="J53" s="17"/>
      <c r="K53" s="12"/>
      <c r="N53" s="9"/>
      <c r="O53" s="38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J53" s="142"/>
      <c r="AK53" s="142"/>
      <c r="AL53" s="142"/>
      <c r="AM53" s="142"/>
      <c r="AN53" s="142"/>
      <c r="AO53" s="142"/>
      <c r="AP53" s="142"/>
      <c r="AQ53" s="142"/>
      <c r="AR53" s="142"/>
    </row>
    <row r="54" spans="1:44" s="35" customFormat="1">
      <c r="B54" s="15"/>
      <c r="C54" s="9"/>
      <c r="D54" s="29"/>
      <c r="E54" s="12"/>
      <c r="F54" s="36"/>
      <c r="G54" s="36"/>
      <c r="H54" s="37"/>
      <c r="I54" s="36"/>
      <c r="J54" s="17"/>
      <c r="K54" s="12"/>
      <c r="N54" s="9"/>
      <c r="O54" s="38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J54" s="142"/>
      <c r="AK54" s="142"/>
      <c r="AL54" s="142"/>
      <c r="AM54" s="142"/>
      <c r="AN54" s="142"/>
      <c r="AO54" s="142"/>
      <c r="AP54" s="142"/>
      <c r="AQ54" s="142"/>
      <c r="AR54" s="142"/>
    </row>
    <row r="55" spans="1:44" s="35" customFormat="1">
      <c r="B55" s="15"/>
      <c r="C55" s="9"/>
      <c r="D55" s="29"/>
      <c r="E55" s="12"/>
      <c r="F55" s="36"/>
      <c r="G55" s="36"/>
      <c r="H55" s="37"/>
      <c r="I55" s="36"/>
      <c r="J55" s="17"/>
      <c r="K55" s="12"/>
      <c r="N55" s="9"/>
      <c r="O55" s="38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J55" s="142"/>
      <c r="AK55" s="142"/>
      <c r="AL55" s="142"/>
      <c r="AM55" s="142"/>
      <c r="AN55" s="142"/>
      <c r="AO55" s="142"/>
      <c r="AP55" s="142"/>
      <c r="AQ55" s="142"/>
      <c r="AR55" s="142"/>
    </row>
    <row r="56" spans="1:44" s="35" customFormat="1">
      <c r="B56" s="15"/>
      <c r="C56" s="9"/>
      <c r="D56" s="29"/>
      <c r="E56" s="12"/>
      <c r="F56" s="36"/>
      <c r="G56" s="36"/>
      <c r="H56" s="37"/>
      <c r="I56" s="36"/>
      <c r="J56" s="17"/>
      <c r="K56" s="12"/>
      <c r="N56" s="9"/>
      <c r="O56" s="38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J56" s="142"/>
      <c r="AK56" s="142"/>
      <c r="AL56" s="142"/>
      <c r="AM56" s="142"/>
      <c r="AN56" s="142"/>
      <c r="AO56" s="142"/>
      <c r="AP56" s="142"/>
      <c r="AQ56" s="142"/>
      <c r="AR56" s="142"/>
    </row>
    <row r="57" spans="1:44" s="134" customFormat="1">
      <c r="A57" s="109">
        <v>174656</v>
      </c>
      <c r="B57" s="110"/>
      <c r="C57" s="111"/>
      <c r="D57" s="112" t="s">
        <v>416</v>
      </c>
      <c r="E57" s="113">
        <v>2004</v>
      </c>
      <c r="F57" s="110">
        <v>4</v>
      </c>
      <c r="G57" s="114">
        <v>0</v>
      </c>
      <c r="H57" s="115"/>
      <c r="I57" s="116" t="s">
        <v>86</v>
      </c>
      <c r="J57" s="117">
        <v>3</v>
      </c>
      <c r="K57" s="118">
        <f t="shared" ref="K57:K61" si="171">E57+J57</f>
        <v>2007</v>
      </c>
      <c r="N57" s="135">
        <v>35000</v>
      </c>
      <c r="O57" s="136"/>
      <c r="P57" s="115">
        <f t="shared" ref="P57:P61" si="172">N57-N57*G57</f>
        <v>35000</v>
      </c>
      <c r="Q57" s="115">
        <f t="shared" ref="Q57:Q61" si="173">P57/J57/12</f>
        <v>972.22222222222217</v>
      </c>
      <c r="R57" s="115">
        <f t="shared" ref="R57:R61" si="174">IF(O57&gt;0,0,IF(OR(AD57&gt;AE57,AF57&lt;AG57),0,IF(AND(AF57&gt;=AG57,AF57&lt;=AE57),Q57*((AF57-AG57)*12),IF(AND(AG57&lt;=AD57,AE57&gt;=AD57),((AE57-AD57)*12)*Q57,IF(AF57&gt;AE57,12*Q57,0)))))</f>
        <v>0</v>
      </c>
      <c r="S57" s="115"/>
      <c r="T57" s="115">
        <f t="shared" ref="T57:T61" si="175">IF(S57&gt;0,S57,R57)</f>
        <v>0</v>
      </c>
      <c r="U57" s="115">
        <v>1</v>
      </c>
      <c r="V57" s="115">
        <f t="shared" ref="V57:V61" si="176">U57*SUM(R57:S57)</f>
        <v>0</v>
      </c>
      <c r="W57" s="115"/>
      <c r="X57" s="115">
        <f t="shared" ref="X57:X61" si="177">IF(AD57&gt;AE57,0,IF(AF57&lt;AG57,P57,IF(AND(AF57&gt;=AG57,AF57&lt;=AE57),(P57-T57),IF(AND(AG57&lt;=AD57,AE57&gt;=AD57),0,IF(AF57&gt;AE57,((AG57-AD57)*12)*Q57,0)))))</f>
        <v>35000</v>
      </c>
      <c r="Y57" s="115">
        <f t="shared" ref="Y57:Y61" si="178">X57*U57</f>
        <v>35000</v>
      </c>
      <c r="Z57" s="115">
        <v>1</v>
      </c>
      <c r="AA57" s="115">
        <f t="shared" ref="AA57:AA61" si="179">Y57*Z57</f>
        <v>35000</v>
      </c>
      <c r="AB57" s="115">
        <f t="shared" ref="AB57:AB61" si="180">IF(O57&gt;0,0,AA57+V57*Z57)*Z57</f>
        <v>35000</v>
      </c>
      <c r="AC57" s="115">
        <f t="shared" ref="AC57:AC61" si="181">IF(O57&gt;0,(N57-AA57)/2,IF(AD57&gt;=AG57,(((N57*U57)*Z57)-AB57)/2,((((N57*U57)*Z57)-AA57)+(((N57*U57)*Z57)-AB57))/2))</f>
        <v>0</v>
      </c>
      <c r="AD57" s="115">
        <f t="shared" ref="AD57:AD61" si="182">$E57+(($F57-1)/12)</f>
        <v>2004.25</v>
      </c>
      <c r="AE57" s="115">
        <f t="shared" ref="AE57:AE66" si="183">($P$5+1)-($P$2/12)</f>
        <v>2018</v>
      </c>
      <c r="AF57" s="115">
        <f t="shared" ref="AF57:AF61" si="184">$K57+(($F57-1)/12)</f>
        <v>2007.25</v>
      </c>
      <c r="AG57" s="115">
        <f t="shared" ref="AG57:AG66" si="185">$P$4+($P$3/12)</f>
        <v>2017</v>
      </c>
      <c r="AH57" s="115">
        <f t="shared" ref="AH57:AH61" si="186">$L57+(($M57-1)/12)</f>
        <v>-8.3333333333333329E-2</v>
      </c>
      <c r="AJ57" s="144">
        <f t="shared" ref="AJ57:AJ66" si="187">+IF((AF57-AG57)&gt;3,((N57-P57)/(AF57-AG57)),(N57-P57)/3)</f>
        <v>0</v>
      </c>
      <c r="AK57" s="144"/>
      <c r="AL57" s="144">
        <f t="shared" ref="AL57:AL66" si="188">+AJ57+R57</f>
        <v>0</v>
      </c>
      <c r="AM57" s="144"/>
      <c r="AN57" s="144">
        <f t="shared" ref="AN57:AN66" si="189">+IF(AF57&lt;AG57,-AC57,0)</f>
        <v>0</v>
      </c>
      <c r="AO57" s="144"/>
      <c r="AP57" s="144">
        <f t="shared" ref="AP57:AP66" si="190">+IF(AF57&gt;AG57,IF(AJ57&gt;0,IF(O57&gt;0,(N57-AA57)/2,IF(AD57&gt;=AG57,(((N57*U57)*Z57)-(AB57+AJ57))/2,((((N57*U57)*Z57)-AA57)+(((N57*U57)*Z57)-(AB57+AJ57)))/2)),0),0)</f>
        <v>0</v>
      </c>
      <c r="AQ57" s="144"/>
      <c r="AR57" s="144">
        <f t="shared" ref="AR57:AR66" si="191">+AC57+AN57+(IF(AP57&gt;0,(AP57-AC57),0))</f>
        <v>0</v>
      </c>
    </row>
    <row r="58" spans="1:44" s="134" customFormat="1">
      <c r="A58" s="109" t="s">
        <v>421</v>
      </c>
      <c r="B58" s="110"/>
      <c r="C58" s="111"/>
      <c r="D58" s="112" t="s">
        <v>422</v>
      </c>
      <c r="E58" s="113">
        <v>2004</v>
      </c>
      <c r="F58" s="110">
        <v>9</v>
      </c>
      <c r="G58" s="114">
        <v>0</v>
      </c>
      <c r="H58" s="115"/>
      <c r="I58" s="116" t="s">
        <v>86</v>
      </c>
      <c r="J58" s="117">
        <v>3</v>
      </c>
      <c r="K58" s="118">
        <f t="shared" si="171"/>
        <v>2007</v>
      </c>
      <c r="N58" s="135">
        <v>2064</v>
      </c>
      <c r="O58" s="136"/>
      <c r="P58" s="115">
        <f t="shared" si="172"/>
        <v>2064</v>
      </c>
      <c r="Q58" s="115">
        <f t="shared" si="173"/>
        <v>57.333333333333336</v>
      </c>
      <c r="R58" s="115">
        <f t="shared" si="174"/>
        <v>0</v>
      </c>
      <c r="S58" s="115"/>
      <c r="T58" s="115">
        <f t="shared" si="175"/>
        <v>0</v>
      </c>
      <c r="U58" s="115">
        <v>1</v>
      </c>
      <c r="V58" s="115">
        <f t="shared" si="176"/>
        <v>0</v>
      </c>
      <c r="W58" s="115"/>
      <c r="X58" s="115">
        <f t="shared" si="177"/>
        <v>2064</v>
      </c>
      <c r="Y58" s="115">
        <f t="shared" si="178"/>
        <v>2064</v>
      </c>
      <c r="Z58" s="115">
        <v>1</v>
      </c>
      <c r="AA58" s="115">
        <f t="shared" si="179"/>
        <v>2064</v>
      </c>
      <c r="AB58" s="115">
        <f t="shared" si="180"/>
        <v>2064</v>
      </c>
      <c r="AC58" s="115">
        <f t="shared" si="181"/>
        <v>0</v>
      </c>
      <c r="AD58" s="115">
        <f t="shared" si="182"/>
        <v>2004.6666666666667</v>
      </c>
      <c r="AE58" s="115">
        <f t="shared" si="183"/>
        <v>2018</v>
      </c>
      <c r="AF58" s="115">
        <f t="shared" si="184"/>
        <v>2007.6666666666667</v>
      </c>
      <c r="AG58" s="115">
        <f t="shared" si="185"/>
        <v>2017</v>
      </c>
      <c r="AH58" s="115">
        <f t="shared" si="186"/>
        <v>-8.3333333333333329E-2</v>
      </c>
      <c r="AJ58" s="144">
        <f t="shared" si="187"/>
        <v>0</v>
      </c>
      <c r="AK58" s="144"/>
      <c r="AL58" s="144">
        <f t="shared" si="188"/>
        <v>0</v>
      </c>
      <c r="AM58" s="144"/>
      <c r="AN58" s="144">
        <f t="shared" si="189"/>
        <v>0</v>
      </c>
      <c r="AO58" s="144"/>
      <c r="AP58" s="144">
        <f t="shared" si="190"/>
        <v>0</v>
      </c>
      <c r="AQ58" s="144"/>
      <c r="AR58" s="144">
        <f t="shared" si="191"/>
        <v>0</v>
      </c>
    </row>
    <row r="59" spans="1:44" s="134" customFormat="1">
      <c r="A59" s="109" t="s">
        <v>423</v>
      </c>
      <c r="B59" s="110"/>
      <c r="C59" s="111"/>
      <c r="D59" s="112" t="s">
        <v>424</v>
      </c>
      <c r="E59" s="113">
        <v>2004</v>
      </c>
      <c r="F59" s="110">
        <v>8</v>
      </c>
      <c r="G59" s="114">
        <v>0</v>
      </c>
      <c r="H59" s="115"/>
      <c r="I59" s="116" t="s">
        <v>86</v>
      </c>
      <c r="J59" s="117">
        <v>3</v>
      </c>
      <c r="K59" s="118">
        <f t="shared" si="171"/>
        <v>2007</v>
      </c>
      <c r="N59" s="135">
        <v>1465.21</v>
      </c>
      <c r="O59" s="136"/>
      <c r="P59" s="115">
        <f t="shared" si="172"/>
        <v>1465.21</v>
      </c>
      <c r="Q59" s="115">
        <f t="shared" si="173"/>
        <v>40.700277777777778</v>
      </c>
      <c r="R59" s="115">
        <f t="shared" si="174"/>
        <v>0</v>
      </c>
      <c r="S59" s="115"/>
      <c r="T59" s="115">
        <f t="shared" si="175"/>
        <v>0</v>
      </c>
      <c r="U59" s="115">
        <v>1</v>
      </c>
      <c r="V59" s="115">
        <f t="shared" si="176"/>
        <v>0</v>
      </c>
      <c r="W59" s="115"/>
      <c r="X59" s="115">
        <f t="shared" si="177"/>
        <v>1465.21</v>
      </c>
      <c r="Y59" s="115">
        <f t="shared" si="178"/>
        <v>1465.21</v>
      </c>
      <c r="Z59" s="115">
        <v>1</v>
      </c>
      <c r="AA59" s="115">
        <f t="shared" si="179"/>
        <v>1465.21</v>
      </c>
      <c r="AB59" s="115">
        <f t="shared" si="180"/>
        <v>1465.21</v>
      </c>
      <c r="AC59" s="115">
        <f t="shared" si="181"/>
        <v>0</v>
      </c>
      <c r="AD59" s="115">
        <f t="shared" si="182"/>
        <v>2004.5833333333333</v>
      </c>
      <c r="AE59" s="115">
        <f t="shared" si="183"/>
        <v>2018</v>
      </c>
      <c r="AF59" s="115">
        <f t="shared" si="184"/>
        <v>2007.5833333333333</v>
      </c>
      <c r="AG59" s="115">
        <f t="shared" si="185"/>
        <v>2017</v>
      </c>
      <c r="AH59" s="115">
        <f t="shared" si="186"/>
        <v>-8.3333333333333329E-2</v>
      </c>
      <c r="AJ59" s="144">
        <f t="shared" si="187"/>
        <v>0</v>
      </c>
      <c r="AK59" s="144"/>
      <c r="AL59" s="144">
        <f t="shared" si="188"/>
        <v>0</v>
      </c>
      <c r="AM59" s="144"/>
      <c r="AN59" s="144">
        <f t="shared" si="189"/>
        <v>0</v>
      </c>
      <c r="AO59" s="144"/>
      <c r="AP59" s="144">
        <f t="shared" si="190"/>
        <v>0</v>
      </c>
      <c r="AQ59" s="144"/>
      <c r="AR59" s="144">
        <f t="shared" si="191"/>
        <v>0</v>
      </c>
    </row>
    <row r="60" spans="1:44" s="134" customFormat="1">
      <c r="A60" s="109" t="s">
        <v>425</v>
      </c>
      <c r="B60" s="110"/>
      <c r="C60" s="111"/>
      <c r="D60" s="112" t="s">
        <v>424</v>
      </c>
      <c r="E60" s="113">
        <v>2004</v>
      </c>
      <c r="F60" s="110">
        <v>9</v>
      </c>
      <c r="G60" s="114">
        <v>0</v>
      </c>
      <c r="H60" s="115"/>
      <c r="I60" s="116" t="s">
        <v>86</v>
      </c>
      <c r="J60" s="117">
        <v>3</v>
      </c>
      <c r="K60" s="118">
        <f t="shared" si="171"/>
        <v>2007</v>
      </c>
      <c r="N60" s="135">
        <v>156.86000000000001</v>
      </c>
      <c r="O60" s="136"/>
      <c r="P60" s="115">
        <f t="shared" si="172"/>
        <v>156.86000000000001</v>
      </c>
      <c r="Q60" s="115">
        <f t="shared" si="173"/>
        <v>4.3572222222222221</v>
      </c>
      <c r="R60" s="115">
        <f t="shared" si="174"/>
        <v>0</v>
      </c>
      <c r="S60" s="115"/>
      <c r="T60" s="115">
        <f t="shared" si="175"/>
        <v>0</v>
      </c>
      <c r="U60" s="115">
        <v>1</v>
      </c>
      <c r="V60" s="115">
        <f t="shared" si="176"/>
        <v>0</v>
      </c>
      <c r="W60" s="115"/>
      <c r="X60" s="115">
        <f t="shared" si="177"/>
        <v>156.86000000000001</v>
      </c>
      <c r="Y60" s="115">
        <f t="shared" si="178"/>
        <v>156.86000000000001</v>
      </c>
      <c r="Z60" s="115">
        <v>1</v>
      </c>
      <c r="AA60" s="115">
        <f t="shared" si="179"/>
        <v>156.86000000000001</v>
      </c>
      <c r="AB60" s="115">
        <f t="shared" si="180"/>
        <v>156.86000000000001</v>
      </c>
      <c r="AC60" s="115">
        <f t="shared" si="181"/>
        <v>0</v>
      </c>
      <c r="AD60" s="115">
        <f t="shared" si="182"/>
        <v>2004.6666666666667</v>
      </c>
      <c r="AE60" s="115">
        <f t="shared" si="183"/>
        <v>2018</v>
      </c>
      <c r="AF60" s="115">
        <f t="shared" si="184"/>
        <v>2007.6666666666667</v>
      </c>
      <c r="AG60" s="115">
        <f t="shared" si="185"/>
        <v>2017</v>
      </c>
      <c r="AH60" s="115">
        <f t="shared" si="186"/>
        <v>-8.3333333333333329E-2</v>
      </c>
      <c r="AJ60" s="144">
        <f t="shared" si="187"/>
        <v>0</v>
      </c>
      <c r="AK60" s="144"/>
      <c r="AL60" s="144">
        <f t="shared" si="188"/>
        <v>0</v>
      </c>
      <c r="AM60" s="144"/>
      <c r="AN60" s="144">
        <f t="shared" si="189"/>
        <v>0</v>
      </c>
      <c r="AO60" s="144"/>
      <c r="AP60" s="144">
        <f t="shared" si="190"/>
        <v>0</v>
      </c>
      <c r="AQ60" s="144"/>
      <c r="AR60" s="144">
        <f t="shared" si="191"/>
        <v>0</v>
      </c>
    </row>
    <row r="61" spans="1:44" s="134" customFormat="1">
      <c r="A61" s="109" t="s">
        <v>426</v>
      </c>
      <c r="B61" s="110"/>
      <c r="C61" s="111"/>
      <c r="D61" s="112" t="s">
        <v>422</v>
      </c>
      <c r="E61" s="113">
        <v>2004</v>
      </c>
      <c r="F61" s="110">
        <v>8</v>
      </c>
      <c r="G61" s="114">
        <v>0</v>
      </c>
      <c r="H61" s="115"/>
      <c r="I61" s="116" t="s">
        <v>86</v>
      </c>
      <c r="J61" s="117">
        <v>3</v>
      </c>
      <c r="K61" s="118">
        <f t="shared" si="171"/>
        <v>2007</v>
      </c>
      <c r="N61" s="135">
        <v>19279.099999999999</v>
      </c>
      <c r="O61" s="136"/>
      <c r="P61" s="115">
        <f t="shared" si="172"/>
        <v>19279.099999999999</v>
      </c>
      <c r="Q61" s="115">
        <f t="shared" si="173"/>
        <v>535.53055555555545</v>
      </c>
      <c r="R61" s="115">
        <f t="shared" si="174"/>
        <v>0</v>
      </c>
      <c r="S61" s="115"/>
      <c r="T61" s="115">
        <f t="shared" si="175"/>
        <v>0</v>
      </c>
      <c r="U61" s="115">
        <v>1</v>
      </c>
      <c r="V61" s="115">
        <f t="shared" si="176"/>
        <v>0</v>
      </c>
      <c r="W61" s="115"/>
      <c r="X61" s="115">
        <f t="shared" si="177"/>
        <v>19279.099999999999</v>
      </c>
      <c r="Y61" s="115">
        <f t="shared" si="178"/>
        <v>19279.099999999999</v>
      </c>
      <c r="Z61" s="115">
        <v>1</v>
      </c>
      <c r="AA61" s="115">
        <f t="shared" si="179"/>
        <v>19279.099999999999</v>
      </c>
      <c r="AB61" s="115">
        <f t="shared" si="180"/>
        <v>19279.099999999999</v>
      </c>
      <c r="AC61" s="115">
        <f t="shared" si="181"/>
        <v>0</v>
      </c>
      <c r="AD61" s="115">
        <f t="shared" si="182"/>
        <v>2004.5833333333333</v>
      </c>
      <c r="AE61" s="115">
        <f t="shared" si="183"/>
        <v>2018</v>
      </c>
      <c r="AF61" s="115">
        <f t="shared" si="184"/>
        <v>2007.5833333333333</v>
      </c>
      <c r="AG61" s="115">
        <f t="shared" si="185"/>
        <v>2017</v>
      </c>
      <c r="AH61" s="115">
        <f t="shared" si="186"/>
        <v>-8.3333333333333329E-2</v>
      </c>
      <c r="AJ61" s="144">
        <f t="shared" si="187"/>
        <v>0</v>
      </c>
      <c r="AK61" s="144"/>
      <c r="AL61" s="144">
        <f t="shared" si="188"/>
        <v>0</v>
      </c>
      <c r="AM61" s="144"/>
      <c r="AN61" s="144">
        <f t="shared" si="189"/>
        <v>0</v>
      </c>
      <c r="AO61" s="144"/>
      <c r="AP61" s="144">
        <f t="shared" si="190"/>
        <v>0</v>
      </c>
      <c r="AQ61" s="144"/>
      <c r="AR61" s="144">
        <f t="shared" si="191"/>
        <v>0</v>
      </c>
    </row>
    <row r="62" spans="1:44" s="35" customFormat="1">
      <c r="B62" s="4" t="s">
        <v>118</v>
      </c>
      <c r="C62" s="32">
        <v>17</v>
      </c>
      <c r="D62" s="29" t="s">
        <v>119</v>
      </c>
      <c r="E62" s="3">
        <v>2011</v>
      </c>
      <c r="F62" s="4">
        <v>3</v>
      </c>
      <c r="G62" s="30">
        <v>0.33</v>
      </c>
      <c r="H62" s="7"/>
      <c r="I62" s="14" t="s">
        <v>86</v>
      </c>
      <c r="J62" s="5">
        <v>5</v>
      </c>
      <c r="K62" s="13">
        <f t="shared" ref="K62:K66" si="192">E62+J62</f>
        <v>2016</v>
      </c>
      <c r="N62" s="47">
        <f>24000*1.083</f>
        <v>25992</v>
      </c>
      <c r="O62" s="38"/>
      <c r="P62" s="7">
        <f t="shared" ref="P62:P66" si="193">N62-N62*G62</f>
        <v>17414.64</v>
      </c>
      <c r="Q62" s="7">
        <f t="shared" ref="Q62:Q66" si="194">P62/J62/12</f>
        <v>290.24399999999997</v>
      </c>
      <c r="R62" s="7">
        <f t="shared" ref="R62:R66" si="195">IF(O62&gt;0,0,IF(OR(AD62&gt;AE62,AF62&lt;AG62),0,IF(AND(AF62&gt;=AG62,AF62&lt;=AE62),Q62*((AF62-AG62)*12),IF(AND(AG62&lt;=AD62,AE62&gt;=AD62),((AE62-AD62)*12)*Q62,IF(AF62&gt;AE62,12*Q62,0)))))</f>
        <v>0</v>
      </c>
      <c r="S62" s="7"/>
      <c r="T62" s="7">
        <f t="shared" ref="T62:T66" si="196">IF(S62&gt;0,S62,R62)</f>
        <v>0</v>
      </c>
      <c r="U62" s="7">
        <v>1</v>
      </c>
      <c r="V62" s="7">
        <f t="shared" ref="V62:V66" si="197">U62*SUM(R62:S62)</f>
        <v>0</v>
      </c>
      <c r="W62" s="7"/>
      <c r="X62" s="7">
        <f t="shared" ref="X62:X66" si="198">IF(AD62&gt;AE62,0,IF(AF62&lt;AG62,P62,IF(AND(AF62&gt;=AG62,AF62&lt;=AE62),(P62-T62),IF(AND(AG62&lt;=AD62,AE62&gt;=AD62),0,IF(AF62&gt;AE62,((AG62-AD62)*12)*Q62,0)))))</f>
        <v>17414.64</v>
      </c>
      <c r="Y62" s="7">
        <f t="shared" ref="Y62:Y66" si="199">X62*U62</f>
        <v>17414.64</v>
      </c>
      <c r="Z62" s="7">
        <v>1</v>
      </c>
      <c r="AA62" s="7">
        <f t="shared" ref="AA62:AA66" si="200">Y62*Z62</f>
        <v>17414.64</v>
      </c>
      <c r="AB62" s="7">
        <f t="shared" ref="AB62:AB66" si="201">IF(O62&gt;0,0,AA62+V62*Z62)*Z62</f>
        <v>17414.64</v>
      </c>
      <c r="AC62" s="7">
        <f t="shared" ref="AC62:AC66" si="202">IF(O62&gt;0,(N62-AA62)/2,IF(AD62&gt;=AG62,(((N62*U62)*Z62)-AB62)/2,((((N62*U62)*Z62)-AA62)+(((N62*U62)*Z62)-AB62))/2))</f>
        <v>8577.36</v>
      </c>
      <c r="AD62" s="7">
        <f t="shared" ref="AD62:AD66" si="203">$E62+(($F62-1)/12)</f>
        <v>2011.1666666666667</v>
      </c>
      <c r="AE62" s="7">
        <f t="shared" si="183"/>
        <v>2018</v>
      </c>
      <c r="AF62" s="7">
        <f t="shared" ref="AF62:AF66" si="204">$K62+(($F62-1)/12)</f>
        <v>2016.1666666666667</v>
      </c>
      <c r="AG62" s="7">
        <f t="shared" si="185"/>
        <v>2017</v>
      </c>
      <c r="AH62" s="7">
        <f t="shared" ref="AH62:AH66" si="205">$L62+(($M62-1)/12)</f>
        <v>-8.3333333333333329E-2</v>
      </c>
      <c r="AJ62" s="144">
        <f t="shared" si="187"/>
        <v>2859.1200000000003</v>
      </c>
      <c r="AK62" s="144"/>
      <c r="AL62" s="144">
        <f t="shared" si="188"/>
        <v>2859.1200000000003</v>
      </c>
      <c r="AM62" s="144"/>
      <c r="AN62" s="144">
        <f t="shared" si="189"/>
        <v>-8577.36</v>
      </c>
      <c r="AO62" s="144"/>
      <c r="AP62" s="144">
        <f t="shared" si="190"/>
        <v>0</v>
      </c>
      <c r="AQ62" s="144"/>
      <c r="AR62" s="144">
        <f t="shared" si="191"/>
        <v>0</v>
      </c>
    </row>
    <row r="63" spans="1:44" s="134" customFormat="1">
      <c r="A63" s="109" t="s">
        <v>417</v>
      </c>
      <c r="B63" s="110"/>
      <c r="C63" s="111"/>
      <c r="D63" s="112" t="s">
        <v>420</v>
      </c>
      <c r="E63" s="113">
        <v>2012</v>
      </c>
      <c r="F63" s="110">
        <v>9</v>
      </c>
      <c r="G63" s="114">
        <v>0</v>
      </c>
      <c r="H63" s="115"/>
      <c r="I63" s="116" t="s">
        <v>86</v>
      </c>
      <c r="J63" s="117">
        <v>3</v>
      </c>
      <c r="K63" s="118">
        <f>E63+J63</f>
        <v>2015</v>
      </c>
      <c r="N63" s="135">
        <v>10263.469999999999</v>
      </c>
      <c r="O63" s="136"/>
      <c r="P63" s="115">
        <f>N63-N63*G63</f>
        <v>10263.469999999999</v>
      </c>
      <c r="Q63" s="115">
        <f>P63/J63/12</f>
        <v>285.09638888888884</v>
      </c>
      <c r="R63" s="115">
        <f>IF(O63&gt;0,0,IF(OR(AD63&gt;AE63,AF63&lt;AG63),0,IF(AND(AF63&gt;=AG63,AF63&lt;=AE63),Q63*((AF63-AG63)*12),IF(AND(AG63&lt;=AD63,AE63&gt;=AD63),((AE63-AD63)*12)*Q63,IF(AF63&gt;AE63,12*Q63,0)))))</f>
        <v>0</v>
      </c>
      <c r="S63" s="115"/>
      <c r="T63" s="115">
        <f>IF(S63&gt;0,S63,R63)</f>
        <v>0</v>
      </c>
      <c r="U63" s="115">
        <v>1</v>
      </c>
      <c r="V63" s="115">
        <f>U63*SUM(R63:S63)</f>
        <v>0</v>
      </c>
      <c r="W63" s="115"/>
      <c r="X63" s="115">
        <f>IF(AD63&gt;AE63,0,IF(AF63&lt;AG63,P63,IF(AND(AF63&gt;=AG63,AF63&lt;=AE63),(P63-T63),IF(AND(AG63&lt;=AD63,AE63&gt;=AD63),0,IF(AF63&gt;AE63,((AG63-AD63)*12)*Q63,0)))))</f>
        <v>10263.469999999999</v>
      </c>
      <c r="Y63" s="115">
        <f>X63*U63</f>
        <v>10263.469999999999</v>
      </c>
      <c r="Z63" s="115">
        <v>1</v>
      </c>
      <c r="AA63" s="115">
        <f>Y63*Z63</f>
        <v>10263.469999999999</v>
      </c>
      <c r="AB63" s="115">
        <f>IF(O63&gt;0,0,AA63+V63*Z63)*Z63</f>
        <v>10263.469999999999</v>
      </c>
      <c r="AC63" s="115">
        <f>IF(O63&gt;0,(N63-AA63)/2,IF(AD63&gt;=AG63,(((N63*U63)*Z63)-AB63)/2,((((N63*U63)*Z63)-AA63)+(((N63*U63)*Z63)-AB63))/2))</f>
        <v>0</v>
      </c>
      <c r="AD63" s="115">
        <f>$E63+(($F63-1)/12)</f>
        <v>2012.6666666666667</v>
      </c>
      <c r="AE63" s="115">
        <f t="shared" si="183"/>
        <v>2018</v>
      </c>
      <c r="AF63" s="115">
        <f>$K63+(($F63-1)/12)</f>
        <v>2015.6666666666667</v>
      </c>
      <c r="AG63" s="115">
        <f t="shared" si="185"/>
        <v>2017</v>
      </c>
      <c r="AH63" s="115">
        <f>$L63+(($M63-1)/12)</f>
        <v>-8.3333333333333329E-2</v>
      </c>
      <c r="AJ63" s="144">
        <f t="shared" si="187"/>
        <v>0</v>
      </c>
      <c r="AK63" s="144"/>
      <c r="AL63" s="144">
        <f t="shared" si="188"/>
        <v>0</v>
      </c>
      <c r="AM63" s="144"/>
      <c r="AN63" s="144">
        <f t="shared" si="189"/>
        <v>0</v>
      </c>
      <c r="AO63" s="144"/>
      <c r="AP63" s="144">
        <f t="shared" si="190"/>
        <v>0</v>
      </c>
      <c r="AQ63" s="144"/>
      <c r="AR63" s="144">
        <f t="shared" si="191"/>
        <v>0</v>
      </c>
    </row>
    <row r="64" spans="1:44" s="134" customFormat="1">
      <c r="A64" s="109" t="s">
        <v>419</v>
      </c>
      <c r="B64" s="110"/>
      <c r="C64" s="111"/>
      <c r="D64" s="112" t="s">
        <v>418</v>
      </c>
      <c r="E64" s="113">
        <v>2012</v>
      </c>
      <c r="F64" s="110">
        <v>9</v>
      </c>
      <c r="G64" s="114">
        <v>0</v>
      </c>
      <c r="H64" s="115"/>
      <c r="I64" s="116" t="s">
        <v>86</v>
      </c>
      <c r="J64" s="117">
        <v>3</v>
      </c>
      <c r="K64" s="118">
        <f>E64+J64</f>
        <v>2015</v>
      </c>
      <c r="N64" s="135">
        <v>25500</v>
      </c>
      <c r="O64" s="136"/>
      <c r="P64" s="115">
        <f>N64-N64*G64</f>
        <v>25500</v>
      </c>
      <c r="Q64" s="115">
        <f>P64/J64/12</f>
        <v>708.33333333333337</v>
      </c>
      <c r="R64" s="115">
        <f>IF(O64&gt;0,0,IF(OR(AD64&gt;AE64,AF64&lt;AG64),0,IF(AND(AF64&gt;=AG64,AF64&lt;=AE64),Q64*((AF64-AG64)*12),IF(AND(AG64&lt;=AD64,AE64&gt;=AD64),((AE64-AD64)*12)*Q64,IF(AF64&gt;AE64,12*Q64,0)))))</f>
        <v>0</v>
      </c>
      <c r="S64" s="115"/>
      <c r="T64" s="115">
        <f>IF(S64&gt;0,S64,R64)</f>
        <v>0</v>
      </c>
      <c r="U64" s="115">
        <v>1</v>
      </c>
      <c r="V64" s="115">
        <f>U64*SUM(R64:S64)</f>
        <v>0</v>
      </c>
      <c r="W64" s="115"/>
      <c r="X64" s="115">
        <f>IF(AD64&gt;AE64,0,IF(AF64&lt;AG64,P64,IF(AND(AF64&gt;=AG64,AF64&lt;=AE64),(P64-T64),IF(AND(AG64&lt;=AD64,AE64&gt;=AD64),0,IF(AF64&gt;AE64,((AG64-AD64)*12)*Q64,0)))))</f>
        <v>25500</v>
      </c>
      <c r="Y64" s="115">
        <f>X64*U64</f>
        <v>25500</v>
      </c>
      <c r="Z64" s="115">
        <v>1</v>
      </c>
      <c r="AA64" s="115">
        <f>Y64*Z64</f>
        <v>25500</v>
      </c>
      <c r="AB64" s="115">
        <f>IF(O64&gt;0,0,AA64+V64*Z64)*Z64</f>
        <v>25500</v>
      </c>
      <c r="AC64" s="115">
        <f>IF(O64&gt;0,(N64-AA64)/2,IF(AD64&gt;=AG64,(((N64*U64)*Z64)-AB64)/2,((((N64*U64)*Z64)-AA64)+(((N64*U64)*Z64)-AB64))/2))</f>
        <v>0</v>
      </c>
      <c r="AD64" s="115">
        <f>$E64+(($F64-1)/12)</f>
        <v>2012.6666666666667</v>
      </c>
      <c r="AE64" s="115">
        <f t="shared" si="183"/>
        <v>2018</v>
      </c>
      <c r="AF64" s="115">
        <f>$K64+(($F64-1)/12)</f>
        <v>2015.6666666666667</v>
      </c>
      <c r="AG64" s="115">
        <f t="shared" si="185"/>
        <v>2017</v>
      </c>
      <c r="AH64" s="115">
        <f>$L64+(($M64-1)/12)</f>
        <v>-8.3333333333333329E-2</v>
      </c>
      <c r="AJ64" s="144">
        <f t="shared" si="187"/>
        <v>0</v>
      </c>
      <c r="AK64" s="144"/>
      <c r="AL64" s="144">
        <f t="shared" si="188"/>
        <v>0</v>
      </c>
      <c r="AM64" s="144"/>
      <c r="AN64" s="144">
        <f t="shared" si="189"/>
        <v>0</v>
      </c>
      <c r="AO64" s="144"/>
      <c r="AP64" s="144">
        <f t="shared" si="190"/>
        <v>0</v>
      </c>
      <c r="AQ64" s="144"/>
      <c r="AR64" s="144">
        <f t="shared" si="191"/>
        <v>0</v>
      </c>
    </row>
    <row r="65" spans="1:44" s="134" customFormat="1">
      <c r="A65" s="109" t="s">
        <v>413</v>
      </c>
      <c r="B65" s="110" t="s">
        <v>118</v>
      </c>
      <c r="C65" s="111">
        <v>17</v>
      </c>
      <c r="D65" s="112" t="s">
        <v>412</v>
      </c>
      <c r="E65" s="113">
        <v>2017</v>
      </c>
      <c r="F65" s="110">
        <v>4</v>
      </c>
      <c r="G65" s="114">
        <v>0</v>
      </c>
      <c r="H65" s="115"/>
      <c r="I65" s="116" t="s">
        <v>86</v>
      </c>
      <c r="J65" s="117">
        <v>3</v>
      </c>
      <c r="K65" s="118">
        <f t="shared" si="192"/>
        <v>2020</v>
      </c>
      <c r="N65" s="135">
        <v>23393.360000000001</v>
      </c>
      <c r="O65" s="136"/>
      <c r="P65" s="115">
        <f t="shared" si="193"/>
        <v>23393.360000000001</v>
      </c>
      <c r="Q65" s="115">
        <f t="shared" si="194"/>
        <v>649.81555555555553</v>
      </c>
      <c r="R65" s="115">
        <f t="shared" si="195"/>
        <v>5848.34</v>
      </c>
      <c r="S65" s="115"/>
      <c r="T65" s="115">
        <f t="shared" si="196"/>
        <v>5848.34</v>
      </c>
      <c r="U65" s="115">
        <v>1</v>
      </c>
      <c r="V65" s="115">
        <f t="shared" si="197"/>
        <v>5848.34</v>
      </c>
      <c r="W65" s="115"/>
      <c r="X65" s="115">
        <f t="shared" si="198"/>
        <v>0</v>
      </c>
      <c r="Y65" s="115">
        <f t="shared" si="199"/>
        <v>0</v>
      </c>
      <c r="Z65" s="115">
        <v>1</v>
      </c>
      <c r="AA65" s="115">
        <f t="shared" si="200"/>
        <v>0</v>
      </c>
      <c r="AB65" s="115">
        <f t="shared" si="201"/>
        <v>5848.34</v>
      </c>
      <c r="AC65" s="115">
        <f t="shared" si="202"/>
        <v>8772.51</v>
      </c>
      <c r="AD65" s="115">
        <f t="shared" si="203"/>
        <v>2017.25</v>
      </c>
      <c r="AE65" s="115">
        <f t="shared" si="183"/>
        <v>2018</v>
      </c>
      <c r="AF65" s="115">
        <f t="shared" si="204"/>
        <v>2020.25</v>
      </c>
      <c r="AG65" s="115">
        <f t="shared" si="185"/>
        <v>2017</v>
      </c>
      <c r="AH65" s="115">
        <f t="shared" si="205"/>
        <v>-8.3333333333333329E-2</v>
      </c>
      <c r="AJ65" s="144">
        <f t="shared" si="187"/>
        <v>0</v>
      </c>
      <c r="AK65" s="144"/>
      <c r="AL65" s="144">
        <f t="shared" si="188"/>
        <v>5848.34</v>
      </c>
      <c r="AM65" s="144"/>
      <c r="AN65" s="144">
        <f t="shared" si="189"/>
        <v>0</v>
      </c>
      <c r="AO65" s="144"/>
      <c r="AP65" s="144">
        <f t="shared" si="190"/>
        <v>0</v>
      </c>
      <c r="AQ65" s="144"/>
      <c r="AR65" s="144">
        <f t="shared" si="191"/>
        <v>8772.51</v>
      </c>
    </row>
    <row r="66" spans="1:44" s="134" customFormat="1">
      <c r="A66" s="109" t="s">
        <v>414</v>
      </c>
      <c r="B66" s="110" t="s">
        <v>118</v>
      </c>
      <c r="C66" s="111">
        <v>17</v>
      </c>
      <c r="D66" s="112" t="s">
        <v>415</v>
      </c>
      <c r="E66" s="113">
        <v>2017</v>
      </c>
      <c r="F66" s="110">
        <v>4</v>
      </c>
      <c r="G66" s="114">
        <v>0</v>
      </c>
      <c r="H66" s="115"/>
      <c r="I66" s="116" t="s">
        <v>86</v>
      </c>
      <c r="J66" s="117">
        <v>3</v>
      </c>
      <c r="K66" s="118">
        <f t="shared" si="192"/>
        <v>2020</v>
      </c>
      <c r="N66" s="135">
        <v>2453.85</v>
      </c>
      <c r="O66" s="136"/>
      <c r="P66" s="115">
        <f t="shared" si="193"/>
        <v>2453.85</v>
      </c>
      <c r="Q66" s="115">
        <f t="shared" si="194"/>
        <v>68.162499999999994</v>
      </c>
      <c r="R66" s="115">
        <f t="shared" si="195"/>
        <v>613.46249999999998</v>
      </c>
      <c r="S66" s="115"/>
      <c r="T66" s="115">
        <f t="shared" si="196"/>
        <v>613.46249999999998</v>
      </c>
      <c r="U66" s="115">
        <v>1</v>
      </c>
      <c r="V66" s="115">
        <f t="shared" si="197"/>
        <v>613.46249999999998</v>
      </c>
      <c r="W66" s="115"/>
      <c r="X66" s="115">
        <f t="shared" si="198"/>
        <v>0</v>
      </c>
      <c r="Y66" s="115">
        <f t="shared" si="199"/>
        <v>0</v>
      </c>
      <c r="Z66" s="115">
        <v>1</v>
      </c>
      <c r="AA66" s="115">
        <f t="shared" si="200"/>
        <v>0</v>
      </c>
      <c r="AB66" s="115">
        <f t="shared" si="201"/>
        <v>613.46249999999998</v>
      </c>
      <c r="AC66" s="115">
        <f t="shared" si="202"/>
        <v>920.19374999999991</v>
      </c>
      <c r="AD66" s="115">
        <f t="shared" si="203"/>
        <v>2017.25</v>
      </c>
      <c r="AE66" s="115">
        <f t="shared" si="183"/>
        <v>2018</v>
      </c>
      <c r="AF66" s="115">
        <f t="shared" si="204"/>
        <v>2020.25</v>
      </c>
      <c r="AG66" s="115">
        <f t="shared" si="185"/>
        <v>2017</v>
      </c>
      <c r="AH66" s="115">
        <f t="shared" si="205"/>
        <v>-8.3333333333333329E-2</v>
      </c>
      <c r="AJ66" s="144">
        <f t="shared" si="187"/>
        <v>0</v>
      </c>
      <c r="AK66" s="144"/>
      <c r="AL66" s="144">
        <f t="shared" si="188"/>
        <v>613.46249999999998</v>
      </c>
      <c r="AM66" s="144"/>
      <c r="AN66" s="144">
        <f t="shared" si="189"/>
        <v>0</v>
      </c>
      <c r="AO66" s="144"/>
      <c r="AP66" s="144">
        <f t="shared" si="190"/>
        <v>0</v>
      </c>
      <c r="AQ66" s="144"/>
      <c r="AR66" s="144">
        <f t="shared" si="191"/>
        <v>920.19374999999991</v>
      </c>
    </row>
    <row r="68" spans="1:44" s="35" customFormat="1">
      <c r="A68" s="1"/>
      <c r="B68" s="4"/>
      <c r="C68" s="32"/>
      <c r="D68" s="29"/>
      <c r="E68" s="3"/>
      <c r="F68" s="4"/>
      <c r="G68" s="30"/>
      <c r="H68" s="7"/>
      <c r="I68" s="14"/>
      <c r="J68" s="5"/>
      <c r="K68" s="13"/>
      <c r="N68" s="47"/>
      <c r="O68" s="3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37"/>
      <c r="AD68" s="7"/>
      <c r="AE68" s="7"/>
      <c r="AF68" s="7"/>
      <c r="AG68" s="7"/>
      <c r="AH68" s="7"/>
      <c r="AJ68" s="142"/>
      <c r="AK68" s="142"/>
      <c r="AL68" s="142"/>
      <c r="AM68" s="142"/>
      <c r="AN68" s="142"/>
      <c r="AO68" s="142"/>
      <c r="AP68" s="142"/>
      <c r="AQ68" s="142"/>
      <c r="AR68" s="142"/>
    </row>
    <row r="69" spans="1:44">
      <c r="B69" s="4"/>
      <c r="C69" s="32"/>
      <c r="D69" s="29"/>
      <c r="G69" s="30"/>
      <c r="H69" s="7"/>
      <c r="I69" s="14"/>
      <c r="K69" s="13"/>
      <c r="N69" s="102">
        <f>+SUM(N62:N68)</f>
        <v>87602.680000000008</v>
      </c>
      <c r="O69" s="104"/>
      <c r="P69" s="102">
        <f>+SUM(P62:P68)</f>
        <v>79025.320000000007</v>
      </c>
      <c r="Q69" s="102">
        <f>+SUM(Q62:Q68)</f>
        <v>2001.6517777777776</v>
      </c>
      <c r="R69" s="102">
        <f>+SUM(R62:R68)</f>
        <v>6461.8024999999998</v>
      </c>
      <c r="S69" s="105"/>
      <c r="T69" s="102">
        <f>+SUM(T62:T68)</f>
        <v>6461.8024999999998</v>
      </c>
      <c r="U69" s="105"/>
      <c r="V69" s="102">
        <f>+SUM(V62:V68)</f>
        <v>6461.8024999999998</v>
      </c>
      <c r="W69" s="105"/>
      <c r="X69" s="102">
        <f t="shared" ref="X69:AC69" si="206">+SUM(X62:X68)</f>
        <v>53178.11</v>
      </c>
      <c r="Y69" s="102">
        <f t="shared" si="206"/>
        <v>53178.11</v>
      </c>
      <c r="Z69" s="102">
        <f t="shared" si="206"/>
        <v>5</v>
      </c>
      <c r="AA69" s="102">
        <f t="shared" si="206"/>
        <v>53178.11</v>
      </c>
      <c r="AB69" s="102">
        <f t="shared" si="206"/>
        <v>59639.912499999999</v>
      </c>
      <c r="AC69" s="102">
        <f t="shared" si="206"/>
        <v>18270.063750000001</v>
      </c>
      <c r="AD69" s="105"/>
      <c r="AE69" s="105"/>
      <c r="AF69" s="105"/>
      <c r="AG69" s="105"/>
      <c r="AH69" s="105"/>
      <c r="AJ69" s="141">
        <f t="shared" ref="AJ69" si="207">+SUM(AJ62:AJ68)</f>
        <v>2859.1200000000003</v>
      </c>
      <c r="AK69" s="141">
        <f t="shared" ref="AK69" si="208">+SUM(AK62:AK68)</f>
        <v>0</v>
      </c>
      <c r="AL69" s="141">
        <f t="shared" ref="AL69" si="209">+SUM(AL62:AL68)</f>
        <v>9320.9225000000006</v>
      </c>
      <c r="AM69" s="141">
        <f t="shared" ref="AM69" si="210">+SUM(AM62:AM68)</f>
        <v>0</v>
      </c>
      <c r="AN69" s="141">
        <f t="shared" ref="AN69" si="211">+SUM(AN62:AN68)</f>
        <v>-8577.36</v>
      </c>
      <c r="AO69" s="141">
        <f t="shared" ref="AO69" si="212">+SUM(AO62:AO68)</f>
        <v>0</v>
      </c>
      <c r="AP69" s="141">
        <f t="shared" ref="AP69" si="213">+SUM(AP62:AP68)</f>
        <v>0</v>
      </c>
      <c r="AQ69" s="141">
        <f t="shared" ref="AQ69" si="214">+SUM(AQ62:AQ68)</f>
        <v>0</v>
      </c>
      <c r="AR69" s="141">
        <f t="shared" ref="AR69" si="215">+SUM(AR62:AR68)</f>
        <v>9692.7037500000006</v>
      </c>
    </row>
    <row r="70" spans="1:44" s="35" customFormat="1">
      <c r="B70" s="15"/>
      <c r="C70" s="9"/>
      <c r="D70" s="29"/>
      <c r="E70" s="12"/>
      <c r="F70" s="36"/>
      <c r="G70" s="36"/>
      <c r="H70" s="37"/>
      <c r="I70" s="36"/>
      <c r="J70" s="17"/>
      <c r="K70" s="12"/>
      <c r="N70" s="9"/>
      <c r="O70" s="38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J70" s="142"/>
      <c r="AK70" s="142"/>
      <c r="AL70" s="142"/>
      <c r="AM70" s="142"/>
      <c r="AN70" s="142"/>
      <c r="AO70" s="142"/>
      <c r="AP70" s="142"/>
      <c r="AQ70" s="142"/>
      <c r="AR70" s="142"/>
    </row>
    <row r="71" spans="1:44" s="35" customFormat="1">
      <c r="B71" s="15"/>
      <c r="C71" s="9"/>
      <c r="D71" s="2" t="s">
        <v>120</v>
      </c>
      <c r="E71" s="12"/>
      <c r="F71" s="36"/>
      <c r="G71" s="36"/>
      <c r="H71" s="37"/>
      <c r="I71" s="36"/>
      <c r="J71" s="17"/>
      <c r="K71" s="12"/>
      <c r="N71" s="9"/>
      <c r="O71" s="38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J71" s="142"/>
      <c r="AK71" s="142"/>
      <c r="AL71" s="142"/>
      <c r="AM71" s="142"/>
      <c r="AN71" s="142"/>
      <c r="AO71" s="142"/>
      <c r="AP71" s="142"/>
      <c r="AQ71" s="142"/>
      <c r="AR71" s="142"/>
    </row>
    <row r="72" spans="1:44">
      <c r="B72" s="4" t="s">
        <v>121</v>
      </c>
      <c r="C72" s="1">
        <v>28</v>
      </c>
      <c r="D72" s="29" t="s">
        <v>122</v>
      </c>
      <c r="E72" s="3">
        <v>2009</v>
      </c>
      <c r="F72" s="4">
        <v>7</v>
      </c>
      <c r="G72" s="30">
        <v>0.2</v>
      </c>
      <c r="H72" s="7"/>
      <c r="I72" s="14" t="s">
        <v>86</v>
      </c>
      <c r="J72" s="5">
        <v>7</v>
      </c>
      <c r="K72" s="13">
        <f>E72+J72</f>
        <v>2016</v>
      </c>
      <c r="N72" s="6">
        <v>250755</v>
      </c>
      <c r="O72" s="31"/>
      <c r="P72" s="7">
        <f t="shared" ref="P72:P81" si="216">N72-N72*G72</f>
        <v>200604</v>
      </c>
      <c r="Q72" s="7">
        <f t="shared" ref="Q72:Q81" si="217">P72/J72/12</f>
        <v>2388.1428571428573</v>
      </c>
      <c r="R72" s="7">
        <f t="shared" ref="R72:R81" si="218">IF(O72&gt;0,0,IF(OR(AD72&gt;AE72,AF72&lt;AG72),0,IF(AND(AF72&gt;=AG72,AF72&lt;=AE72),Q72*((AF72-AG72)*12),IF(AND(AG72&lt;=AD72,AE72&gt;=AD72),((AE72-AD72)*12)*Q72,IF(AF72&gt;AE72,12*Q72,0)))))</f>
        <v>0</v>
      </c>
      <c r="S72" s="7"/>
      <c r="T72" s="7">
        <f t="shared" ref="T72:T81" si="219">IF(S72&gt;0,S72,R72)</f>
        <v>0</v>
      </c>
      <c r="U72" s="7">
        <v>1</v>
      </c>
      <c r="V72" s="7">
        <f t="shared" ref="V72:V81" si="220">U72*SUM(R72:S72)</f>
        <v>0</v>
      </c>
      <c r="W72" s="7"/>
      <c r="X72" s="7">
        <f t="shared" ref="X72:X81" si="221">IF(AD72&gt;AE72,0,IF(AF72&lt;AG72,P72,IF(AND(AF72&gt;=AG72,AF72&lt;=AE72),(P72-T72),IF(AND(AG72&lt;=AD72,AE72&gt;=AD72),0,IF(AF72&gt;AE72,((AG72-AD72)*12)*Q72,0)))))</f>
        <v>200604</v>
      </c>
      <c r="Y72" s="7">
        <f t="shared" ref="Y72:Y81" si="222">X72*U72</f>
        <v>200604</v>
      </c>
      <c r="Z72" s="7">
        <v>1</v>
      </c>
      <c r="AA72" s="7">
        <f t="shared" ref="AA72:AA81" si="223">Y72*Z72</f>
        <v>200604</v>
      </c>
      <c r="AB72" s="7">
        <f t="shared" ref="AB72:AB81" si="224">IF(O72&gt;0,0,AA72+V72*Z72)*Z72</f>
        <v>200604</v>
      </c>
      <c r="AC72" s="7">
        <f t="shared" ref="AC72:AC81" si="225">IF(O72&gt;0,(N72-AA72)/2,IF(AD72&gt;=AG72,(((N72*U72)*Z72)-AB72)/2,((((N72*U72)*Z72)-AA72)+(((N72*U72)*Z72)-AB72))/2))</f>
        <v>50151</v>
      </c>
      <c r="AD72" s="7">
        <f t="shared" ref="AD72:AD83" si="226">$E72+(($F72-1)/12)</f>
        <v>2009.5</v>
      </c>
      <c r="AE72" s="7">
        <f t="shared" ref="AE72:AE82" si="227">($P$5+1)-($P$2/12)</f>
        <v>2018</v>
      </c>
      <c r="AF72" s="7">
        <f t="shared" ref="AF72:AF83" si="228">$K72+(($F72-1)/12)</f>
        <v>2016.5</v>
      </c>
      <c r="AG72" s="7">
        <f t="shared" ref="AG72:AG82" si="229">$P$4+($P$3/12)</f>
        <v>2017</v>
      </c>
      <c r="AH72" s="7">
        <f t="shared" ref="AH72:AH83" si="230">$L72+(($M72-1)/12)</f>
        <v>-8.3333333333333329E-2</v>
      </c>
      <c r="AJ72" s="144">
        <f t="shared" ref="AJ72:AJ83" si="231">+IF((AF72-AG72)&gt;3,((N72-P72)/(AF72-AG72)),(N72-P72)/3)</f>
        <v>16717</v>
      </c>
      <c r="AL72" s="144">
        <f t="shared" ref="AL72:AL83" si="232">+AJ72+R72</f>
        <v>16717</v>
      </c>
      <c r="AN72" s="144">
        <f t="shared" ref="AN72:AN83" si="233">+IF(AF72&lt;AG72,-AC72,0)</f>
        <v>-50151</v>
      </c>
      <c r="AP72" s="144">
        <f t="shared" ref="AP72:AP83" si="234">+IF(AF72&gt;AG72,IF(AJ72&gt;0,IF(O72&gt;0,(N72-AA72)/2,IF(AD72&gt;=AG72,(((N72*U72)*Z72)-(AB72+AJ72))/2,((((N72*U72)*Z72)-AA72)+(((N72*U72)*Z72)-(AB72+AJ72)))/2)),0),0)</f>
        <v>0</v>
      </c>
      <c r="AR72" s="144">
        <f t="shared" ref="AR72:AR83" si="235">+AC72+AN72+(IF(AP72&gt;0,(AP72-AC72),0))</f>
        <v>0</v>
      </c>
    </row>
    <row r="73" spans="1:44">
      <c r="B73" s="4" t="s">
        <v>121</v>
      </c>
      <c r="C73" s="1">
        <v>29</v>
      </c>
      <c r="D73" s="29" t="s">
        <v>122</v>
      </c>
      <c r="E73" s="3">
        <v>2009</v>
      </c>
      <c r="F73" s="4">
        <v>7</v>
      </c>
      <c r="G73" s="30">
        <v>0.2</v>
      </c>
      <c r="H73" s="7"/>
      <c r="I73" s="14" t="s">
        <v>86</v>
      </c>
      <c r="J73" s="5">
        <v>7</v>
      </c>
      <c r="K73" s="13">
        <f t="shared" ref="K73:K81" si="236">E73+J73</f>
        <v>2016</v>
      </c>
      <c r="N73" s="6">
        <v>249777</v>
      </c>
      <c r="O73" s="31"/>
      <c r="P73" s="7">
        <f t="shared" si="216"/>
        <v>199821.6</v>
      </c>
      <c r="Q73" s="7">
        <f t="shared" si="217"/>
        <v>2378.8285714285716</v>
      </c>
      <c r="R73" s="7">
        <f t="shared" si="218"/>
        <v>0</v>
      </c>
      <c r="S73" s="7"/>
      <c r="T73" s="7">
        <f t="shared" si="219"/>
        <v>0</v>
      </c>
      <c r="U73" s="7">
        <v>1</v>
      </c>
      <c r="V73" s="7">
        <f t="shared" si="220"/>
        <v>0</v>
      </c>
      <c r="W73" s="7"/>
      <c r="X73" s="7">
        <f t="shared" si="221"/>
        <v>199821.6</v>
      </c>
      <c r="Y73" s="7">
        <f t="shared" si="222"/>
        <v>199821.6</v>
      </c>
      <c r="Z73" s="7">
        <v>1</v>
      </c>
      <c r="AA73" s="7">
        <f t="shared" si="223"/>
        <v>199821.6</v>
      </c>
      <c r="AB73" s="7">
        <f t="shared" si="224"/>
        <v>199821.6</v>
      </c>
      <c r="AC73" s="7">
        <f t="shared" si="225"/>
        <v>49955.399999999994</v>
      </c>
      <c r="AD73" s="7">
        <f t="shared" si="226"/>
        <v>2009.5</v>
      </c>
      <c r="AE73" s="7">
        <f t="shared" si="227"/>
        <v>2018</v>
      </c>
      <c r="AF73" s="7">
        <f t="shared" si="228"/>
        <v>2016.5</v>
      </c>
      <c r="AG73" s="7">
        <f t="shared" si="229"/>
        <v>2017</v>
      </c>
      <c r="AH73" s="7">
        <f t="shared" si="230"/>
        <v>-8.3333333333333329E-2</v>
      </c>
      <c r="AJ73" s="144">
        <f t="shared" si="231"/>
        <v>16651.8</v>
      </c>
      <c r="AL73" s="144">
        <f t="shared" si="232"/>
        <v>16651.8</v>
      </c>
      <c r="AN73" s="144">
        <f t="shared" si="233"/>
        <v>-49955.399999999994</v>
      </c>
      <c r="AP73" s="144">
        <f t="shared" si="234"/>
        <v>0</v>
      </c>
      <c r="AR73" s="144">
        <f t="shared" si="235"/>
        <v>0</v>
      </c>
    </row>
    <row r="74" spans="1:44">
      <c r="B74" s="4" t="s">
        <v>121</v>
      </c>
      <c r="C74" s="1">
        <v>27</v>
      </c>
      <c r="D74" s="29" t="s">
        <v>123</v>
      </c>
      <c r="E74" s="3">
        <v>2009</v>
      </c>
      <c r="F74" s="4">
        <v>7</v>
      </c>
      <c r="G74" s="30">
        <v>0.2</v>
      </c>
      <c r="H74" s="7"/>
      <c r="I74" s="14" t="s">
        <v>86</v>
      </c>
      <c r="J74" s="5">
        <v>7</v>
      </c>
      <c r="K74" s="13">
        <f t="shared" si="236"/>
        <v>2016</v>
      </c>
      <c r="N74" s="6">
        <v>235798</v>
      </c>
      <c r="O74" s="31"/>
      <c r="P74" s="7">
        <f t="shared" si="216"/>
        <v>188638.4</v>
      </c>
      <c r="Q74" s="7">
        <f t="shared" si="217"/>
        <v>2245.695238095238</v>
      </c>
      <c r="R74" s="7">
        <f t="shared" si="218"/>
        <v>0</v>
      </c>
      <c r="S74" s="7"/>
      <c r="T74" s="7">
        <f t="shared" si="219"/>
        <v>0</v>
      </c>
      <c r="U74" s="7">
        <v>1</v>
      </c>
      <c r="V74" s="7">
        <f t="shared" si="220"/>
        <v>0</v>
      </c>
      <c r="W74" s="7"/>
      <c r="X74" s="7">
        <f t="shared" si="221"/>
        <v>188638.4</v>
      </c>
      <c r="Y74" s="7">
        <f t="shared" si="222"/>
        <v>188638.4</v>
      </c>
      <c r="Z74" s="7">
        <v>1</v>
      </c>
      <c r="AA74" s="7">
        <f t="shared" si="223"/>
        <v>188638.4</v>
      </c>
      <c r="AB74" s="7">
        <f t="shared" si="224"/>
        <v>188638.4</v>
      </c>
      <c r="AC74" s="7">
        <f t="shared" si="225"/>
        <v>47159.600000000006</v>
      </c>
      <c r="AD74" s="7">
        <f t="shared" si="226"/>
        <v>2009.5</v>
      </c>
      <c r="AE74" s="7">
        <f t="shared" si="227"/>
        <v>2018</v>
      </c>
      <c r="AF74" s="7">
        <f t="shared" si="228"/>
        <v>2016.5</v>
      </c>
      <c r="AG74" s="7">
        <f t="shared" si="229"/>
        <v>2017</v>
      </c>
      <c r="AH74" s="7">
        <f t="shared" si="230"/>
        <v>-8.3333333333333329E-2</v>
      </c>
      <c r="AJ74" s="144">
        <f t="shared" si="231"/>
        <v>15719.866666666669</v>
      </c>
      <c r="AL74" s="144">
        <f t="shared" si="232"/>
        <v>15719.866666666669</v>
      </c>
      <c r="AN74" s="144">
        <f t="shared" si="233"/>
        <v>-47159.600000000006</v>
      </c>
      <c r="AP74" s="144">
        <f t="shared" si="234"/>
        <v>0</v>
      </c>
      <c r="AR74" s="144">
        <f t="shared" si="235"/>
        <v>0</v>
      </c>
    </row>
    <row r="75" spans="1:44">
      <c r="B75" s="4"/>
      <c r="C75" s="44" t="s">
        <v>124</v>
      </c>
      <c r="D75" s="29" t="s">
        <v>125</v>
      </c>
      <c r="E75" s="3">
        <v>2009</v>
      </c>
      <c r="F75" s="4">
        <v>7</v>
      </c>
      <c r="G75" s="30">
        <v>0.2</v>
      </c>
      <c r="H75" s="7"/>
      <c r="I75" s="14" t="s">
        <v>86</v>
      </c>
      <c r="J75" s="5">
        <v>7</v>
      </c>
      <c r="K75" s="13">
        <f t="shared" si="236"/>
        <v>2016</v>
      </c>
      <c r="N75" s="6">
        <v>21561</v>
      </c>
      <c r="O75" s="31"/>
      <c r="P75" s="7">
        <f t="shared" si="216"/>
        <v>17248.8</v>
      </c>
      <c r="Q75" s="7">
        <f t="shared" si="217"/>
        <v>205.34285714285713</v>
      </c>
      <c r="R75" s="7">
        <f t="shared" si="218"/>
        <v>0</v>
      </c>
      <c r="S75" s="7"/>
      <c r="T75" s="7">
        <f t="shared" si="219"/>
        <v>0</v>
      </c>
      <c r="U75" s="7">
        <v>1</v>
      </c>
      <c r="V75" s="7">
        <f t="shared" si="220"/>
        <v>0</v>
      </c>
      <c r="W75" s="7"/>
      <c r="X75" s="7">
        <f t="shared" si="221"/>
        <v>17248.8</v>
      </c>
      <c r="Y75" s="7">
        <f t="shared" si="222"/>
        <v>17248.8</v>
      </c>
      <c r="Z75" s="7">
        <v>1</v>
      </c>
      <c r="AA75" s="7">
        <f t="shared" si="223"/>
        <v>17248.8</v>
      </c>
      <c r="AB75" s="7">
        <f t="shared" si="224"/>
        <v>17248.8</v>
      </c>
      <c r="AC75" s="7">
        <f t="shared" si="225"/>
        <v>4312.2000000000007</v>
      </c>
      <c r="AD75" s="7">
        <f t="shared" si="226"/>
        <v>2009.5</v>
      </c>
      <c r="AE75" s="7">
        <f t="shared" si="227"/>
        <v>2018</v>
      </c>
      <c r="AF75" s="7">
        <f t="shared" si="228"/>
        <v>2016.5</v>
      </c>
      <c r="AG75" s="7">
        <f t="shared" si="229"/>
        <v>2017</v>
      </c>
      <c r="AH75" s="7">
        <f t="shared" si="230"/>
        <v>-8.3333333333333329E-2</v>
      </c>
      <c r="AJ75" s="144">
        <f t="shared" si="231"/>
        <v>1437.4000000000003</v>
      </c>
      <c r="AL75" s="144">
        <f t="shared" si="232"/>
        <v>1437.4000000000003</v>
      </c>
      <c r="AN75" s="144">
        <f t="shared" si="233"/>
        <v>-4312.2000000000007</v>
      </c>
      <c r="AP75" s="144">
        <f t="shared" si="234"/>
        <v>0</v>
      </c>
      <c r="AR75" s="144">
        <f t="shared" si="235"/>
        <v>0</v>
      </c>
    </row>
    <row r="76" spans="1:44">
      <c r="B76" s="4"/>
      <c r="C76" s="1">
        <v>8008</v>
      </c>
      <c r="D76" s="29" t="s">
        <v>126</v>
      </c>
      <c r="E76" s="3">
        <v>2009</v>
      </c>
      <c r="F76" s="4">
        <v>7</v>
      </c>
      <c r="G76" s="30">
        <v>0.2</v>
      </c>
      <c r="H76" s="7"/>
      <c r="I76" s="14" t="s">
        <v>86</v>
      </c>
      <c r="J76" s="5">
        <v>7</v>
      </c>
      <c r="K76" s="13">
        <f t="shared" si="236"/>
        <v>2016</v>
      </c>
      <c r="N76" s="6">
        <v>6959</v>
      </c>
      <c r="O76" s="31"/>
      <c r="P76" s="7">
        <f t="shared" si="216"/>
        <v>5567.2</v>
      </c>
      <c r="Q76" s="7">
        <f t="shared" si="217"/>
        <v>66.276190476190479</v>
      </c>
      <c r="R76" s="7">
        <f t="shared" si="218"/>
        <v>0</v>
      </c>
      <c r="S76" s="7"/>
      <c r="T76" s="7">
        <f t="shared" si="219"/>
        <v>0</v>
      </c>
      <c r="U76" s="7">
        <v>1</v>
      </c>
      <c r="V76" s="7">
        <f t="shared" si="220"/>
        <v>0</v>
      </c>
      <c r="W76" s="7"/>
      <c r="X76" s="7">
        <f t="shared" si="221"/>
        <v>5567.2</v>
      </c>
      <c r="Y76" s="7">
        <f t="shared" si="222"/>
        <v>5567.2</v>
      </c>
      <c r="Z76" s="7">
        <v>1</v>
      </c>
      <c r="AA76" s="7">
        <f t="shared" si="223"/>
        <v>5567.2</v>
      </c>
      <c r="AB76" s="7">
        <f t="shared" si="224"/>
        <v>5567.2</v>
      </c>
      <c r="AC76" s="7">
        <f t="shared" si="225"/>
        <v>1391.8000000000002</v>
      </c>
      <c r="AD76" s="7">
        <f t="shared" si="226"/>
        <v>2009.5</v>
      </c>
      <c r="AE76" s="7">
        <f t="shared" si="227"/>
        <v>2018</v>
      </c>
      <c r="AF76" s="7">
        <f t="shared" si="228"/>
        <v>2016.5</v>
      </c>
      <c r="AG76" s="7">
        <f t="shared" si="229"/>
        <v>2017</v>
      </c>
      <c r="AH76" s="7">
        <f t="shared" si="230"/>
        <v>-8.3333333333333329E-2</v>
      </c>
      <c r="AJ76" s="144">
        <f t="shared" si="231"/>
        <v>463.93333333333339</v>
      </c>
      <c r="AL76" s="144">
        <f t="shared" si="232"/>
        <v>463.93333333333339</v>
      </c>
      <c r="AN76" s="144">
        <f t="shared" si="233"/>
        <v>-1391.8000000000002</v>
      </c>
      <c r="AP76" s="144">
        <f t="shared" si="234"/>
        <v>0</v>
      </c>
      <c r="AR76" s="144">
        <f t="shared" si="235"/>
        <v>0</v>
      </c>
    </row>
    <row r="77" spans="1:44">
      <c r="B77" s="4" t="s">
        <v>127</v>
      </c>
      <c r="C77" s="32">
        <v>8010</v>
      </c>
      <c r="D77" s="29" t="s">
        <v>128</v>
      </c>
      <c r="E77" s="3">
        <v>2009</v>
      </c>
      <c r="F77" s="4">
        <v>7</v>
      </c>
      <c r="G77" s="30">
        <v>0.2</v>
      </c>
      <c r="H77" s="7"/>
      <c r="I77" s="14" t="s">
        <v>86</v>
      </c>
      <c r="J77" s="5">
        <v>7</v>
      </c>
      <c r="K77" s="13">
        <f t="shared" si="236"/>
        <v>2016</v>
      </c>
      <c r="N77" s="6">
        <v>72932</v>
      </c>
      <c r="O77" s="31"/>
      <c r="P77" s="7">
        <f t="shared" si="216"/>
        <v>58345.599999999999</v>
      </c>
      <c r="Q77" s="7">
        <f t="shared" si="217"/>
        <v>694.59047619047624</v>
      </c>
      <c r="R77" s="7">
        <f t="shared" si="218"/>
        <v>0</v>
      </c>
      <c r="S77" s="7"/>
      <c r="T77" s="7">
        <f t="shared" si="219"/>
        <v>0</v>
      </c>
      <c r="U77" s="7">
        <v>1</v>
      </c>
      <c r="V77" s="7">
        <f t="shared" si="220"/>
        <v>0</v>
      </c>
      <c r="W77" s="7"/>
      <c r="X77" s="7">
        <f t="shared" si="221"/>
        <v>58345.599999999999</v>
      </c>
      <c r="Y77" s="7">
        <f t="shared" si="222"/>
        <v>58345.599999999999</v>
      </c>
      <c r="Z77" s="7">
        <v>1</v>
      </c>
      <c r="AA77" s="7">
        <f t="shared" si="223"/>
        <v>58345.599999999999</v>
      </c>
      <c r="AB77" s="7">
        <f t="shared" si="224"/>
        <v>58345.599999999999</v>
      </c>
      <c r="AC77" s="7">
        <f t="shared" si="225"/>
        <v>14586.400000000001</v>
      </c>
      <c r="AD77" s="7">
        <f t="shared" si="226"/>
        <v>2009.5</v>
      </c>
      <c r="AE77" s="7">
        <f t="shared" si="227"/>
        <v>2018</v>
      </c>
      <c r="AF77" s="7">
        <f t="shared" si="228"/>
        <v>2016.5</v>
      </c>
      <c r="AG77" s="7">
        <f t="shared" si="229"/>
        <v>2017</v>
      </c>
      <c r="AH77" s="7">
        <f t="shared" si="230"/>
        <v>-8.3333333333333329E-2</v>
      </c>
      <c r="AJ77" s="144">
        <f t="shared" si="231"/>
        <v>4862.1333333333341</v>
      </c>
      <c r="AL77" s="144">
        <f t="shared" si="232"/>
        <v>4862.1333333333341</v>
      </c>
      <c r="AN77" s="144">
        <f t="shared" si="233"/>
        <v>-14586.400000000001</v>
      </c>
      <c r="AP77" s="144">
        <f t="shared" si="234"/>
        <v>0</v>
      </c>
      <c r="AR77" s="144">
        <f t="shared" si="235"/>
        <v>0</v>
      </c>
    </row>
    <row r="78" spans="1:44">
      <c r="B78" s="4" t="s">
        <v>2</v>
      </c>
      <c r="C78" s="32">
        <v>4</v>
      </c>
      <c r="D78" s="29" t="s">
        <v>129</v>
      </c>
      <c r="E78" s="3">
        <v>2010</v>
      </c>
      <c r="F78" s="4">
        <v>3</v>
      </c>
      <c r="G78" s="30">
        <v>0.2</v>
      </c>
      <c r="H78" s="7"/>
      <c r="I78" s="14" t="s">
        <v>86</v>
      </c>
      <c r="J78" s="5">
        <v>7</v>
      </c>
      <c r="K78" s="13">
        <f t="shared" si="236"/>
        <v>2017</v>
      </c>
      <c r="N78" s="6">
        <f>776.09*4</f>
        <v>3104.36</v>
      </c>
      <c r="O78" s="31"/>
      <c r="P78" s="7">
        <f t="shared" si="216"/>
        <v>2483.4880000000003</v>
      </c>
      <c r="Q78" s="7">
        <f t="shared" si="217"/>
        <v>29.565333333333339</v>
      </c>
      <c r="R78" s="7">
        <f t="shared" si="218"/>
        <v>59.130666666693564</v>
      </c>
      <c r="S78" s="7"/>
      <c r="T78" s="7">
        <f t="shared" si="219"/>
        <v>59.130666666693564</v>
      </c>
      <c r="U78" s="7">
        <v>1</v>
      </c>
      <c r="V78" s="7">
        <f t="shared" si="220"/>
        <v>59.130666666693564</v>
      </c>
      <c r="W78" s="7"/>
      <c r="X78" s="7">
        <f t="shared" si="221"/>
        <v>2424.3573333333065</v>
      </c>
      <c r="Y78" s="7">
        <f t="shared" si="222"/>
        <v>2424.3573333333065</v>
      </c>
      <c r="Z78" s="7">
        <v>1</v>
      </c>
      <c r="AA78" s="7">
        <f t="shared" si="223"/>
        <v>2424.3573333333065</v>
      </c>
      <c r="AB78" s="7">
        <f t="shared" si="224"/>
        <v>2483.4880000000003</v>
      </c>
      <c r="AC78" s="7">
        <f t="shared" si="225"/>
        <v>650.43733333334671</v>
      </c>
      <c r="AD78" s="7">
        <f t="shared" si="226"/>
        <v>2010.1666666666667</v>
      </c>
      <c r="AE78" s="7">
        <f t="shared" si="227"/>
        <v>2018</v>
      </c>
      <c r="AF78" s="7">
        <f t="shared" si="228"/>
        <v>2017.1666666666667</v>
      </c>
      <c r="AG78" s="7">
        <f t="shared" si="229"/>
        <v>2017</v>
      </c>
      <c r="AH78" s="7">
        <f t="shared" si="230"/>
        <v>-8.3333333333333329E-2</v>
      </c>
      <c r="AJ78" s="144">
        <f t="shared" si="231"/>
        <v>206.95733333333328</v>
      </c>
      <c r="AL78" s="144">
        <f t="shared" si="232"/>
        <v>266.08800000002685</v>
      </c>
      <c r="AN78" s="144">
        <f t="shared" si="233"/>
        <v>0</v>
      </c>
      <c r="AP78" s="144">
        <f t="shared" si="234"/>
        <v>546.95866666668007</v>
      </c>
      <c r="AR78" s="144">
        <f t="shared" si="235"/>
        <v>546.95866666668007</v>
      </c>
    </row>
    <row r="79" spans="1:44">
      <c r="A79" s="1">
        <v>95491</v>
      </c>
      <c r="B79" s="4" t="s">
        <v>2</v>
      </c>
      <c r="C79" s="32" t="s">
        <v>124</v>
      </c>
      <c r="D79" s="29" t="s">
        <v>107</v>
      </c>
      <c r="E79" s="3">
        <v>2012</v>
      </c>
      <c r="F79" s="4">
        <v>7</v>
      </c>
      <c r="G79" s="30">
        <v>0.2</v>
      </c>
      <c r="H79" s="7"/>
      <c r="I79" s="14" t="s">
        <v>86</v>
      </c>
      <c r="J79" s="5">
        <v>7</v>
      </c>
      <c r="K79" s="13">
        <f t="shared" si="236"/>
        <v>2019</v>
      </c>
      <c r="N79" s="6">
        <f>595</f>
        <v>595</v>
      </c>
      <c r="O79" s="31"/>
      <c r="P79" s="7">
        <f t="shared" si="216"/>
        <v>476</v>
      </c>
      <c r="Q79" s="7">
        <f t="shared" si="217"/>
        <v>5.666666666666667</v>
      </c>
      <c r="R79" s="7">
        <f t="shared" si="218"/>
        <v>68</v>
      </c>
      <c r="S79" s="7"/>
      <c r="T79" s="7">
        <f t="shared" si="219"/>
        <v>68</v>
      </c>
      <c r="U79" s="7">
        <v>1</v>
      </c>
      <c r="V79" s="7">
        <f t="shared" si="220"/>
        <v>68</v>
      </c>
      <c r="W79" s="7"/>
      <c r="X79" s="7">
        <f t="shared" si="221"/>
        <v>306</v>
      </c>
      <c r="Y79" s="7">
        <f t="shared" si="222"/>
        <v>306</v>
      </c>
      <c r="Z79" s="7">
        <v>1</v>
      </c>
      <c r="AA79" s="7">
        <f t="shared" si="223"/>
        <v>306</v>
      </c>
      <c r="AB79" s="7">
        <f t="shared" si="224"/>
        <v>374</v>
      </c>
      <c r="AC79" s="7">
        <f t="shared" si="225"/>
        <v>255</v>
      </c>
      <c r="AD79" s="7">
        <f t="shared" si="226"/>
        <v>2012.5</v>
      </c>
      <c r="AE79" s="7">
        <f t="shared" si="227"/>
        <v>2018</v>
      </c>
      <c r="AF79" s="7">
        <f t="shared" si="228"/>
        <v>2019.5</v>
      </c>
      <c r="AG79" s="7">
        <f t="shared" si="229"/>
        <v>2017</v>
      </c>
      <c r="AH79" s="7">
        <f t="shared" si="230"/>
        <v>-8.3333333333333329E-2</v>
      </c>
      <c r="AJ79" s="144">
        <f t="shared" si="231"/>
        <v>39.666666666666664</v>
      </c>
      <c r="AL79" s="144">
        <f t="shared" si="232"/>
        <v>107.66666666666666</v>
      </c>
      <c r="AN79" s="144">
        <f t="shared" si="233"/>
        <v>0</v>
      </c>
      <c r="AP79" s="144">
        <f t="shared" si="234"/>
        <v>235.16666666666666</v>
      </c>
      <c r="AR79" s="144">
        <f t="shared" si="235"/>
        <v>235.16666666666666</v>
      </c>
    </row>
    <row r="80" spans="1:44">
      <c r="A80" s="1">
        <v>131544</v>
      </c>
      <c r="B80" s="4"/>
      <c r="C80" s="32"/>
      <c r="D80" s="29" t="s">
        <v>339</v>
      </c>
      <c r="E80" s="3">
        <v>2016</v>
      </c>
      <c r="F80" s="4">
        <v>3</v>
      </c>
      <c r="G80" s="30">
        <v>0</v>
      </c>
      <c r="H80" s="7"/>
      <c r="I80" s="14" t="s">
        <v>86</v>
      </c>
      <c r="J80" s="5">
        <v>1</v>
      </c>
      <c r="K80" s="13">
        <f t="shared" si="236"/>
        <v>2017</v>
      </c>
      <c r="N80" s="33">
        <f>5975.04/24*3</f>
        <v>746.88</v>
      </c>
      <c r="O80" s="31"/>
      <c r="P80" s="7">
        <f t="shared" si="216"/>
        <v>746.88</v>
      </c>
      <c r="Q80" s="7">
        <f t="shared" si="217"/>
        <v>62.24</v>
      </c>
      <c r="R80" s="7">
        <f t="shared" si="218"/>
        <v>124.48000000005661</v>
      </c>
      <c r="S80" s="7"/>
      <c r="T80" s="7">
        <f t="shared" si="219"/>
        <v>124.48000000005661</v>
      </c>
      <c r="U80" s="7">
        <v>1</v>
      </c>
      <c r="V80" s="7">
        <f t="shared" si="220"/>
        <v>124.48000000005661</v>
      </c>
      <c r="W80" s="7"/>
      <c r="X80" s="7">
        <f t="shared" si="221"/>
        <v>622.39999999994336</v>
      </c>
      <c r="Y80" s="7">
        <f t="shared" si="222"/>
        <v>622.39999999994336</v>
      </c>
      <c r="Z80" s="7">
        <v>1</v>
      </c>
      <c r="AA80" s="7">
        <f t="shared" si="223"/>
        <v>622.39999999994336</v>
      </c>
      <c r="AB80" s="7">
        <f t="shared" si="224"/>
        <v>746.88</v>
      </c>
      <c r="AC80" s="7">
        <f t="shared" si="225"/>
        <v>62.240000000028317</v>
      </c>
      <c r="AD80" s="7">
        <f t="shared" si="226"/>
        <v>2016.1666666666667</v>
      </c>
      <c r="AE80" s="7">
        <f t="shared" si="227"/>
        <v>2018</v>
      </c>
      <c r="AF80" s="7">
        <f t="shared" si="228"/>
        <v>2017.1666666666667</v>
      </c>
      <c r="AG80" s="7">
        <f t="shared" si="229"/>
        <v>2017</v>
      </c>
      <c r="AH80" s="7">
        <f t="shared" si="230"/>
        <v>-8.3333333333333329E-2</v>
      </c>
      <c r="AJ80" s="144">
        <f t="shared" si="231"/>
        <v>0</v>
      </c>
      <c r="AL80" s="144">
        <f t="shared" si="232"/>
        <v>124.48000000005661</v>
      </c>
      <c r="AN80" s="144">
        <f t="shared" si="233"/>
        <v>0</v>
      </c>
      <c r="AP80" s="144">
        <f t="shared" si="234"/>
        <v>0</v>
      </c>
      <c r="AR80" s="144">
        <f t="shared" si="235"/>
        <v>62.240000000028317</v>
      </c>
    </row>
    <row r="81" spans="1:76">
      <c r="A81" s="1">
        <v>165805</v>
      </c>
      <c r="B81" s="4"/>
      <c r="C81" s="32"/>
      <c r="D81" s="29" t="s">
        <v>346</v>
      </c>
      <c r="E81" s="3">
        <v>2016</v>
      </c>
      <c r="F81" s="4">
        <v>6</v>
      </c>
      <c r="G81" s="30">
        <v>0</v>
      </c>
      <c r="H81" s="7"/>
      <c r="I81" s="14" t="s">
        <v>86</v>
      </c>
      <c r="J81" s="5">
        <v>1</v>
      </c>
      <c r="K81" s="13">
        <f t="shared" si="236"/>
        <v>2017</v>
      </c>
      <c r="N81" s="33">
        <f>6255.46/30*3</f>
        <v>625.54600000000005</v>
      </c>
      <c r="O81" s="31"/>
      <c r="P81" s="7">
        <f t="shared" si="216"/>
        <v>625.54600000000005</v>
      </c>
      <c r="Q81" s="7">
        <f t="shared" si="217"/>
        <v>52.12883333333334</v>
      </c>
      <c r="R81" s="7">
        <f t="shared" si="218"/>
        <v>260.64416666671411</v>
      </c>
      <c r="S81" s="7"/>
      <c r="T81" s="7">
        <f t="shared" si="219"/>
        <v>260.64416666671411</v>
      </c>
      <c r="U81" s="7">
        <v>1</v>
      </c>
      <c r="V81" s="7">
        <f t="shared" si="220"/>
        <v>260.64416666671411</v>
      </c>
      <c r="W81" s="7"/>
      <c r="X81" s="7">
        <f t="shared" si="221"/>
        <v>364.90183333328594</v>
      </c>
      <c r="Y81" s="7">
        <f t="shared" si="222"/>
        <v>364.90183333328594</v>
      </c>
      <c r="Z81" s="7">
        <v>1</v>
      </c>
      <c r="AA81" s="7">
        <f t="shared" si="223"/>
        <v>364.90183333328594</v>
      </c>
      <c r="AB81" s="7">
        <f t="shared" si="224"/>
        <v>625.54600000000005</v>
      </c>
      <c r="AC81" s="7">
        <f t="shared" si="225"/>
        <v>130.32208333335706</v>
      </c>
      <c r="AD81" s="7">
        <f t="shared" si="226"/>
        <v>2016.4166666666667</v>
      </c>
      <c r="AE81" s="7">
        <f t="shared" si="227"/>
        <v>2018</v>
      </c>
      <c r="AF81" s="7">
        <f t="shared" si="228"/>
        <v>2017.4166666666667</v>
      </c>
      <c r="AG81" s="7">
        <f t="shared" si="229"/>
        <v>2017</v>
      </c>
      <c r="AH81" s="7">
        <f t="shared" si="230"/>
        <v>-8.3333333333333329E-2</v>
      </c>
      <c r="AJ81" s="144">
        <f t="shared" si="231"/>
        <v>0</v>
      </c>
      <c r="AL81" s="144">
        <f t="shared" si="232"/>
        <v>260.64416666671411</v>
      </c>
      <c r="AN81" s="144">
        <f t="shared" si="233"/>
        <v>0</v>
      </c>
      <c r="AP81" s="144">
        <f t="shared" si="234"/>
        <v>0</v>
      </c>
      <c r="AR81" s="144">
        <f t="shared" si="235"/>
        <v>130.32208333335706</v>
      </c>
    </row>
    <row r="82" spans="1:76">
      <c r="A82" s="1">
        <v>169240</v>
      </c>
      <c r="B82" s="4" t="s">
        <v>127</v>
      </c>
      <c r="C82" s="32"/>
      <c r="D82" s="29" t="s">
        <v>357</v>
      </c>
      <c r="E82" s="3">
        <v>2016</v>
      </c>
      <c r="F82" s="4">
        <v>10</v>
      </c>
      <c r="G82" s="30">
        <v>0</v>
      </c>
      <c r="H82" s="7"/>
      <c r="I82" s="14" t="s">
        <v>86</v>
      </c>
      <c r="J82" s="5">
        <v>5</v>
      </c>
      <c r="K82" s="13">
        <f t="shared" ref="K82:K83" si="237">E82+J82</f>
        <v>2021</v>
      </c>
      <c r="M82" s="1">
        <v>45489</v>
      </c>
      <c r="N82" s="34">
        <v>45489</v>
      </c>
      <c r="O82" s="31"/>
      <c r="P82" s="7">
        <f t="shared" ref="P82:P83" si="238">N82-N82*G82</f>
        <v>45489</v>
      </c>
      <c r="Q82" s="7">
        <f t="shared" ref="Q82:Q83" si="239">P82/J82/12</f>
        <v>758.15</v>
      </c>
      <c r="R82" s="7">
        <f t="shared" ref="R82:R83" si="240">IF(O82&gt;0,0,IF(OR(AD82&gt;AE82,AF82&lt;AG82),0,IF(AND(AF82&gt;=AG82,AF82&lt;=AE82),Q82*((AF82-AG82)*12),IF(AND(AG82&lt;=AD82,AE82&gt;=AD82),((AE82-AD82)*12)*Q82,IF(AF82&gt;AE82,12*Q82,0)))))</f>
        <v>9097.7999999999993</v>
      </c>
      <c r="S82" s="7"/>
      <c r="T82" s="7">
        <f t="shared" ref="T82:T83" si="241">IF(S82&gt;0,S82,R82)</f>
        <v>9097.7999999999993</v>
      </c>
      <c r="U82" s="7">
        <v>1</v>
      </c>
      <c r="V82" s="7">
        <f t="shared" ref="V82:V83" si="242">U82*SUM(R82:S82)</f>
        <v>9097.7999999999993</v>
      </c>
      <c r="W82" s="7"/>
      <c r="X82" s="7">
        <f t="shared" ref="X82:X83" si="243">IF(AD82&gt;AE82,0,IF(AF82&lt;AG82,P82,IF(AND(AF82&gt;=AG82,AF82&lt;=AE82),(P82-T82),IF(AND(AG82&lt;=AD82,AE82&gt;=AD82),0,IF(AF82&gt;AE82,((AG82-AD82)*12)*Q82,0)))))</f>
        <v>2274.4499999999998</v>
      </c>
      <c r="Y82" s="7">
        <f t="shared" ref="Y82:Y83" si="244">X82*U82</f>
        <v>2274.4499999999998</v>
      </c>
      <c r="Z82" s="7">
        <v>1</v>
      </c>
      <c r="AA82" s="7">
        <f t="shared" ref="AA82:AA83" si="245">Y82*Z82</f>
        <v>2274.4499999999998</v>
      </c>
      <c r="AB82" s="7">
        <f t="shared" ref="AB82:AB83" si="246">IF(O82&gt;0,0,AA82+V82*Z82)*Z82</f>
        <v>11372.25</v>
      </c>
      <c r="AC82" s="7">
        <f t="shared" ref="AC82:AC83" si="247">IF(O82&gt;0,(N82-AA82)/2,IF(AD82&gt;=AG82,(((N82*U82)*Z82)-AB82)/2,((((N82*U82)*Z82)-AA82)+(((N82*U82)*Z82)-AB82))/2))</f>
        <v>38665.65</v>
      </c>
      <c r="AD82" s="7">
        <f t="shared" si="226"/>
        <v>2016.75</v>
      </c>
      <c r="AE82" s="7">
        <f t="shared" si="227"/>
        <v>2018</v>
      </c>
      <c r="AF82" s="7">
        <f t="shared" si="228"/>
        <v>2021.75</v>
      </c>
      <c r="AG82" s="7">
        <f t="shared" si="229"/>
        <v>2017</v>
      </c>
      <c r="AH82" s="7">
        <f t="shared" si="230"/>
        <v>3790.6666666666665</v>
      </c>
      <c r="AJ82" s="144">
        <f t="shared" si="231"/>
        <v>0</v>
      </c>
      <c r="AL82" s="144">
        <f t="shared" si="232"/>
        <v>9097.7999999999993</v>
      </c>
      <c r="AN82" s="144">
        <f t="shared" si="233"/>
        <v>0</v>
      </c>
      <c r="AP82" s="144">
        <f t="shared" si="234"/>
        <v>0</v>
      </c>
      <c r="AR82" s="144">
        <f t="shared" si="235"/>
        <v>38665.65</v>
      </c>
    </row>
    <row r="83" spans="1:76">
      <c r="A83" s="1">
        <v>171078</v>
      </c>
      <c r="B83" s="4"/>
      <c r="C83" s="32"/>
      <c r="D83" s="29" t="s">
        <v>356</v>
      </c>
      <c r="E83" s="3">
        <v>2016</v>
      </c>
      <c r="F83" s="4">
        <v>12</v>
      </c>
      <c r="G83" s="30">
        <v>0</v>
      </c>
      <c r="H83" s="7"/>
      <c r="I83" s="14" t="s">
        <v>86</v>
      </c>
      <c r="J83" s="5">
        <v>5</v>
      </c>
      <c r="K83" s="13">
        <f t="shared" si="237"/>
        <v>2021</v>
      </c>
      <c r="N83" s="34">
        <f>22670.1/26*4</f>
        <v>3487.707692307692</v>
      </c>
      <c r="O83" s="31"/>
      <c r="P83" s="7">
        <f t="shared" si="238"/>
        <v>3487.707692307692</v>
      </c>
      <c r="Q83" s="7">
        <f t="shared" si="239"/>
        <v>58.128461538461529</v>
      </c>
      <c r="R83" s="7">
        <f t="shared" si="240"/>
        <v>697.54153846153838</v>
      </c>
      <c r="S83" s="7"/>
      <c r="T83" s="7">
        <f t="shared" si="241"/>
        <v>697.54153846153838</v>
      </c>
      <c r="U83" s="7">
        <v>1</v>
      </c>
      <c r="V83" s="7">
        <f t="shared" si="242"/>
        <v>697.54153846153838</v>
      </c>
      <c r="W83" s="7"/>
      <c r="X83" s="7">
        <f t="shared" si="243"/>
        <v>58.128461538408665</v>
      </c>
      <c r="Y83" s="7">
        <f t="shared" si="244"/>
        <v>58.128461538408665</v>
      </c>
      <c r="Z83" s="7">
        <v>1</v>
      </c>
      <c r="AA83" s="7">
        <f t="shared" si="245"/>
        <v>58.128461538408665</v>
      </c>
      <c r="AB83" s="7">
        <f t="shared" si="246"/>
        <v>755.66999999994709</v>
      </c>
      <c r="AC83" s="7">
        <f t="shared" si="247"/>
        <v>3080.8084615385142</v>
      </c>
      <c r="AD83" s="7">
        <f t="shared" si="226"/>
        <v>2016.9166666666667</v>
      </c>
      <c r="AE83" s="7">
        <f t="shared" si="12"/>
        <v>2018</v>
      </c>
      <c r="AF83" s="7">
        <f t="shared" si="228"/>
        <v>2021.9166666666667</v>
      </c>
      <c r="AG83" s="7">
        <f t="shared" si="14"/>
        <v>2017</v>
      </c>
      <c r="AH83" s="7">
        <f t="shared" si="230"/>
        <v>-8.3333333333333329E-2</v>
      </c>
      <c r="AJ83" s="144">
        <f t="shared" si="231"/>
        <v>0</v>
      </c>
      <c r="AL83" s="144">
        <f t="shared" si="232"/>
        <v>697.54153846153838</v>
      </c>
      <c r="AN83" s="144">
        <f t="shared" si="233"/>
        <v>0</v>
      </c>
      <c r="AP83" s="144">
        <f t="shared" si="234"/>
        <v>0</v>
      </c>
      <c r="AR83" s="144">
        <f t="shared" si="235"/>
        <v>3080.8084615385142</v>
      </c>
    </row>
    <row r="85" spans="1:76">
      <c r="B85" s="4"/>
      <c r="C85" s="4"/>
      <c r="D85" s="29"/>
      <c r="G85" s="30"/>
      <c r="H85" s="7"/>
      <c r="I85" s="14"/>
      <c r="K85" s="13"/>
      <c r="O85" s="31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76">
      <c r="B86" s="4"/>
      <c r="D86" s="40" t="s">
        <v>130</v>
      </c>
      <c r="G86" s="30"/>
      <c r="H86" s="7"/>
      <c r="I86" s="14"/>
      <c r="K86" s="13"/>
      <c r="N86" s="102">
        <f>SUM(N72:N85)</f>
        <v>891830.49369230762</v>
      </c>
      <c r="O86" s="104"/>
      <c r="P86" s="103">
        <f t="shared" ref="P86:AC86" si="248">SUM(P72:P85)</f>
        <v>723534.22169230762</v>
      </c>
      <c r="Q86" s="103">
        <f t="shared" si="248"/>
        <v>8944.7554853479851</v>
      </c>
      <c r="R86" s="103">
        <f t="shared" si="248"/>
        <v>10307.596371795002</v>
      </c>
      <c r="S86" s="103">
        <f t="shared" si="248"/>
        <v>0</v>
      </c>
      <c r="T86" s="103">
        <f t="shared" si="248"/>
        <v>10307.596371795002</v>
      </c>
      <c r="U86" s="103">
        <f t="shared" si="248"/>
        <v>12</v>
      </c>
      <c r="V86" s="103">
        <f t="shared" si="248"/>
        <v>10307.596371795002</v>
      </c>
      <c r="W86" s="103">
        <f t="shared" si="248"/>
        <v>0</v>
      </c>
      <c r="X86" s="103">
        <f t="shared" si="248"/>
        <v>676275.83762820496</v>
      </c>
      <c r="Y86" s="103">
        <f t="shared" si="248"/>
        <v>676275.83762820496</v>
      </c>
      <c r="Z86" s="103">
        <f t="shared" si="248"/>
        <v>12</v>
      </c>
      <c r="AA86" s="103">
        <f t="shared" si="248"/>
        <v>676275.83762820496</v>
      </c>
      <c r="AB86" s="103">
        <f t="shared" si="248"/>
        <v>686583.43399999989</v>
      </c>
      <c r="AC86" s="103">
        <f t="shared" si="248"/>
        <v>210400.85787820522</v>
      </c>
      <c r="AD86" s="105"/>
      <c r="AE86" s="105"/>
      <c r="AF86" s="105"/>
      <c r="AG86" s="105"/>
      <c r="AH86" s="105"/>
      <c r="AJ86" s="141">
        <f t="shared" ref="AJ86:AR86" si="249">SUM(AJ72:AJ85)</f>
        <v>56098.757333333335</v>
      </c>
      <c r="AK86" s="141">
        <f t="shared" si="249"/>
        <v>0</v>
      </c>
      <c r="AL86" s="141">
        <f t="shared" si="249"/>
        <v>66406.353705128335</v>
      </c>
      <c r="AM86" s="141">
        <f t="shared" si="249"/>
        <v>0</v>
      </c>
      <c r="AN86" s="141">
        <f t="shared" si="249"/>
        <v>-167556.4</v>
      </c>
      <c r="AO86" s="141">
        <f t="shared" si="249"/>
        <v>0</v>
      </c>
      <c r="AP86" s="141">
        <f t="shared" si="249"/>
        <v>782.1253333333467</v>
      </c>
      <c r="AQ86" s="141">
        <f t="shared" si="249"/>
        <v>0</v>
      </c>
      <c r="AR86" s="141">
        <f t="shared" si="249"/>
        <v>42721.14587820525</v>
      </c>
    </row>
    <row r="87" spans="1:76">
      <c r="B87" s="45"/>
      <c r="D87" s="29"/>
      <c r="G87" s="30"/>
      <c r="H87" s="7"/>
      <c r="I87" s="46"/>
      <c r="K87" s="13"/>
      <c r="O87" s="31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76">
      <c r="B88" s="4"/>
      <c r="C88" s="47"/>
      <c r="D88" s="7"/>
      <c r="E88" s="13"/>
      <c r="F88" s="14"/>
      <c r="G88" s="14"/>
      <c r="H88" s="7"/>
      <c r="I88" s="14"/>
      <c r="K88" s="13"/>
      <c r="N88" s="47">
        <f>N24+N44+N78+N95</f>
        <v>17074</v>
      </c>
      <c r="O88" s="31">
        <v>0</v>
      </c>
      <c r="P88" s="7">
        <f>N88+776.09</f>
        <v>17850.09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76">
      <c r="B89" s="4"/>
      <c r="D89" s="2" t="s">
        <v>131</v>
      </c>
      <c r="H89" s="7"/>
      <c r="I89" s="14"/>
      <c r="K89" s="13"/>
      <c r="N89" s="48"/>
      <c r="O89" s="49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76">
      <c r="B90" s="4" t="s">
        <v>132</v>
      </c>
      <c r="C90" s="1">
        <v>20</v>
      </c>
      <c r="D90" s="39" t="s">
        <v>133</v>
      </c>
      <c r="E90" s="3">
        <v>1999</v>
      </c>
      <c r="F90" s="4">
        <v>12</v>
      </c>
      <c r="G90" s="30">
        <v>0.33</v>
      </c>
      <c r="H90" s="7"/>
      <c r="I90" s="14" t="s">
        <v>86</v>
      </c>
      <c r="J90" s="5">
        <v>5</v>
      </c>
      <c r="K90" s="13">
        <v>2004</v>
      </c>
      <c r="N90" s="48">
        <f>23143+18598</f>
        <v>41741</v>
      </c>
      <c r="O90" s="31"/>
      <c r="P90" s="7">
        <v>15505.81</v>
      </c>
      <c r="Q90" s="7">
        <v>258.43016666666665</v>
      </c>
      <c r="R90" s="7">
        <v>0</v>
      </c>
      <c r="S90" s="7">
        <v>0</v>
      </c>
      <c r="T90" s="7">
        <v>0</v>
      </c>
      <c r="U90" s="7">
        <v>1</v>
      </c>
      <c r="V90" s="7">
        <v>0</v>
      </c>
      <c r="W90" s="7"/>
      <c r="X90" s="7">
        <v>15505.81</v>
      </c>
      <c r="Y90" s="7">
        <v>15505.81</v>
      </c>
      <c r="Z90" s="7">
        <v>1</v>
      </c>
      <c r="AA90" s="7">
        <v>15505.81</v>
      </c>
      <c r="AB90" s="7">
        <v>15505.81</v>
      </c>
      <c r="AC90" s="7">
        <v>7637.19</v>
      </c>
      <c r="AD90" s="7">
        <v>1999.9166666666667</v>
      </c>
      <c r="AE90" s="7">
        <v>2009</v>
      </c>
      <c r="AF90" s="7">
        <v>2004.9166666666667</v>
      </c>
      <c r="AG90" s="7">
        <v>2008</v>
      </c>
      <c r="AH90" s="7">
        <v>-8.3333333333333329E-2</v>
      </c>
      <c r="AJ90" s="144">
        <f t="shared" ref="AJ90:AJ100" si="250">+IF((AF90-AG90)&gt;3,((N90-P90)/(AF90-AG90)),(N90-P90)/3)</f>
        <v>8745.0633333333335</v>
      </c>
      <c r="AL90" s="144">
        <f t="shared" ref="AL90:AL100" si="251">+AJ90+R90</f>
        <v>8745.0633333333335</v>
      </c>
      <c r="AN90" s="144">
        <f t="shared" ref="AN90:AN100" si="252">+IF(AF90&lt;AG90,-AC90,0)</f>
        <v>-7637.19</v>
      </c>
      <c r="AP90" s="144">
        <f t="shared" ref="AP90:AP100" si="253">+IF(AF90&gt;AG90,IF(AJ90&gt;0,IF(O90&gt;0,(N90-AA90)/2,IF(AD90&gt;=AG90,(((N90*U90)*Z90)-(AB90+AJ90))/2,((((N90*U90)*Z90)-AA90)+(((N90*U90)*Z90)-(AB90+AJ90)))/2)),0),0)</f>
        <v>0</v>
      </c>
      <c r="AR90" s="144">
        <f t="shared" ref="AR90:AR100" si="254">+AC90+AN90+(IF(AP90&gt;0,(AP90-AC90),0))</f>
        <v>0</v>
      </c>
    </row>
    <row r="91" spans="1:76">
      <c r="B91" s="4" t="s">
        <v>88</v>
      </c>
      <c r="C91" s="1">
        <v>23</v>
      </c>
      <c r="D91" s="29" t="s">
        <v>93</v>
      </c>
      <c r="E91" s="3">
        <v>2007</v>
      </c>
      <c r="F91" s="4">
        <v>8</v>
      </c>
      <c r="G91" s="30">
        <v>0.2</v>
      </c>
      <c r="H91" s="7"/>
      <c r="I91" s="14" t="s">
        <v>86</v>
      </c>
      <c r="J91" s="5">
        <v>7</v>
      </c>
      <c r="K91" s="13">
        <f t="shared" ref="K91:K98" si="255">E91+J91</f>
        <v>2014</v>
      </c>
      <c r="N91" s="6">
        <f>143978.11+10482.88</f>
        <v>154460.99</v>
      </c>
      <c r="O91" s="31"/>
      <c r="P91" s="7">
        <f t="shared" ref="P91:P96" si="256">N91-N91*G91</f>
        <v>123568.79199999999</v>
      </c>
      <c r="Q91" s="7">
        <f t="shared" ref="Q91:Q96" si="257">P91/J91/12</f>
        <v>1471.0570476190476</v>
      </c>
      <c r="R91" s="7">
        <f t="shared" ref="R91:R96" si="258">IF(O91&gt;0,0,IF(OR(AD91&gt;AE91,AF91&lt;AG91),0,IF(AND(AF91&gt;=AG91,AF91&lt;=AE91),Q91*((AF91-AG91)*12),IF(AND(AG91&lt;=AD91,AE91&gt;=AD91),((AE91-AD91)*12)*Q91,IF(AF91&gt;AE91,12*Q91,0)))))</f>
        <v>0</v>
      </c>
      <c r="S91" s="7"/>
      <c r="T91" s="7">
        <f t="shared" ref="T91:T96" si="259">IF(S91&gt;0,S91,R91)</f>
        <v>0</v>
      </c>
      <c r="U91" s="7">
        <v>1</v>
      </c>
      <c r="V91" s="7">
        <f t="shared" ref="V91:V96" si="260">U91*SUM(R91:S91)</f>
        <v>0</v>
      </c>
      <c r="W91" s="7"/>
      <c r="X91" s="7">
        <f t="shared" ref="X91:X96" si="261">IF(AD91&gt;AE91,0,IF(AF91&lt;AG91,P91,IF(AND(AF91&gt;=AG91,AF91&lt;=AE91),(P91-T91),IF(AND(AG91&lt;=AD91,AE91&gt;=AD91),0,IF(AF91&gt;AE91,((AG91-AD91)*12)*Q91,0)))))</f>
        <v>123568.79199999999</v>
      </c>
      <c r="Y91" s="7">
        <f t="shared" ref="Y91:Y96" si="262">X91*U91</f>
        <v>123568.79199999999</v>
      </c>
      <c r="Z91" s="7">
        <v>1</v>
      </c>
      <c r="AA91" s="7">
        <f t="shared" ref="AA91:AA96" si="263">Y91*Z91</f>
        <v>123568.79199999999</v>
      </c>
      <c r="AB91" s="7">
        <f t="shared" ref="AB91:AB96" si="264">IF(O91&gt;0,0,AA91+V91*Z91)*Z91</f>
        <v>123568.79199999999</v>
      </c>
      <c r="AC91" s="7">
        <f t="shared" ref="AC91:AC96" si="265">IF(O91&gt;0,(N91-AA91)/2,IF(AD91&gt;=AG91,(((N91*U91)*Z91)-AB91)/2,((((N91*U91)*Z91)-AA91)+(((N91*U91)*Z91)-AB91))/2))</f>
        <v>30892.198000000004</v>
      </c>
      <c r="AD91" s="7">
        <f t="shared" ref="AD91:AD98" si="266">$E91+(($F91-1)/12)</f>
        <v>2007.5833333333333</v>
      </c>
      <c r="AE91" s="7">
        <f t="shared" si="12"/>
        <v>2018</v>
      </c>
      <c r="AF91" s="7">
        <f t="shared" ref="AF91:AF98" si="267">$K91+(($F91-1)/12)</f>
        <v>2014.5833333333333</v>
      </c>
      <c r="AG91" s="7">
        <f t="shared" si="14"/>
        <v>2017</v>
      </c>
      <c r="AH91" s="7">
        <f t="shared" ref="AH91:AH98" si="268">$L91+(($M91-1)/12)</f>
        <v>-8.3333333333333329E-2</v>
      </c>
      <c r="AJ91" s="144">
        <f t="shared" si="250"/>
        <v>10297.399333333335</v>
      </c>
      <c r="AL91" s="144">
        <f t="shared" si="251"/>
        <v>10297.399333333335</v>
      </c>
      <c r="AN91" s="144">
        <f t="shared" si="252"/>
        <v>-30892.198000000004</v>
      </c>
      <c r="AP91" s="144">
        <f t="shared" si="253"/>
        <v>0</v>
      </c>
      <c r="AR91" s="144">
        <f t="shared" si="254"/>
        <v>0</v>
      </c>
    </row>
    <row r="92" spans="1:76">
      <c r="B92" s="4" t="s">
        <v>121</v>
      </c>
      <c r="C92" s="1">
        <v>11</v>
      </c>
      <c r="D92" s="29" t="s">
        <v>135</v>
      </c>
      <c r="E92" s="3">
        <v>2007</v>
      </c>
      <c r="F92" s="4">
        <v>12</v>
      </c>
      <c r="G92" s="30">
        <v>0.2</v>
      </c>
      <c r="H92" s="7"/>
      <c r="I92" s="14" t="s">
        <v>86</v>
      </c>
      <c r="J92" s="5">
        <v>7</v>
      </c>
      <c r="K92" s="13">
        <f t="shared" si="255"/>
        <v>2014</v>
      </c>
      <c r="N92" s="6">
        <f>281590.06</f>
        <v>281590.06</v>
      </c>
      <c r="O92" s="31"/>
      <c r="P92" s="7">
        <f t="shared" si="256"/>
        <v>225272.04800000001</v>
      </c>
      <c r="Q92" s="7">
        <f t="shared" si="257"/>
        <v>2681.8100952380951</v>
      </c>
      <c r="R92" s="7">
        <f t="shared" si="258"/>
        <v>0</v>
      </c>
      <c r="S92" s="7"/>
      <c r="T92" s="7">
        <f t="shared" si="259"/>
        <v>0</v>
      </c>
      <c r="U92" s="7">
        <v>1</v>
      </c>
      <c r="V92" s="7">
        <f t="shared" si="260"/>
        <v>0</v>
      </c>
      <c r="W92" s="7"/>
      <c r="X92" s="7">
        <f t="shared" si="261"/>
        <v>225272.04800000001</v>
      </c>
      <c r="Y92" s="7">
        <f t="shared" si="262"/>
        <v>225272.04800000001</v>
      </c>
      <c r="Z92" s="7">
        <v>1</v>
      </c>
      <c r="AA92" s="7">
        <f t="shared" si="263"/>
        <v>225272.04800000001</v>
      </c>
      <c r="AB92" s="7">
        <f t="shared" si="264"/>
        <v>225272.04800000001</v>
      </c>
      <c r="AC92" s="7">
        <f t="shared" si="265"/>
        <v>56318.011999999988</v>
      </c>
      <c r="AD92" s="7">
        <f t="shared" si="266"/>
        <v>2007.9166666666667</v>
      </c>
      <c r="AE92" s="7">
        <f>($P$5+1)-($P$2/12)</f>
        <v>2018</v>
      </c>
      <c r="AF92" s="7">
        <f t="shared" si="267"/>
        <v>2014.9166666666667</v>
      </c>
      <c r="AG92" s="7">
        <f>$P$4+($P$3/12)</f>
        <v>2017</v>
      </c>
      <c r="AH92" s="7">
        <f t="shared" si="268"/>
        <v>-8.3333333333333329E-2</v>
      </c>
      <c r="AJ92" s="144">
        <f t="shared" si="250"/>
        <v>18772.670666666661</v>
      </c>
      <c r="AL92" s="144">
        <f t="shared" si="251"/>
        <v>18772.670666666661</v>
      </c>
      <c r="AN92" s="144">
        <f t="shared" si="252"/>
        <v>-56318.011999999988</v>
      </c>
      <c r="AP92" s="144">
        <f t="shared" si="253"/>
        <v>0</v>
      </c>
      <c r="AR92" s="144">
        <f t="shared" si="254"/>
        <v>0</v>
      </c>
    </row>
    <row r="93" spans="1:76">
      <c r="B93" s="4" t="s">
        <v>132</v>
      </c>
      <c r="C93" s="1">
        <v>26</v>
      </c>
      <c r="D93" s="29" t="s">
        <v>136</v>
      </c>
      <c r="E93" s="3">
        <v>2008</v>
      </c>
      <c r="F93" s="4">
        <v>8</v>
      </c>
      <c r="G93" s="30">
        <v>0.33</v>
      </c>
      <c r="H93" s="7"/>
      <c r="I93" s="14" t="s">
        <v>86</v>
      </c>
      <c r="J93" s="5">
        <v>5</v>
      </c>
      <c r="K93" s="13">
        <f t="shared" si="255"/>
        <v>2013</v>
      </c>
      <c r="N93" s="6">
        <v>80004.63</v>
      </c>
      <c r="O93" s="31"/>
      <c r="P93" s="7">
        <f t="shared" si="256"/>
        <v>53603.102100000004</v>
      </c>
      <c r="Q93" s="7">
        <f t="shared" si="257"/>
        <v>893.38503500000013</v>
      </c>
      <c r="R93" s="7">
        <f t="shared" si="258"/>
        <v>0</v>
      </c>
      <c r="S93" s="7"/>
      <c r="T93" s="7">
        <f t="shared" si="259"/>
        <v>0</v>
      </c>
      <c r="U93" s="7">
        <v>1</v>
      </c>
      <c r="V93" s="7">
        <f t="shared" si="260"/>
        <v>0</v>
      </c>
      <c r="W93" s="7"/>
      <c r="X93" s="7">
        <f t="shared" si="261"/>
        <v>53603.102100000004</v>
      </c>
      <c r="Y93" s="7">
        <f t="shared" si="262"/>
        <v>53603.102100000004</v>
      </c>
      <c r="Z93" s="7">
        <v>1</v>
      </c>
      <c r="AA93" s="7">
        <f t="shared" si="263"/>
        <v>53603.102100000004</v>
      </c>
      <c r="AB93" s="7">
        <f t="shared" si="264"/>
        <v>53603.102100000004</v>
      </c>
      <c r="AC93" s="7">
        <f t="shared" si="265"/>
        <v>26401.527900000001</v>
      </c>
      <c r="AD93" s="7">
        <f t="shared" si="266"/>
        <v>2008.5833333333333</v>
      </c>
      <c r="AE93" s="7">
        <f>($P$5+1)-($P$2/12)</f>
        <v>2018</v>
      </c>
      <c r="AF93" s="7">
        <f t="shared" si="267"/>
        <v>2013.5833333333333</v>
      </c>
      <c r="AG93" s="7">
        <f>$P$4+($P$3/12)</f>
        <v>2017</v>
      </c>
      <c r="AH93" s="7">
        <f t="shared" si="268"/>
        <v>-8.3333333333333329E-2</v>
      </c>
      <c r="AJ93" s="144">
        <f t="shared" si="250"/>
        <v>8800.5092999999997</v>
      </c>
      <c r="AL93" s="144">
        <f t="shared" si="251"/>
        <v>8800.5092999999997</v>
      </c>
      <c r="AN93" s="144">
        <f t="shared" si="252"/>
        <v>-26401.527900000001</v>
      </c>
      <c r="AP93" s="144">
        <f t="shared" si="253"/>
        <v>0</v>
      </c>
      <c r="AR93" s="144">
        <f t="shared" si="254"/>
        <v>0</v>
      </c>
    </row>
    <row r="94" spans="1:76">
      <c r="B94" s="4" t="s">
        <v>137</v>
      </c>
      <c r="C94" s="1">
        <v>8009</v>
      </c>
      <c r="D94" s="50" t="s">
        <v>138</v>
      </c>
      <c r="E94" s="3">
        <v>2010</v>
      </c>
      <c r="F94" s="4">
        <v>1</v>
      </c>
      <c r="G94" s="30">
        <v>0.33</v>
      </c>
      <c r="H94" s="7"/>
      <c r="I94" s="14" t="s">
        <v>86</v>
      </c>
      <c r="J94" s="51">
        <v>5</v>
      </c>
      <c r="K94" s="13">
        <f t="shared" si="255"/>
        <v>2015</v>
      </c>
      <c r="N94" s="48">
        <f>5000*1.084</f>
        <v>5420</v>
      </c>
      <c r="O94" s="31">
        <v>0</v>
      </c>
      <c r="P94" s="7">
        <f t="shared" si="256"/>
        <v>3631.3999999999996</v>
      </c>
      <c r="Q94" s="7">
        <f t="shared" si="257"/>
        <v>60.523333333333333</v>
      </c>
      <c r="R94" s="7">
        <f t="shared" si="258"/>
        <v>0</v>
      </c>
      <c r="S94" s="7">
        <f>IF(O94=0,0,IF(AND(AH94&gt;=AG94,AH94&lt;=AF94),((AH94-AG94)*12)*Q94,0))</f>
        <v>0</v>
      </c>
      <c r="T94" s="7">
        <f t="shared" si="259"/>
        <v>0</v>
      </c>
      <c r="U94" s="7">
        <v>1</v>
      </c>
      <c r="V94" s="7">
        <f t="shared" si="260"/>
        <v>0</v>
      </c>
      <c r="W94" s="7"/>
      <c r="X94" s="7">
        <f t="shared" si="261"/>
        <v>3631.3999999999996</v>
      </c>
      <c r="Y94" s="7">
        <f t="shared" si="262"/>
        <v>3631.3999999999996</v>
      </c>
      <c r="Z94" s="7">
        <v>1</v>
      </c>
      <c r="AA94" s="7">
        <f t="shared" si="263"/>
        <v>3631.3999999999996</v>
      </c>
      <c r="AB94" s="7">
        <f t="shared" si="264"/>
        <v>3631.3999999999996</v>
      </c>
      <c r="AC94" s="7">
        <f t="shared" si="265"/>
        <v>1788.6000000000004</v>
      </c>
      <c r="AD94" s="7">
        <f t="shared" si="266"/>
        <v>2010</v>
      </c>
      <c r="AE94" s="7">
        <f>($P$5+1)-($P$2/12)</f>
        <v>2018</v>
      </c>
      <c r="AF94" s="7">
        <f t="shared" si="267"/>
        <v>2015</v>
      </c>
      <c r="AG94" s="7">
        <f>$P$4+($P$3/12)</f>
        <v>2017</v>
      </c>
      <c r="AH94" s="7">
        <f t="shared" si="268"/>
        <v>-8.3333333333333329E-2</v>
      </c>
      <c r="AJ94" s="144">
        <f t="shared" si="250"/>
        <v>596.20000000000016</v>
      </c>
      <c r="AL94" s="144">
        <f t="shared" si="251"/>
        <v>596.20000000000016</v>
      </c>
      <c r="AN94" s="144">
        <f t="shared" si="252"/>
        <v>-1788.6000000000004</v>
      </c>
      <c r="AP94" s="144">
        <f t="shared" si="253"/>
        <v>0</v>
      </c>
      <c r="AR94" s="144">
        <f t="shared" si="254"/>
        <v>0</v>
      </c>
      <c r="BX94" s="1" t="s">
        <v>139</v>
      </c>
    </row>
    <row r="95" spans="1:76">
      <c r="B95" s="4" t="s">
        <v>2</v>
      </c>
      <c r="C95" s="32">
        <v>3</v>
      </c>
      <c r="D95" s="29" t="s">
        <v>140</v>
      </c>
      <c r="E95" s="3">
        <v>2010</v>
      </c>
      <c r="F95" s="4">
        <v>3</v>
      </c>
      <c r="G95" s="30">
        <v>0.2</v>
      </c>
      <c r="H95" s="7"/>
      <c r="I95" s="14" t="s">
        <v>86</v>
      </c>
      <c r="J95" s="5">
        <v>7</v>
      </c>
      <c r="K95" s="13">
        <f t="shared" si="255"/>
        <v>2017</v>
      </c>
      <c r="N95" s="6">
        <f>776.09*3</f>
        <v>2328.27</v>
      </c>
      <c r="O95" s="31"/>
      <c r="P95" s="7">
        <f t="shared" si="256"/>
        <v>1862.616</v>
      </c>
      <c r="Q95" s="7">
        <f t="shared" si="257"/>
        <v>22.174000000000003</v>
      </c>
      <c r="R95" s="7">
        <f t="shared" si="258"/>
        <v>44.348000000020171</v>
      </c>
      <c r="S95" s="7"/>
      <c r="T95" s="7">
        <f t="shared" si="259"/>
        <v>44.348000000020171</v>
      </c>
      <c r="U95" s="7">
        <v>1</v>
      </c>
      <c r="V95" s="7">
        <f t="shared" si="260"/>
        <v>44.348000000020171</v>
      </c>
      <c r="W95" s="7"/>
      <c r="X95" s="7">
        <f t="shared" si="261"/>
        <v>1818.2679999999798</v>
      </c>
      <c r="Y95" s="7">
        <f t="shared" si="262"/>
        <v>1818.2679999999798</v>
      </c>
      <c r="Z95" s="7">
        <v>1</v>
      </c>
      <c r="AA95" s="7">
        <f t="shared" si="263"/>
        <v>1818.2679999999798</v>
      </c>
      <c r="AB95" s="7">
        <f t="shared" si="264"/>
        <v>1862.616</v>
      </c>
      <c r="AC95" s="7">
        <f t="shared" si="265"/>
        <v>487.82800000001009</v>
      </c>
      <c r="AD95" s="7">
        <f t="shared" si="266"/>
        <v>2010.1666666666667</v>
      </c>
      <c r="AE95" s="7">
        <f>($P$5+1)-($P$2/12)</f>
        <v>2018</v>
      </c>
      <c r="AF95" s="7">
        <f t="shared" si="267"/>
        <v>2017.1666666666667</v>
      </c>
      <c r="AG95" s="7">
        <f>$P$4+($P$3/12)</f>
        <v>2017</v>
      </c>
      <c r="AH95" s="7">
        <f t="shared" si="268"/>
        <v>-8.3333333333333329E-2</v>
      </c>
      <c r="AJ95" s="144">
        <f t="shared" si="250"/>
        <v>155.21799999999999</v>
      </c>
      <c r="AL95" s="144">
        <f t="shared" si="251"/>
        <v>199.56600000002015</v>
      </c>
      <c r="AN95" s="144">
        <f t="shared" si="252"/>
        <v>0</v>
      </c>
      <c r="AP95" s="144">
        <f t="shared" si="253"/>
        <v>410.21900000001006</v>
      </c>
      <c r="AR95" s="144">
        <f t="shared" si="254"/>
        <v>410.21900000001006</v>
      </c>
    </row>
    <row r="96" spans="1:76">
      <c r="A96" s="1">
        <v>131544</v>
      </c>
      <c r="B96" s="4"/>
      <c r="C96" s="32"/>
      <c r="D96" s="29" t="s">
        <v>339</v>
      </c>
      <c r="E96" s="3">
        <v>2016</v>
      </c>
      <c r="F96" s="4">
        <v>3</v>
      </c>
      <c r="G96" s="30">
        <v>0</v>
      </c>
      <c r="H96" s="7"/>
      <c r="I96" s="14" t="s">
        <v>86</v>
      </c>
      <c r="J96" s="5">
        <v>1</v>
      </c>
      <c r="K96" s="13">
        <f t="shared" si="255"/>
        <v>2017</v>
      </c>
      <c r="N96" s="33">
        <f>5975.04/24*3</f>
        <v>746.88</v>
      </c>
      <c r="O96" s="31"/>
      <c r="P96" s="7">
        <f t="shared" si="256"/>
        <v>746.88</v>
      </c>
      <c r="Q96" s="7">
        <f t="shared" si="257"/>
        <v>62.24</v>
      </c>
      <c r="R96" s="7">
        <f t="shared" si="258"/>
        <v>124.48000000005661</v>
      </c>
      <c r="S96" s="7"/>
      <c r="T96" s="7">
        <f t="shared" si="259"/>
        <v>124.48000000005661</v>
      </c>
      <c r="U96" s="7">
        <v>1</v>
      </c>
      <c r="V96" s="7">
        <f t="shared" si="260"/>
        <v>124.48000000005661</v>
      </c>
      <c r="W96" s="7"/>
      <c r="X96" s="7">
        <f t="shared" si="261"/>
        <v>622.39999999994336</v>
      </c>
      <c r="Y96" s="7">
        <f t="shared" si="262"/>
        <v>622.39999999994336</v>
      </c>
      <c r="Z96" s="7">
        <v>1</v>
      </c>
      <c r="AA96" s="7">
        <f t="shared" si="263"/>
        <v>622.39999999994336</v>
      </c>
      <c r="AB96" s="7">
        <f t="shared" si="264"/>
        <v>746.88</v>
      </c>
      <c r="AC96" s="7">
        <f t="shared" si="265"/>
        <v>62.240000000028317</v>
      </c>
      <c r="AD96" s="7">
        <f t="shared" si="266"/>
        <v>2016.1666666666667</v>
      </c>
      <c r="AE96" s="7">
        <f t="shared" ref="AE96:AE97" si="269">($P$5+1)-($P$2/12)</f>
        <v>2018</v>
      </c>
      <c r="AF96" s="7">
        <f t="shared" si="267"/>
        <v>2017.1666666666667</v>
      </c>
      <c r="AG96" s="7">
        <f t="shared" ref="AG96:AG97" si="270">$P$4+($P$3/12)</f>
        <v>2017</v>
      </c>
      <c r="AH96" s="7">
        <f t="shared" si="268"/>
        <v>-8.3333333333333329E-2</v>
      </c>
      <c r="AJ96" s="144">
        <f t="shared" si="250"/>
        <v>0</v>
      </c>
      <c r="AL96" s="144">
        <f t="shared" si="251"/>
        <v>124.48000000005661</v>
      </c>
      <c r="AN96" s="144">
        <f t="shared" si="252"/>
        <v>0</v>
      </c>
      <c r="AP96" s="144">
        <f t="shared" si="253"/>
        <v>0</v>
      </c>
      <c r="AR96" s="144">
        <f t="shared" si="254"/>
        <v>62.240000000028317</v>
      </c>
    </row>
    <row r="97" spans="1:44">
      <c r="A97" s="1">
        <v>165805</v>
      </c>
      <c r="B97" s="4"/>
      <c r="C97" s="32"/>
      <c r="D97" s="29" t="s">
        <v>346</v>
      </c>
      <c r="E97" s="3">
        <v>2016</v>
      </c>
      <c r="F97" s="4">
        <v>6</v>
      </c>
      <c r="G97" s="30">
        <v>0</v>
      </c>
      <c r="H97" s="7"/>
      <c r="I97" s="14" t="s">
        <v>86</v>
      </c>
      <c r="J97" s="5">
        <v>1</v>
      </c>
      <c r="K97" s="13">
        <f t="shared" si="255"/>
        <v>2017</v>
      </c>
      <c r="N97" s="33">
        <f>6255.46/30*3</f>
        <v>625.54600000000005</v>
      </c>
      <c r="O97" s="31"/>
      <c r="P97" s="7">
        <f t="shared" ref="P97:P98" si="271">N97-N97*G97</f>
        <v>625.54600000000005</v>
      </c>
      <c r="Q97" s="7">
        <f t="shared" ref="Q97:Q98" si="272">P97/J97/12</f>
        <v>52.12883333333334</v>
      </c>
      <c r="R97" s="7">
        <f t="shared" ref="R97:R98" si="273">IF(O97&gt;0,0,IF(OR(AD97&gt;AE97,AF97&lt;AG97),0,IF(AND(AF97&gt;=AG97,AF97&lt;=AE97),Q97*((AF97-AG97)*12),IF(AND(AG97&lt;=AD97,AE97&gt;=AD97),((AE97-AD97)*12)*Q97,IF(AF97&gt;AE97,12*Q97,0)))))</f>
        <v>260.64416666671411</v>
      </c>
      <c r="S97" s="7"/>
      <c r="T97" s="7">
        <f t="shared" ref="T97:T98" si="274">IF(S97&gt;0,S97,R97)</f>
        <v>260.64416666671411</v>
      </c>
      <c r="U97" s="7">
        <v>1</v>
      </c>
      <c r="V97" s="7">
        <f t="shared" ref="V97:V98" si="275">U97*SUM(R97:S97)</f>
        <v>260.64416666671411</v>
      </c>
      <c r="W97" s="7"/>
      <c r="X97" s="7">
        <f t="shared" ref="X97:X98" si="276">IF(AD97&gt;AE97,0,IF(AF97&lt;AG97,P97,IF(AND(AF97&gt;=AG97,AF97&lt;=AE97),(P97-T97),IF(AND(AG97&lt;=AD97,AE97&gt;=AD97),0,IF(AF97&gt;AE97,((AG97-AD97)*12)*Q97,0)))))</f>
        <v>364.90183333328594</v>
      </c>
      <c r="Y97" s="7">
        <f t="shared" ref="Y97:Y98" si="277">X97*U97</f>
        <v>364.90183333328594</v>
      </c>
      <c r="Z97" s="7">
        <v>1</v>
      </c>
      <c r="AA97" s="7">
        <f t="shared" ref="AA97:AA98" si="278">Y97*Z97</f>
        <v>364.90183333328594</v>
      </c>
      <c r="AB97" s="7">
        <f t="shared" ref="AB97:AB98" si="279">IF(O97&gt;0,0,AA97+V97*Z97)*Z97</f>
        <v>625.54600000000005</v>
      </c>
      <c r="AC97" s="7">
        <f t="shared" ref="AC97:AC98" si="280">IF(O97&gt;0,(N97-AA97)/2,IF(AD97&gt;=AG97,(((N97*U97)*Z97)-AB97)/2,((((N97*U97)*Z97)-AA97)+(((N97*U97)*Z97)-AB97))/2))</f>
        <v>130.32208333335706</v>
      </c>
      <c r="AD97" s="7">
        <f t="shared" si="266"/>
        <v>2016.4166666666667</v>
      </c>
      <c r="AE97" s="7">
        <f t="shared" si="269"/>
        <v>2018</v>
      </c>
      <c r="AF97" s="7">
        <f t="shared" si="267"/>
        <v>2017.4166666666667</v>
      </c>
      <c r="AG97" s="7">
        <f t="shared" si="270"/>
        <v>2017</v>
      </c>
      <c r="AH97" s="7">
        <f t="shared" si="268"/>
        <v>-8.3333333333333329E-2</v>
      </c>
      <c r="AJ97" s="144">
        <f t="shared" si="250"/>
        <v>0</v>
      </c>
      <c r="AL97" s="144">
        <f t="shared" si="251"/>
        <v>260.64416666671411</v>
      </c>
      <c r="AN97" s="144">
        <f t="shared" si="252"/>
        <v>0</v>
      </c>
      <c r="AP97" s="144">
        <f t="shared" si="253"/>
        <v>0</v>
      </c>
      <c r="AR97" s="144">
        <f t="shared" si="254"/>
        <v>130.32208333335706</v>
      </c>
    </row>
    <row r="98" spans="1:44">
      <c r="A98" s="1">
        <v>171078</v>
      </c>
      <c r="B98" s="4"/>
      <c r="C98" s="32"/>
      <c r="D98" s="29" t="s">
        <v>356</v>
      </c>
      <c r="E98" s="3">
        <v>2016</v>
      </c>
      <c r="F98" s="4">
        <v>12</v>
      </c>
      <c r="G98" s="30">
        <v>0</v>
      </c>
      <c r="H98" s="7"/>
      <c r="I98" s="14" t="s">
        <v>86</v>
      </c>
      <c r="J98" s="5">
        <v>5</v>
      </c>
      <c r="K98" s="13">
        <f t="shared" si="255"/>
        <v>2021</v>
      </c>
      <c r="N98" s="34">
        <f>22670.1/26*4</f>
        <v>3487.707692307692</v>
      </c>
      <c r="O98" s="31"/>
      <c r="P98" s="7">
        <f t="shared" si="271"/>
        <v>3487.707692307692</v>
      </c>
      <c r="Q98" s="7">
        <f t="shared" si="272"/>
        <v>58.128461538461529</v>
      </c>
      <c r="R98" s="7">
        <f t="shared" si="273"/>
        <v>697.54153846153838</v>
      </c>
      <c r="S98" s="7"/>
      <c r="T98" s="7">
        <f t="shared" si="274"/>
        <v>697.54153846153838</v>
      </c>
      <c r="U98" s="7">
        <v>1</v>
      </c>
      <c r="V98" s="7">
        <f t="shared" si="275"/>
        <v>697.54153846153838</v>
      </c>
      <c r="W98" s="7"/>
      <c r="X98" s="7">
        <f t="shared" si="276"/>
        <v>58.128461538408665</v>
      </c>
      <c r="Y98" s="7">
        <f t="shared" si="277"/>
        <v>58.128461538408665</v>
      </c>
      <c r="Z98" s="7">
        <v>1</v>
      </c>
      <c r="AA98" s="7">
        <f t="shared" si="278"/>
        <v>58.128461538408665</v>
      </c>
      <c r="AB98" s="7">
        <f t="shared" si="279"/>
        <v>755.66999999994709</v>
      </c>
      <c r="AC98" s="7">
        <f t="shared" si="280"/>
        <v>3080.8084615385142</v>
      </c>
      <c r="AD98" s="7">
        <f t="shared" si="266"/>
        <v>2016.9166666666667</v>
      </c>
      <c r="AE98" s="7">
        <f t="shared" si="12"/>
        <v>2018</v>
      </c>
      <c r="AF98" s="7">
        <f t="shared" si="267"/>
        <v>2021.9166666666667</v>
      </c>
      <c r="AG98" s="7">
        <f t="shared" si="14"/>
        <v>2017</v>
      </c>
      <c r="AH98" s="7">
        <f t="shared" si="268"/>
        <v>-8.3333333333333329E-2</v>
      </c>
      <c r="AJ98" s="144">
        <f t="shared" si="250"/>
        <v>0</v>
      </c>
      <c r="AL98" s="144">
        <f t="shared" si="251"/>
        <v>697.54153846153838</v>
      </c>
      <c r="AN98" s="144">
        <f t="shared" si="252"/>
        <v>0</v>
      </c>
      <c r="AP98" s="144">
        <f t="shared" si="253"/>
        <v>0</v>
      </c>
      <c r="AR98" s="144">
        <f t="shared" si="254"/>
        <v>3080.8084615385142</v>
      </c>
    </row>
    <row r="99" spans="1:44">
      <c r="A99" s="1">
        <v>171238</v>
      </c>
      <c r="B99" s="4"/>
      <c r="D99" s="29" t="s">
        <v>358</v>
      </c>
      <c r="E99" s="3">
        <v>2016</v>
      </c>
      <c r="F99" s="4">
        <v>11</v>
      </c>
      <c r="G99" s="30">
        <v>0</v>
      </c>
      <c r="H99" s="7"/>
      <c r="I99" s="14" t="s">
        <v>86</v>
      </c>
      <c r="J99" s="5">
        <v>10</v>
      </c>
      <c r="K99" s="13">
        <f t="shared" ref="K99:K100" si="281">E99+J99</f>
        <v>2026</v>
      </c>
      <c r="N99" s="34">
        <v>79510.149999999994</v>
      </c>
      <c r="O99" s="31"/>
      <c r="P99" s="7">
        <f t="shared" ref="P99" si="282">N99-N99*G99</f>
        <v>79510.149999999994</v>
      </c>
      <c r="Q99" s="7">
        <f t="shared" ref="Q99" si="283">P99/J99/12</f>
        <v>662.58458333333328</v>
      </c>
      <c r="R99" s="7">
        <f t="shared" ref="R99" si="284">IF(O99&gt;0,0,IF(OR(AD99&gt;AE99,AF99&lt;AG99),0,IF(AND(AF99&gt;=AG99,AF99&lt;=AE99),Q99*((AF99-AG99)*12),IF(AND(AG99&lt;=AD99,AE99&gt;=AD99),((AE99-AD99)*12)*Q99,IF(AF99&gt;AE99,12*Q99,0)))))</f>
        <v>7951.0149999999994</v>
      </c>
      <c r="S99" s="7"/>
      <c r="T99" s="7">
        <f t="shared" ref="T99" si="285">IF(S99&gt;0,S99,R99)</f>
        <v>7951.0149999999994</v>
      </c>
      <c r="U99" s="7">
        <v>1</v>
      </c>
      <c r="V99" s="7">
        <f t="shared" ref="V99" si="286">U99*SUM(R99:S99)</f>
        <v>7951.0149999999994</v>
      </c>
      <c r="W99" s="7"/>
      <c r="X99" s="7">
        <f t="shared" ref="X99" si="287">IF(AD99&gt;AE99,0,IF(AF99&lt;AG99,P99,IF(AND(AF99&gt;=AG99,AF99&lt;=AE99),(P99-T99),IF(AND(AG99&lt;=AD99,AE99&gt;=AD99),0,IF(AF99&gt;AE99,((AG99-AD99)*12)*Q99,0)))))</f>
        <v>1325.1691666672691</v>
      </c>
      <c r="Y99" s="7">
        <f t="shared" ref="Y99" si="288">X99*U99</f>
        <v>1325.1691666672691</v>
      </c>
      <c r="Z99" s="7">
        <v>1</v>
      </c>
      <c r="AA99" s="7">
        <f t="shared" ref="AA99" si="289">Y99*Z99</f>
        <v>1325.1691666672691</v>
      </c>
      <c r="AB99" s="7">
        <f t="shared" ref="AB99" si="290">IF(O99&gt;0,0,AA99+V99*Z99)*Z99</f>
        <v>9276.1841666672681</v>
      </c>
      <c r="AC99" s="7">
        <f t="shared" ref="AC99" si="291">IF(O99&gt;0,(N99-AA99)/2,IF(AD99&gt;=AG99,(((N99*U99)*Z99)-AB99)/2,((((N99*U99)*Z99)-AA99)+(((N99*U99)*Z99)-AB99))/2))</f>
        <v>74209.473333332717</v>
      </c>
      <c r="AD99" s="7">
        <f>$E99+(($F99-1)/12)</f>
        <v>2016.8333333333333</v>
      </c>
      <c r="AE99" s="7">
        <f t="shared" ref="AE99:AE526" si="292">($P$5+1)-($P$2/12)</f>
        <v>2018</v>
      </c>
      <c r="AF99" s="7">
        <f>$K99+(($F99-1)/12)</f>
        <v>2026.8333333333333</v>
      </c>
      <c r="AG99" s="7">
        <f t="shared" ref="AG99:AG526" si="293">$P$4+($P$3/12)</f>
        <v>2017</v>
      </c>
      <c r="AH99" s="7">
        <f>$L99+(($M99-1)/12)</f>
        <v>-8.3333333333333329E-2</v>
      </c>
      <c r="AJ99" s="144">
        <f t="shared" si="250"/>
        <v>0</v>
      </c>
      <c r="AL99" s="144">
        <f t="shared" si="251"/>
        <v>7951.0149999999994</v>
      </c>
      <c r="AN99" s="144">
        <f t="shared" si="252"/>
        <v>0</v>
      </c>
      <c r="AP99" s="144">
        <f t="shared" si="253"/>
        <v>0</v>
      </c>
      <c r="AR99" s="144">
        <f t="shared" si="254"/>
        <v>74209.473333332717</v>
      </c>
    </row>
    <row r="100" spans="1:44" s="109" customFormat="1">
      <c r="A100" s="109" t="s">
        <v>387</v>
      </c>
      <c r="B100" s="110"/>
      <c r="D100" s="112" t="s">
        <v>388</v>
      </c>
      <c r="E100" s="113">
        <v>2017</v>
      </c>
      <c r="F100" s="110">
        <v>1</v>
      </c>
      <c r="G100" s="114">
        <v>0</v>
      </c>
      <c r="H100" s="115"/>
      <c r="I100" s="116" t="s">
        <v>86</v>
      </c>
      <c r="J100" s="117">
        <v>9.11</v>
      </c>
      <c r="K100" s="118">
        <f t="shared" si="281"/>
        <v>2026.11</v>
      </c>
      <c r="N100" s="119">
        <v>8492.0300000000007</v>
      </c>
      <c r="O100" s="120"/>
      <c r="P100" s="115">
        <f t="shared" ref="P100" si="294">N100-N100*G100</f>
        <v>8492.0300000000007</v>
      </c>
      <c r="Q100" s="115">
        <f t="shared" ref="Q100" si="295">P100/J100/12</f>
        <v>77.680479326747175</v>
      </c>
      <c r="R100" s="115">
        <f t="shared" ref="R100" si="296">IF(O100&gt;0,0,IF(OR(AD100&gt;AE100,AF100&lt;AG100),0,IF(AND(AF100&gt;=AG100,AF100&lt;=AE100),Q100*((AF100-AG100)*12),IF(AND(AG100&lt;=AD100,AE100&gt;=AD100),((AE100-AD100)*12)*Q100,IF(AF100&gt;AE100,12*Q100,0)))))</f>
        <v>932.16575192096616</v>
      </c>
      <c r="S100" s="115"/>
      <c r="T100" s="115">
        <f t="shared" ref="T100" si="297">IF(S100&gt;0,S100,R100)</f>
        <v>932.16575192096616</v>
      </c>
      <c r="U100" s="115">
        <v>1</v>
      </c>
      <c r="V100" s="115">
        <f t="shared" ref="V100" si="298">U100*SUM(R100:S100)</f>
        <v>932.16575192096616</v>
      </c>
      <c r="W100" s="115"/>
      <c r="X100" s="115">
        <f t="shared" ref="X100" si="299">IF(AD100&gt;AE100,0,IF(AF100&lt;AG100,P100,IF(AND(AF100&gt;=AG100,AF100&lt;=AE100),(P100-T100),IF(AND(AG100&lt;=AD100,AE100&gt;=AD100),0,IF(AF100&gt;AE100,((AG100-AD100)*12)*Q100,0)))))</f>
        <v>0</v>
      </c>
      <c r="Y100" s="115">
        <f t="shared" ref="Y100" si="300">X100*U100</f>
        <v>0</v>
      </c>
      <c r="Z100" s="115">
        <v>1</v>
      </c>
      <c r="AA100" s="115">
        <f t="shared" ref="AA100" si="301">Y100*Z100</f>
        <v>0</v>
      </c>
      <c r="AB100" s="115">
        <f t="shared" ref="AB100" si="302">IF(O100&gt;0,0,AA100+V100*Z100)*Z100</f>
        <v>932.16575192096616</v>
      </c>
      <c r="AC100" s="115">
        <f t="shared" ref="AC100" si="303">IF(O100&gt;0,(N100-AA100)/2,IF(AD100&gt;=AG100,(((N100*U100)*Z100)-AB100)/2,((((N100*U100)*Z100)-AA100)+(((N100*U100)*Z100)-AB100))/2))</f>
        <v>3779.9321240395175</v>
      </c>
      <c r="AD100" s="115">
        <f>$E100+(($F100-1)/12)</f>
        <v>2017</v>
      </c>
      <c r="AE100" s="115">
        <f t="shared" si="292"/>
        <v>2018</v>
      </c>
      <c r="AF100" s="115">
        <f>$K100+(($F100-1)/12)</f>
        <v>2026.11</v>
      </c>
      <c r="AG100" s="115">
        <f t="shared" si="293"/>
        <v>2017</v>
      </c>
      <c r="AH100" s="115">
        <f>$L100+(($M100-1)/12)</f>
        <v>-8.3333333333333329E-2</v>
      </c>
      <c r="AJ100" s="144">
        <f t="shared" si="250"/>
        <v>0</v>
      </c>
      <c r="AK100" s="144"/>
      <c r="AL100" s="144">
        <f t="shared" si="251"/>
        <v>932.16575192096616</v>
      </c>
      <c r="AM100" s="144"/>
      <c r="AN100" s="144">
        <f t="shared" si="252"/>
        <v>0</v>
      </c>
      <c r="AO100" s="144"/>
      <c r="AP100" s="144">
        <f t="shared" si="253"/>
        <v>0</v>
      </c>
      <c r="AQ100" s="144"/>
      <c r="AR100" s="144">
        <f t="shared" si="254"/>
        <v>3779.9321240395175</v>
      </c>
    </row>
    <row r="101" spans="1:44">
      <c r="B101" s="4"/>
      <c r="D101" s="29"/>
      <c r="G101" s="30"/>
      <c r="H101" s="7"/>
      <c r="I101" s="14"/>
      <c r="K101" s="13"/>
      <c r="N101" s="52"/>
      <c r="O101" s="31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44">
      <c r="B102" s="4"/>
      <c r="D102" s="40" t="s">
        <v>141</v>
      </c>
      <c r="G102" s="30"/>
      <c r="H102" s="7"/>
      <c r="I102" s="14"/>
      <c r="K102" s="13"/>
      <c r="N102" s="99">
        <f>SUM(N90:N101)</f>
        <v>658407.26369230764</v>
      </c>
      <c r="O102" s="106"/>
      <c r="P102" s="101">
        <f>SUM(P90:P101)</f>
        <v>516306.08179230778</v>
      </c>
      <c r="Q102" s="101">
        <f>SUM(Q90:Q101)</f>
        <v>6300.142035389018</v>
      </c>
      <c r="R102" s="101">
        <f>SUM(R90:R101)</f>
        <v>10010.194457049294</v>
      </c>
      <c r="S102" s="101">
        <f>SUM(S90:S101)</f>
        <v>0</v>
      </c>
      <c r="T102" s="101">
        <f>SUM(T90:T101)</f>
        <v>10010.194457049294</v>
      </c>
      <c r="U102" s="101"/>
      <c r="V102" s="101">
        <f>SUM(V90:V101)</f>
        <v>10010.194457049294</v>
      </c>
      <c r="W102" s="105"/>
      <c r="X102" s="105"/>
      <c r="Y102" s="105"/>
      <c r="Z102" s="105"/>
      <c r="AA102" s="101">
        <f>SUM(AA90:AA101)</f>
        <v>425770.019561539</v>
      </c>
      <c r="AB102" s="101">
        <f>SUM(AB90:AB101)</f>
        <v>435780.21401858819</v>
      </c>
      <c r="AC102" s="101">
        <f>SUM(AC90:AC101)</f>
        <v>204788.13190224415</v>
      </c>
      <c r="AD102" s="105"/>
      <c r="AE102" s="105"/>
      <c r="AF102" s="105"/>
      <c r="AG102" s="105"/>
      <c r="AH102" s="105"/>
      <c r="AJ102" s="143">
        <f t="shared" ref="AJ102:AR102" si="304">SUM(AJ90:AJ101)</f>
        <v>47367.060633333327</v>
      </c>
      <c r="AK102" s="143">
        <f t="shared" si="304"/>
        <v>0</v>
      </c>
      <c r="AL102" s="143">
        <f t="shared" si="304"/>
        <v>57377.255090382627</v>
      </c>
      <c r="AM102" s="143">
        <f t="shared" si="304"/>
        <v>0</v>
      </c>
      <c r="AN102" s="143">
        <f t="shared" si="304"/>
        <v>-123037.5279</v>
      </c>
      <c r="AO102" s="143">
        <f t="shared" si="304"/>
        <v>0</v>
      </c>
      <c r="AP102" s="143">
        <f t="shared" si="304"/>
        <v>410.21900000001006</v>
      </c>
      <c r="AQ102" s="143">
        <f t="shared" si="304"/>
        <v>0</v>
      </c>
      <c r="AR102" s="143">
        <f t="shared" si="304"/>
        <v>81672.995002244148</v>
      </c>
    </row>
    <row r="103" spans="1:44">
      <c r="B103" s="4"/>
      <c r="D103" s="40"/>
      <c r="G103" s="30"/>
      <c r="H103" s="7"/>
      <c r="I103" s="14"/>
      <c r="K103" s="13"/>
      <c r="N103" s="9"/>
      <c r="P103" s="37"/>
      <c r="Q103" s="37"/>
      <c r="R103" s="37"/>
      <c r="S103" s="37"/>
      <c r="T103" s="37"/>
      <c r="U103" s="37"/>
      <c r="V103" s="37"/>
      <c r="W103" s="7"/>
      <c r="X103" s="7"/>
      <c r="Y103" s="7"/>
      <c r="Z103" s="7"/>
      <c r="AA103" s="37"/>
      <c r="AB103" s="37"/>
      <c r="AC103" s="37"/>
      <c r="AD103" s="7"/>
      <c r="AE103" s="7"/>
      <c r="AF103" s="7"/>
      <c r="AG103" s="7"/>
      <c r="AH103" s="7"/>
      <c r="AJ103" s="152"/>
      <c r="AK103" s="152"/>
      <c r="AL103" s="152"/>
      <c r="AM103" s="152"/>
      <c r="AN103" s="152"/>
      <c r="AO103" s="152"/>
      <c r="AP103" s="152"/>
      <c r="AQ103" s="152"/>
      <c r="AR103" s="152"/>
    </row>
    <row r="104" spans="1:44">
      <c r="B104" s="4"/>
      <c r="D104" s="29" t="s">
        <v>447</v>
      </c>
      <c r="G104" s="30"/>
      <c r="H104" s="7"/>
      <c r="I104" s="14"/>
      <c r="K104" s="13"/>
      <c r="N104" s="9"/>
      <c r="P104" s="37"/>
      <c r="Q104" s="37"/>
      <c r="R104" s="37"/>
      <c r="S104" s="37"/>
      <c r="T104" s="37"/>
      <c r="U104" s="37"/>
      <c r="V104" s="37"/>
      <c r="W104" s="7"/>
      <c r="X104" s="7"/>
      <c r="Y104" s="7"/>
      <c r="Z104" s="7"/>
      <c r="AA104" s="37"/>
      <c r="AB104" s="37"/>
      <c r="AC104" s="37"/>
      <c r="AD104" s="7"/>
      <c r="AE104" s="7"/>
      <c r="AF104" s="7"/>
      <c r="AG104" s="7"/>
      <c r="AH104" s="7"/>
      <c r="AJ104" s="152"/>
      <c r="AK104" s="152"/>
      <c r="AL104" s="152"/>
      <c r="AM104" s="152"/>
      <c r="AN104" s="152"/>
      <c r="AO104" s="152"/>
      <c r="AP104" s="152"/>
      <c r="AQ104" s="152"/>
      <c r="AR104" s="152"/>
    </row>
    <row r="105" spans="1:44" s="109" customFormat="1">
      <c r="A105" s="109">
        <v>183686</v>
      </c>
      <c r="B105" s="110" t="s">
        <v>331</v>
      </c>
      <c r="C105" s="111">
        <v>44</v>
      </c>
      <c r="D105" s="112" t="s">
        <v>402</v>
      </c>
      <c r="E105" s="113">
        <v>2017</v>
      </c>
      <c r="F105" s="110">
        <v>6</v>
      </c>
      <c r="G105" s="114">
        <v>0</v>
      </c>
      <c r="H105" s="115"/>
      <c r="I105" s="116" t="s">
        <v>86</v>
      </c>
      <c r="J105" s="117">
        <v>3</v>
      </c>
      <c r="K105" s="118">
        <f t="shared" ref="K105:K114" si="305">E105+J105</f>
        <v>2020</v>
      </c>
      <c r="N105" s="119">
        <v>5000</v>
      </c>
      <c r="O105" s="120"/>
      <c r="P105" s="115">
        <f t="shared" ref="P105" si="306">N105-N105*G105</f>
        <v>5000</v>
      </c>
      <c r="Q105" s="115">
        <f t="shared" ref="Q105" si="307">P105/J105/12</f>
        <v>138.88888888888889</v>
      </c>
      <c r="R105" s="115">
        <f t="shared" ref="R105" si="308">IF(O105&gt;0,0,IF(OR(AD105&gt;AE105,AF105&lt;AG105),0,IF(AND(AF105&gt;=AG105,AF105&lt;=AE105),Q105*((AF105-AG105)*12),IF(AND(AG105&lt;=AD105,AE105&gt;=AD105),((AE105-AD105)*12)*Q105,IF(AF105&gt;AE105,12*Q105,0)))))</f>
        <v>972.22222222209587</v>
      </c>
      <c r="S105" s="115"/>
      <c r="T105" s="115">
        <f t="shared" ref="T105" si="309">IF(S105&gt;0,S105,R105)</f>
        <v>972.22222222209587</v>
      </c>
      <c r="U105" s="115">
        <v>1</v>
      </c>
      <c r="V105" s="115">
        <f t="shared" ref="V105" si="310">U105*SUM(R105:S105)</f>
        <v>972.22222222209587</v>
      </c>
      <c r="W105" s="115"/>
      <c r="X105" s="115">
        <f t="shared" ref="X105" si="311">IF(AD105&gt;AE105,0,IF(AF105&lt;AG105,P105,IF(AND(AF105&gt;=AG105,AF105&lt;=AE105),(P105-T105),IF(AND(AG105&lt;=AD105,AE105&gt;=AD105),0,IF(AF105&gt;AE105,((AG105-AD105)*12)*Q105,0)))))</f>
        <v>0</v>
      </c>
      <c r="Y105" s="115">
        <f t="shared" ref="Y105" si="312">X105*U105</f>
        <v>0</v>
      </c>
      <c r="Z105" s="115">
        <v>1</v>
      </c>
      <c r="AA105" s="115">
        <f t="shared" ref="AA105" si="313">Y105*Z105</f>
        <v>0</v>
      </c>
      <c r="AB105" s="115">
        <f t="shared" ref="AB105" si="314">IF(O105&gt;0,0,AA105+V105*Z105)*Z105</f>
        <v>972.22222222209587</v>
      </c>
      <c r="AC105" s="115">
        <f t="shared" ref="AC105" si="315">IF(O105&gt;0,(N105-AA105)/2,IF(AD105&gt;=AG105,(((N105*U105)*Z105)-AB105)/2,((((N105*U105)*Z105)-AA105)+(((N105*U105)*Z105)-AB105))/2))</f>
        <v>2013.8888888889521</v>
      </c>
      <c r="AD105" s="115">
        <f t="shared" ref="AD105:AD114" si="316">$E105+(($F105-1)/12)</f>
        <v>2017.4166666666667</v>
      </c>
      <c r="AE105" s="115">
        <f t="shared" si="12"/>
        <v>2018</v>
      </c>
      <c r="AF105" s="115">
        <f t="shared" ref="AF105:AF114" si="317">$K105+(($F105-1)/12)</f>
        <v>2020.4166666666667</v>
      </c>
      <c r="AG105" s="115">
        <f t="shared" si="14"/>
        <v>2017</v>
      </c>
      <c r="AH105" s="115">
        <f t="shared" ref="AH105:AH114" si="318">$L105+(($M105-1)/12)</f>
        <v>-8.3333333333333329E-2</v>
      </c>
      <c r="AJ105" s="144">
        <f t="shared" ref="AJ105:AJ114" si="319">+IF((AF105-AG105)&gt;3,((N105-P105)/(AF105-AG105)),(N105-P105)/3)</f>
        <v>0</v>
      </c>
      <c r="AK105" s="144"/>
      <c r="AL105" s="144">
        <f t="shared" ref="AL105:AL114" si="320">+AJ105+R105</f>
        <v>972.22222222209587</v>
      </c>
      <c r="AM105" s="144"/>
      <c r="AN105" s="144">
        <f t="shared" ref="AN105:AN114" si="321">+IF(AF105&lt;AG105,-AC105,0)</f>
        <v>0</v>
      </c>
      <c r="AO105" s="144"/>
      <c r="AP105" s="144">
        <f t="shared" ref="AP105:AP114" si="322">+IF(AF105&gt;AG105,IF(AJ105&gt;0,IF(O105&gt;0,(N105-AA105)/2,IF(AD105&gt;=AG105,(((N105*U105)*Z105)-(AB105+AJ105))/2,((((N105*U105)*Z105)-AA105)+(((N105*U105)*Z105)-(AB105+AJ105)))/2)),0),0)</f>
        <v>0</v>
      </c>
      <c r="AQ105" s="144"/>
      <c r="AR105" s="144">
        <f t="shared" ref="AR105:AR114" si="323">+AC105+AN105+(IF(AP105&gt;0,(AP105-AC105),0))</f>
        <v>2013.8888888889521</v>
      </c>
    </row>
    <row r="106" spans="1:44" s="109" customFormat="1">
      <c r="A106" s="109">
        <v>183685</v>
      </c>
      <c r="B106" s="110" t="s">
        <v>331</v>
      </c>
      <c r="C106" s="111">
        <v>42</v>
      </c>
      <c r="D106" s="112" t="s">
        <v>403</v>
      </c>
      <c r="E106" s="113">
        <v>2017</v>
      </c>
      <c r="F106" s="110">
        <v>6</v>
      </c>
      <c r="G106" s="114">
        <v>0</v>
      </c>
      <c r="H106" s="115"/>
      <c r="I106" s="116" t="s">
        <v>86</v>
      </c>
      <c r="J106" s="117">
        <v>7</v>
      </c>
      <c r="K106" s="118">
        <f t="shared" si="305"/>
        <v>2024</v>
      </c>
      <c r="N106" s="119">
        <v>33000</v>
      </c>
      <c r="O106" s="120"/>
      <c r="P106" s="115">
        <f t="shared" ref="P106" si="324">N106-N106*G106</f>
        <v>33000</v>
      </c>
      <c r="Q106" s="115">
        <f t="shared" ref="Q106" si="325">P106/J106/12</f>
        <v>392.85714285714289</v>
      </c>
      <c r="R106" s="115">
        <f t="shared" ref="R106" si="326">IF(O106&gt;0,0,IF(OR(AD106&gt;AE106,AF106&lt;AG106),0,IF(AND(AF106&gt;=AG106,AF106&lt;=AE106),Q106*((AF106-AG106)*12),IF(AND(AG106&lt;=AD106,AE106&gt;=AD106),((AE106-AD106)*12)*Q106,IF(AF106&gt;AE106,12*Q106,0)))))</f>
        <v>2749.999999999643</v>
      </c>
      <c r="S106" s="115"/>
      <c r="T106" s="115">
        <f t="shared" ref="T106" si="327">IF(S106&gt;0,S106,R106)</f>
        <v>2749.999999999643</v>
      </c>
      <c r="U106" s="115">
        <v>1</v>
      </c>
      <c r="V106" s="115">
        <f t="shared" ref="V106" si="328">U106*SUM(R106:S106)</f>
        <v>2749.999999999643</v>
      </c>
      <c r="W106" s="115"/>
      <c r="X106" s="115">
        <f t="shared" ref="X106" si="329">IF(AD106&gt;AE106,0,IF(AF106&lt;AG106,P106,IF(AND(AF106&gt;=AG106,AF106&lt;=AE106),(P106-T106),IF(AND(AG106&lt;=AD106,AE106&gt;=AD106),0,IF(AF106&gt;AE106,((AG106-AD106)*12)*Q106,0)))))</f>
        <v>0</v>
      </c>
      <c r="Y106" s="115">
        <f t="shared" ref="Y106" si="330">X106*U106</f>
        <v>0</v>
      </c>
      <c r="Z106" s="115">
        <v>1</v>
      </c>
      <c r="AA106" s="115">
        <f t="shared" ref="AA106" si="331">Y106*Z106</f>
        <v>0</v>
      </c>
      <c r="AB106" s="115">
        <f t="shared" ref="AB106" si="332">IF(O106&gt;0,0,AA106+V106*Z106)*Z106</f>
        <v>2749.999999999643</v>
      </c>
      <c r="AC106" s="115">
        <f t="shared" ref="AC106" si="333">IF(O106&gt;0,(N106-AA106)/2,IF(AD106&gt;=AG106,(((N106*U106)*Z106)-AB106)/2,((((N106*U106)*Z106)-AA106)+(((N106*U106)*Z106)-AB106))/2))</f>
        <v>15125.000000000178</v>
      </c>
      <c r="AD106" s="115">
        <f t="shared" si="316"/>
        <v>2017.4166666666667</v>
      </c>
      <c r="AE106" s="115">
        <f t="shared" si="12"/>
        <v>2018</v>
      </c>
      <c r="AF106" s="115">
        <f t="shared" si="317"/>
        <v>2024.4166666666667</v>
      </c>
      <c r="AG106" s="115">
        <f t="shared" si="14"/>
        <v>2017</v>
      </c>
      <c r="AH106" s="115">
        <f t="shared" si="318"/>
        <v>-8.3333333333333329E-2</v>
      </c>
      <c r="AJ106" s="144">
        <f t="shared" si="319"/>
        <v>0</v>
      </c>
      <c r="AK106" s="144"/>
      <c r="AL106" s="144">
        <f t="shared" si="320"/>
        <v>2749.999999999643</v>
      </c>
      <c r="AM106" s="144"/>
      <c r="AN106" s="144">
        <f t="shared" si="321"/>
        <v>0</v>
      </c>
      <c r="AO106" s="144"/>
      <c r="AP106" s="144">
        <f t="shared" si="322"/>
        <v>0</v>
      </c>
      <c r="AQ106" s="144"/>
      <c r="AR106" s="144">
        <f t="shared" si="323"/>
        <v>15125.000000000178</v>
      </c>
    </row>
    <row r="107" spans="1:44" s="109" customFormat="1">
      <c r="A107" s="109">
        <v>183684</v>
      </c>
      <c r="B107" s="110" t="s">
        <v>331</v>
      </c>
      <c r="C107" s="111">
        <v>40</v>
      </c>
      <c r="D107" s="112" t="s">
        <v>404</v>
      </c>
      <c r="E107" s="113">
        <v>2017</v>
      </c>
      <c r="F107" s="110">
        <v>6</v>
      </c>
      <c r="G107" s="114">
        <v>0</v>
      </c>
      <c r="H107" s="115"/>
      <c r="I107" s="116" t="s">
        <v>86</v>
      </c>
      <c r="J107" s="117">
        <v>7</v>
      </c>
      <c r="K107" s="118">
        <f t="shared" si="305"/>
        <v>2024</v>
      </c>
      <c r="N107" s="119">
        <v>231300</v>
      </c>
      <c r="O107" s="120"/>
      <c r="P107" s="115">
        <f t="shared" ref="P107:P111" si="334">N107-N107*G107</f>
        <v>231300</v>
      </c>
      <c r="Q107" s="115">
        <f t="shared" ref="Q107" si="335">P107/J107/12</f>
        <v>2753.5714285714289</v>
      </c>
      <c r="R107" s="115">
        <f t="shared" ref="R107" si="336">IF(O107&gt;0,0,IF(OR(AD107&gt;AE107,AF107&lt;AG107),0,IF(AND(AF107&gt;=AG107,AF107&lt;=AE107),Q107*((AF107-AG107)*12),IF(AND(AG107&lt;=AD107,AE107&gt;=AD107),((AE107-AD107)*12)*Q107,IF(AF107&gt;AE107,12*Q107,0)))))</f>
        <v>19274.999999997497</v>
      </c>
      <c r="S107" s="115"/>
      <c r="T107" s="115">
        <f t="shared" ref="T107" si="337">IF(S107&gt;0,S107,R107)</f>
        <v>19274.999999997497</v>
      </c>
      <c r="U107" s="115">
        <v>1</v>
      </c>
      <c r="V107" s="115">
        <f t="shared" ref="V107" si="338">U107*SUM(R107:S107)</f>
        <v>19274.999999997497</v>
      </c>
      <c r="W107" s="115"/>
      <c r="X107" s="115">
        <f t="shared" ref="X107" si="339">IF(AD107&gt;AE107,0,IF(AF107&lt;AG107,P107,IF(AND(AF107&gt;=AG107,AF107&lt;=AE107),(P107-T107),IF(AND(AG107&lt;=AD107,AE107&gt;=AD107),0,IF(AF107&gt;AE107,((AG107-AD107)*12)*Q107,0)))))</f>
        <v>0</v>
      </c>
      <c r="Y107" s="115">
        <f t="shared" ref="Y107" si="340">X107*U107</f>
        <v>0</v>
      </c>
      <c r="Z107" s="115">
        <v>1</v>
      </c>
      <c r="AA107" s="115">
        <f t="shared" ref="AA107" si="341">Y107*Z107</f>
        <v>0</v>
      </c>
      <c r="AB107" s="115">
        <f t="shared" ref="AB107" si="342">IF(O107&gt;0,0,AA107+V107*Z107)*Z107</f>
        <v>19274.999999997497</v>
      </c>
      <c r="AC107" s="115">
        <f t="shared" ref="AC107" si="343">IF(O107&gt;0,(N107-AA107)/2,IF(AD107&gt;=AG107,(((N107*U107)*Z107)-AB107)/2,((((N107*U107)*Z107)-AA107)+(((N107*U107)*Z107)-AB107))/2))</f>
        <v>106012.50000000125</v>
      </c>
      <c r="AD107" s="115">
        <f t="shared" si="316"/>
        <v>2017.4166666666667</v>
      </c>
      <c r="AE107" s="115">
        <f t="shared" si="12"/>
        <v>2018</v>
      </c>
      <c r="AF107" s="115">
        <f t="shared" si="317"/>
        <v>2024.4166666666667</v>
      </c>
      <c r="AG107" s="115">
        <f t="shared" si="14"/>
        <v>2017</v>
      </c>
      <c r="AH107" s="115">
        <f t="shared" si="318"/>
        <v>-8.3333333333333329E-2</v>
      </c>
      <c r="AJ107" s="144">
        <f t="shared" si="319"/>
        <v>0</v>
      </c>
      <c r="AK107" s="144"/>
      <c r="AL107" s="144">
        <f t="shared" si="320"/>
        <v>19274.999999997497</v>
      </c>
      <c r="AM107" s="144"/>
      <c r="AN107" s="144">
        <f t="shared" si="321"/>
        <v>0</v>
      </c>
      <c r="AO107" s="144"/>
      <c r="AP107" s="144">
        <f t="shared" si="322"/>
        <v>0</v>
      </c>
      <c r="AQ107" s="144"/>
      <c r="AR107" s="144">
        <f t="shared" si="323"/>
        <v>106012.50000000125</v>
      </c>
    </row>
    <row r="108" spans="1:44" s="109" customFormat="1">
      <c r="A108" s="109">
        <v>183683</v>
      </c>
      <c r="B108" s="110" t="s">
        <v>331</v>
      </c>
      <c r="C108" s="111">
        <v>43</v>
      </c>
      <c r="D108" s="112" t="s">
        <v>405</v>
      </c>
      <c r="E108" s="113">
        <v>2017</v>
      </c>
      <c r="F108" s="110">
        <v>6</v>
      </c>
      <c r="G108" s="114">
        <v>0</v>
      </c>
      <c r="H108" s="115"/>
      <c r="I108" s="116" t="s">
        <v>86</v>
      </c>
      <c r="J108" s="117">
        <v>3</v>
      </c>
      <c r="K108" s="118">
        <f t="shared" si="305"/>
        <v>2020</v>
      </c>
      <c r="N108" s="119">
        <v>5000</v>
      </c>
      <c r="O108" s="120"/>
      <c r="P108" s="115">
        <f t="shared" si="334"/>
        <v>5000</v>
      </c>
      <c r="Q108" s="115">
        <f t="shared" ref="Q108" si="344">P108/J108/12</f>
        <v>138.88888888888889</v>
      </c>
      <c r="R108" s="115">
        <f t="shared" ref="R108" si="345">IF(O108&gt;0,0,IF(OR(AD108&gt;AE108,AF108&lt;AG108),0,IF(AND(AF108&gt;=AG108,AF108&lt;=AE108),Q108*((AF108-AG108)*12),IF(AND(AG108&lt;=AD108,AE108&gt;=AD108),((AE108-AD108)*12)*Q108,IF(AF108&gt;AE108,12*Q108,0)))))</f>
        <v>972.22222222209587</v>
      </c>
      <c r="S108" s="115"/>
      <c r="T108" s="115">
        <f t="shared" ref="T108" si="346">IF(S108&gt;0,S108,R108)</f>
        <v>972.22222222209587</v>
      </c>
      <c r="U108" s="115">
        <v>1</v>
      </c>
      <c r="V108" s="115">
        <f t="shared" ref="V108" si="347">U108*SUM(R108:S108)</f>
        <v>972.22222222209587</v>
      </c>
      <c r="W108" s="115"/>
      <c r="X108" s="115">
        <f t="shared" ref="X108" si="348">IF(AD108&gt;AE108,0,IF(AF108&lt;AG108,P108,IF(AND(AF108&gt;=AG108,AF108&lt;=AE108),(P108-T108),IF(AND(AG108&lt;=AD108,AE108&gt;=AD108),0,IF(AF108&gt;AE108,((AG108-AD108)*12)*Q108,0)))))</f>
        <v>0</v>
      </c>
      <c r="Y108" s="115">
        <f t="shared" ref="Y108" si="349">X108*U108</f>
        <v>0</v>
      </c>
      <c r="Z108" s="115">
        <v>1</v>
      </c>
      <c r="AA108" s="115">
        <f t="shared" ref="AA108" si="350">Y108*Z108</f>
        <v>0</v>
      </c>
      <c r="AB108" s="115">
        <f t="shared" ref="AB108" si="351">IF(O108&gt;0,0,AA108+V108*Z108)*Z108</f>
        <v>972.22222222209587</v>
      </c>
      <c r="AC108" s="115">
        <f t="shared" ref="AC108" si="352">IF(O108&gt;0,(N108-AA108)/2,IF(AD108&gt;=AG108,(((N108*U108)*Z108)-AB108)/2,((((N108*U108)*Z108)-AA108)+(((N108*U108)*Z108)-AB108))/2))</f>
        <v>2013.8888888889521</v>
      </c>
      <c r="AD108" s="115">
        <f t="shared" si="316"/>
        <v>2017.4166666666667</v>
      </c>
      <c r="AE108" s="115">
        <f t="shared" si="12"/>
        <v>2018</v>
      </c>
      <c r="AF108" s="115">
        <f t="shared" si="317"/>
        <v>2020.4166666666667</v>
      </c>
      <c r="AG108" s="115">
        <f t="shared" si="14"/>
        <v>2017</v>
      </c>
      <c r="AH108" s="115">
        <f t="shared" si="318"/>
        <v>-8.3333333333333329E-2</v>
      </c>
      <c r="AJ108" s="144">
        <f t="shared" si="319"/>
        <v>0</v>
      </c>
      <c r="AK108" s="144"/>
      <c r="AL108" s="144">
        <f t="shared" si="320"/>
        <v>972.22222222209587</v>
      </c>
      <c r="AM108" s="144"/>
      <c r="AN108" s="144">
        <f t="shared" si="321"/>
        <v>0</v>
      </c>
      <c r="AO108" s="144"/>
      <c r="AP108" s="144">
        <f t="shared" si="322"/>
        <v>0</v>
      </c>
      <c r="AQ108" s="144"/>
      <c r="AR108" s="144">
        <f t="shared" si="323"/>
        <v>2013.8888888889521</v>
      </c>
    </row>
    <row r="109" spans="1:44" s="109" customFormat="1">
      <c r="A109" s="109">
        <v>183682</v>
      </c>
      <c r="B109" s="110" t="s">
        <v>331</v>
      </c>
      <c r="C109" s="111">
        <v>41</v>
      </c>
      <c r="D109" s="112" t="s">
        <v>406</v>
      </c>
      <c r="E109" s="113">
        <v>2017</v>
      </c>
      <c r="F109" s="110">
        <v>6</v>
      </c>
      <c r="G109" s="114">
        <v>0</v>
      </c>
      <c r="H109" s="115"/>
      <c r="I109" s="116" t="s">
        <v>86</v>
      </c>
      <c r="J109" s="117">
        <v>6</v>
      </c>
      <c r="K109" s="118">
        <f t="shared" si="305"/>
        <v>2023</v>
      </c>
      <c r="N109" s="119">
        <v>215000</v>
      </c>
      <c r="O109" s="120"/>
      <c r="P109" s="115">
        <f t="shared" si="334"/>
        <v>215000</v>
      </c>
      <c r="Q109" s="115">
        <f t="shared" ref="Q109" si="353">P109/J109/12</f>
        <v>2986.1111111111113</v>
      </c>
      <c r="R109" s="115">
        <f t="shared" ref="R109" si="354">IF(O109&gt;0,0,IF(OR(AD109&gt;AE109,AF109&lt;AG109),0,IF(AND(AF109&gt;=AG109,AF109&lt;=AE109),Q109*((AF109-AG109)*12),IF(AND(AG109&lt;=AD109,AE109&gt;=AD109),((AE109-AD109)*12)*Q109,IF(AF109&gt;AE109,12*Q109,0)))))</f>
        <v>20902.777777775063</v>
      </c>
      <c r="S109" s="115"/>
      <c r="T109" s="115">
        <f t="shared" ref="T109" si="355">IF(S109&gt;0,S109,R109)</f>
        <v>20902.777777775063</v>
      </c>
      <c r="U109" s="115">
        <v>1</v>
      </c>
      <c r="V109" s="115">
        <f t="shared" ref="V109" si="356">U109*SUM(R109:S109)</f>
        <v>20902.777777775063</v>
      </c>
      <c r="W109" s="115"/>
      <c r="X109" s="115">
        <f t="shared" ref="X109" si="357">IF(AD109&gt;AE109,0,IF(AF109&lt;AG109,P109,IF(AND(AF109&gt;=AG109,AF109&lt;=AE109),(P109-T109),IF(AND(AG109&lt;=AD109,AE109&gt;=AD109),0,IF(AF109&gt;AE109,((AG109-AD109)*12)*Q109,0)))))</f>
        <v>0</v>
      </c>
      <c r="Y109" s="115">
        <f t="shared" ref="Y109" si="358">X109*U109</f>
        <v>0</v>
      </c>
      <c r="Z109" s="115">
        <v>1</v>
      </c>
      <c r="AA109" s="115">
        <f t="shared" ref="AA109" si="359">Y109*Z109</f>
        <v>0</v>
      </c>
      <c r="AB109" s="115">
        <f t="shared" ref="AB109" si="360">IF(O109&gt;0,0,AA109+V109*Z109)*Z109</f>
        <v>20902.777777775063</v>
      </c>
      <c r="AC109" s="115">
        <f t="shared" ref="AC109" si="361">IF(O109&gt;0,(N109-AA109)/2,IF(AD109&gt;=AG109,(((N109*U109)*Z109)-AB109)/2,((((N109*U109)*Z109)-AA109)+(((N109*U109)*Z109)-AB109))/2))</f>
        <v>97048.611111112463</v>
      </c>
      <c r="AD109" s="115">
        <f t="shared" si="316"/>
        <v>2017.4166666666667</v>
      </c>
      <c r="AE109" s="115">
        <f t="shared" si="12"/>
        <v>2018</v>
      </c>
      <c r="AF109" s="115">
        <f t="shared" si="317"/>
        <v>2023.4166666666667</v>
      </c>
      <c r="AG109" s="115">
        <f t="shared" si="14"/>
        <v>2017</v>
      </c>
      <c r="AH109" s="115">
        <f t="shared" si="318"/>
        <v>-8.3333333333333329E-2</v>
      </c>
      <c r="AJ109" s="144">
        <f t="shared" si="319"/>
        <v>0</v>
      </c>
      <c r="AK109" s="144"/>
      <c r="AL109" s="144">
        <f t="shared" si="320"/>
        <v>20902.777777775063</v>
      </c>
      <c r="AM109" s="144"/>
      <c r="AN109" s="144">
        <f t="shared" si="321"/>
        <v>0</v>
      </c>
      <c r="AO109" s="144"/>
      <c r="AP109" s="144">
        <f t="shared" si="322"/>
        <v>0</v>
      </c>
      <c r="AQ109" s="144"/>
      <c r="AR109" s="144">
        <f t="shared" si="323"/>
        <v>97048.611111112463</v>
      </c>
    </row>
    <row r="110" spans="1:44" s="109" customFormat="1">
      <c r="A110" s="109" t="s">
        <v>407</v>
      </c>
      <c r="B110" s="110"/>
      <c r="C110" s="111">
        <v>41</v>
      </c>
      <c r="D110" s="112" t="s">
        <v>408</v>
      </c>
      <c r="E110" s="113">
        <v>2017</v>
      </c>
      <c r="F110" s="110">
        <v>6</v>
      </c>
      <c r="G110" s="114">
        <v>0</v>
      </c>
      <c r="H110" s="115"/>
      <c r="I110" s="116" t="s">
        <v>86</v>
      </c>
      <c r="J110" s="117">
        <v>5</v>
      </c>
      <c r="K110" s="118">
        <f t="shared" si="305"/>
        <v>2022</v>
      </c>
      <c r="N110" s="119">
        <v>15667.9</v>
      </c>
      <c r="O110" s="120"/>
      <c r="P110" s="115">
        <f t="shared" si="334"/>
        <v>15667.9</v>
      </c>
      <c r="Q110" s="115">
        <f t="shared" ref="Q110" si="362">P110/J110/12</f>
        <v>261.13166666666666</v>
      </c>
      <c r="R110" s="115">
        <f t="shared" ref="R110" si="363">IF(O110&gt;0,0,IF(OR(AD110&gt;AE110,AF110&lt;AG110),0,IF(AND(AF110&gt;=AG110,AF110&lt;=AE110),Q110*((AF110-AG110)*12),IF(AND(AG110&lt;=AD110,AE110&gt;=AD110),((AE110-AD110)*12)*Q110,IF(AF110&gt;AE110,12*Q110,0)))))</f>
        <v>1827.921666666429</v>
      </c>
      <c r="S110" s="115"/>
      <c r="T110" s="115">
        <f t="shared" ref="T110" si="364">IF(S110&gt;0,S110,R110)</f>
        <v>1827.921666666429</v>
      </c>
      <c r="U110" s="115">
        <v>1</v>
      </c>
      <c r="V110" s="115">
        <f t="shared" ref="V110" si="365">U110*SUM(R110:S110)</f>
        <v>1827.921666666429</v>
      </c>
      <c r="W110" s="115"/>
      <c r="X110" s="115">
        <f t="shared" ref="X110" si="366">IF(AD110&gt;AE110,0,IF(AF110&lt;AG110,P110,IF(AND(AF110&gt;=AG110,AF110&lt;=AE110),(P110-T110),IF(AND(AG110&lt;=AD110,AE110&gt;=AD110),0,IF(AF110&gt;AE110,((AG110-AD110)*12)*Q110,0)))))</f>
        <v>0</v>
      </c>
      <c r="Y110" s="115">
        <f t="shared" ref="Y110" si="367">X110*U110</f>
        <v>0</v>
      </c>
      <c r="Z110" s="115">
        <v>1</v>
      </c>
      <c r="AA110" s="115">
        <f t="shared" ref="AA110" si="368">Y110*Z110</f>
        <v>0</v>
      </c>
      <c r="AB110" s="115">
        <f t="shared" ref="AB110" si="369">IF(O110&gt;0,0,AA110+V110*Z110)*Z110</f>
        <v>1827.921666666429</v>
      </c>
      <c r="AC110" s="115">
        <f t="shared" ref="AC110" si="370">IF(O110&gt;0,(N110-AA110)/2,IF(AD110&gt;=AG110,(((N110*U110)*Z110)-AB110)/2,((((N110*U110)*Z110)-AA110)+(((N110*U110)*Z110)-AB110))/2))</f>
        <v>6919.9891666667854</v>
      </c>
      <c r="AD110" s="115">
        <f t="shared" si="316"/>
        <v>2017.4166666666667</v>
      </c>
      <c r="AE110" s="115">
        <f t="shared" si="12"/>
        <v>2018</v>
      </c>
      <c r="AF110" s="115">
        <f t="shared" si="317"/>
        <v>2022.4166666666667</v>
      </c>
      <c r="AG110" s="115">
        <f t="shared" si="14"/>
        <v>2017</v>
      </c>
      <c r="AH110" s="115">
        <f t="shared" si="318"/>
        <v>-8.3333333333333329E-2</v>
      </c>
      <c r="AJ110" s="144">
        <f t="shared" si="319"/>
        <v>0</v>
      </c>
      <c r="AK110" s="144"/>
      <c r="AL110" s="144">
        <f t="shared" si="320"/>
        <v>1827.921666666429</v>
      </c>
      <c r="AM110" s="144"/>
      <c r="AN110" s="144">
        <f t="shared" si="321"/>
        <v>0</v>
      </c>
      <c r="AO110" s="144"/>
      <c r="AP110" s="144">
        <f t="shared" si="322"/>
        <v>0</v>
      </c>
      <c r="AQ110" s="144"/>
      <c r="AR110" s="144">
        <f t="shared" si="323"/>
        <v>6919.9891666667854</v>
      </c>
    </row>
    <row r="111" spans="1:44" s="109" customFormat="1">
      <c r="A111" s="109" t="s">
        <v>409</v>
      </c>
      <c r="B111" s="110"/>
      <c r="C111" s="111">
        <v>40</v>
      </c>
      <c r="D111" s="112" t="s">
        <v>408</v>
      </c>
      <c r="E111" s="113">
        <v>2017</v>
      </c>
      <c r="F111" s="110">
        <v>6</v>
      </c>
      <c r="G111" s="114">
        <v>0</v>
      </c>
      <c r="H111" s="115"/>
      <c r="I111" s="116" t="s">
        <v>86</v>
      </c>
      <c r="J111" s="117">
        <v>6</v>
      </c>
      <c r="K111" s="118">
        <f t="shared" si="305"/>
        <v>2023</v>
      </c>
      <c r="N111" s="119">
        <v>19460.7</v>
      </c>
      <c r="O111" s="120"/>
      <c r="P111" s="115">
        <f t="shared" si="334"/>
        <v>19460.7</v>
      </c>
      <c r="Q111" s="115">
        <f t="shared" ref="Q111" si="371">P111/J111/12</f>
        <v>270.28750000000002</v>
      </c>
      <c r="R111" s="115">
        <f t="shared" ref="R111" si="372">IF(O111&gt;0,0,IF(OR(AD111&gt;AE111,AF111&lt;AG111),0,IF(AND(AF111&gt;=AG111,AF111&lt;=AE111),Q111*((AF111-AG111)*12),IF(AND(AG111&lt;=AD111,AE111&gt;=AD111),((AE111-AD111)*12)*Q111,IF(AF111&gt;AE111,12*Q111,0)))))</f>
        <v>1892.0124999997543</v>
      </c>
      <c r="S111" s="115"/>
      <c r="T111" s="115">
        <f t="shared" ref="T111" si="373">IF(S111&gt;0,S111,R111)</f>
        <v>1892.0124999997543</v>
      </c>
      <c r="U111" s="115">
        <v>1</v>
      </c>
      <c r="V111" s="115">
        <f t="shared" ref="V111" si="374">U111*SUM(R111:S111)</f>
        <v>1892.0124999997543</v>
      </c>
      <c r="W111" s="115"/>
      <c r="X111" s="115">
        <f t="shared" ref="X111" si="375">IF(AD111&gt;AE111,0,IF(AF111&lt;AG111,P111,IF(AND(AF111&gt;=AG111,AF111&lt;=AE111),(P111-T111),IF(AND(AG111&lt;=AD111,AE111&gt;=AD111),0,IF(AF111&gt;AE111,((AG111-AD111)*12)*Q111,0)))))</f>
        <v>0</v>
      </c>
      <c r="Y111" s="115">
        <f t="shared" ref="Y111" si="376">X111*U111</f>
        <v>0</v>
      </c>
      <c r="Z111" s="115">
        <v>1</v>
      </c>
      <c r="AA111" s="115">
        <f t="shared" ref="AA111" si="377">Y111*Z111</f>
        <v>0</v>
      </c>
      <c r="AB111" s="115">
        <f t="shared" ref="AB111" si="378">IF(O111&gt;0,0,AA111+V111*Z111)*Z111</f>
        <v>1892.0124999997543</v>
      </c>
      <c r="AC111" s="115">
        <f t="shared" ref="AC111" si="379">IF(O111&gt;0,(N111-AA111)/2,IF(AD111&gt;=AG111,(((N111*U111)*Z111)-AB111)/2,((((N111*U111)*Z111)-AA111)+(((N111*U111)*Z111)-AB111))/2))</f>
        <v>8784.3437500001237</v>
      </c>
      <c r="AD111" s="115">
        <f t="shared" si="316"/>
        <v>2017.4166666666667</v>
      </c>
      <c r="AE111" s="115">
        <f t="shared" si="12"/>
        <v>2018</v>
      </c>
      <c r="AF111" s="115">
        <f t="shared" si="317"/>
        <v>2023.4166666666667</v>
      </c>
      <c r="AG111" s="115">
        <f t="shared" si="14"/>
        <v>2017</v>
      </c>
      <c r="AH111" s="115">
        <f t="shared" si="318"/>
        <v>-8.3333333333333329E-2</v>
      </c>
      <c r="AJ111" s="144">
        <f t="shared" si="319"/>
        <v>0</v>
      </c>
      <c r="AK111" s="144"/>
      <c r="AL111" s="144">
        <f t="shared" si="320"/>
        <v>1892.0124999997543</v>
      </c>
      <c r="AM111" s="144"/>
      <c r="AN111" s="144">
        <f t="shared" si="321"/>
        <v>0</v>
      </c>
      <c r="AO111" s="144"/>
      <c r="AP111" s="144">
        <f t="shared" si="322"/>
        <v>0</v>
      </c>
      <c r="AQ111" s="144"/>
      <c r="AR111" s="144">
        <f t="shared" si="323"/>
        <v>8784.3437500001237</v>
      </c>
    </row>
    <row r="112" spans="1:44" s="109" customFormat="1">
      <c r="A112" s="109" t="s">
        <v>410</v>
      </c>
      <c r="B112" s="110"/>
      <c r="C112" s="111">
        <v>42</v>
      </c>
      <c r="D112" s="112" t="s">
        <v>408</v>
      </c>
      <c r="E112" s="113">
        <v>2017</v>
      </c>
      <c r="F112" s="110">
        <v>6</v>
      </c>
      <c r="G112" s="114">
        <v>0</v>
      </c>
      <c r="H112" s="115"/>
      <c r="I112" s="116" t="s">
        <v>86</v>
      </c>
      <c r="J112" s="117">
        <v>3</v>
      </c>
      <c r="K112" s="118">
        <f t="shared" si="305"/>
        <v>2020</v>
      </c>
      <c r="N112" s="119">
        <v>2398.5</v>
      </c>
      <c r="O112" s="120"/>
      <c r="P112" s="115">
        <f t="shared" ref="P112:P114" si="380">N112-N112*G112</f>
        <v>2398.5</v>
      </c>
      <c r="Q112" s="115">
        <f t="shared" ref="Q112:Q113" si="381">P112/J112/12</f>
        <v>66.625</v>
      </c>
      <c r="R112" s="115">
        <f t="shared" ref="R112" si="382">IF(O112&gt;0,0,IF(OR(AD112&gt;AE112,AF112&lt;AG112),0,IF(AND(AF112&gt;=AG112,AF112&lt;=AE112),Q112*((AF112-AG112)*12),IF(AND(AG112&lt;=AD112,AE112&gt;=AD112),((AE112-AD112)*12)*Q112,IF(AF112&gt;AE112,12*Q112,0)))))</f>
        <v>466.3749999999394</v>
      </c>
      <c r="S112" s="115"/>
      <c r="T112" s="115">
        <f t="shared" ref="T112" si="383">IF(S112&gt;0,S112,R112)</f>
        <v>466.3749999999394</v>
      </c>
      <c r="U112" s="115">
        <v>1</v>
      </c>
      <c r="V112" s="115">
        <f t="shared" ref="V112" si="384">U112*SUM(R112:S112)</f>
        <v>466.3749999999394</v>
      </c>
      <c r="W112" s="115"/>
      <c r="X112" s="115">
        <f t="shared" ref="X112" si="385">IF(AD112&gt;AE112,0,IF(AF112&lt;AG112,P112,IF(AND(AF112&gt;=AG112,AF112&lt;=AE112),(P112-T112),IF(AND(AG112&lt;=AD112,AE112&gt;=AD112),0,IF(AF112&gt;AE112,((AG112-AD112)*12)*Q112,0)))))</f>
        <v>0</v>
      </c>
      <c r="Y112" s="115">
        <f t="shared" ref="Y112" si="386">X112*U112</f>
        <v>0</v>
      </c>
      <c r="Z112" s="115">
        <v>1</v>
      </c>
      <c r="AA112" s="115">
        <f t="shared" ref="AA112" si="387">Y112*Z112</f>
        <v>0</v>
      </c>
      <c r="AB112" s="115">
        <f t="shared" ref="AB112" si="388">IF(O112&gt;0,0,AA112+V112*Z112)*Z112</f>
        <v>466.3749999999394</v>
      </c>
      <c r="AC112" s="115">
        <f t="shared" ref="AC112" si="389">IF(O112&gt;0,(N112-AA112)/2,IF(AD112&gt;=AG112,(((N112*U112)*Z112)-AB112)/2,((((N112*U112)*Z112)-AA112)+(((N112*U112)*Z112)-AB112))/2))</f>
        <v>966.06250000003024</v>
      </c>
      <c r="AD112" s="115">
        <f t="shared" si="316"/>
        <v>2017.4166666666667</v>
      </c>
      <c r="AE112" s="115">
        <f t="shared" si="12"/>
        <v>2018</v>
      </c>
      <c r="AF112" s="115">
        <f t="shared" si="317"/>
        <v>2020.4166666666667</v>
      </c>
      <c r="AG112" s="115">
        <f t="shared" si="14"/>
        <v>2017</v>
      </c>
      <c r="AH112" s="115">
        <f t="shared" si="318"/>
        <v>-8.3333333333333329E-2</v>
      </c>
      <c r="AJ112" s="144">
        <f t="shared" si="319"/>
        <v>0</v>
      </c>
      <c r="AK112" s="144"/>
      <c r="AL112" s="144">
        <f t="shared" si="320"/>
        <v>466.3749999999394</v>
      </c>
      <c r="AM112" s="144"/>
      <c r="AN112" s="144">
        <f t="shared" si="321"/>
        <v>0</v>
      </c>
      <c r="AO112" s="144"/>
      <c r="AP112" s="144">
        <f t="shared" si="322"/>
        <v>0</v>
      </c>
      <c r="AQ112" s="144"/>
      <c r="AR112" s="144">
        <f t="shared" si="323"/>
        <v>966.06250000003024</v>
      </c>
    </row>
    <row r="113" spans="1:44" s="109" customFormat="1">
      <c r="A113" s="109" t="s">
        <v>411</v>
      </c>
      <c r="B113" s="110"/>
      <c r="C113" s="111">
        <v>43</v>
      </c>
      <c r="D113" s="112" t="s">
        <v>408</v>
      </c>
      <c r="E113" s="113">
        <v>2017</v>
      </c>
      <c r="F113" s="110">
        <v>6</v>
      </c>
      <c r="G113" s="114">
        <v>0</v>
      </c>
      <c r="H113" s="115"/>
      <c r="I113" s="116" t="s">
        <v>86</v>
      </c>
      <c r="J113" s="117">
        <v>3</v>
      </c>
      <c r="K113" s="118">
        <f t="shared" si="305"/>
        <v>2020</v>
      </c>
      <c r="N113" s="119">
        <v>1386.5</v>
      </c>
      <c r="O113" s="120"/>
      <c r="P113" s="115">
        <f t="shared" si="380"/>
        <v>1386.5</v>
      </c>
      <c r="Q113" s="115">
        <f t="shared" si="381"/>
        <v>38.513888888888893</v>
      </c>
      <c r="R113" s="115">
        <f t="shared" ref="R113" si="390">IF(O113&gt;0,0,IF(OR(AD113&gt;AE113,AF113&lt;AG113),0,IF(AND(AF113&gt;=AG113,AF113&lt;=AE113),Q113*((AF113-AG113)*12),IF(AND(AG113&lt;=AD113,AE113&gt;=AD113),((AE113-AD113)*12)*Q113,IF(AF113&gt;AE113,12*Q113,0)))))</f>
        <v>269.59722222218721</v>
      </c>
      <c r="S113" s="115"/>
      <c r="T113" s="115">
        <f t="shared" ref="T113" si="391">IF(S113&gt;0,S113,R113)</f>
        <v>269.59722222218721</v>
      </c>
      <c r="U113" s="115">
        <v>1</v>
      </c>
      <c r="V113" s="115">
        <f t="shared" ref="V113" si="392">U113*SUM(R113:S113)</f>
        <v>269.59722222218721</v>
      </c>
      <c r="W113" s="115"/>
      <c r="X113" s="115">
        <f t="shared" ref="X113" si="393">IF(AD113&gt;AE113,0,IF(AF113&lt;AG113,P113,IF(AND(AF113&gt;=AG113,AF113&lt;=AE113),(P113-T113),IF(AND(AG113&lt;=AD113,AE113&gt;=AD113),0,IF(AF113&gt;AE113,((AG113-AD113)*12)*Q113,0)))))</f>
        <v>0</v>
      </c>
      <c r="Y113" s="115">
        <f t="shared" ref="Y113" si="394">X113*U113</f>
        <v>0</v>
      </c>
      <c r="Z113" s="115">
        <v>1</v>
      </c>
      <c r="AA113" s="115">
        <f t="shared" ref="AA113" si="395">Y113*Z113</f>
        <v>0</v>
      </c>
      <c r="AB113" s="115">
        <f t="shared" ref="AB113" si="396">IF(O113&gt;0,0,AA113+V113*Z113)*Z113</f>
        <v>269.59722222218721</v>
      </c>
      <c r="AC113" s="115">
        <f t="shared" ref="AC113" si="397">IF(O113&gt;0,(N113-AA113)/2,IF(AD113&gt;=AG113,(((N113*U113)*Z113)-AB113)/2,((((N113*U113)*Z113)-AA113)+(((N113*U113)*Z113)-AB113))/2))</f>
        <v>558.45138888890642</v>
      </c>
      <c r="AD113" s="115">
        <f t="shared" si="316"/>
        <v>2017.4166666666667</v>
      </c>
      <c r="AE113" s="115">
        <f t="shared" si="12"/>
        <v>2018</v>
      </c>
      <c r="AF113" s="115">
        <f t="shared" si="317"/>
        <v>2020.4166666666667</v>
      </c>
      <c r="AG113" s="115">
        <f t="shared" si="14"/>
        <v>2017</v>
      </c>
      <c r="AH113" s="115">
        <f t="shared" si="318"/>
        <v>-8.3333333333333329E-2</v>
      </c>
      <c r="AJ113" s="144">
        <f t="shared" si="319"/>
        <v>0</v>
      </c>
      <c r="AK113" s="144"/>
      <c r="AL113" s="144">
        <f t="shared" si="320"/>
        <v>269.59722222218721</v>
      </c>
      <c r="AM113" s="144"/>
      <c r="AN113" s="144">
        <f t="shared" si="321"/>
        <v>0</v>
      </c>
      <c r="AO113" s="144"/>
      <c r="AP113" s="144">
        <f t="shared" si="322"/>
        <v>0</v>
      </c>
      <c r="AQ113" s="144"/>
      <c r="AR113" s="144">
        <f t="shared" si="323"/>
        <v>558.45138888890642</v>
      </c>
    </row>
    <row r="114" spans="1:44" s="109" customFormat="1">
      <c r="A114" s="109" t="s">
        <v>427</v>
      </c>
      <c r="B114" s="110"/>
      <c r="C114" s="111">
        <v>42</v>
      </c>
      <c r="D114" s="112" t="s">
        <v>408</v>
      </c>
      <c r="E114" s="113">
        <v>2017</v>
      </c>
      <c r="F114" s="110">
        <v>6</v>
      </c>
      <c r="G114" s="114">
        <v>0</v>
      </c>
      <c r="H114" s="115"/>
      <c r="I114" s="116" t="s">
        <v>86</v>
      </c>
      <c r="J114" s="117">
        <v>3</v>
      </c>
      <c r="K114" s="118">
        <f t="shared" si="305"/>
        <v>2020</v>
      </c>
      <c r="N114" s="119">
        <v>1342.06</v>
      </c>
      <c r="O114" s="120"/>
      <c r="P114" s="115">
        <f t="shared" si="380"/>
        <v>1342.06</v>
      </c>
      <c r="Q114" s="115">
        <f t="shared" ref="Q114" si="398">P114/J114/12</f>
        <v>37.279444444444444</v>
      </c>
      <c r="R114" s="115">
        <f t="shared" ref="R114" si="399">IF(O114&gt;0,0,IF(OR(AD114&gt;AE114,AF114&lt;AG114),0,IF(AND(AF114&gt;=AG114,AF114&lt;=AE114),Q114*((AF114-AG114)*12),IF(AND(AG114&lt;=AD114,AE114&gt;=AD114),((AE114-AD114)*12)*Q114,IF(AF114&gt;AE114,12*Q114,0)))))</f>
        <v>260.95611111107718</v>
      </c>
      <c r="S114" s="115"/>
      <c r="T114" s="115">
        <f t="shared" ref="T114" si="400">IF(S114&gt;0,S114,R114)</f>
        <v>260.95611111107718</v>
      </c>
      <c r="U114" s="115">
        <v>1</v>
      </c>
      <c r="V114" s="115">
        <f t="shared" ref="V114" si="401">U114*SUM(R114:S114)</f>
        <v>260.95611111107718</v>
      </c>
      <c r="W114" s="115"/>
      <c r="X114" s="115">
        <f t="shared" ref="X114" si="402">IF(AD114&gt;AE114,0,IF(AF114&lt;AG114,P114,IF(AND(AF114&gt;=AG114,AF114&lt;=AE114),(P114-T114),IF(AND(AG114&lt;=AD114,AE114&gt;=AD114),0,IF(AF114&gt;AE114,((AG114-AD114)*12)*Q114,0)))))</f>
        <v>0</v>
      </c>
      <c r="Y114" s="115">
        <f t="shared" ref="Y114" si="403">X114*U114</f>
        <v>0</v>
      </c>
      <c r="Z114" s="115">
        <v>1</v>
      </c>
      <c r="AA114" s="115">
        <f t="shared" ref="AA114" si="404">Y114*Z114</f>
        <v>0</v>
      </c>
      <c r="AB114" s="115">
        <f t="shared" ref="AB114" si="405">IF(O114&gt;0,0,AA114+V114*Z114)*Z114</f>
        <v>260.95611111107718</v>
      </c>
      <c r="AC114" s="115">
        <f t="shared" ref="AC114" si="406">IF(O114&gt;0,(N114-AA114)/2,IF(AD114&gt;=AG114,(((N114*U114)*Z114)-AB114)/2,((((N114*U114)*Z114)-AA114)+(((N114*U114)*Z114)-AB114))/2))</f>
        <v>540.55194444446136</v>
      </c>
      <c r="AD114" s="115">
        <f t="shared" si="316"/>
        <v>2017.4166666666667</v>
      </c>
      <c r="AE114" s="115">
        <f t="shared" si="12"/>
        <v>2018</v>
      </c>
      <c r="AF114" s="115">
        <f t="shared" si="317"/>
        <v>2020.4166666666667</v>
      </c>
      <c r="AG114" s="115">
        <f t="shared" si="14"/>
        <v>2017</v>
      </c>
      <c r="AH114" s="115">
        <f t="shared" si="318"/>
        <v>-8.3333333333333329E-2</v>
      </c>
      <c r="AJ114" s="144">
        <f t="shared" si="319"/>
        <v>0</v>
      </c>
      <c r="AK114" s="144"/>
      <c r="AL114" s="144">
        <f t="shared" si="320"/>
        <v>260.95611111107718</v>
      </c>
      <c r="AM114" s="144"/>
      <c r="AN114" s="144">
        <f t="shared" si="321"/>
        <v>0</v>
      </c>
      <c r="AO114" s="144"/>
      <c r="AP114" s="144">
        <f t="shared" si="322"/>
        <v>0</v>
      </c>
      <c r="AQ114" s="144"/>
      <c r="AR114" s="144">
        <f t="shared" si="323"/>
        <v>540.55194444446136</v>
      </c>
    </row>
    <row r="115" spans="1:44">
      <c r="B115" s="4"/>
      <c r="D115" s="40"/>
      <c r="G115" s="30"/>
      <c r="H115" s="7"/>
      <c r="I115" s="14"/>
      <c r="K115" s="13"/>
      <c r="N115" s="9"/>
      <c r="P115" s="37"/>
      <c r="Q115" s="37"/>
      <c r="R115" s="37"/>
      <c r="S115" s="37"/>
      <c r="T115" s="37"/>
      <c r="U115" s="37"/>
      <c r="V115" s="37"/>
      <c r="W115" s="7"/>
      <c r="X115" s="7"/>
      <c r="Y115" s="7"/>
      <c r="Z115" s="7"/>
      <c r="AA115" s="37"/>
      <c r="AB115" s="37"/>
      <c r="AC115" s="37"/>
      <c r="AD115" s="7"/>
      <c r="AE115" s="7"/>
      <c r="AF115" s="7"/>
      <c r="AG115" s="7"/>
      <c r="AH115" s="7"/>
      <c r="AJ115" s="152"/>
      <c r="AK115" s="152"/>
      <c r="AL115" s="152"/>
      <c r="AM115" s="152"/>
      <c r="AN115" s="152"/>
      <c r="AO115" s="152"/>
      <c r="AP115" s="152"/>
      <c r="AQ115" s="152"/>
      <c r="AR115" s="152"/>
    </row>
    <row r="116" spans="1:44">
      <c r="B116" s="4"/>
      <c r="D116" s="40" t="s">
        <v>447</v>
      </c>
      <c r="G116" s="30"/>
      <c r="H116" s="7"/>
      <c r="I116" s="14"/>
      <c r="K116" s="13"/>
      <c r="N116" s="99">
        <f>SUM(N105:N115)</f>
        <v>529555.66</v>
      </c>
      <c r="O116" s="106"/>
      <c r="P116" s="99">
        <f>SUM(P105:P115)</f>
        <v>529555.66</v>
      </c>
      <c r="Q116" s="99">
        <f>SUM(Q105:Q115)</f>
        <v>7084.1549603174608</v>
      </c>
      <c r="R116" s="99">
        <f>SUM(R105:R115)</f>
        <v>49589.08472221579</v>
      </c>
      <c r="S116" s="99">
        <f>SUM(S105:S115)</f>
        <v>0</v>
      </c>
      <c r="T116" s="99">
        <f>SUM(T105:T115)</f>
        <v>49589.08472221579</v>
      </c>
      <c r="U116" s="101"/>
      <c r="V116" s="99">
        <f>SUM(V105:V115)</f>
        <v>49589.08472221579</v>
      </c>
      <c r="W116" s="105"/>
      <c r="X116" s="105"/>
      <c r="Y116" s="105"/>
      <c r="Z116" s="105"/>
      <c r="AA116" s="101">
        <f>SUM(AA104:AA115)</f>
        <v>0</v>
      </c>
      <c r="AB116" s="99">
        <f>SUM(AB105:AB115)</f>
        <v>49589.08472221579</v>
      </c>
      <c r="AC116" s="99">
        <f>SUM(AC105:AC115)</f>
        <v>239983.28763889207</v>
      </c>
      <c r="AD116" s="105"/>
      <c r="AE116" s="105"/>
      <c r="AF116" s="105"/>
      <c r="AG116" s="105"/>
      <c r="AH116" s="105"/>
      <c r="AJ116" s="99">
        <f>SUM(AJ105:AJ115)</f>
        <v>0</v>
      </c>
      <c r="AK116" s="143">
        <f t="shared" ref="AK116:AQ116" si="407">SUM(AK104:AK115)</f>
        <v>0</v>
      </c>
      <c r="AL116" s="99">
        <f>SUM(AL105:AL115)</f>
        <v>49589.08472221579</v>
      </c>
      <c r="AM116" s="143">
        <f t="shared" si="407"/>
        <v>0</v>
      </c>
      <c r="AN116" s="99">
        <f>SUM(AN105:AN115)</f>
        <v>0</v>
      </c>
      <c r="AO116" s="143">
        <f t="shared" si="407"/>
        <v>0</v>
      </c>
      <c r="AP116" s="99">
        <f>SUM(AP105:AP115)</f>
        <v>0</v>
      </c>
      <c r="AQ116" s="143">
        <f t="shared" si="407"/>
        <v>0</v>
      </c>
      <c r="AR116" s="99">
        <f>SUM(AR105:AR115)</f>
        <v>239983.28763889207</v>
      </c>
    </row>
    <row r="117" spans="1:44">
      <c r="B117" s="4"/>
      <c r="D117" s="40"/>
      <c r="G117" s="30"/>
      <c r="H117" s="7"/>
      <c r="I117" s="14"/>
      <c r="K117" s="13"/>
      <c r="N117" s="9"/>
      <c r="P117" s="37"/>
      <c r="Q117" s="37"/>
      <c r="R117" s="37"/>
      <c r="S117" s="37"/>
      <c r="T117" s="37"/>
      <c r="U117" s="37"/>
      <c r="V117" s="37"/>
      <c r="W117" s="7"/>
      <c r="X117" s="7"/>
      <c r="Y117" s="7"/>
      <c r="Z117" s="7"/>
      <c r="AA117" s="37"/>
      <c r="AB117" s="37"/>
      <c r="AC117" s="37"/>
      <c r="AD117" s="7"/>
      <c r="AE117" s="7"/>
      <c r="AF117" s="7"/>
      <c r="AG117" s="7"/>
      <c r="AH117" s="7"/>
      <c r="AJ117" s="152"/>
      <c r="AK117" s="152"/>
      <c r="AL117" s="152"/>
      <c r="AM117" s="152"/>
      <c r="AN117" s="152"/>
      <c r="AO117" s="152"/>
      <c r="AP117" s="152"/>
      <c r="AQ117" s="152"/>
      <c r="AR117" s="152"/>
    </row>
    <row r="118" spans="1:44">
      <c r="B118" s="4"/>
      <c r="D118" s="40"/>
      <c r="G118" s="30"/>
      <c r="H118" s="7"/>
      <c r="I118" s="14"/>
      <c r="K118" s="13"/>
      <c r="N118" s="9"/>
      <c r="P118" s="37"/>
      <c r="Q118" s="37"/>
      <c r="R118" s="37"/>
      <c r="S118" s="37"/>
      <c r="T118" s="37"/>
      <c r="U118" s="37"/>
      <c r="V118" s="37"/>
      <c r="W118" s="7"/>
      <c r="X118" s="7"/>
      <c r="Y118" s="7"/>
      <c r="Z118" s="7"/>
      <c r="AA118" s="37"/>
      <c r="AB118" s="37"/>
      <c r="AC118" s="37"/>
      <c r="AD118" s="7"/>
      <c r="AE118" s="7"/>
      <c r="AF118" s="7"/>
      <c r="AG118" s="7"/>
      <c r="AH118" s="7"/>
    </row>
    <row r="119" spans="1:44">
      <c r="B119" s="4"/>
      <c r="D119" s="40" t="s">
        <v>14</v>
      </c>
      <c r="G119" s="30"/>
      <c r="H119" s="7"/>
      <c r="I119" s="14"/>
      <c r="K119" s="13"/>
      <c r="N119" s="99">
        <f>N37+N52+N86+N102+N69+N116</f>
        <v>5258132.91</v>
      </c>
      <c r="O119" s="106"/>
      <c r="P119" s="99">
        <f t="shared" ref="P119:V119" si="408">P37+P52+P86+P102+P69+P116</f>
        <v>4420694.4651999995</v>
      </c>
      <c r="Q119" s="99">
        <f t="shared" si="408"/>
        <v>54027.370215785195</v>
      </c>
      <c r="R119" s="99">
        <f t="shared" si="408"/>
        <v>191478.8943604345</v>
      </c>
      <c r="S119" s="99">
        <f t="shared" si="408"/>
        <v>0</v>
      </c>
      <c r="T119" s="99">
        <f t="shared" si="408"/>
        <v>191478.8943604345</v>
      </c>
      <c r="U119" s="99">
        <f t="shared" si="408"/>
        <v>48</v>
      </c>
      <c r="V119" s="99">
        <f t="shared" si="408"/>
        <v>191478.8943604345</v>
      </c>
      <c r="W119" s="99">
        <f>W37+W52+W86+W102+W69</f>
        <v>0</v>
      </c>
      <c r="X119" s="99">
        <f t="shared" ref="X119:AC119" si="409">X37+X52+X86+X102+X69+X116</f>
        <v>2367250.5173643068</v>
      </c>
      <c r="Y119" s="99">
        <f t="shared" si="409"/>
        <v>2367250.5173643068</v>
      </c>
      <c r="Z119" s="99">
        <f t="shared" si="409"/>
        <v>53</v>
      </c>
      <c r="AA119" s="99">
        <f t="shared" si="409"/>
        <v>2793020.5369258458</v>
      </c>
      <c r="AB119" s="99">
        <f t="shared" si="409"/>
        <v>2984499.43128628</v>
      </c>
      <c r="AC119" s="99">
        <f t="shared" si="409"/>
        <v>1788027.6558939368</v>
      </c>
      <c r="AD119" s="105"/>
      <c r="AE119" s="105"/>
      <c r="AF119" s="105"/>
      <c r="AG119" s="105"/>
      <c r="AH119" s="105"/>
      <c r="AJ119" s="99">
        <f>AJ37+AJ52+AJ86+AJ102+AJ69+AJ116</f>
        <v>264480.4052884173</v>
      </c>
      <c r="AK119" s="143">
        <f>AK37+AK52+AK86+AK102+AK69</f>
        <v>0</v>
      </c>
      <c r="AL119" s="99">
        <f>AL37+AL52+AL86+AL102+AL69+AL116</f>
        <v>455959.29964885174</v>
      </c>
      <c r="AM119" s="143">
        <f>AM37+AM52+AM86+AM102+AM69</f>
        <v>0</v>
      </c>
      <c r="AN119" s="99">
        <f>AN37+AN52+AN86+AN102+AN69+AN116</f>
        <v>-657917.02249999996</v>
      </c>
      <c r="AO119" s="143">
        <f>AO37+AO52+AO86+AO102+AO69</f>
        <v>0</v>
      </c>
      <c r="AP119" s="99">
        <f>AP37+AP52+AP86+AP102+AP69+AP116</f>
        <v>431529.78523679718</v>
      </c>
      <c r="AQ119" s="143">
        <f>AQ37+AQ52+AQ86+AQ102+AQ69</f>
        <v>0</v>
      </c>
      <c r="AR119" s="99">
        <f>AR37+AR52+AR86+AR102+AR69+AR116</f>
        <v>1110622.9344997283</v>
      </c>
    </row>
    <row r="120" spans="1:44">
      <c r="B120" s="4"/>
      <c r="C120" s="47"/>
      <c r="D120" s="7"/>
      <c r="E120" s="13"/>
      <c r="F120" s="14"/>
      <c r="G120" s="14"/>
      <c r="H120" s="7"/>
      <c r="I120" s="14"/>
      <c r="K120" s="13"/>
      <c r="N120" s="9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L120" s="144">
        <f>AL119-V119</f>
        <v>264480.40528841724</v>
      </c>
      <c r="AR120" s="144">
        <f>AR119-AC119</f>
        <v>-677404.72139420849</v>
      </c>
    </row>
    <row r="121" spans="1:44">
      <c r="B121" s="4"/>
      <c r="D121" s="53" t="s">
        <v>142</v>
      </c>
      <c r="H121" s="7"/>
      <c r="I121" s="14"/>
      <c r="K121" s="13"/>
      <c r="N121" s="4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>
        <f t="shared" ref="AG121:AG520" si="410">$P$4+($P$3/12)</f>
        <v>2017</v>
      </c>
      <c r="AH121" s="7">
        <f t="shared" ref="AH121:AH172" si="411">$L121+(($M121-1)/12)</f>
        <v>-8.3333333333333329E-2</v>
      </c>
      <c r="AJ121" s="144">
        <f t="shared" ref="AJ121:AJ184" si="412">+IF((AF121-AG121)&gt;3,((N121-P121)/(AF121-AG121)),(N121-P121)/3)</f>
        <v>0</v>
      </c>
      <c r="AL121" s="144">
        <f t="shared" ref="AL121:AL184" si="413">+AJ121+R121</f>
        <v>0</v>
      </c>
      <c r="AN121" s="144">
        <f t="shared" ref="AN121:AN184" si="414">+IF(AF121&lt;AG121,-AC121,0)</f>
        <v>0</v>
      </c>
      <c r="AP121" s="144">
        <f t="shared" ref="AP121:AP184" si="415">+IF(AF121&gt;AG121,IF(AJ121&gt;0,IF(O121&gt;0,(N121-AA121)/2,IF(AD121&gt;=AG121,(((N121*U121)*Z121)-(AB121+AJ121))/2,((((N121*U121)*Z121)-AA121)+(((N121*U121)*Z121)-(AB121+AJ121)))/2)),0),0)</f>
        <v>0</v>
      </c>
      <c r="AR121" s="144">
        <f t="shared" ref="AR121:AR184" si="416">+AC121+AN121+(IF(AP121&gt;0,(AP121-AC121),0))</f>
        <v>0</v>
      </c>
    </row>
    <row r="122" spans="1:44">
      <c r="C122" s="1">
        <v>31</v>
      </c>
      <c r="D122" s="1" t="s">
        <v>16</v>
      </c>
      <c r="E122" s="3">
        <v>1990</v>
      </c>
      <c r="F122" s="4">
        <v>10</v>
      </c>
      <c r="G122" s="30">
        <v>0</v>
      </c>
      <c r="H122" s="7"/>
      <c r="I122" s="14" t="s">
        <v>86</v>
      </c>
      <c r="J122" s="5">
        <v>10</v>
      </c>
      <c r="K122" s="13">
        <f t="shared" ref="K122:K172" si="417">E122+J122</f>
        <v>2000</v>
      </c>
      <c r="N122" s="48">
        <v>4604</v>
      </c>
      <c r="P122" s="7">
        <f t="shared" ref="P122:P172" si="418">N122-N122*G122</f>
        <v>4604</v>
      </c>
      <c r="Q122" s="7">
        <f t="shared" ref="Q122:Q172" si="419">P122/J122/12</f>
        <v>38.366666666666667</v>
      </c>
      <c r="R122" s="7">
        <f t="shared" ref="R122:R154" si="420">IF(O122&gt;0,0,IF(OR(AD122&gt;AE122,AF122&lt;AG122),0,IF(AND(AF122&gt;=AG122,AF122&lt;=AE122),Q122*((AF122-AG122)*12),IF(AND(AG122&lt;=AD122,AE122&gt;=AD122),((AE122-AD122)*12)*Q122,IF(AF122&gt;AE122,12*Q122,0)))))</f>
        <v>0</v>
      </c>
      <c r="T122" s="7">
        <f t="shared" ref="T122:T172" si="421">IF(S122&gt;0,S122,R122)</f>
        <v>0</v>
      </c>
      <c r="U122" s="7">
        <v>1</v>
      </c>
      <c r="V122" s="7">
        <f t="shared" ref="V122:V172" si="422">U122*SUM(R122:S122)</f>
        <v>0</v>
      </c>
      <c r="W122" s="7"/>
      <c r="X122" s="7">
        <f t="shared" ref="X122:X172" si="423">IF(AD122&gt;AE122,0,IF(AF122&lt;AG122,P122,IF(AND(AF122&gt;=AG122,AF122&lt;=AE122),(P122-T122),IF(AND(AG122&lt;=AD122,AE122&gt;=AD122),0,IF(AF122&gt;AE122,((AG122-AD122)*12)*Q122,0)))))</f>
        <v>4604</v>
      </c>
      <c r="Y122" s="7">
        <f t="shared" ref="Y122:Y172" si="424">X122*U122</f>
        <v>4604</v>
      </c>
      <c r="Z122" s="7">
        <v>1</v>
      </c>
      <c r="AA122" s="7">
        <f t="shared" ref="AA122:AA172" si="425">Y122*Z122</f>
        <v>4604</v>
      </c>
      <c r="AB122" s="7">
        <f t="shared" ref="AB122:AB172" si="426">IF(O122&gt;0,0,AA122+V122*Z122)*Z122</f>
        <v>4604</v>
      </c>
      <c r="AC122" s="7">
        <f t="shared" ref="AC122:AC172" si="427">IF(O122&gt;0,(N122-AA122)/2,IF(AD122&gt;=AG122,(((N122*U122)*Z122)-AB122)/2,((((N122*U122)*Z122)-AA122)+(((N122*U122)*Z122)-AB122))/2))</f>
        <v>0</v>
      </c>
      <c r="AD122" s="7">
        <f t="shared" ref="AD122:AD172" si="428">$E122+(($F122-1)/12)</f>
        <v>1990.75</v>
      </c>
      <c r="AE122" s="7">
        <f t="shared" ref="AE122:AE520" si="429">($P$5+1)-($P$2/12)</f>
        <v>2018</v>
      </c>
      <c r="AF122" s="7">
        <f t="shared" ref="AF122:AF172" si="430">$K122+(($F122-1)/12)</f>
        <v>2000.75</v>
      </c>
      <c r="AG122" s="7">
        <f t="shared" si="410"/>
        <v>2017</v>
      </c>
      <c r="AH122" s="7">
        <f t="shared" si="411"/>
        <v>-8.3333333333333329E-2</v>
      </c>
      <c r="AJ122" s="144">
        <f t="shared" si="412"/>
        <v>0</v>
      </c>
      <c r="AL122" s="144">
        <f t="shared" si="413"/>
        <v>0</v>
      </c>
      <c r="AN122" s="144">
        <f t="shared" si="414"/>
        <v>0</v>
      </c>
      <c r="AP122" s="144">
        <f t="shared" si="415"/>
        <v>0</v>
      </c>
      <c r="AR122" s="144">
        <f t="shared" si="416"/>
        <v>0</v>
      </c>
    </row>
    <row r="123" spans="1:44">
      <c r="C123" s="1">
        <v>41</v>
      </c>
      <c r="D123" s="1" t="s">
        <v>16</v>
      </c>
      <c r="E123" s="3">
        <v>1991</v>
      </c>
      <c r="F123" s="4">
        <v>5</v>
      </c>
      <c r="G123" s="30">
        <v>0</v>
      </c>
      <c r="H123" s="7"/>
      <c r="I123" s="14" t="s">
        <v>86</v>
      </c>
      <c r="J123" s="5">
        <v>10</v>
      </c>
      <c r="K123" s="13">
        <f t="shared" si="417"/>
        <v>2001</v>
      </c>
      <c r="N123" s="48">
        <v>2375</v>
      </c>
      <c r="P123" s="7">
        <f t="shared" si="418"/>
        <v>2375</v>
      </c>
      <c r="Q123" s="7">
        <f t="shared" si="419"/>
        <v>19.791666666666668</v>
      </c>
      <c r="R123" s="7">
        <f t="shared" si="420"/>
        <v>0</v>
      </c>
      <c r="T123" s="7">
        <f t="shared" si="421"/>
        <v>0</v>
      </c>
      <c r="U123" s="7">
        <v>1</v>
      </c>
      <c r="V123" s="7">
        <f t="shared" si="422"/>
        <v>0</v>
      </c>
      <c r="W123" s="7"/>
      <c r="X123" s="7">
        <f t="shared" si="423"/>
        <v>2375</v>
      </c>
      <c r="Y123" s="7">
        <f t="shared" si="424"/>
        <v>2375</v>
      </c>
      <c r="Z123" s="7">
        <v>1</v>
      </c>
      <c r="AA123" s="7">
        <f t="shared" si="425"/>
        <v>2375</v>
      </c>
      <c r="AB123" s="7">
        <f t="shared" si="426"/>
        <v>2375</v>
      </c>
      <c r="AC123" s="7">
        <f t="shared" si="427"/>
        <v>0</v>
      </c>
      <c r="AD123" s="7">
        <f t="shared" si="428"/>
        <v>1991.3333333333333</v>
      </c>
      <c r="AE123" s="7">
        <f t="shared" si="429"/>
        <v>2018</v>
      </c>
      <c r="AF123" s="7">
        <f t="shared" si="430"/>
        <v>2001.3333333333333</v>
      </c>
      <c r="AG123" s="7">
        <f t="shared" si="410"/>
        <v>2017</v>
      </c>
      <c r="AH123" s="7">
        <f t="shared" si="411"/>
        <v>-8.3333333333333329E-2</v>
      </c>
      <c r="AJ123" s="144">
        <f t="shared" si="412"/>
        <v>0</v>
      </c>
      <c r="AL123" s="144">
        <f t="shared" si="413"/>
        <v>0</v>
      </c>
      <c r="AN123" s="144">
        <f t="shared" si="414"/>
        <v>0</v>
      </c>
      <c r="AP123" s="144">
        <f t="shared" si="415"/>
        <v>0</v>
      </c>
      <c r="AR123" s="144">
        <f t="shared" si="416"/>
        <v>0</v>
      </c>
    </row>
    <row r="124" spans="1:44">
      <c r="C124" s="1">
        <v>40</v>
      </c>
      <c r="D124" s="1" t="s">
        <v>16</v>
      </c>
      <c r="E124" s="3">
        <v>1991</v>
      </c>
      <c r="F124" s="4">
        <v>3</v>
      </c>
      <c r="G124" s="30">
        <v>0</v>
      </c>
      <c r="H124" s="7"/>
      <c r="I124" s="14" t="s">
        <v>86</v>
      </c>
      <c r="J124" s="5">
        <v>10</v>
      </c>
      <c r="K124" s="13">
        <f t="shared" si="417"/>
        <v>2001</v>
      </c>
      <c r="N124" s="48">
        <v>2375</v>
      </c>
      <c r="P124" s="7">
        <f t="shared" si="418"/>
        <v>2375</v>
      </c>
      <c r="Q124" s="7">
        <f t="shared" si="419"/>
        <v>19.791666666666668</v>
      </c>
      <c r="R124" s="7">
        <f t="shared" si="420"/>
        <v>0</v>
      </c>
      <c r="T124" s="7">
        <f t="shared" si="421"/>
        <v>0</v>
      </c>
      <c r="U124" s="7">
        <v>1</v>
      </c>
      <c r="V124" s="7">
        <f t="shared" si="422"/>
        <v>0</v>
      </c>
      <c r="W124" s="7"/>
      <c r="X124" s="7">
        <f t="shared" si="423"/>
        <v>2375</v>
      </c>
      <c r="Y124" s="7">
        <f t="shared" si="424"/>
        <v>2375</v>
      </c>
      <c r="Z124" s="7">
        <v>1</v>
      </c>
      <c r="AA124" s="7">
        <f t="shared" si="425"/>
        <v>2375</v>
      </c>
      <c r="AB124" s="7">
        <f t="shared" si="426"/>
        <v>2375</v>
      </c>
      <c r="AC124" s="7">
        <f t="shared" si="427"/>
        <v>0</v>
      </c>
      <c r="AD124" s="7">
        <f t="shared" si="428"/>
        <v>1991.1666666666667</v>
      </c>
      <c r="AE124" s="7">
        <f t="shared" si="429"/>
        <v>2018</v>
      </c>
      <c r="AF124" s="7">
        <f t="shared" si="430"/>
        <v>2001.1666666666667</v>
      </c>
      <c r="AG124" s="7">
        <f t="shared" si="410"/>
        <v>2017</v>
      </c>
      <c r="AH124" s="7">
        <f t="shared" si="411"/>
        <v>-8.3333333333333329E-2</v>
      </c>
      <c r="AJ124" s="144">
        <f t="shared" si="412"/>
        <v>0</v>
      </c>
      <c r="AL124" s="144">
        <f t="shared" si="413"/>
        <v>0</v>
      </c>
      <c r="AN124" s="144">
        <f t="shared" si="414"/>
        <v>0</v>
      </c>
      <c r="AP124" s="144">
        <f t="shared" si="415"/>
        <v>0</v>
      </c>
      <c r="AR124" s="144">
        <f t="shared" si="416"/>
        <v>0</v>
      </c>
    </row>
    <row r="125" spans="1:44">
      <c r="C125" s="1">
        <v>42</v>
      </c>
      <c r="D125" s="1" t="s">
        <v>16</v>
      </c>
      <c r="E125" s="3">
        <v>1991</v>
      </c>
      <c r="F125" s="4">
        <v>6</v>
      </c>
      <c r="G125" s="30">
        <v>0</v>
      </c>
      <c r="H125" s="7"/>
      <c r="I125" s="14" t="s">
        <v>86</v>
      </c>
      <c r="J125" s="5">
        <v>10</v>
      </c>
      <c r="K125" s="13">
        <f t="shared" si="417"/>
        <v>2001</v>
      </c>
      <c r="N125" s="48">
        <v>2517</v>
      </c>
      <c r="P125" s="7">
        <f t="shared" si="418"/>
        <v>2517</v>
      </c>
      <c r="Q125" s="7">
        <f t="shared" si="419"/>
        <v>20.974999999999998</v>
      </c>
      <c r="R125" s="7">
        <f t="shared" si="420"/>
        <v>0</v>
      </c>
      <c r="T125" s="7">
        <f t="shared" si="421"/>
        <v>0</v>
      </c>
      <c r="U125" s="7">
        <v>1</v>
      </c>
      <c r="V125" s="7">
        <f t="shared" si="422"/>
        <v>0</v>
      </c>
      <c r="W125" s="7"/>
      <c r="X125" s="7">
        <f t="shared" si="423"/>
        <v>2517</v>
      </c>
      <c r="Y125" s="7">
        <f t="shared" si="424"/>
        <v>2517</v>
      </c>
      <c r="Z125" s="7">
        <v>1</v>
      </c>
      <c r="AA125" s="7">
        <f t="shared" si="425"/>
        <v>2517</v>
      </c>
      <c r="AB125" s="7">
        <f t="shared" si="426"/>
        <v>2517</v>
      </c>
      <c r="AC125" s="7">
        <f t="shared" si="427"/>
        <v>0</v>
      </c>
      <c r="AD125" s="7">
        <f t="shared" si="428"/>
        <v>1991.4166666666667</v>
      </c>
      <c r="AE125" s="7">
        <f t="shared" si="429"/>
        <v>2018</v>
      </c>
      <c r="AF125" s="7">
        <f t="shared" si="430"/>
        <v>2001.4166666666667</v>
      </c>
      <c r="AG125" s="7">
        <f t="shared" si="410"/>
        <v>2017</v>
      </c>
      <c r="AH125" s="7">
        <f t="shared" si="411"/>
        <v>-8.3333333333333329E-2</v>
      </c>
      <c r="AJ125" s="144">
        <f t="shared" si="412"/>
        <v>0</v>
      </c>
      <c r="AL125" s="144">
        <f t="shared" si="413"/>
        <v>0</v>
      </c>
      <c r="AN125" s="144">
        <f t="shared" si="414"/>
        <v>0</v>
      </c>
      <c r="AP125" s="144">
        <f t="shared" si="415"/>
        <v>0</v>
      </c>
      <c r="AR125" s="144">
        <f t="shared" si="416"/>
        <v>0</v>
      </c>
    </row>
    <row r="126" spans="1:44">
      <c r="C126" s="1">
        <v>43</v>
      </c>
      <c r="D126" s="1" t="s">
        <v>16</v>
      </c>
      <c r="E126" s="3">
        <v>1991</v>
      </c>
      <c r="F126" s="4">
        <v>7</v>
      </c>
      <c r="G126" s="30">
        <v>0</v>
      </c>
      <c r="H126" s="7"/>
      <c r="I126" s="14" t="s">
        <v>86</v>
      </c>
      <c r="J126" s="5">
        <v>10</v>
      </c>
      <c r="K126" s="13">
        <f t="shared" si="417"/>
        <v>2001</v>
      </c>
      <c r="N126" s="48">
        <v>6244</v>
      </c>
      <c r="P126" s="7">
        <f t="shared" si="418"/>
        <v>6244</v>
      </c>
      <c r="Q126" s="7">
        <f t="shared" si="419"/>
        <v>52.033333333333331</v>
      </c>
      <c r="R126" s="7">
        <f t="shared" si="420"/>
        <v>0</v>
      </c>
      <c r="T126" s="7">
        <f t="shared" si="421"/>
        <v>0</v>
      </c>
      <c r="U126" s="7">
        <v>1</v>
      </c>
      <c r="V126" s="7">
        <f t="shared" si="422"/>
        <v>0</v>
      </c>
      <c r="W126" s="7"/>
      <c r="X126" s="7">
        <f t="shared" si="423"/>
        <v>6244</v>
      </c>
      <c r="Y126" s="7">
        <f t="shared" si="424"/>
        <v>6244</v>
      </c>
      <c r="Z126" s="7">
        <v>1</v>
      </c>
      <c r="AA126" s="7">
        <f t="shared" si="425"/>
        <v>6244</v>
      </c>
      <c r="AB126" s="7">
        <f t="shared" si="426"/>
        <v>6244</v>
      </c>
      <c r="AC126" s="7">
        <f t="shared" si="427"/>
        <v>0</v>
      </c>
      <c r="AD126" s="7">
        <f t="shared" si="428"/>
        <v>1991.5</v>
      </c>
      <c r="AE126" s="7">
        <f t="shared" si="429"/>
        <v>2018</v>
      </c>
      <c r="AF126" s="7">
        <f t="shared" si="430"/>
        <v>2001.5</v>
      </c>
      <c r="AG126" s="7">
        <f t="shared" si="410"/>
        <v>2017</v>
      </c>
      <c r="AH126" s="7">
        <f t="shared" si="411"/>
        <v>-8.3333333333333329E-2</v>
      </c>
      <c r="AJ126" s="144">
        <f t="shared" si="412"/>
        <v>0</v>
      </c>
      <c r="AL126" s="144">
        <f t="shared" si="413"/>
        <v>0</v>
      </c>
      <c r="AN126" s="144">
        <f t="shared" si="414"/>
        <v>0</v>
      </c>
      <c r="AP126" s="144">
        <f t="shared" si="415"/>
        <v>0</v>
      </c>
      <c r="AR126" s="144">
        <f t="shared" si="416"/>
        <v>0</v>
      </c>
    </row>
    <row r="127" spans="1:44">
      <c r="C127" s="1">
        <v>44</v>
      </c>
      <c r="D127" s="1" t="s">
        <v>16</v>
      </c>
      <c r="E127" s="3">
        <v>1991</v>
      </c>
      <c r="F127" s="4">
        <v>9</v>
      </c>
      <c r="G127" s="30">
        <v>0</v>
      </c>
      <c r="H127" s="7"/>
      <c r="I127" s="14" t="s">
        <v>86</v>
      </c>
      <c r="J127" s="5">
        <v>10</v>
      </c>
      <c r="K127" s="13">
        <f t="shared" si="417"/>
        <v>2001</v>
      </c>
      <c r="N127" s="48">
        <v>2273</v>
      </c>
      <c r="P127" s="7">
        <f t="shared" si="418"/>
        <v>2273</v>
      </c>
      <c r="Q127" s="7">
        <f t="shared" si="419"/>
        <v>18.941666666666666</v>
      </c>
      <c r="R127" s="7">
        <f t="shared" si="420"/>
        <v>0</v>
      </c>
      <c r="T127" s="7">
        <f t="shared" si="421"/>
        <v>0</v>
      </c>
      <c r="U127" s="7">
        <v>1</v>
      </c>
      <c r="V127" s="7">
        <f t="shared" si="422"/>
        <v>0</v>
      </c>
      <c r="W127" s="7"/>
      <c r="X127" s="7">
        <f t="shared" si="423"/>
        <v>2273</v>
      </c>
      <c r="Y127" s="7">
        <f t="shared" si="424"/>
        <v>2273</v>
      </c>
      <c r="Z127" s="7">
        <v>1</v>
      </c>
      <c r="AA127" s="7">
        <f t="shared" si="425"/>
        <v>2273</v>
      </c>
      <c r="AB127" s="7">
        <f t="shared" si="426"/>
        <v>2273</v>
      </c>
      <c r="AC127" s="7">
        <f t="shared" si="427"/>
        <v>0</v>
      </c>
      <c r="AD127" s="7">
        <f t="shared" si="428"/>
        <v>1991.6666666666667</v>
      </c>
      <c r="AE127" s="7">
        <f t="shared" si="429"/>
        <v>2018</v>
      </c>
      <c r="AF127" s="7">
        <f t="shared" si="430"/>
        <v>2001.6666666666667</v>
      </c>
      <c r="AG127" s="7">
        <f t="shared" si="410"/>
        <v>2017</v>
      </c>
      <c r="AH127" s="7">
        <f t="shared" si="411"/>
        <v>-8.3333333333333329E-2</v>
      </c>
      <c r="AJ127" s="144">
        <f t="shared" si="412"/>
        <v>0</v>
      </c>
      <c r="AL127" s="144">
        <f t="shared" si="413"/>
        <v>0</v>
      </c>
      <c r="AN127" s="144">
        <f t="shared" si="414"/>
        <v>0</v>
      </c>
      <c r="AP127" s="144">
        <f t="shared" si="415"/>
        <v>0</v>
      </c>
      <c r="AR127" s="144">
        <f t="shared" si="416"/>
        <v>0</v>
      </c>
    </row>
    <row r="128" spans="1:44">
      <c r="C128" s="1">
        <v>45</v>
      </c>
      <c r="D128" s="1" t="s">
        <v>16</v>
      </c>
      <c r="E128" s="3">
        <v>1991</v>
      </c>
      <c r="F128" s="4">
        <v>10</v>
      </c>
      <c r="G128" s="30">
        <v>0</v>
      </c>
      <c r="H128" s="7"/>
      <c r="I128" s="14" t="s">
        <v>86</v>
      </c>
      <c r="J128" s="5">
        <v>10</v>
      </c>
      <c r="K128" s="13">
        <f t="shared" si="417"/>
        <v>2001</v>
      </c>
      <c r="N128" s="48">
        <v>2273</v>
      </c>
      <c r="P128" s="7">
        <f t="shared" si="418"/>
        <v>2273</v>
      </c>
      <c r="Q128" s="7">
        <f t="shared" si="419"/>
        <v>18.941666666666666</v>
      </c>
      <c r="R128" s="7">
        <f t="shared" si="420"/>
        <v>0</v>
      </c>
      <c r="T128" s="7">
        <f t="shared" si="421"/>
        <v>0</v>
      </c>
      <c r="U128" s="7">
        <v>1</v>
      </c>
      <c r="V128" s="7">
        <f t="shared" si="422"/>
        <v>0</v>
      </c>
      <c r="W128" s="7"/>
      <c r="X128" s="7">
        <f t="shared" si="423"/>
        <v>2273</v>
      </c>
      <c r="Y128" s="7">
        <f t="shared" si="424"/>
        <v>2273</v>
      </c>
      <c r="Z128" s="7">
        <v>1</v>
      </c>
      <c r="AA128" s="7">
        <f t="shared" si="425"/>
        <v>2273</v>
      </c>
      <c r="AB128" s="7">
        <f t="shared" si="426"/>
        <v>2273</v>
      </c>
      <c r="AC128" s="7">
        <f t="shared" si="427"/>
        <v>0</v>
      </c>
      <c r="AD128" s="7">
        <f t="shared" si="428"/>
        <v>1991.75</v>
      </c>
      <c r="AE128" s="7">
        <f t="shared" si="429"/>
        <v>2018</v>
      </c>
      <c r="AF128" s="7">
        <f t="shared" si="430"/>
        <v>2001.75</v>
      </c>
      <c r="AG128" s="7">
        <f t="shared" si="410"/>
        <v>2017</v>
      </c>
      <c r="AH128" s="7">
        <f t="shared" si="411"/>
        <v>-8.3333333333333329E-2</v>
      </c>
      <c r="AJ128" s="144">
        <f t="shared" si="412"/>
        <v>0</v>
      </c>
      <c r="AL128" s="144">
        <f t="shared" si="413"/>
        <v>0</v>
      </c>
      <c r="AN128" s="144">
        <f t="shared" si="414"/>
        <v>0</v>
      </c>
      <c r="AP128" s="144">
        <f t="shared" si="415"/>
        <v>0</v>
      </c>
      <c r="AR128" s="144">
        <f t="shared" si="416"/>
        <v>0</v>
      </c>
    </row>
    <row r="129" spans="3:44">
      <c r="C129" s="1">
        <v>46</v>
      </c>
      <c r="D129" s="1" t="s">
        <v>16</v>
      </c>
      <c r="E129" s="3">
        <v>1991</v>
      </c>
      <c r="F129" s="4">
        <v>11</v>
      </c>
      <c r="G129" s="30">
        <v>0</v>
      </c>
      <c r="H129" s="7"/>
      <c r="I129" s="14" t="s">
        <v>86</v>
      </c>
      <c r="J129" s="5">
        <v>10</v>
      </c>
      <c r="K129" s="13">
        <f t="shared" si="417"/>
        <v>2001</v>
      </c>
      <c r="N129" s="48">
        <v>2319</v>
      </c>
      <c r="P129" s="7">
        <f t="shared" si="418"/>
        <v>2319</v>
      </c>
      <c r="Q129" s="7">
        <f t="shared" si="419"/>
        <v>19.324999999999999</v>
      </c>
      <c r="R129" s="7">
        <f t="shared" si="420"/>
        <v>0</v>
      </c>
      <c r="T129" s="7">
        <f t="shared" si="421"/>
        <v>0</v>
      </c>
      <c r="U129" s="7">
        <v>1</v>
      </c>
      <c r="V129" s="7">
        <f t="shared" si="422"/>
        <v>0</v>
      </c>
      <c r="W129" s="7"/>
      <c r="X129" s="7">
        <f t="shared" si="423"/>
        <v>2319</v>
      </c>
      <c r="Y129" s="7">
        <f t="shared" si="424"/>
        <v>2319</v>
      </c>
      <c r="Z129" s="7">
        <v>1</v>
      </c>
      <c r="AA129" s="7">
        <f t="shared" si="425"/>
        <v>2319</v>
      </c>
      <c r="AB129" s="7">
        <f t="shared" si="426"/>
        <v>2319</v>
      </c>
      <c r="AC129" s="7">
        <f t="shared" si="427"/>
        <v>0</v>
      </c>
      <c r="AD129" s="7">
        <f t="shared" si="428"/>
        <v>1991.8333333333333</v>
      </c>
      <c r="AE129" s="7">
        <f t="shared" si="429"/>
        <v>2018</v>
      </c>
      <c r="AF129" s="7">
        <f t="shared" si="430"/>
        <v>2001.8333333333333</v>
      </c>
      <c r="AG129" s="7">
        <f t="shared" si="410"/>
        <v>2017</v>
      </c>
      <c r="AH129" s="7">
        <f t="shared" si="411"/>
        <v>-8.3333333333333329E-2</v>
      </c>
      <c r="AJ129" s="144">
        <f t="shared" si="412"/>
        <v>0</v>
      </c>
      <c r="AL129" s="144">
        <f t="shared" si="413"/>
        <v>0</v>
      </c>
      <c r="AN129" s="144">
        <f t="shared" si="414"/>
        <v>0</v>
      </c>
      <c r="AP129" s="144">
        <f t="shared" si="415"/>
        <v>0</v>
      </c>
      <c r="AR129" s="144">
        <f t="shared" si="416"/>
        <v>0</v>
      </c>
    </row>
    <row r="130" spans="3:44">
      <c r="C130" s="1">
        <v>55</v>
      </c>
      <c r="D130" s="1" t="s">
        <v>16</v>
      </c>
      <c r="E130" s="3">
        <v>1992</v>
      </c>
      <c r="F130" s="4">
        <v>2</v>
      </c>
      <c r="G130" s="30">
        <v>0</v>
      </c>
      <c r="H130" s="7"/>
      <c r="I130" s="14" t="s">
        <v>86</v>
      </c>
      <c r="J130" s="5">
        <v>10</v>
      </c>
      <c r="K130" s="13">
        <f t="shared" si="417"/>
        <v>2002</v>
      </c>
      <c r="N130" s="48">
        <v>2850</v>
      </c>
      <c r="P130" s="7">
        <f t="shared" si="418"/>
        <v>2850</v>
      </c>
      <c r="Q130" s="7">
        <f t="shared" si="419"/>
        <v>23.75</v>
      </c>
      <c r="R130" s="7">
        <f t="shared" si="420"/>
        <v>0</v>
      </c>
      <c r="T130" s="7">
        <f t="shared" si="421"/>
        <v>0</v>
      </c>
      <c r="U130" s="7">
        <v>1</v>
      </c>
      <c r="V130" s="7">
        <f t="shared" si="422"/>
        <v>0</v>
      </c>
      <c r="W130" s="7"/>
      <c r="X130" s="7">
        <f t="shared" si="423"/>
        <v>2850</v>
      </c>
      <c r="Y130" s="7">
        <f t="shared" si="424"/>
        <v>2850</v>
      </c>
      <c r="Z130" s="7">
        <v>1</v>
      </c>
      <c r="AA130" s="7">
        <f t="shared" si="425"/>
        <v>2850</v>
      </c>
      <c r="AB130" s="7">
        <f t="shared" si="426"/>
        <v>2850</v>
      </c>
      <c r="AC130" s="7">
        <f t="shared" si="427"/>
        <v>0</v>
      </c>
      <c r="AD130" s="7">
        <f t="shared" si="428"/>
        <v>1992.0833333333333</v>
      </c>
      <c r="AE130" s="7">
        <f t="shared" si="429"/>
        <v>2018</v>
      </c>
      <c r="AF130" s="7">
        <f t="shared" si="430"/>
        <v>2002.0833333333333</v>
      </c>
      <c r="AG130" s="7">
        <f t="shared" si="410"/>
        <v>2017</v>
      </c>
      <c r="AH130" s="7">
        <f t="shared" si="411"/>
        <v>-8.3333333333333329E-2</v>
      </c>
      <c r="AJ130" s="144">
        <f t="shared" si="412"/>
        <v>0</v>
      </c>
      <c r="AL130" s="144">
        <f t="shared" si="413"/>
        <v>0</v>
      </c>
      <c r="AN130" s="144">
        <f t="shared" si="414"/>
        <v>0</v>
      </c>
      <c r="AP130" s="144">
        <f t="shared" si="415"/>
        <v>0</v>
      </c>
      <c r="AR130" s="144">
        <f t="shared" si="416"/>
        <v>0</v>
      </c>
    </row>
    <row r="131" spans="3:44">
      <c r="C131" s="1">
        <v>56</v>
      </c>
      <c r="D131" s="1" t="s">
        <v>16</v>
      </c>
      <c r="E131" s="3">
        <v>1992</v>
      </c>
      <c r="F131" s="4">
        <v>4</v>
      </c>
      <c r="G131" s="30">
        <v>0</v>
      </c>
      <c r="H131" s="7"/>
      <c r="I131" s="14" t="s">
        <v>86</v>
      </c>
      <c r="J131" s="5">
        <v>10</v>
      </c>
      <c r="K131" s="13">
        <f t="shared" si="417"/>
        <v>2002</v>
      </c>
      <c r="N131" s="48">
        <v>3150</v>
      </c>
      <c r="P131" s="7">
        <f t="shared" si="418"/>
        <v>3150</v>
      </c>
      <c r="Q131" s="7">
        <f t="shared" si="419"/>
        <v>26.25</v>
      </c>
      <c r="R131" s="7">
        <f t="shared" si="420"/>
        <v>0</v>
      </c>
      <c r="T131" s="7">
        <f t="shared" si="421"/>
        <v>0</v>
      </c>
      <c r="U131" s="7">
        <v>1</v>
      </c>
      <c r="V131" s="7">
        <f t="shared" si="422"/>
        <v>0</v>
      </c>
      <c r="W131" s="7"/>
      <c r="X131" s="7">
        <f t="shared" si="423"/>
        <v>3150</v>
      </c>
      <c r="Y131" s="7">
        <f t="shared" si="424"/>
        <v>3150</v>
      </c>
      <c r="Z131" s="7">
        <v>1</v>
      </c>
      <c r="AA131" s="7">
        <f t="shared" si="425"/>
        <v>3150</v>
      </c>
      <c r="AB131" s="7">
        <f t="shared" si="426"/>
        <v>3150</v>
      </c>
      <c r="AC131" s="7">
        <f t="shared" si="427"/>
        <v>0</v>
      </c>
      <c r="AD131" s="7">
        <f t="shared" si="428"/>
        <v>1992.25</v>
      </c>
      <c r="AE131" s="7">
        <f t="shared" si="429"/>
        <v>2018</v>
      </c>
      <c r="AF131" s="7">
        <f t="shared" si="430"/>
        <v>2002.25</v>
      </c>
      <c r="AG131" s="7">
        <f t="shared" si="410"/>
        <v>2017</v>
      </c>
      <c r="AH131" s="7">
        <f t="shared" si="411"/>
        <v>-8.3333333333333329E-2</v>
      </c>
      <c r="AJ131" s="144">
        <f t="shared" si="412"/>
        <v>0</v>
      </c>
      <c r="AL131" s="144">
        <f t="shared" si="413"/>
        <v>0</v>
      </c>
      <c r="AN131" s="144">
        <f t="shared" si="414"/>
        <v>0</v>
      </c>
      <c r="AP131" s="144">
        <f t="shared" si="415"/>
        <v>0</v>
      </c>
      <c r="AR131" s="144">
        <f t="shared" si="416"/>
        <v>0</v>
      </c>
    </row>
    <row r="132" spans="3:44">
      <c r="C132" s="1">
        <v>57</v>
      </c>
      <c r="D132" s="1" t="s">
        <v>16</v>
      </c>
      <c r="E132" s="3">
        <v>1992</v>
      </c>
      <c r="F132" s="4">
        <v>7</v>
      </c>
      <c r="G132" s="30">
        <v>0</v>
      </c>
      <c r="H132" s="7"/>
      <c r="I132" s="14" t="s">
        <v>86</v>
      </c>
      <c r="J132" s="5">
        <v>10</v>
      </c>
      <c r="K132" s="13">
        <f t="shared" si="417"/>
        <v>2002</v>
      </c>
      <c r="N132" s="48">
        <v>6003</v>
      </c>
      <c r="P132" s="7">
        <f t="shared" si="418"/>
        <v>6003</v>
      </c>
      <c r="Q132" s="7">
        <f t="shared" si="419"/>
        <v>50.024999999999999</v>
      </c>
      <c r="R132" s="7">
        <f t="shared" si="420"/>
        <v>0</v>
      </c>
      <c r="T132" s="7">
        <f t="shared" si="421"/>
        <v>0</v>
      </c>
      <c r="U132" s="7">
        <v>1</v>
      </c>
      <c r="V132" s="7">
        <f t="shared" si="422"/>
        <v>0</v>
      </c>
      <c r="W132" s="7"/>
      <c r="X132" s="7">
        <f t="shared" si="423"/>
        <v>6003</v>
      </c>
      <c r="Y132" s="7">
        <f t="shared" si="424"/>
        <v>6003</v>
      </c>
      <c r="Z132" s="7">
        <v>1</v>
      </c>
      <c r="AA132" s="7">
        <f t="shared" si="425"/>
        <v>6003</v>
      </c>
      <c r="AB132" s="7">
        <f t="shared" si="426"/>
        <v>6003</v>
      </c>
      <c r="AC132" s="7">
        <f t="shared" si="427"/>
        <v>0</v>
      </c>
      <c r="AD132" s="7">
        <f t="shared" si="428"/>
        <v>1992.5</v>
      </c>
      <c r="AE132" s="7">
        <f t="shared" si="429"/>
        <v>2018</v>
      </c>
      <c r="AF132" s="7">
        <f t="shared" si="430"/>
        <v>2002.5</v>
      </c>
      <c r="AG132" s="7">
        <f t="shared" si="410"/>
        <v>2017</v>
      </c>
      <c r="AH132" s="7">
        <f t="shared" si="411"/>
        <v>-8.3333333333333329E-2</v>
      </c>
      <c r="AJ132" s="144">
        <f t="shared" si="412"/>
        <v>0</v>
      </c>
      <c r="AL132" s="144">
        <f t="shared" si="413"/>
        <v>0</v>
      </c>
      <c r="AN132" s="144">
        <f t="shared" si="414"/>
        <v>0</v>
      </c>
      <c r="AP132" s="144">
        <f t="shared" si="415"/>
        <v>0</v>
      </c>
      <c r="AR132" s="144">
        <f t="shared" si="416"/>
        <v>0</v>
      </c>
    </row>
    <row r="133" spans="3:44">
      <c r="C133" s="1">
        <v>58</v>
      </c>
      <c r="D133" s="1" t="s">
        <v>16</v>
      </c>
      <c r="E133" s="3">
        <v>1992</v>
      </c>
      <c r="F133" s="4">
        <v>7</v>
      </c>
      <c r="G133" s="30">
        <v>0</v>
      </c>
      <c r="H133" s="7"/>
      <c r="I133" s="14" t="s">
        <v>86</v>
      </c>
      <c r="J133" s="5">
        <v>10</v>
      </c>
      <c r="K133" s="13">
        <f t="shared" si="417"/>
        <v>2002</v>
      </c>
      <c r="N133" s="48">
        <v>11604</v>
      </c>
      <c r="P133" s="7">
        <f t="shared" si="418"/>
        <v>11604</v>
      </c>
      <c r="Q133" s="7">
        <f t="shared" si="419"/>
        <v>96.7</v>
      </c>
      <c r="R133" s="7">
        <f t="shared" si="420"/>
        <v>0</v>
      </c>
      <c r="T133" s="7">
        <f t="shared" si="421"/>
        <v>0</v>
      </c>
      <c r="U133" s="7">
        <v>1</v>
      </c>
      <c r="V133" s="7">
        <f t="shared" si="422"/>
        <v>0</v>
      </c>
      <c r="W133" s="7"/>
      <c r="X133" s="7">
        <f t="shared" si="423"/>
        <v>11604</v>
      </c>
      <c r="Y133" s="7">
        <f t="shared" si="424"/>
        <v>11604</v>
      </c>
      <c r="Z133" s="7">
        <v>1</v>
      </c>
      <c r="AA133" s="7">
        <f t="shared" si="425"/>
        <v>11604</v>
      </c>
      <c r="AB133" s="7">
        <f t="shared" si="426"/>
        <v>11604</v>
      </c>
      <c r="AC133" s="7">
        <f t="shared" si="427"/>
        <v>0</v>
      </c>
      <c r="AD133" s="7">
        <f t="shared" si="428"/>
        <v>1992.5</v>
      </c>
      <c r="AE133" s="7">
        <f t="shared" si="429"/>
        <v>2018</v>
      </c>
      <c r="AF133" s="7">
        <f t="shared" si="430"/>
        <v>2002.5</v>
      </c>
      <c r="AG133" s="7">
        <f t="shared" si="410"/>
        <v>2017</v>
      </c>
      <c r="AH133" s="7">
        <f t="shared" si="411"/>
        <v>-8.3333333333333329E-2</v>
      </c>
      <c r="AJ133" s="144">
        <f t="shared" si="412"/>
        <v>0</v>
      </c>
      <c r="AL133" s="144">
        <f t="shared" si="413"/>
        <v>0</v>
      </c>
      <c r="AN133" s="144">
        <f t="shared" si="414"/>
        <v>0</v>
      </c>
      <c r="AP133" s="144">
        <f t="shared" si="415"/>
        <v>0</v>
      </c>
      <c r="AR133" s="144">
        <f t="shared" si="416"/>
        <v>0</v>
      </c>
    </row>
    <row r="134" spans="3:44">
      <c r="C134" s="1">
        <v>59</v>
      </c>
      <c r="D134" s="1" t="s">
        <v>16</v>
      </c>
      <c r="E134" s="3">
        <v>1992</v>
      </c>
      <c r="F134" s="4">
        <v>11</v>
      </c>
      <c r="G134" s="30">
        <v>0</v>
      </c>
      <c r="H134" s="7"/>
      <c r="I134" s="14" t="s">
        <v>86</v>
      </c>
      <c r="J134" s="5">
        <v>10</v>
      </c>
      <c r="K134" s="13">
        <f t="shared" si="417"/>
        <v>2002</v>
      </c>
      <c r="N134" s="48">
        <v>5639</v>
      </c>
      <c r="P134" s="7">
        <f t="shared" si="418"/>
        <v>5639</v>
      </c>
      <c r="Q134" s="7">
        <f t="shared" si="419"/>
        <v>46.991666666666667</v>
      </c>
      <c r="R134" s="7">
        <f t="shared" si="420"/>
        <v>0</v>
      </c>
      <c r="T134" s="7">
        <f t="shared" si="421"/>
        <v>0</v>
      </c>
      <c r="U134" s="7">
        <v>1</v>
      </c>
      <c r="V134" s="7">
        <f t="shared" si="422"/>
        <v>0</v>
      </c>
      <c r="W134" s="7"/>
      <c r="X134" s="7">
        <f t="shared" si="423"/>
        <v>5639</v>
      </c>
      <c r="Y134" s="7">
        <f t="shared" si="424"/>
        <v>5639</v>
      </c>
      <c r="Z134" s="7">
        <v>1</v>
      </c>
      <c r="AA134" s="7">
        <f t="shared" si="425"/>
        <v>5639</v>
      </c>
      <c r="AB134" s="7">
        <f t="shared" si="426"/>
        <v>5639</v>
      </c>
      <c r="AC134" s="7">
        <f t="shared" si="427"/>
        <v>0</v>
      </c>
      <c r="AD134" s="7">
        <f t="shared" si="428"/>
        <v>1992.8333333333333</v>
      </c>
      <c r="AE134" s="7">
        <f t="shared" si="429"/>
        <v>2018</v>
      </c>
      <c r="AF134" s="7">
        <f t="shared" si="430"/>
        <v>2002.8333333333333</v>
      </c>
      <c r="AG134" s="7">
        <f t="shared" si="410"/>
        <v>2017</v>
      </c>
      <c r="AH134" s="7">
        <f t="shared" si="411"/>
        <v>-8.3333333333333329E-2</v>
      </c>
      <c r="AJ134" s="144">
        <f t="shared" si="412"/>
        <v>0</v>
      </c>
      <c r="AL134" s="144">
        <f t="shared" si="413"/>
        <v>0</v>
      </c>
      <c r="AN134" s="144">
        <f t="shared" si="414"/>
        <v>0</v>
      </c>
      <c r="AP134" s="144">
        <f t="shared" si="415"/>
        <v>0</v>
      </c>
      <c r="AR134" s="144">
        <f t="shared" si="416"/>
        <v>0</v>
      </c>
    </row>
    <row r="135" spans="3:44">
      <c r="C135" s="1">
        <v>60</v>
      </c>
      <c r="D135" s="1" t="s">
        <v>16</v>
      </c>
      <c r="E135" s="3">
        <v>1992</v>
      </c>
      <c r="F135" s="4">
        <v>12</v>
      </c>
      <c r="G135" s="30">
        <v>0</v>
      </c>
      <c r="H135" s="7"/>
      <c r="I135" s="14" t="s">
        <v>86</v>
      </c>
      <c r="J135" s="5">
        <v>10</v>
      </c>
      <c r="K135" s="13">
        <f t="shared" si="417"/>
        <v>2002</v>
      </c>
      <c r="N135" s="48">
        <v>2941</v>
      </c>
      <c r="P135" s="7">
        <f t="shared" si="418"/>
        <v>2941</v>
      </c>
      <c r="Q135" s="7">
        <f t="shared" si="419"/>
        <v>24.508333333333336</v>
      </c>
      <c r="R135" s="7">
        <f t="shared" si="420"/>
        <v>0</v>
      </c>
      <c r="T135" s="7">
        <f t="shared" si="421"/>
        <v>0</v>
      </c>
      <c r="U135" s="7">
        <v>1</v>
      </c>
      <c r="V135" s="7">
        <f t="shared" si="422"/>
        <v>0</v>
      </c>
      <c r="W135" s="7"/>
      <c r="X135" s="7">
        <f t="shared" si="423"/>
        <v>2941</v>
      </c>
      <c r="Y135" s="7">
        <f t="shared" si="424"/>
        <v>2941</v>
      </c>
      <c r="Z135" s="7">
        <v>1</v>
      </c>
      <c r="AA135" s="7">
        <f t="shared" si="425"/>
        <v>2941</v>
      </c>
      <c r="AB135" s="7">
        <f t="shared" si="426"/>
        <v>2941</v>
      </c>
      <c r="AC135" s="7">
        <f t="shared" si="427"/>
        <v>0</v>
      </c>
      <c r="AD135" s="7">
        <f t="shared" si="428"/>
        <v>1992.9166666666667</v>
      </c>
      <c r="AE135" s="7">
        <f t="shared" si="429"/>
        <v>2018</v>
      </c>
      <c r="AF135" s="7">
        <f t="shared" si="430"/>
        <v>2002.9166666666667</v>
      </c>
      <c r="AG135" s="7">
        <f t="shared" si="410"/>
        <v>2017</v>
      </c>
      <c r="AH135" s="7">
        <f t="shared" si="411"/>
        <v>-8.3333333333333329E-2</v>
      </c>
      <c r="AJ135" s="144">
        <f t="shared" si="412"/>
        <v>0</v>
      </c>
      <c r="AL135" s="144">
        <f t="shared" si="413"/>
        <v>0</v>
      </c>
      <c r="AN135" s="144">
        <f t="shared" si="414"/>
        <v>0</v>
      </c>
      <c r="AP135" s="144">
        <f t="shared" si="415"/>
        <v>0</v>
      </c>
      <c r="AR135" s="144">
        <f t="shared" si="416"/>
        <v>0</v>
      </c>
    </row>
    <row r="136" spans="3:44">
      <c r="C136" s="1">
        <v>65</v>
      </c>
      <c r="D136" s="1" t="s">
        <v>16</v>
      </c>
      <c r="E136" s="3">
        <v>1993</v>
      </c>
      <c r="F136" s="4">
        <v>4</v>
      </c>
      <c r="G136" s="30">
        <v>0</v>
      </c>
      <c r="H136" s="7"/>
      <c r="I136" s="14" t="s">
        <v>86</v>
      </c>
      <c r="J136" s="5">
        <v>10</v>
      </c>
      <c r="K136" s="13">
        <f t="shared" si="417"/>
        <v>2003</v>
      </c>
      <c r="N136" s="48">
        <v>6426</v>
      </c>
      <c r="P136" s="7">
        <f t="shared" si="418"/>
        <v>6426</v>
      </c>
      <c r="Q136" s="7">
        <f t="shared" si="419"/>
        <v>53.550000000000004</v>
      </c>
      <c r="R136" s="7">
        <f t="shared" si="420"/>
        <v>0</v>
      </c>
      <c r="T136" s="7">
        <f t="shared" si="421"/>
        <v>0</v>
      </c>
      <c r="U136" s="7">
        <v>1</v>
      </c>
      <c r="V136" s="7">
        <f t="shared" si="422"/>
        <v>0</v>
      </c>
      <c r="W136" s="7"/>
      <c r="X136" s="7">
        <f t="shared" si="423"/>
        <v>6426</v>
      </c>
      <c r="Y136" s="7">
        <f t="shared" si="424"/>
        <v>6426</v>
      </c>
      <c r="Z136" s="7">
        <v>1</v>
      </c>
      <c r="AA136" s="7">
        <f t="shared" si="425"/>
        <v>6426</v>
      </c>
      <c r="AB136" s="7">
        <f t="shared" si="426"/>
        <v>6426</v>
      </c>
      <c r="AC136" s="7">
        <f t="shared" si="427"/>
        <v>0</v>
      </c>
      <c r="AD136" s="7">
        <f t="shared" si="428"/>
        <v>1993.25</v>
      </c>
      <c r="AE136" s="7">
        <f t="shared" si="429"/>
        <v>2018</v>
      </c>
      <c r="AF136" s="7">
        <f t="shared" si="430"/>
        <v>2003.25</v>
      </c>
      <c r="AG136" s="7">
        <f t="shared" si="410"/>
        <v>2017</v>
      </c>
      <c r="AH136" s="7">
        <f t="shared" si="411"/>
        <v>-8.3333333333333329E-2</v>
      </c>
      <c r="AJ136" s="144">
        <f t="shared" si="412"/>
        <v>0</v>
      </c>
      <c r="AL136" s="144">
        <f t="shared" si="413"/>
        <v>0</v>
      </c>
      <c r="AN136" s="144">
        <f t="shared" si="414"/>
        <v>0</v>
      </c>
      <c r="AP136" s="144">
        <f t="shared" si="415"/>
        <v>0</v>
      </c>
      <c r="AR136" s="144">
        <f t="shared" si="416"/>
        <v>0</v>
      </c>
    </row>
    <row r="137" spans="3:44">
      <c r="C137" s="1">
        <v>66</v>
      </c>
      <c r="D137" s="1" t="s">
        <v>16</v>
      </c>
      <c r="E137" s="3">
        <v>1993</v>
      </c>
      <c r="F137" s="4">
        <v>7</v>
      </c>
      <c r="G137" s="30">
        <v>0</v>
      </c>
      <c r="H137" s="7"/>
      <c r="I137" s="14" t="s">
        <v>86</v>
      </c>
      <c r="J137" s="5">
        <v>10</v>
      </c>
      <c r="K137" s="13">
        <f t="shared" si="417"/>
        <v>2003</v>
      </c>
      <c r="N137" s="48">
        <v>7062</v>
      </c>
      <c r="P137" s="7">
        <f t="shared" si="418"/>
        <v>7062</v>
      </c>
      <c r="Q137" s="7">
        <f t="shared" si="419"/>
        <v>58.85</v>
      </c>
      <c r="R137" s="7">
        <f t="shared" si="420"/>
        <v>0</v>
      </c>
      <c r="T137" s="7">
        <f t="shared" si="421"/>
        <v>0</v>
      </c>
      <c r="U137" s="7">
        <v>1</v>
      </c>
      <c r="V137" s="7">
        <f t="shared" si="422"/>
        <v>0</v>
      </c>
      <c r="W137" s="7"/>
      <c r="X137" s="7">
        <f t="shared" si="423"/>
        <v>7062</v>
      </c>
      <c r="Y137" s="7">
        <f t="shared" si="424"/>
        <v>7062</v>
      </c>
      <c r="Z137" s="7">
        <v>1</v>
      </c>
      <c r="AA137" s="7">
        <f t="shared" si="425"/>
        <v>7062</v>
      </c>
      <c r="AB137" s="7">
        <f t="shared" si="426"/>
        <v>7062</v>
      </c>
      <c r="AC137" s="7">
        <f t="shared" si="427"/>
        <v>0</v>
      </c>
      <c r="AD137" s="7">
        <f t="shared" si="428"/>
        <v>1993.5</v>
      </c>
      <c r="AE137" s="7">
        <f t="shared" si="429"/>
        <v>2018</v>
      </c>
      <c r="AF137" s="7">
        <f t="shared" si="430"/>
        <v>2003.5</v>
      </c>
      <c r="AG137" s="7">
        <f t="shared" si="410"/>
        <v>2017</v>
      </c>
      <c r="AH137" s="7">
        <f t="shared" si="411"/>
        <v>-8.3333333333333329E-2</v>
      </c>
      <c r="AJ137" s="144">
        <f t="shared" si="412"/>
        <v>0</v>
      </c>
      <c r="AL137" s="144">
        <f t="shared" si="413"/>
        <v>0</v>
      </c>
      <c r="AN137" s="144">
        <f t="shared" si="414"/>
        <v>0</v>
      </c>
      <c r="AP137" s="144">
        <f t="shared" si="415"/>
        <v>0</v>
      </c>
      <c r="AR137" s="144">
        <f t="shared" si="416"/>
        <v>0</v>
      </c>
    </row>
    <row r="138" spans="3:44">
      <c r="C138" s="1">
        <v>67</v>
      </c>
      <c r="D138" s="1" t="s">
        <v>16</v>
      </c>
      <c r="E138" s="3">
        <v>1993</v>
      </c>
      <c r="F138" s="4">
        <v>8</v>
      </c>
      <c r="G138" s="30">
        <v>0</v>
      </c>
      <c r="H138" s="7"/>
      <c r="I138" s="14" t="s">
        <v>86</v>
      </c>
      <c r="J138" s="5">
        <v>10</v>
      </c>
      <c r="K138" s="13">
        <f t="shared" si="417"/>
        <v>2003</v>
      </c>
      <c r="N138" s="48">
        <v>2799</v>
      </c>
      <c r="P138" s="7">
        <f t="shared" si="418"/>
        <v>2799</v>
      </c>
      <c r="Q138" s="7">
        <f t="shared" si="419"/>
        <v>23.324999999999999</v>
      </c>
      <c r="R138" s="7">
        <f t="shared" si="420"/>
        <v>0</v>
      </c>
      <c r="T138" s="7">
        <f t="shared" si="421"/>
        <v>0</v>
      </c>
      <c r="U138" s="7">
        <v>1</v>
      </c>
      <c r="V138" s="7">
        <f t="shared" si="422"/>
        <v>0</v>
      </c>
      <c r="W138" s="7"/>
      <c r="X138" s="7">
        <f t="shared" si="423"/>
        <v>2799</v>
      </c>
      <c r="Y138" s="7">
        <f t="shared" si="424"/>
        <v>2799</v>
      </c>
      <c r="Z138" s="7">
        <v>1</v>
      </c>
      <c r="AA138" s="7">
        <f t="shared" si="425"/>
        <v>2799</v>
      </c>
      <c r="AB138" s="7">
        <f t="shared" si="426"/>
        <v>2799</v>
      </c>
      <c r="AC138" s="7">
        <f t="shared" si="427"/>
        <v>0</v>
      </c>
      <c r="AD138" s="7">
        <f t="shared" si="428"/>
        <v>1993.5833333333333</v>
      </c>
      <c r="AE138" s="7">
        <f t="shared" si="429"/>
        <v>2018</v>
      </c>
      <c r="AF138" s="7">
        <f t="shared" si="430"/>
        <v>2003.5833333333333</v>
      </c>
      <c r="AG138" s="7">
        <f t="shared" si="410"/>
        <v>2017</v>
      </c>
      <c r="AH138" s="7">
        <f t="shared" si="411"/>
        <v>-8.3333333333333329E-2</v>
      </c>
      <c r="AJ138" s="144">
        <f t="shared" si="412"/>
        <v>0</v>
      </c>
      <c r="AL138" s="144">
        <f t="shared" si="413"/>
        <v>0</v>
      </c>
      <c r="AN138" s="144">
        <f t="shared" si="414"/>
        <v>0</v>
      </c>
      <c r="AP138" s="144">
        <f t="shared" si="415"/>
        <v>0</v>
      </c>
      <c r="AR138" s="144">
        <f t="shared" si="416"/>
        <v>0</v>
      </c>
    </row>
    <row r="139" spans="3:44">
      <c r="C139" s="1">
        <v>68</v>
      </c>
      <c r="D139" s="1" t="s">
        <v>16</v>
      </c>
      <c r="E139" s="3">
        <v>1993</v>
      </c>
      <c r="F139" s="4">
        <v>9</v>
      </c>
      <c r="G139" s="30">
        <v>0</v>
      </c>
      <c r="H139" s="7"/>
      <c r="I139" s="14" t="s">
        <v>86</v>
      </c>
      <c r="J139" s="5">
        <v>10</v>
      </c>
      <c r="K139" s="13">
        <f t="shared" si="417"/>
        <v>2003</v>
      </c>
      <c r="N139" s="48">
        <v>11655</v>
      </c>
      <c r="P139" s="7">
        <f t="shared" si="418"/>
        <v>11655</v>
      </c>
      <c r="Q139" s="7">
        <f t="shared" si="419"/>
        <v>97.125</v>
      </c>
      <c r="R139" s="7">
        <f t="shared" si="420"/>
        <v>0</v>
      </c>
      <c r="T139" s="7">
        <f t="shared" si="421"/>
        <v>0</v>
      </c>
      <c r="U139" s="7">
        <v>1</v>
      </c>
      <c r="V139" s="7">
        <f t="shared" si="422"/>
        <v>0</v>
      </c>
      <c r="W139" s="7"/>
      <c r="X139" s="7">
        <f t="shared" si="423"/>
        <v>11655</v>
      </c>
      <c r="Y139" s="7">
        <f t="shared" si="424"/>
        <v>11655</v>
      </c>
      <c r="Z139" s="7">
        <v>1</v>
      </c>
      <c r="AA139" s="7">
        <f t="shared" si="425"/>
        <v>11655</v>
      </c>
      <c r="AB139" s="7">
        <f t="shared" si="426"/>
        <v>11655</v>
      </c>
      <c r="AC139" s="7">
        <f t="shared" si="427"/>
        <v>0</v>
      </c>
      <c r="AD139" s="7">
        <f t="shared" si="428"/>
        <v>1993.6666666666667</v>
      </c>
      <c r="AE139" s="7">
        <f t="shared" si="429"/>
        <v>2018</v>
      </c>
      <c r="AF139" s="7">
        <f t="shared" si="430"/>
        <v>2003.6666666666667</v>
      </c>
      <c r="AG139" s="7">
        <f t="shared" si="410"/>
        <v>2017</v>
      </c>
      <c r="AH139" s="7">
        <f t="shared" si="411"/>
        <v>-8.3333333333333329E-2</v>
      </c>
      <c r="AJ139" s="144">
        <f t="shared" si="412"/>
        <v>0</v>
      </c>
      <c r="AL139" s="144">
        <f t="shared" si="413"/>
        <v>0</v>
      </c>
      <c r="AN139" s="144">
        <f t="shared" si="414"/>
        <v>0</v>
      </c>
      <c r="AP139" s="144">
        <f t="shared" si="415"/>
        <v>0</v>
      </c>
      <c r="AR139" s="144">
        <f t="shared" si="416"/>
        <v>0</v>
      </c>
    </row>
    <row r="140" spans="3:44">
      <c r="C140" s="1">
        <v>69</v>
      </c>
      <c r="D140" s="1" t="s">
        <v>16</v>
      </c>
      <c r="E140" s="3">
        <v>1993</v>
      </c>
      <c r="F140" s="4">
        <v>9</v>
      </c>
      <c r="G140" s="30">
        <v>0</v>
      </c>
      <c r="H140" s="7"/>
      <c r="I140" s="14" t="s">
        <v>86</v>
      </c>
      <c r="J140" s="5">
        <v>10</v>
      </c>
      <c r="K140" s="13">
        <f t="shared" si="417"/>
        <v>2003</v>
      </c>
      <c r="N140" s="48">
        <v>13005</v>
      </c>
      <c r="P140" s="7">
        <f t="shared" si="418"/>
        <v>13005</v>
      </c>
      <c r="Q140" s="7">
        <f t="shared" si="419"/>
        <v>108.375</v>
      </c>
      <c r="R140" s="7">
        <f t="shared" si="420"/>
        <v>0</v>
      </c>
      <c r="T140" s="7">
        <f t="shared" si="421"/>
        <v>0</v>
      </c>
      <c r="U140" s="7">
        <v>1</v>
      </c>
      <c r="V140" s="7">
        <f t="shared" si="422"/>
        <v>0</v>
      </c>
      <c r="W140" s="7"/>
      <c r="X140" s="7">
        <f t="shared" si="423"/>
        <v>13005</v>
      </c>
      <c r="Y140" s="7">
        <f t="shared" si="424"/>
        <v>13005</v>
      </c>
      <c r="Z140" s="7">
        <v>1</v>
      </c>
      <c r="AA140" s="7">
        <f t="shared" si="425"/>
        <v>13005</v>
      </c>
      <c r="AB140" s="7">
        <f t="shared" si="426"/>
        <v>13005</v>
      </c>
      <c r="AC140" s="7">
        <f t="shared" si="427"/>
        <v>0</v>
      </c>
      <c r="AD140" s="7">
        <f t="shared" si="428"/>
        <v>1993.6666666666667</v>
      </c>
      <c r="AE140" s="7">
        <f t="shared" si="429"/>
        <v>2018</v>
      </c>
      <c r="AF140" s="7">
        <f t="shared" si="430"/>
        <v>2003.6666666666667</v>
      </c>
      <c r="AG140" s="7">
        <f t="shared" si="410"/>
        <v>2017</v>
      </c>
      <c r="AH140" s="7">
        <f t="shared" si="411"/>
        <v>-8.3333333333333329E-2</v>
      </c>
      <c r="AJ140" s="144">
        <f t="shared" si="412"/>
        <v>0</v>
      </c>
      <c r="AL140" s="144">
        <f t="shared" si="413"/>
        <v>0</v>
      </c>
      <c r="AN140" s="144">
        <f t="shared" si="414"/>
        <v>0</v>
      </c>
      <c r="AP140" s="144">
        <f t="shared" si="415"/>
        <v>0</v>
      </c>
      <c r="AR140" s="144">
        <f t="shared" si="416"/>
        <v>0</v>
      </c>
    </row>
    <row r="141" spans="3:44">
      <c r="C141" s="1">
        <v>70</v>
      </c>
      <c r="D141" s="1" t="s">
        <v>16</v>
      </c>
      <c r="E141" s="3">
        <v>1993</v>
      </c>
      <c r="F141" s="4">
        <v>12</v>
      </c>
      <c r="G141" s="30">
        <v>0</v>
      </c>
      <c r="H141" s="7"/>
      <c r="I141" s="14" t="s">
        <v>86</v>
      </c>
      <c r="J141" s="5">
        <v>10</v>
      </c>
      <c r="K141" s="13">
        <f t="shared" si="417"/>
        <v>2003</v>
      </c>
      <c r="N141" s="48">
        <v>5700</v>
      </c>
      <c r="P141" s="7">
        <f t="shared" si="418"/>
        <v>5700</v>
      </c>
      <c r="Q141" s="7">
        <f t="shared" si="419"/>
        <v>47.5</v>
      </c>
      <c r="R141" s="7">
        <f t="shared" si="420"/>
        <v>0</v>
      </c>
      <c r="T141" s="7">
        <f t="shared" si="421"/>
        <v>0</v>
      </c>
      <c r="U141" s="7">
        <v>1</v>
      </c>
      <c r="V141" s="7">
        <f t="shared" si="422"/>
        <v>0</v>
      </c>
      <c r="W141" s="7"/>
      <c r="X141" s="7">
        <f t="shared" si="423"/>
        <v>5700</v>
      </c>
      <c r="Y141" s="7">
        <f t="shared" si="424"/>
        <v>5700</v>
      </c>
      <c r="Z141" s="7">
        <v>1</v>
      </c>
      <c r="AA141" s="7">
        <f t="shared" si="425"/>
        <v>5700</v>
      </c>
      <c r="AB141" s="7">
        <f t="shared" si="426"/>
        <v>5700</v>
      </c>
      <c r="AC141" s="7">
        <f t="shared" si="427"/>
        <v>0</v>
      </c>
      <c r="AD141" s="7">
        <f t="shared" si="428"/>
        <v>1993.9166666666667</v>
      </c>
      <c r="AE141" s="7">
        <f t="shared" si="429"/>
        <v>2018</v>
      </c>
      <c r="AF141" s="7">
        <f t="shared" si="430"/>
        <v>2003.9166666666667</v>
      </c>
      <c r="AG141" s="7">
        <f t="shared" si="410"/>
        <v>2017</v>
      </c>
      <c r="AH141" s="7">
        <f t="shared" si="411"/>
        <v>-8.3333333333333329E-2</v>
      </c>
      <c r="AJ141" s="144">
        <f t="shared" si="412"/>
        <v>0</v>
      </c>
      <c r="AL141" s="144">
        <f t="shared" si="413"/>
        <v>0</v>
      </c>
      <c r="AN141" s="144">
        <f t="shared" si="414"/>
        <v>0</v>
      </c>
      <c r="AP141" s="144">
        <f t="shared" si="415"/>
        <v>0</v>
      </c>
      <c r="AR141" s="144">
        <f t="shared" si="416"/>
        <v>0</v>
      </c>
    </row>
    <row r="142" spans="3:44">
      <c r="C142" s="1">
        <v>78</v>
      </c>
      <c r="D142" s="1" t="s">
        <v>16</v>
      </c>
      <c r="E142" s="3">
        <v>1994</v>
      </c>
      <c r="F142" s="4">
        <v>9</v>
      </c>
      <c r="G142" s="30">
        <v>0</v>
      </c>
      <c r="H142" s="7"/>
      <c r="I142" s="14" t="s">
        <v>86</v>
      </c>
      <c r="J142" s="5">
        <v>10</v>
      </c>
      <c r="K142" s="13">
        <f t="shared" si="417"/>
        <v>2004</v>
      </c>
      <c r="N142" s="48">
        <v>6050</v>
      </c>
      <c r="P142" s="7">
        <f t="shared" si="418"/>
        <v>6050</v>
      </c>
      <c r="Q142" s="7">
        <f t="shared" si="419"/>
        <v>50.416666666666664</v>
      </c>
      <c r="R142" s="7">
        <f t="shared" si="420"/>
        <v>0</v>
      </c>
      <c r="T142" s="7">
        <f t="shared" si="421"/>
        <v>0</v>
      </c>
      <c r="U142" s="7">
        <v>1</v>
      </c>
      <c r="V142" s="7">
        <f t="shared" si="422"/>
        <v>0</v>
      </c>
      <c r="W142" s="7"/>
      <c r="X142" s="7">
        <f t="shared" si="423"/>
        <v>6050</v>
      </c>
      <c r="Y142" s="7">
        <f t="shared" si="424"/>
        <v>6050</v>
      </c>
      <c r="Z142" s="7">
        <v>1</v>
      </c>
      <c r="AA142" s="7">
        <f t="shared" si="425"/>
        <v>6050</v>
      </c>
      <c r="AB142" s="7">
        <f t="shared" si="426"/>
        <v>6050</v>
      </c>
      <c r="AC142" s="7">
        <f t="shared" si="427"/>
        <v>0</v>
      </c>
      <c r="AD142" s="7">
        <f t="shared" si="428"/>
        <v>1994.6666666666667</v>
      </c>
      <c r="AE142" s="7">
        <f t="shared" si="429"/>
        <v>2018</v>
      </c>
      <c r="AF142" s="7">
        <f t="shared" si="430"/>
        <v>2004.6666666666667</v>
      </c>
      <c r="AG142" s="7">
        <f t="shared" si="410"/>
        <v>2017</v>
      </c>
      <c r="AH142" s="7">
        <f t="shared" si="411"/>
        <v>-8.3333333333333329E-2</v>
      </c>
      <c r="AJ142" s="144">
        <f t="shared" si="412"/>
        <v>0</v>
      </c>
      <c r="AL142" s="144">
        <f t="shared" si="413"/>
        <v>0</v>
      </c>
      <c r="AN142" s="144">
        <f t="shared" si="414"/>
        <v>0</v>
      </c>
      <c r="AP142" s="144">
        <f t="shared" si="415"/>
        <v>0</v>
      </c>
      <c r="AR142" s="144">
        <f t="shared" si="416"/>
        <v>0</v>
      </c>
    </row>
    <row r="143" spans="3:44">
      <c r="C143" s="1">
        <v>79</v>
      </c>
      <c r="D143" s="1" t="s">
        <v>16</v>
      </c>
      <c r="E143" s="3">
        <v>1994</v>
      </c>
      <c r="F143" s="4">
        <v>9</v>
      </c>
      <c r="G143" s="30">
        <v>0</v>
      </c>
      <c r="H143" s="7"/>
      <c r="I143" s="14" t="s">
        <v>86</v>
      </c>
      <c r="J143" s="5">
        <v>10</v>
      </c>
      <c r="K143" s="13">
        <f t="shared" si="417"/>
        <v>2004</v>
      </c>
      <c r="N143" s="48">
        <v>5790</v>
      </c>
      <c r="P143" s="7">
        <f t="shared" si="418"/>
        <v>5790</v>
      </c>
      <c r="Q143" s="7">
        <f t="shared" si="419"/>
        <v>48.25</v>
      </c>
      <c r="R143" s="7">
        <f t="shared" si="420"/>
        <v>0</v>
      </c>
      <c r="T143" s="7">
        <f t="shared" si="421"/>
        <v>0</v>
      </c>
      <c r="U143" s="7">
        <v>1</v>
      </c>
      <c r="V143" s="7">
        <f t="shared" si="422"/>
        <v>0</v>
      </c>
      <c r="W143" s="7"/>
      <c r="X143" s="7">
        <f t="shared" si="423"/>
        <v>5790</v>
      </c>
      <c r="Y143" s="7">
        <f t="shared" si="424"/>
        <v>5790</v>
      </c>
      <c r="Z143" s="7">
        <v>1</v>
      </c>
      <c r="AA143" s="7">
        <f t="shared" si="425"/>
        <v>5790</v>
      </c>
      <c r="AB143" s="7">
        <f t="shared" si="426"/>
        <v>5790</v>
      </c>
      <c r="AC143" s="7">
        <f t="shared" si="427"/>
        <v>0</v>
      </c>
      <c r="AD143" s="7">
        <f t="shared" si="428"/>
        <v>1994.6666666666667</v>
      </c>
      <c r="AE143" s="7">
        <f t="shared" si="429"/>
        <v>2018</v>
      </c>
      <c r="AF143" s="7">
        <f t="shared" si="430"/>
        <v>2004.6666666666667</v>
      </c>
      <c r="AG143" s="7">
        <f t="shared" si="410"/>
        <v>2017</v>
      </c>
      <c r="AH143" s="7">
        <f t="shared" si="411"/>
        <v>-8.3333333333333329E-2</v>
      </c>
      <c r="AJ143" s="144">
        <f t="shared" si="412"/>
        <v>0</v>
      </c>
      <c r="AL143" s="144">
        <f t="shared" si="413"/>
        <v>0</v>
      </c>
      <c r="AN143" s="144">
        <f t="shared" si="414"/>
        <v>0</v>
      </c>
      <c r="AP143" s="144">
        <f t="shared" si="415"/>
        <v>0</v>
      </c>
      <c r="AR143" s="144">
        <f t="shared" si="416"/>
        <v>0</v>
      </c>
    </row>
    <row r="144" spans="3:44">
      <c r="C144" s="1">
        <v>20</v>
      </c>
      <c r="D144" s="54" t="s">
        <v>143</v>
      </c>
      <c r="E144" s="3">
        <v>1994</v>
      </c>
      <c r="F144" s="4">
        <v>4</v>
      </c>
      <c r="G144" s="30">
        <v>0</v>
      </c>
      <c r="H144" s="7"/>
      <c r="I144" s="14" t="s">
        <v>86</v>
      </c>
      <c r="J144" s="5">
        <v>10</v>
      </c>
      <c r="K144" s="13">
        <f t="shared" si="417"/>
        <v>2004</v>
      </c>
      <c r="N144" s="48">
        <v>6250</v>
      </c>
      <c r="P144" s="7">
        <f t="shared" si="418"/>
        <v>6250</v>
      </c>
      <c r="Q144" s="7">
        <f t="shared" si="419"/>
        <v>52.083333333333336</v>
      </c>
      <c r="R144" s="7">
        <f t="shared" si="420"/>
        <v>0</v>
      </c>
      <c r="T144" s="7">
        <f t="shared" si="421"/>
        <v>0</v>
      </c>
      <c r="U144" s="7">
        <v>1</v>
      </c>
      <c r="V144" s="7">
        <f t="shared" si="422"/>
        <v>0</v>
      </c>
      <c r="W144" s="7"/>
      <c r="X144" s="7">
        <f t="shared" si="423"/>
        <v>6250</v>
      </c>
      <c r="Y144" s="7">
        <f t="shared" si="424"/>
        <v>6250</v>
      </c>
      <c r="Z144" s="7">
        <v>1</v>
      </c>
      <c r="AA144" s="7">
        <f t="shared" si="425"/>
        <v>6250</v>
      </c>
      <c r="AB144" s="7">
        <f t="shared" si="426"/>
        <v>6250</v>
      </c>
      <c r="AC144" s="7">
        <f t="shared" si="427"/>
        <v>0</v>
      </c>
      <c r="AD144" s="7">
        <f t="shared" si="428"/>
        <v>1994.25</v>
      </c>
      <c r="AE144" s="7">
        <f t="shared" si="429"/>
        <v>2018</v>
      </c>
      <c r="AF144" s="7">
        <f t="shared" si="430"/>
        <v>2004.25</v>
      </c>
      <c r="AG144" s="7">
        <f t="shared" si="410"/>
        <v>2017</v>
      </c>
      <c r="AH144" s="7">
        <f t="shared" si="411"/>
        <v>-8.3333333333333329E-2</v>
      </c>
      <c r="AJ144" s="144">
        <f t="shared" si="412"/>
        <v>0</v>
      </c>
      <c r="AL144" s="144">
        <f t="shared" si="413"/>
        <v>0</v>
      </c>
      <c r="AN144" s="144">
        <f t="shared" si="414"/>
        <v>0</v>
      </c>
      <c r="AP144" s="144">
        <f t="shared" si="415"/>
        <v>0</v>
      </c>
      <c r="AR144" s="144">
        <f t="shared" si="416"/>
        <v>0</v>
      </c>
    </row>
    <row r="145" spans="3:44">
      <c r="C145" s="1">
        <v>20</v>
      </c>
      <c r="D145" s="39" t="s">
        <v>144</v>
      </c>
      <c r="E145" s="3">
        <v>1994</v>
      </c>
      <c r="F145" s="4">
        <v>6</v>
      </c>
      <c r="G145" s="30">
        <v>0</v>
      </c>
      <c r="H145" s="7"/>
      <c r="I145" s="14" t="s">
        <v>86</v>
      </c>
      <c r="J145" s="5">
        <v>10</v>
      </c>
      <c r="K145" s="13">
        <f t="shared" si="417"/>
        <v>2004</v>
      </c>
      <c r="N145" s="48">
        <v>5500</v>
      </c>
      <c r="P145" s="7">
        <f t="shared" si="418"/>
        <v>5500</v>
      </c>
      <c r="Q145" s="7">
        <f t="shared" si="419"/>
        <v>45.833333333333336</v>
      </c>
      <c r="R145" s="7">
        <f t="shared" si="420"/>
        <v>0</v>
      </c>
      <c r="T145" s="7">
        <f t="shared" si="421"/>
        <v>0</v>
      </c>
      <c r="U145" s="7">
        <v>1</v>
      </c>
      <c r="V145" s="7">
        <f t="shared" si="422"/>
        <v>0</v>
      </c>
      <c r="W145" s="7"/>
      <c r="X145" s="7">
        <f t="shared" si="423"/>
        <v>5500</v>
      </c>
      <c r="Y145" s="7">
        <f t="shared" si="424"/>
        <v>5500</v>
      </c>
      <c r="Z145" s="7">
        <v>1</v>
      </c>
      <c r="AA145" s="7">
        <f t="shared" si="425"/>
        <v>5500</v>
      </c>
      <c r="AB145" s="7">
        <f t="shared" si="426"/>
        <v>5500</v>
      </c>
      <c r="AC145" s="7">
        <f t="shared" si="427"/>
        <v>0</v>
      </c>
      <c r="AD145" s="7">
        <f t="shared" si="428"/>
        <v>1994.4166666666667</v>
      </c>
      <c r="AE145" s="7">
        <f t="shared" si="429"/>
        <v>2018</v>
      </c>
      <c r="AF145" s="7">
        <f t="shared" si="430"/>
        <v>2004.4166666666667</v>
      </c>
      <c r="AG145" s="7">
        <f t="shared" si="410"/>
        <v>2017</v>
      </c>
      <c r="AH145" s="7">
        <f t="shared" si="411"/>
        <v>-8.3333333333333329E-2</v>
      </c>
      <c r="AJ145" s="144">
        <f t="shared" si="412"/>
        <v>0</v>
      </c>
      <c r="AL145" s="144">
        <f t="shared" si="413"/>
        <v>0</v>
      </c>
      <c r="AN145" s="144">
        <f t="shared" si="414"/>
        <v>0</v>
      </c>
      <c r="AP145" s="144">
        <f t="shared" si="415"/>
        <v>0</v>
      </c>
      <c r="AR145" s="144">
        <f t="shared" si="416"/>
        <v>0</v>
      </c>
    </row>
    <row r="146" spans="3:44">
      <c r="C146" s="1">
        <v>10</v>
      </c>
      <c r="D146" s="29" t="s">
        <v>143</v>
      </c>
      <c r="E146" s="3">
        <v>1994</v>
      </c>
      <c r="F146" s="4">
        <v>6</v>
      </c>
      <c r="G146" s="30">
        <v>0</v>
      </c>
      <c r="H146" s="7"/>
      <c r="I146" s="14" t="s">
        <v>86</v>
      </c>
      <c r="J146" s="5">
        <v>10</v>
      </c>
      <c r="K146" s="13">
        <f t="shared" si="417"/>
        <v>2004</v>
      </c>
      <c r="N146" s="48">
        <v>3200</v>
      </c>
      <c r="P146" s="7">
        <f t="shared" si="418"/>
        <v>3200</v>
      </c>
      <c r="Q146" s="7">
        <f t="shared" si="419"/>
        <v>26.666666666666668</v>
      </c>
      <c r="R146" s="7">
        <f t="shared" si="420"/>
        <v>0</v>
      </c>
      <c r="T146" s="7">
        <f t="shared" si="421"/>
        <v>0</v>
      </c>
      <c r="U146" s="7">
        <v>1</v>
      </c>
      <c r="V146" s="7">
        <f t="shared" si="422"/>
        <v>0</v>
      </c>
      <c r="W146" s="7"/>
      <c r="X146" s="7">
        <f t="shared" si="423"/>
        <v>3200</v>
      </c>
      <c r="Y146" s="7">
        <f t="shared" si="424"/>
        <v>3200</v>
      </c>
      <c r="Z146" s="7">
        <v>1</v>
      </c>
      <c r="AA146" s="7">
        <f t="shared" si="425"/>
        <v>3200</v>
      </c>
      <c r="AB146" s="7">
        <f t="shared" si="426"/>
        <v>3200</v>
      </c>
      <c r="AC146" s="7">
        <f t="shared" si="427"/>
        <v>0</v>
      </c>
      <c r="AD146" s="7">
        <f t="shared" si="428"/>
        <v>1994.4166666666667</v>
      </c>
      <c r="AE146" s="7">
        <f t="shared" si="429"/>
        <v>2018</v>
      </c>
      <c r="AF146" s="7">
        <f t="shared" si="430"/>
        <v>2004.4166666666667</v>
      </c>
      <c r="AG146" s="7">
        <f t="shared" si="410"/>
        <v>2017</v>
      </c>
      <c r="AH146" s="7">
        <f t="shared" si="411"/>
        <v>-8.3333333333333329E-2</v>
      </c>
      <c r="AJ146" s="144">
        <f t="shared" si="412"/>
        <v>0</v>
      </c>
      <c r="AL146" s="144">
        <f t="shared" si="413"/>
        <v>0</v>
      </c>
      <c r="AN146" s="144">
        <f t="shared" si="414"/>
        <v>0</v>
      </c>
      <c r="AP146" s="144">
        <f t="shared" si="415"/>
        <v>0</v>
      </c>
      <c r="AR146" s="144">
        <f t="shared" si="416"/>
        <v>0</v>
      </c>
    </row>
    <row r="147" spans="3:44">
      <c r="C147" s="1">
        <v>39</v>
      </c>
      <c r="D147" s="39" t="s">
        <v>145</v>
      </c>
      <c r="E147" s="3">
        <v>1990</v>
      </c>
      <c r="F147" s="4">
        <v>12</v>
      </c>
      <c r="G147" s="30">
        <v>0</v>
      </c>
      <c r="H147" s="7"/>
      <c r="I147" s="14" t="s">
        <v>86</v>
      </c>
      <c r="J147" s="5">
        <v>10</v>
      </c>
      <c r="K147" s="13">
        <f t="shared" si="417"/>
        <v>2000</v>
      </c>
      <c r="N147" s="48">
        <v>2600</v>
      </c>
      <c r="P147" s="7">
        <f t="shared" si="418"/>
        <v>2600</v>
      </c>
      <c r="Q147" s="7">
        <f t="shared" si="419"/>
        <v>21.666666666666668</v>
      </c>
      <c r="R147" s="7">
        <f t="shared" si="420"/>
        <v>0</v>
      </c>
      <c r="T147" s="7">
        <f t="shared" si="421"/>
        <v>0</v>
      </c>
      <c r="U147" s="7">
        <v>1</v>
      </c>
      <c r="V147" s="7">
        <f t="shared" si="422"/>
        <v>0</v>
      </c>
      <c r="W147" s="7"/>
      <c r="X147" s="7">
        <f t="shared" si="423"/>
        <v>2600</v>
      </c>
      <c r="Y147" s="7">
        <f t="shared" si="424"/>
        <v>2600</v>
      </c>
      <c r="Z147" s="7">
        <v>1</v>
      </c>
      <c r="AA147" s="7">
        <f t="shared" si="425"/>
        <v>2600</v>
      </c>
      <c r="AB147" s="7">
        <f t="shared" si="426"/>
        <v>2600</v>
      </c>
      <c r="AC147" s="7">
        <f t="shared" si="427"/>
        <v>0</v>
      </c>
      <c r="AD147" s="7">
        <f t="shared" si="428"/>
        <v>1990.9166666666667</v>
      </c>
      <c r="AE147" s="7">
        <f t="shared" si="429"/>
        <v>2018</v>
      </c>
      <c r="AF147" s="7">
        <f t="shared" si="430"/>
        <v>2000.9166666666667</v>
      </c>
      <c r="AG147" s="7">
        <f t="shared" si="410"/>
        <v>2017</v>
      </c>
      <c r="AH147" s="7">
        <f t="shared" si="411"/>
        <v>-8.3333333333333329E-2</v>
      </c>
      <c r="AJ147" s="144">
        <f t="shared" si="412"/>
        <v>0</v>
      </c>
      <c r="AL147" s="144">
        <f t="shared" si="413"/>
        <v>0</v>
      </c>
      <c r="AN147" s="144">
        <f t="shared" si="414"/>
        <v>0</v>
      </c>
      <c r="AP147" s="144">
        <f t="shared" si="415"/>
        <v>0</v>
      </c>
      <c r="AR147" s="144">
        <f t="shared" si="416"/>
        <v>0</v>
      </c>
    </row>
    <row r="148" spans="3:44">
      <c r="C148" s="1">
        <v>50</v>
      </c>
      <c r="D148" s="39" t="s">
        <v>145</v>
      </c>
      <c r="E148" s="3">
        <v>1991</v>
      </c>
      <c r="F148" s="4">
        <v>1</v>
      </c>
      <c r="G148" s="30">
        <v>0</v>
      </c>
      <c r="H148" s="7"/>
      <c r="I148" s="14" t="s">
        <v>86</v>
      </c>
      <c r="J148" s="5">
        <v>10</v>
      </c>
      <c r="K148" s="13">
        <f t="shared" si="417"/>
        <v>2001</v>
      </c>
      <c r="N148" s="48">
        <v>2604</v>
      </c>
      <c r="P148" s="7">
        <f t="shared" si="418"/>
        <v>2604</v>
      </c>
      <c r="Q148" s="7">
        <f t="shared" si="419"/>
        <v>21.7</v>
      </c>
      <c r="R148" s="7">
        <f t="shared" si="420"/>
        <v>0</v>
      </c>
      <c r="T148" s="7">
        <f t="shared" si="421"/>
        <v>0</v>
      </c>
      <c r="U148" s="7">
        <v>1</v>
      </c>
      <c r="V148" s="7">
        <f t="shared" si="422"/>
        <v>0</v>
      </c>
      <c r="W148" s="7"/>
      <c r="X148" s="7">
        <f t="shared" si="423"/>
        <v>2604</v>
      </c>
      <c r="Y148" s="7">
        <f t="shared" si="424"/>
        <v>2604</v>
      </c>
      <c r="Z148" s="7">
        <v>1</v>
      </c>
      <c r="AA148" s="7">
        <f t="shared" si="425"/>
        <v>2604</v>
      </c>
      <c r="AB148" s="7">
        <f t="shared" si="426"/>
        <v>2604</v>
      </c>
      <c r="AC148" s="7">
        <f t="shared" si="427"/>
        <v>0</v>
      </c>
      <c r="AD148" s="7">
        <f t="shared" si="428"/>
        <v>1991</v>
      </c>
      <c r="AE148" s="7">
        <f t="shared" si="429"/>
        <v>2018</v>
      </c>
      <c r="AF148" s="7">
        <f t="shared" si="430"/>
        <v>2001</v>
      </c>
      <c r="AG148" s="7">
        <f t="shared" si="410"/>
        <v>2017</v>
      </c>
      <c r="AH148" s="7">
        <f t="shared" si="411"/>
        <v>-8.3333333333333329E-2</v>
      </c>
      <c r="AJ148" s="144">
        <f t="shared" si="412"/>
        <v>0</v>
      </c>
      <c r="AL148" s="144">
        <f t="shared" si="413"/>
        <v>0</v>
      </c>
      <c r="AN148" s="144">
        <f t="shared" si="414"/>
        <v>0</v>
      </c>
      <c r="AP148" s="144">
        <f t="shared" si="415"/>
        <v>0</v>
      </c>
      <c r="AR148" s="144">
        <f t="shared" si="416"/>
        <v>0</v>
      </c>
    </row>
    <row r="149" spans="3:44">
      <c r="C149" s="1">
        <v>51</v>
      </c>
      <c r="D149" s="39" t="s">
        <v>145</v>
      </c>
      <c r="E149" s="3">
        <v>1991</v>
      </c>
      <c r="F149" s="4">
        <v>4</v>
      </c>
      <c r="G149" s="30">
        <v>0</v>
      </c>
      <c r="H149" s="7"/>
      <c r="I149" s="14" t="s">
        <v>86</v>
      </c>
      <c r="J149" s="5">
        <v>10</v>
      </c>
      <c r="K149" s="13">
        <f t="shared" si="417"/>
        <v>2001</v>
      </c>
      <c r="N149" s="48">
        <v>1633</v>
      </c>
      <c r="P149" s="7">
        <f t="shared" si="418"/>
        <v>1633</v>
      </c>
      <c r="Q149" s="7">
        <f t="shared" si="419"/>
        <v>13.608333333333334</v>
      </c>
      <c r="R149" s="7">
        <f t="shared" si="420"/>
        <v>0</v>
      </c>
      <c r="T149" s="7">
        <f t="shared" si="421"/>
        <v>0</v>
      </c>
      <c r="U149" s="7">
        <v>1</v>
      </c>
      <c r="V149" s="7">
        <f t="shared" si="422"/>
        <v>0</v>
      </c>
      <c r="W149" s="7"/>
      <c r="X149" s="7">
        <f t="shared" si="423"/>
        <v>1633</v>
      </c>
      <c r="Y149" s="7">
        <f t="shared" si="424"/>
        <v>1633</v>
      </c>
      <c r="Z149" s="7">
        <v>1</v>
      </c>
      <c r="AA149" s="7">
        <f t="shared" si="425"/>
        <v>1633</v>
      </c>
      <c r="AB149" s="7">
        <f t="shared" si="426"/>
        <v>1633</v>
      </c>
      <c r="AC149" s="7">
        <f t="shared" si="427"/>
        <v>0</v>
      </c>
      <c r="AD149" s="7">
        <f t="shared" si="428"/>
        <v>1991.25</v>
      </c>
      <c r="AE149" s="7">
        <f t="shared" si="429"/>
        <v>2018</v>
      </c>
      <c r="AF149" s="7">
        <f t="shared" si="430"/>
        <v>2001.25</v>
      </c>
      <c r="AG149" s="7">
        <f t="shared" si="410"/>
        <v>2017</v>
      </c>
      <c r="AH149" s="7">
        <f t="shared" si="411"/>
        <v>-8.3333333333333329E-2</v>
      </c>
      <c r="AJ149" s="144">
        <f t="shared" si="412"/>
        <v>0</v>
      </c>
      <c r="AL149" s="144">
        <f t="shared" si="413"/>
        <v>0</v>
      </c>
      <c r="AN149" s="144">
        <f t="shared" si="414"/>
        <v>0</v>
      </c>
      <c r="AP149" s="144">
        <f t="shared" si="415"/>
        <v>0</v>
      </c>
      <c r="AR149" s="144">
        <f t="shared" si="416"/>
        <v>0</v>
      </c>
    </row>
    <row r="150" spans="3:44">
      <c r="C150" s="1">
        <v>52</v>
      </c>
      <c r="D150" s="39" t="s">
        <v>145</v>
      </c>
      <c r="E150" s="3">
        <v>1991</v>
      </c>
      <c r="F150" s="4">
        <v>5</v>
      </c>
      <c r="G150" s="30">
        <v>0</v>
      </c>
      <c r="H150" s="7"/>
      <c r="I150" s="14" t="s">
        <v>86</v>
      </c>
      <c r="J150" s="5">
        <v>10</v>
      </c>
      <c r="K150" s="13">
        <f t="shared" si="417"/>
        <v>2001</v>
      </c>
      <c r="N150" s="48">
        <v>3267</v>
      </c>
      <c r="P150" s="7">
        <f t="shared" si="418"/>
        <v>3267</v>
      </c>
      <c r="Q150" s="7">
        <f t="shared" si="419"/>
        <v>27.224999999999998</v>
      </c>
      <c r="R150" s="7">
        <f t="shared" si="420"/>
        <v>0</v>
      </c>
      <c r="T150" s="7">
        <f t="shared" si="421"/>
        <v>0</v>
      </c>
      <c r="U150" s="7">
        <v>1</v>
      </c>
      <c r="V150" s="7">
        <f t="shared" si="422"/>
        <v>0</v>
      </c>
      <c r="W150" s="7"/>
      <c r="X150" s="7">
        <f t="shared" si="423"/>
        <v>3267</v>
      </c>
      <c r="Y150" s="7">
        <f t="shared" si="424"/>
        <v>3267</v>
      </c>
      <c r="Z150" s="7">
        <v>1</v>
      </c>
      <c r="AA150" s="7">
        <f t="shared" si="425"/>
        <v>3267</v>
      </c>
      <c r="AB150" s="7">
        <f t="shared" si="426"/>
        <v>3267</v>
      </c>
      <c r="AC150" s="7">
        <f t="shared" si="427"/>
        <v>0</v>
      </c>
      <c r="AD150" s="7">
        <f t="shared" si="428"/>
        <v>1991.3333333333333</v>
      </c>
      <c r="AE150" s="7">
        <f t="shared" si="429"/>
        <v>2018</v>
      </c>
      <c r="AF150" s="7">
        <f t="shared" si="430"/>
        <v>2001.3333333333333</v>
      </c>
      <c r="AG150" s="7">
        <f t="shared" si="410"/>
        <v>2017</v>
      </c>
      <c r="AH150" s="7">
        <f t="shared" si="411"/>
        <v>-8.3333333333333329E-2</v>
      </c>
      <c r="AJ150" s="144">
        <f t="shared" si="412"/>
        <v>0</v>
      </c>
      <c r="AL150" s="144">
        <f t="shared" si="413"/>
        <v>0</v>
      </c>
      <c r="AN150" s="144">
        <f t="shared" si="414"/>
        <v>0</v>
      </c>
      <c r="AP150" s="144">
        <f t="shared" si="415"/>
        <v>0</v>
      </c>
      <c r="AR150" s="144">
        <f t="shared" si="416"/>
        <v>0</v>
      </c>
    </row>
    <row r="151" spans="3:44">
      <c r="C151" s="1">
        <v>50</v>
      </c>
      <c r="D151" s="29" t="s">
        <v>146</v>
      </c>
      <c r="E151" s="3">
        <v>1995</v>
      </c>
      <c r="F151" s="4">
        <v>9</v>
      </c>
      <c r="G151" s="30">
        <v>0</v>
      </c>
      <c r="H151" s="7"/>
      <c r="I151" s="14" t="s">
        <v>86</v>
      </c>
      <c r="J151" s="5">
        <v>10</v>
      </c>
      <c r="K151" s="13">
        <f t="shared" si="417"/>
        <v>2005</v>
      </c>
      <c r="N151" s="48">
        <v>16250</v>
      </c>
      <c r="P151" s="7">
        <f t="shared" si="418"/>
        <v>16250</v>
      </c>
      <c r="Q151" s="7">
        <f t="shared" si="419"/>
        <v>135.41666666666666</v>
      </c>
      <c r="R151" s="7">
        <f t="shared" si="420"/>
        <v>0</v>
      </c>
      <c r="T151" s="7">
        <f t="shared" si="421"/>
        <v>0</v>
      </c>
      <c r="U151" s="7">
        <v>1</v>
      </c>
      <c r="V151" s="7">
        <f t="shared" si="422"/>
        <v>0</v>
      </c>
      <c r="W151" s="7"/>
      <c r="X151" s="7">
        <f t="shared" si="423"/>
        <v>16250</v>
      </c>
      <c r="Y151" s="7">
        <f t="shared" si="424"/>
        <v>16250</v>
      </c>
      <c r="Z151" s="7">
        <v>1</v>
      </c>
      <c r="AA151" s="7">
        <f t="shared" si="425"/>
        <v>16250</v>
      </c>
      <c r="AB151" s="7">
        <f t="shared" si="426"/>
        <v>16250</v>
      </c>
      <c r="AC151" s="7">
        <f t="shared" si="427"/>
        <v>0</v>
      </c>
      <c r="AD151" s="7">
        <f t="shared" si="428"/>
        <v>1995.6666666666667</v>
      </c>
      <c r="AE151" s="7">
        <f t="shared" si="429"/>
        <v>2018</v>
      </c>
      <c r="AF151" s="7">
        <f t="shared" si="430"/>
        <v>2005.6666666666667</v>
      </c>
      <c r="AG151" s="7">
        <f t="shared" si="410"/>
        <v>2017</v>
      </c>
      <c r="AH151" s="7">
        <f t="shared" si="411"/>
        <v>-8.3333333333333329E-2</v>
      </c>
      <c r="AJ151" s="144">
        <f t="shared" si="412"/>
        <v>0</v>
      </c>
      <c r="AL151" s="144">
        <f t="shared" si="413"/>
        <v>0</v>
      </c>
      <c r="AN151" s="144">
        <f t="shared" si="414"/>
        <v>0</v>
      </c>
      <c r="AP151" s="144">
        <f t="shared" si="415"/>
        <v>0</v>
      </c>
      <c r="AR151" s="144">
        <f t="shared" si="416"/>
        <v>0</v>
      </c>
    </row>
    <row r="152" spans="3:44">
      <c r="C152" s="1">
        <v>15</v>
      </c>
      <c r="D152" s="54" t="s">
        <v>147</v>
      </c>
      <c r="E152" s="3">
        <v>1995</v>
      </c>
      <c r="F152" s="4">
        <v>10</v>
      </c>
      <c r="G152" s="30">
        <v>0</v>
      </c>
      <c r="H152" s="7"/>
      <c r="I152" s="14" t="s">
        <v>86</v>
      </c>
      <c r="J152" s="5">
        <v>10</v>
      </c>
      <c r="K152" s="13">
        <f t="shared" si="417"/>
        <v>2005</v>
      </c>
      <c r="N152" s="48">
        <v>4425</v>
      </c>
      <c r="P152" s="7">
        <f t="shared" si="418"/>
        <v>4425</v>
      </c>
      <c r="Q152" s="7">
        <f t="shared" si="419"/>
        <v>36.875</v>
      </c>
      <c r="R152" s="7">
        <f t="shared" si="420"/>
        <v>0</v>
      </c>
      <c r="T152" s="7">
        <f t="shared" si="421"/>
        <v>0</v>
      </c>
      <c r="U152" s="7">
        <v>1</v>
      </c>
      <c r="V152" s="7">
        <f t="shared" si="422"/>
        <v>0</v>
      </c>
      <c r="W152" s="7"/>
      <c r="X152" s="7">
        <f t="shared" si="423"/>
        <v>4425</v>
      </c>
      <c r="Y152" s="7">
        <f t="shared" si="424"/>
        <v>4425</v>
      </c>
      <c r="Z152" s="7">
        <v>1</v>
      </c>
      <c r="AA152" s="7">
        <f t="shared" si="425"/>
        <v>4425</v>
      </c>
      <c r="AB152" s="7">
        <f t="shared" si="426"/>
        <v>4425</v>
      </c>
      <c r="AC152" s="7">
        <f t="shared" si="427"/>
        <v>0</v>
      </c>
      <c r="AD152" s="7">
        <f t="shared" si="428"/>
        <v>1995.75</v>
      </c>
      <c r="AE152" s="7">
        <f t="shared" si="429"/>
        <v>2018</v>
      </c>
      <c r="AF152" s="7">
        <f t="shared" si="430"/>
        <v>2005.75</v>
      </c>
      <c r="AG152" s="7">
        <f t="shared" si="410"/>
        <v>2017</v>
      </c>
      <c r="AH152" s="7">
        <f t="shared" si="411"/>
        <v>-8.3333333333333329E-2</v>
      </c>
      <c r="AJ152" s="144">
        <f t="shared" si="412"/>
        <v>0</v>
      </c>
      <c r="AL152" s="144">
        <f t="shared" si="413"/>
        <v>0</v>
      </c>
      <c r="AN152" s="144">
        <f t="shared" si="414"/>
        <v>0</v>
      </c>
      <c r="AP152" s="144">
        <f t="shared" si="415"/>
        <v>0</v>
      </c>
      <c r="AR152" s="144">
        <f t="shared" si="416"/>
        <v>0</v>
      </c>
    </row>
    <row r="153" spans="3:44">
      <c r="C153" s="1">
        <v>20</v>
      </c>
      <c r="D153" s="29" t="s">
        <v>146</v>
      </c>
      <c r="E153" s="3">
        <v>1995</v>
      </c>
      <c r="F153" s="4">
        <v>11</v>
      </c>
      <c r="G153" s="30">
        <v>0</v>
      </c>
      <c r="H153" s="7"/>
      <c r="I153" s="14" t="s">
        <v>86</v>
      </c>
      <c r="J153" s="5">
        <v>10</v>
      </c>
      <c r="K153" s="13">
        <f t="shared" si="417"/>
        <v>2005</v>
      </c>
      <c r="N153" s="48">
        <v>1100</v>
      </c>
      <c r="P153" s="7">
        <f t="shared" si="418"/>
        <v>1100</v>
      </c>
      <c r="Q153" s="7">
        <f t="shared" si="419"/>
        <v>9.1666666666666661</v>
      </c>
      <c r="R153" s="7">
        <f t="shared" si="420"/>
        <v>0</v>
      </c>
      <c r="T153" s="7">
        <f t="shared" si="421"/>
        <v>0</v>
      </c>
      <c r="U153" s="7">
        <v>1</v>
      </c>
      <c r="V153" s="7">
        <f t="shared" si="422"/>
        <v>0</v>
      </c>
      <c r="W153" s="7"/>
      <c r="X153" s="7">
        <f t="shared" si="423"/>
        <v>1100</v>
      </c>
      <c r="Y153" s="7">
        <f t="shared" si="424"/>
        <v>1100</v>
      </c>
      <c r="Z153" s="7">
        <v>1</v>
      </c>
      <c r="AA153" s="7">
        <f t="shared" si="425"/>
        <v>1100</v>
      </c>
      <c r="AB153" s="7">
        <f t="shared" si="426"/>
        <v>1100</v>
      </c>
      <c r="AC153" s="7">
        <f t="shared" si="427"/>
        <v>0</v>
      </c>
      <c r="AD153" s="7">
        <f t="shared" si="428"/>
        <v>1995.8333333333333</v>
      </c>
      <c r="AE153" s="7">
        <f t="shared" si="429"/>
        <v>2018</v>
      </c>
      <c r="AF153" s="7">
        <f t="shared" si="430"/>
        <v>2005.8333333333333</v>
      </c>
      <c r="AG153" s="7">
        <f t="shared" si="410"/>
        <v>2017</v>
      </c>
      <c r="AH153" s="7">
        <f t="shared" si="411"/>
        <v>-8.3333333333333329E-2</v>
      </c>
      <c r="AJ153" s="144">
        <f t="shared" si="412"/>
        <v>0</v>
      </c>
      <c r="AL153" s="144">
        <f t="shared" si="413"/>
        <v>0</v>
      </c>
      <c r="AN153" s="144">
        <f t="shared" si="414"/>
        <v>0</v>
      </c>
      <c r="AP153" s="144">
        <f t="shared" si="415"/>
        <v>0</v>
      </c>
      <c r="AR153" s="144">
        <f t="shared" si="416"/>
        <v>0</v>
      </c>
    </row>
    <row r="154" spans="3:44">
      <c r="C154" s="1">
        <v>100</v>
      </c>
      <c r="D154" s="29" t="s">
        <v>146</v>
      </c>
      <c r="E154" s="3">
        <v>1995</v>
      </c>
      <c r="F154" s="4">
        <v>12</v>
      </c>
      <c r="G154" s="30">
        <v>0</v>
      </c>
      <c r="H154" s="7"/>
      <c r="I154" s="14" t="s">
        <v>86</v>
      </c>
      <c r="J154" s="5">
        <v>10</v>
      </c>
      <c r="K154" s="13">
        <f t="shared" si="417"/>
        <v>2005</v>
      </c>
      <c r="N154" s="48">
        <v>35500</v>
      </c>
      <c r="P154" s="7">
        <f t="shared" si="418"/>
        <v>35500</v>
      </c>
      <c r="Q154" s="7">
        <f t="shared" si="419"/>
        <v>295.83333333333331</v>
      </c>
      <c r="R154" s="7">
        <f t="shared" si="420"/>
        <v>0</v>
      </c>
      <c r="T154" s="7">
        <f t="shared" si="421"/>
        <v>0</v>
      </c>
      <c r="U154" s="7">
        <v>1</v>
      </c>
      <c r="V154" s="7">
        <f t="shared" si="422"/>
        <v>0</v>
      </c>
      <c r="W154" s="7"/>
      <c r="X154" s="7">
        <f t="shared" si="423"/>
        <v>35500</v>
      </c>
      <c r="Y154" s="7">
        <f t="shared" si="424"/>
        <v>35500</v>
      </c>
      <c r="Z154" s="7">
        <v>1</v>
      </c>
      <c r="AA154" s="7">
        <f t="shared" si="425"/>
        <v>35500</v>
      </c>
      <c r="AB154" s="7">
        <f t="shared" si="426"/>
        <v>35500</v>
      </c>
      <c r="AC154" s="7">
        <f t="shared" si="427"/>
        <v>0</v>
      </c>
      <c r="AD154" s="7">
        <f t="shared" si="428"/>
        <v>1995.9166666666667</v>
      </c>
      <c r="AE154" s="7">
        <f t="shared" si="429"/>
        <v>2018</v>
      </c>
      <c r="AF154" s="7">
        <f t="shared" si="430"/>
        <v>2005.9166666666667</v>
      </c>
      <c r="AG154" s="7">
        <f t="shared" si="410"/>
        <v>2017</v>
      </c>
      <c r="AH154" s="7">
        <f t="shared" si="411"/>
        <v>-8.3333333333333329E-2</v>
      </c>
      <c r="AJ154" s="144">
        <f t="shared" si="412"/>
        <v>0</v>
      </c>
      <c r="AL154" s="144">
        <f t="shared" si="413"/>
        <v>0</v>
      </c>
      <c r="AN154" s="144">
        <f t="shared" si="414"/>
        <v>0</v>
      </c>
      <c r="AP154" s="144">
        <f t="shared" si="415"/>
        <v>0</v>
      </c>
      <c r="AR154" s="144">
        <f t="shared" si="416"/>
        <v>0</v>
      </c>
    </row>
    <row r="155" spans="3:44">
      <c r="C155" s="1">
        <v>10</v>
      </c>
      <c r="D155" s="29" t="s">
        <v>148</v>
      </c>
      <c r="E155" s="3">
        <v>1996</v>
      </c>
      <c r="F155" s="4">
        <v>4</v>
      </c>
      <c r="G155" s="30">
        <v>0</v>
      </c>
      <c r="H155" s="7"/>
      <c r="I155" s="14" t="s">
        <v>86</v>
      </c>
      <c r="J155" s="5">
        <v>10</v>
      </c>
      <c r="K155" s="13">
        <f t="shared" si="417"/>
        <v>2006</v>
      </c>
      <c r="N155" s="48">
        <v>2750</v>
      </c>
      <c r="P155" s="7">
        <f t="shared" si="418"/>
        <v>2750</v>
      </c>
      <c r="Q155" s="7">
        <f t="shared" si="419"/>
        <v>22.916666666666668</v>
      </c>
      <c r="R155" s="7">
        <f>IF(O155&gt;0,0,IF(OR(AD155&gt;AE155,AF155&lt;AG155),0,IF(AND(AF155&gt;=AG155,AF155&lt;=AE155),Q155*((AF155-AG155)*12),IF(AND(AG155&lt;=AD155,AE155&gt;=AD155),((AE155-AD155)*12)*Q155,IF(AF155&gt;AE155,12*Q155,0)))))</f>
        <v>0</v>
      </c>
      <c r="T155" s="7">
        <f t="shared" si="421"/>
        <v>0</v>
      </c>
      <c r="U155" s="7">
        <v>1</v>
      </c>
      <c r="V155" s="7">
        <f t="shared" si="422"/>
        <v>0</v>
      </c>
      <c r="W155" s="7"/>
      <c r="X155" s="7">
        <f t="shared" si="423"/>
        <v>2750</v>
      </c>
      <c r="Y155" s="7">
        <f t="shared" si="424"/>
        <v>2750</v>
      </c>
      <c r="Z155" s="7">
        <v>1</v>
      </c>
      <c r="AA155" s="7">
        <f t="shared" si="425"/>
        <v>2750</v>
      </c>
      <c r="AB155" s="7">
        <f t="shared" si="426"/>
        <v>2750</v>
      </c>
      <c r="AC155" s="7">
        <f t="shared" si="427"/>
        <v>0</v>
      </c>
      <c r="AD155" s="7">
        <f t="shared" si="428"/>
        <v>1996.25</v>
      </c>
      <c r="AE155" s="7">
        <f t="shared" si="429"/>
        <v>2018</v>
      </c>
      <c r="AF155" s="7">
        <f t="shared" si="430"/>
        <v>2006.25</v>
      </c>
      <c r="AG155" s="7">
        <f t="shared" si="410"/>
        <v>2017</v>
      </c>
      <c r="AH155" s="7">
        <f t="shared" si="411"/>
        <v>-8.3333333333333329E-2</v>
      </c>
      <c r="AJ155" s="144">
        <f t="shared" si="412"/>
        <v>0</v>
      </c>
      <c r="AL155" s="144">
        <f t="shared" si="413"/>
        <v>0</v>
      </c>
      <c r="AN155" s="144">
        <f t="shared" si="414"/>
        <v>0</v>
      </c>
      <c r="AP155" s="144">
        <f t="shared" si="415"/>
        <v>0</v>
      </c>
      <c r="AR155" s="144">
        <f t="shared" si="416"/>
        <v>0</v>
      </c>
    </row>
    <row r="156" spans="3:44">
      <c r="C156" s="1">
        <v>20</v>
      </c>
      <c r="D156" s="29" t="s">
        <v>147</v>
      </c>
      <c r="E156" s="3">
        <v>1996</v>
      </c>
      <c r="F156" s="4">
        <v>5</v>
      </c>
      <c r="G156" s="30">
        <v>0</v>
      </c>
      <c r="H156" s="7"/>
      <c r="I156" s="14" t="s">
        <v>86</v>
      </c>
      <c r="J156" s="5">
        <v>10</v>
      </c>
      <c r="K156" s="13">
        <f t="shared" si="417"/>
        <v>2006</v>
      </c>
      <c r="N156" s="48">
        <v>5900</v>
      </c>
      <c r="P156" s="7">
        <f t="shared" si="418"/>
        <v>5900</v>
      </c>
      <c r="Q156" s="7">
        <f t="shared" si="419"/>
        <v>49.166666666666664</v>
      </c>
      <c r="R156" s="7">
        <f t="shared" ref="R156:R172" si="431">IF(O156&gt;0,0,IF(OR(AD156&gt;AE156,AF156&lt;AG156),0,IF(AND(AF156&gt;=AG156,AF156&lt;=AE156),Q156*((AF156-AG156)*12),IF(AND(AG156&lt;=AD156,AE156&gt;=AD156),((AE156-AD156)*12)*Q156,IF(AF156&gt;AE156,12*Q156,0)))))</f>
        <v>0</v>
      </c>
      <c r="T156" s="7">
        <f t="shared" si="421"/>
        <v>0</v>
      </c>
      <c r="U156" s="7">
        <v>1</v>
      </c>
      <c r="V156" s="7">
        <f t="shared" si="422"/>
        <v>0</v>
      </c>
      <c r="W156" s="7"/>
      <c r="X156" s="7">
        <f t="shared" si="423"/>
        <v>5900</v>
      </c>
      <c r="Y156" s="7">
        <f t="shared" si="424"/>
        <v>5900</v>
      </c>
      <c r="Z156" s="7">
        <v>1</v>
      </c>
      <c r="AA156" s="7">
        <f t="shared" si="425"/>
        <v>5900</v>
      </c>
      <c r="AB156" s="7">
        <f t="shared" si="426"/>
        <v>5900</v>
      </c>
      <c r="AC156" s="7">
        <f t="shared" si="427"/>
        <v>0</v>
      </c>
      <c r="AD156" s="7">
        <f t="shared" si="428"/>
        <v>1996.3333333333333</v>
      </c>
      <c r="AE156" s="7">
        <f t="shared" si="429"/>
        <v>2018</v>
      </c>
      <c r="AF156" s="7">
        <f t="shared" si="430"/>
        <v>2006.3333333333333</v>
      </c>
      <c r="AG156" s="7">
        <f t="shared" si="410"/>
        <v>2017</v>
      </c>
      <c r="AH156" s="7">
        <f t="shared" si="411"/>
        <v>-8.3333333333333329E-2</v>
      </c>
      <c r="AJ156" s="144">
        <f t="shared" si="412"/>
        <v>0</v>
      </c>
      <c r="AL156" s="144">
        <f t="shared" si="413"/>
        <v>0</v>
      </c>
      <c r="AN156" s="144">
        <f t="shared" si="414"/>
        <v>0</v>
      </c>
      <c r="AP156" s="144">
        <f t="shared" si="415"/>
        <v>0</v>
      </c>
      <c r="AR156" s="144">
        <f t="shared" si="416"/>
        <v>0</v>
      </c>
    </row>
    <row r="157" spans="3:44">
      <c r="C157" s="1">
        <v>20</v>
      </c>
      <c r="D157" s="29" t="s">
        <v>146</v>
      </c>
      <c r="E157" s="3">
        <v>1996</v>
      </c>
      <c r="F157" s="4">
        <v>5</v>
      </c>
      <c r="G157" s="30">
        <v>0</v>
      </c>
      <c r="H157" s="7"/>
      <c r="I157" s="14" t="s">
        <v>86</v>
      </c>
      <c r="J157" s="5">
        <v>10</v>
      </c>
      <c r="K157" s="13">
        <f t="shared" si="417"/>
        <v>2006</v>
      </c>
      <c r="N157" s="48">
        <v>6500</v>
      </c>
      <c r="P157" s="7">
        <f t="shared" si="418"/>
        <v>6500</v>
      </c>
      <c r="Q157" s="7">
        <f t="shared" si="419"/>
        <v>54.166666666666664</v>
      </c>
      <c r="R157" s="7">
        <f t="shared" si="431"/>
        <v>0</v>
      </c>
      <c r="T157" s="7">
        <f t="shared" si="421"/>
        <v>0</v>
      </c>
      <c r="U157" s="7">
        <v>1</v>
      </c>
      <c r="V157" s="7">
        <f t="shared" si="422"/>
        <v>0</v>
      </c>
      <c r="W157" s="7"/>
      <c r="X157" s="7">
        <f t="shared" si="423"/>
        <v>6500</v>
      </c>
      <c r="Y157" s="7">
        <f t="shared" si="424"/>
        <v>6500</v>
      </c>
      <c r="Z157" s="7">
        <v>1</v>
      </c>
      <c r="AA157" s="7">
        <f t="shared" si="425"/>
        <v>6500</v>
      </c>
      <c r="AB157" s="7">
        <f t="shared" si="426"/>
        <v>6500</v>
      </c>
      <c r="AC157" s="7">
        <f t="shared" si="427"/>
        <v>0</v>
      </c>
      <c r="AD157" s="7">
        <f t="shared" si="428"/>
        <v>1996.3333333333333</v>
      </c>
      <c r="AE157" s="7">
        <f t="shared" si="429"/>
        <v>2018</v>
      </c>
      <c r="AF157" s="7">
        <f t="shared" si="430"/>
        <v>2006.3333333333333</v>
      </c>
      <c r="AG157" s="7">
        <f t="shared" si="410"/>
        <v>2017</v>
      </c>
      <c r="AH157" s="7">
        <f t="shared" si="411"/>
        <v>-8.3333333333333329E-2</v>
      </c>
      <c r="AJ157" s="144">
        <f t="shared" si="412"/>
        <v>0</v>
      </c>
      <c r="AL157" s="144">
        <f t="shared" si="413"/>
        <v>0</v>
      </c>
      <c r="AN157" s="144">
        <f t="shared" si="414"/>
        <v>0</v>
      </c>
      <c r="AP157" s="144">
        <f t="shared" si="415"/>
        <v>0</v>
      </c>
      <c r="AR157" s="144">
        <f t="shared" si="416"/>
        <v>0</v>
      </c>
    </row>
    <row r="158" spans="3:44">
      <c r="C158" s="1">
        <v>20</v>
      </c>
      <c r="D158" s="29" t="s">
        <v>146</v>
      </c>
      <c r="E158" s="3">
        <v>1996</v>
      </c>
      <c r="F158" s="4">
        <v>6</v>
      </c>
      <c r="G158" s="30">
        <v>0</v>
      </c>
      <c r="H158" s="7"/>
      <c r="I158" s="14" t="s">
        <v>86</v>
      </c>
      <c r="J158" s="5">
        <v>10</v>
      </c>
      <c r="K158" s="13">
        <f t="shared" si="417"/>
        <v>2006</v>
      </c>
      <c r="N158" s="48">
        <v>7400</v>
      </c>
      <c r="P158" s="7">
        <f t="shared" si="418"/>
        <v>7400</v>
      </c>
      <c r="Q158" s="7">
        <f t="shared" si="419"/>
        <v>61.666666666666664</v>
      </c>
      <c r="R158" s="7">
        <f t="shared" si="431"/>
        <v>0</v>
      </c>
      <c r="T158" s="7">
        <f t="shared" si="421"/>
        <v>0</v>
      </c>
      <c r="U158" s="7">
        <v>1</v>
      </c>
      <c r="V158" s="7">
        <f t="shared" si="422"/>
        <v>0</v>
      </c>
      <c r="W158" s="7"/>
      <c r="X158" s="7">
        <f t="shared" si="423"/>
        <v>7400</v>
      </c>
      <c r="Y158" s="7">
        <f t="shared" si="424"/>
        <v>7400</v>
      </c>
      <c r="Z158" s="7">
        <v>1</v>
      </c>
      <c r="AA158" s="7">
        <f t="shared" si="425"/>
        <v>7400</v>
      </c>
      <c r="AB158" s="7">
        <f t="shared" si="426"/>
        <v>7400</v>
      </c>
      <c r="AC158" s="7">
        <f t="shared" si="427"/>
        <v>0</v>
      </c>
      <c r="AD158" s="7">
        <f t="shared" si="428"/>
        <v>1996.4166666666667</v>
      </c>
      <c r="AE158" s="7">
        <f t="shared" si="429"/>
        <v>2018</v>
      </c>
      <c r="AF158" s="7">
        <f t="shared" si="430"/>
        <v>2006.4166666666667</v>
      </c>
      <c r="AG158" s="7">
        <f t="shared" si="410"/>
        <v>2017</v>
      </c>
      <c r="AH158" s="7">
        <f t="shared" si="411"/>
        <v>-8.3333333333333329E-2</v>
      </c>
      <c r="AJ158" s="144">
        <f t="shared" si="412"/>
        <v>0</v>
      </c>
      <c r="AL158" s="144">
        <f t="shared" si="413"/>
        <v>0</v>
      </c>
      <c r="AN158" s="144">
        <f t="shared" si="414"/>
        <v>0</v>
      </c>
      <c r="AP158" s="144">
        <f t="shared" si="415"/>
        <v>0</v>
      </c>
      <c r="AR158" s="144">
        <f t="shared" si="416"/>
        <v>0</v>
      </c>
    </row>
    <row r="159" spans="3:44">
      <c r="C159" s="1">
        <v>10</v>
      </c>
      <c r="D159" s="29" t="s">
        <v>146</v>
      </c>
      <c r="E159" s="3">
        <v>1996</v>
      </c>
      <c r="F159" s="4">
        <v>9</v>
      </c>
      <c r="G159" s="30">
        <v>0</v>
      </c>
      <c r="H159" s="7"/>
      <c r="I159" s="14" t="s">
        <v>86</v>
      </c>
      <c r="J159" s="5">
        <v>10</v>
      </c>
      <c r="K159" s="13">
        <f t="shared" si="417"/>
        <v>2006</v>
      </c>
      <c r="N159" s="48">
        <v>3250</v>
      </c>
      <c r="P159" s="7">
        <f t="shared" si="418"/>
        <v>3250</v>
      </c>
      <c r="Q159" s="7">
        <f t="shared" si="419"/>
        <v>27.083333333333332</v>
      </c>
      <c r="R159" s="7">
        <f t="shared" si="431"/>
        <v>0</v>
      </c>
      <c r="T159" s="7">
        <f t="shared" si="421"/>
        <v>0</v>
      </c>
      <c r="U159" s="7">
        <v>1</v>
      </c>
      <c r="V159" s="7">
        <f t="shared" si="422"/>
        <v>0</v>
      </c>
      <c r="W159" s="7"/>
      <c r="X159" s="7">
        <f t="shared" si="423"/>
        <v>3250</v>
      </c>
      <c r="Y159" s="7">
        <f t="shared" si="424"/>
        <v>3250</v>
      </c>
      <c r="Z159" s="7">
        <v>1</v>
      </c>
      <c r="AA159" s="7">
        <f t="shared" si="425"/>
        <v>3250</v>
      </c>
      <c r="AB159" s="7">
        <f t="shared" si="426"/>
        <v>3250</v>
      </c>
      <c r="AC159" s="7">
        <f t="shared" si="427"/>
        <v>0</v>
      </c>
      <c r="AD159" s="7">
        <f t="shared" si="428"/>
        <v>1996.6666666666667</v>
      </c>
      <c r="AE159" s="7">
        <f t="shared" si="429"/>
        <v>2018</v>
      </c>
      <c r="AF159" s="7">
        <f t="shared" si="430"/>
        <v>2006.6666666666667</v>
      </c>
      <c r="AG159" s="7">
        <f t="shared" si="410"/>
        <v>2017</v>
      </c>
      <c r="AH159" s="7">
        <f t="shared" si="411"/>
        <v>-8.3333333333333329E-2</v>
      </c>
      <c r="AJ159" s="144">
        <f t="shared" si="412"/>
        <v>0</v>
      </c>
      <c r="AL159" s="144">
        <f t="shared" si="413"/>
        <v>0</v>
      </c>
      <c r="AN159" s="144">
        <f t="shared" si="414"/>
        <v>0</v>
      </c>
      <c r="AP159" s="144">
        <f t="shared" si="415"/>
        <v>0</v>
      </c>
      <c r="AR159" s="144">
        <f t="shared" si="416"/>
        <v>0</v>
      </c>
    </row>
    <row r="160" spans="3:44">
      <c r="C160" s="1">
        <v>20</v>
      </c>
      <c r="D160" s="29" t="s">
        <v>146</v>
      </c>
      <c r="E160" s="3">
        <v>1996</v>
      </c>
      <c r="F160" s="4">
        <v>8</v>
      </c>
      <c r="G160" s="30">
        <v>0</v>
      </c>
      <c r="H160" s="7"/>
      <c r="I160" s="14" t="s">
        <v>86</v>
      </c>
      <c r="J160" s="5">
        <v>10</v>
      </c>
      <c r="K160" s="13">
        <f t="shared" si="417"/>
        <v>2006</v>
      </c>
      <c r="N160" s="48">
        <v>6534</v>
      </c>
      <c r="P160" s="7">
        <f t="shared" si="418"/>
        <v>6534</v>
      </c>
      <c r="Q160" s="7">
        <f t="shared" si="419"/>
        <v>54.449999999999996</v>
      </c>
      <c r="R160" s="7">
        <f t="shared" si="431"/>
        <v>0</v>
      </c>
      <c r="T160" s="7">
        <f t="shared" si="421"/>
        <v>0</v>
      </c>
      <c r="U160" s="7">
        <v>1</v>
      </c>
      <c r="V160" s="7">
        <f t="shared" si="422"/>
        <v>0</v>
      </c>
      <c r="W160" s="7"/>
      <c r="X160" s="7">
        <f t="shared" si="423"/>
        <v>6534</v>
      </c>
      <c r="Y160" s="7">
        <f t="shared" si="424"/>
        <v>6534</v>
      </c>
      <c r="Z160" s="7">
        <v>1</v>
      </c>
      <c r="AA160" s="7">
        <f t="shared" si="425"/>
        <v>6534</v>
      </c>
      <c r="AB160" s="7">
        <f t="shared" si="426"/>
        <v>6534</v>
      </c>
      <c r="AC160" s="7">
        <f t="shared" si="427"/>
        <v>0</v>
      </c>
      <c r="AD160" s="7">
        <f t="shared" si="428"/>
        <v>1996.5833333333333</v>
      </c>
      <c r="AE160" s="7">
        <f t="shared" si="429"/>
        <v>2018</v>
      </c>
      <c r="AF160" s="7">
        <f t="shared" si="430"/>
        <v>2006.5833333333333</v>
      </c>
      <c r="AG160" s="7">
        <f t="shared" si="410"/>
        <v>2017</v>
      </c>
      <c r="AH160" s="7">
        <f t="shared" si="411"/>
        <v>-8.3333333333333329E-2</v>
      </c>
      <c r="AJ160" s="144">
        <f t="shared" si="412"/>
        <v>0</v>
      </c>
      <c r="AL160" s="144">
        <f t="shared" si="413"/>
        <v>0</v>
      </c>
      <c r="AN160" s="144">
        <f t="shared" si="414"/>
        <v>0</v>
      </c>
      <c r="AP160" s="144">
        <f t="shared" si="415"/>
        <v>0</v>
      </c>
      <c r="AR160" s="144">
        <f t="shared" si="416"/>
        <v>0</v>
      </c>
    </row>
    <row r="161" spans="3:44">
      <c r="C161" s="1">
        <v>114</v>
      </c>
      <c r="D161" s="29" t="s">
        <v>16</v>
      </c>
      <c r="E161" s="3">
        <v>1997</v>
      </c>
      <c r="F161" s="4">
        <v>2</v>
      </c>
      <c r="G161" s="30">
        <v>0</v>
      </c>
      <c r="H161" s="7"/>
      <c r="I161" s="14" t="s">
        <v>86</v>
      </c>
      <c r="J161" s="5">
        <v>10</v>
      </c>
      <c r="K161" s="13">
        <f t="shared" si="417"/>
        <v>2007</v>
      </c>
      <c r="N161" s="48">
        <v>9180</v>
      </c>
      <c r="P161" s="7">
        <f t="shared" si="418"/>
        <v>9180</v>
      </c>
      <c r="Q161" s="7">
        <f t="shared" si="419"/>
        <v>76.5</v>
      </c>
      <c r="R161" s="7">
        <f t="shared" si="431"/>
        <v>0</v>
      </c>
      <c r="T161" s="7">
        <f t="shared" si="421"/>
        <v>0</v>
      </c>
      <c r="U161" s="7">
        <v>1</v>
      </c>
      <c r="V161" s="7">
        <f t="shared" si="422"/>
        <v>0</v>
      </c>
      <c r="W161" s="7"/>
      <c r="X161" s="7">
        <f t="shared" si="423"/>
        <v>9180</v>
      </c>
      <c r="Y161" s="7">
        <f t="shared" si="424"/>
        <v>9180</v>
      </c>
      <c r="Z161" s="7">
        <v>1</v>
      </c>
      <c r="AA161" s="7">
        <f t="shared" si="425"/>
        <v>9180</v>
      </c>
      <c r="AB161" s="7">
        <f t="shared" si="426"/>
        <v>9180</v>
      </c>
      <c r="AC161" s="7">
        <f t="shared" si="427"/>
        <v>0</v>
      </c>
      <c r="AD161" s="7">
        <f t="shared" si="428"/>
        <v>1997.0833333333333</v>
      </c>
      <c r="AE161" s="7">
        <f t="shared" si="429"/>
        <v>2018</v>
      </c>
      <c r="AF161" s="7">
        <f t="shared" si="430"/>
        <v>2007.0833333333333</v>
      </c>
      <c r="AG161" s="7">
        <f t="shared" si="410"/>
        <v>2017</v>
      </c>
      <c r="AH161" s="7">
        <f t="shared" si="411"/>
        <v>-8.3333333333333329E-2</v>
      </c>
      <c r="AJ161" s="144">
        <f t="shared" si="412"/>
        <v>0</v>
      </c>
      <c r="AL161" s="144">
        <f t="shared" si="413"/>
        <v>0</v>
      </c>
      <c r="AN161" s="144">
        <f t="shared" si="414"/>
        <v>0</v>
      </c>
      <c r="AP161" s="144">
        <f t="shared" si="415"/>
        <v>0</v>
      </c>
      <c r="AR161" s="144">
        <f t="shared" si="416"/>
        <v>0</v>
      </c>
    </row>
    <row r="162" spans="3:44">
      <c r="C162" s="1">
        <v>115</v>
      </c>
      <c r="D162" s="29" t="s">
        <v>16</v>
      </c>
      <c r="E162" s="3">
        <v>1997</v>
      </c>
      <c r="F162" s="4">
        <v>5</v>
      </c>
      <c r="G162" s="30">
        <v>0</v>
      </c>
      <c r="H162" s="7"/>
      <c r="I162" s="14" t="s">
        <v>86</v>
      </c>
      <c r="J162" s="5">
        <v>10</v>
      </c>
      <c r="K162" s="13">
        <f t="shared" si="417"/>
        <v>2007</v>
      </c>
      <c r="N162" s="48">
        <v>6300</v>
      </c>
      <c r="P162" s="7">
        <f t="shared" si="418"/>
        <v>6300</v>
      </c>
      <c r="Q162" s="7">
        <f t="shared" si="419"/>
        <v>52.5</v>
      </c>
      <c r="R162" s="7">
        <f t="shared" si="431"/>
        <v>0</v>
      </c>
      <c r="T162" s="7">
        <f t="shared" si="421"/>
        <v>0</v>
      </c>
      <c r="U162" s="7">
        <v>1</v>
      </c>
      <c r="V162" s="7">
        <f t="shared" si="422"/>
        <v>0</v>
      </c>
      <c r="W162" s="7"/>
      <c r="X162" s="7">
        <f t="shared" si="423"/>
        <v>6300</v>
      </c>
      <c r="Y162" s="7">
        <f t="shared" si="424"/>
        <v>6300</v>
      </c>
      <c r="Z162" s="7">
        <v>1</v>
      </c>
      <c r="AA162" s="7">
        <f t="shared" si="425"/>
        <v>6300</v>
      </c>
      <c r="AB162" s="7">
        <f t="shared" si="426"/>
        <v>6300</v>
      </c>
      <c r="AC162" s="7">
        <f t="shared" si="427"/>
        <v>0</v>
      </c>
      <c r="AD162" s="7">
        <f t="shared" si="428"/>
        <v>1997.3333333333333</v>
      </c>
      <c r="AE162" s="7">
        <f t="shared" si="429"/>
        <v>2018</v>
      </c>
      <c r="AF162" s="7">
        <f t="shared" si="430"/>
        <v>2007.3333333333333</v>
      </c>
      <c r="AG162" s="7">
        <f t="shared" si="410"/>
        <v>2017</v>
      </c>
      <c r="AH162" s="7">
        <f t="shared" si="411"/>
        <v>-8.3333333333333329E-2</v>
      </c>
      <c r="AJ162" s="144">
        <f t="shared" si="412"/>
        <v>0</v>
      </c>
      <c r="AL162" s="144">
        <f t="shared" si="413"/>
        <v>0</v>
      </c>
      <c r="AN162" s="144">
        <f t="shared" si="414"/>
        <v>0</v>
      </c>
      <c r="AP162" s="144">
        <f t="shared" si="415"/>
        <v>0</v>
      </c>
      <c r="AR162" s="144">
        <f t="shared" si="416"/>
        <v>0</v>
      </c>
    </row>
    <row r="163" spans="3:44">
      <c r="C163" s="1">
        <v>116</v>
      </c>
      <c r="D163" s="29" t="s">
        <v>16</v>
      </c>
      <c r="E163" s="3">
        <v>1997</v>
      </c>
      <c r="F163" s="4">
        <v>7</v>
      </c>
      <c r="G163" s="30">
        <v>0</v>
      </c>
      <c r="H163" s="7"/>
      <c r="I163" s="14" t="s">
        <v>86</v>
      </c>
      <c r="J163" s="5">
        <v>10</v>
      </c>
      <c r="K163" s="13">
        <f t="shared" si="417"/>
        <v>2007</v>
      </c>
      <c r="N163" s="48">
        <v>3373</v>
      </c>
      <c r="P163" s="7">
        <f t="shared" si="418"/>
        <v>3373</v>
      </c>
      <c r="Q163" s="7">
        <f t="shared" si="419"/>
        <v>28.108333333333334</v>
      </c>
      <c r="R163" s="7">
        <f t="shared" si="431"/>
        <v>0</v>
      </c>
      <c r="T163" s="7">
        <f t="shared" si="421"/>
        <v>0</v>
      </c>
      <c r="U163" s="7">
        <v>1</v>
      </c>
      <c r="V163" s="7">
        <f t="shared" si="422"/>
        <v>0</v>
      </c>
      <c r="W163" s="7"/>
      <c r="X163" s="7">
        <f t="shared" si="423"/>
        <v>3373</v>
      </c>
      <c r="Y163" s="7">
        <f t="shared" si="424"/>
        <v>3373</v>
      </c>
      <c r="Z163" s="7">
        <v>1</v>
      </c>
      <c r="AA163" s="7">
        <f t="shared" si="425"/>
        <v>3373</v>
      </c>
      <c r="AB163" s="7">
        <f t="shared" si="426"/>
        <v>3373</v>
      </c>
      <c r="AC163" s="7">
        <f t="shared" si="427"/>
        <v>0</v>
      </c>
      <c r="AD163" s="7">
        <f t="shared" si="428"/>
        <v>1997.5</v>
      </c>
      <c r="AE163" s="7">
        <f t="shared" si="429"/>
        <v>2018</v>
      </c>
      <c r="AF163" s="7">
        <f t="shared" si="430"/>
        <v>2007.5</v>
      </c>
      <c r="AG163" s="7">
        <f t="shared" si="410"/>
        <v>2017</v>
      </c>
      <c r="AH163" s="7">
        <f t="shared" si="411"/>
        <v>-8.3333333333333329E-2</v>
      </c>
      <c r="AJ163" s="144">
        <f t="shared" si="412"/>
        <v>0</v>
      </c>
      <c r="AL163" s="144">
        <f t="shared" si="413"/>
        <v>0</v>
      </c>
      <c r="AN163" s="144">
        <f t="shared" si="414"/>
        <v>0</v>
      </c>
      <c r="AP163" s="144">
        <f t="shared" si="415"/>
        <v>0</v>
      </c>
      <c r="AR163" s="144">
        <f t="shared" si="416"/>
        <v>0</v>
      </c>
    </row>
    <row r="164" spans="3:44">
      <c r="C164" s="1">
        <v>117</v>
      </c>
      <c r="D164" s="29" t="s">
        <v>16</v>
      </c>
      <c r="E164" s="3">
        <v>1997</v>
      </c>
      <c r="F164" s="4">
        <v>8</v>
      </c>
      <c r="G164" s="30">
        <v>0</v>
      </c>
      <c r="H164" s="7"/>
      <c r="I164" s="14" t="s">
        <v>86</v>
      </c>
      <c r="J164" s="5">
        <v>10</v>
      </c>
      <c r="K164" s="13">
        <f t="shared" si="417"/>
        <v>2007</v>
      </c>
      <c r="N164" s="48">
        <v>13190</v>
      </c>
      <c r="P164" s="7">
        <f t="shared" si="418"/>
        <v>13190</v>
      </c>
      <c r="Q164" s="7">
        <f t="shared" si="419"/>
        <v>109.91666666666667</v>
      </c>
      <c r="R164" s="7">
        <f t="shared" si="431"/>
        <v>0</v>
      </c>
      <c r="T164" s="7">
        <f t="shared" si="421"/>
        <v>0</v>
      </c>
      <c r="U164" s="7">
        <v>1</v>
      </c>
      <c r="V164" s="7">
        <f t="shared" si="422"/>
        <v>0</v>
      </c>
      <c r="W164" s="7"/>
      <c r="X164" s="7">
        <f t="shared" si="423"/>
        <v>13190</v>
      </c>
      <c r="Y164" s="7">
        <f t="shared" si="424"/>
        <v>13190</v>
      </c>
      <c r="Z164" s="7">
        <v>1</v>
      </c>
      <c r="AA164" s="7">
        <f t="shared" si="425"/>
        <v>13190</v>
      </c>
      <c r="AB164" s="7">
        <f t="shared" si="426"/>
        <v>13190</v>
      </c>
      <c r="AC164" s="7">
        <f t="shared" si="427"/>
        <v>0</v>
      </c>
      <c r="AD164" s="7">
        <f t="shared" si="428"/>
        <v>1997.5833333333333</v>
      </c>
      <c r="AE164" s="7">
        <f t="shared" si="429"/>
        <v>2018</v>
      </c>
      <c r="AF164" s="7">
        <f t="shared" si="430"/>
        <v>2007.5833333333333</v>
      </c>
      <c r="AG164" s="7">
        <f t="shared" si="410"/>
        <v>2017</v>
      </c>
      <c r="AH164" s="7">
        <f t="shared" si="411"/>
        <v>-8.3333333333333329E-2</v>
      </c>
      <c r="AJ164" s="144">
        <f t="shared" si="412"/>
        <v>0</v>
      </c>
      <c r="AL164" s="144">
        <f t="shared" si="413"/>
        <v>0</v>
      </c>
      <c r="AN164" s="144">
        <f t="shared" si="414"/>
        <v>0</v>
      </c>
      <c r="AP164" s="144">
        <f t="shared" si="415"/>
        <v>0</v>
      </c>
      <c r="AR164" s="144">
        <f t="shared" si="416"/>
        <v>0</v>
      </c>
    </row>
    <row r="165" spans="3:44">
      <c r="C165" s="1">
        <v>118</v>
      </c>
      <c r="D165" s="29" t="s">
        <v>16</v>
      </c>
      <c r="E165" s="3">
        <v>1997</v>
      </c>
      <c r="F165" s="4">
        <v>9</v>
      </c>
      <c r="G165" s="30">
        <v>0</v>
      </c>
      <c r="H165" s="7"/>
      <c r="I165" s="14" t="s">
        <v>86</v>
      </c>
      <c r="J165" s="5">
        <v>10</v>
      </c>
      <c r="K165" s="13">
        <f t="shared" si="417"/>
        <v>2007</v>
      </c>
      <c r="N165" s="48">
        <v>6400</v>
      </c>
      <c r="P165" s="7">
        <f t="shared" si="418"/>
        <v>6400</v>
      </c>
      <c r="Q165" s="7">
        <f t="shared" si="419"/>
        <v>53.333333333333336</v>
      </c>
      <c r="R165" s="7">
        <f t="shared" si="431"/>
        <v>0</v>
      </c>
      <c r="T165" s="7">
        <f t="shared" si="421"/>
        <v>0</v>
      </c>
      <c r="U165" s="7">
        <v>1</v>
      </c>
      <c r="V165" s="7">
        <f t="shared" si="422"/>
        <v>0</v>
      </c>
      <c r="W165" s="7"/>
      <c r="X165" s="7">
        <f t="shared" si="423"/>
        <v>6400</v>
      </c>
      <c r="Y165" s="7">
        <f t="shared" si="424"/>
        <v>6400</v>
      </c>
      <c r="Z165" s="7">
        <v>1</v>
      </c>
      <c r="AA165" s="7">
        <f t="shared" si="425"/>
        <v>6400</v>
      </c>
      <c r="AB165" s="7">
        <f t="shared" si="426"/>
        <v>6400</v>
      </c>
      <c r="AC165" s="7">
        <f t="shared" si="427"/>
        <v>0</v>
      </c>
      <c r="AD165" s="7">
        <f t="shared" si="428"/>
        <v>1997.6666666666667</v>
      </c>
      <c r="AE165" s="7">
        <f t="shared" si="429"/>
        <v>2018</v>
      </c>
      <c r="AF165" s="7">
        <f t="shared" si="430"/>
        <v>2007.6666666666667</v>
      </c>
      <c r="AG165" s="7">
        <f t="shared" si="410"/>
        <v>2017</v>
      </c>
      <c r="AH165" s="7">
        <f t="shared" si="411"/>
        <v>-8.3333333333333329E-2</v>
      </c>
      <c r="AJ165" s="144">
        <f t="shared" si="412"/>
        <v>0</v>
      </c>
      <c r="AL165" s="144">
        <f t="shared" si="413"/>
        <v>0</v>
      </c>
      <c r="AN165" s="144">
        <f t="shared" si="414"/>
        <v>0</v>
      </c>
      <c r="AP165" s="144">
        <f t="shared" si="415"/>
        <v>0</v>
      </c>
      <c r="AR165" s="144">
        <f t="shared" si="416"/>
        <v>0</v>
      </c>
    </row>
    <row r="166" spans="3:44">
      <c r="C166" s="1">
        <v>119</v>
      </c>
      <c r="D166" s="29" t="s">
        <v>16</v>
      </c>
      <c r="E166" s="3">
        <v>1997</v>
      </c>
      <c r="F166" s="4">
        <v>12</v>
      </c>
      <c r="G166" s="30">
        <v>0</v>
      </c>
      <c r="H166" s="7"/>
      <c r="I166" s="14" t="s">
        <v>86</v>
      </c>
      <c r="J166" s="5">
        <v>10</v>
      </c>
      <c r="K166" s="13">
        <f t="shared" si="417"/>
        <v>2007</v>
      </c>
      <c r="N166" s="48">
        <v>3675</v>
      </c>
      <c r="P166" s="7">
        <f t="shared" si="418"/>
        <v>3675</v>
      </c>
      <c r="Q166" s="7">
        <f t="shared" si="419"/>
        <v>30.625</v>
      </c>
      <c r="R166" s="7">
        <f t="shared" si="431"/>
        <v>0</v>
      </c>
      <c r="T166" s="7">
        <f t="shared" si="421"/>
        <v>0</v>
      </c>
      <c r="U166" s="7">
        <v>1</v>
      </c>
      <c r="V166" s="7">
        <f t="shared" si="422"/>
        <v>0</v>
      </c>
      <c r="W166" s="7"/>
      <c r="X166" s="7">
        <f t="shared" si="423"/>
        <v>3675</v>
      </c>
      <c r="Y166" s="7">
        <f t="shared" si="424"/>
        <v>3675</v>
      </c>
      <c r="Z166" s="7">
        <v>1</v>
      </c>
      <c r="AA166" s="7">
        <f t="shared" si="425"/>
        <v>3675</v>
      </c>
      <c r="AB166" s="7">
        <f t="shared" si="426"/>
        <v>3675</v>
      </c>
      <c r="AC166" s="7">
        <f t="shared" si="427"/>
        <v>0</v>
      </c>
      <c r="AD166" s="7">
        <f t="shared" si="428"/>
        <v>1997.9166666666667</v>
      </c>
      <c r="AE166" s="7">
        <f t="shared" si="429"/>
        <v>2018</v>
      </c>
      <c r="AF166" s="7">
        <f t="shared" si="430"/>
        <v>2007.9166666666667</v>
      </c>
      <c r="AG166" s="7">
        <f t="shared" si="410"/>
        <v>2017</v>
      </c>
      <c r="AH166" s="7">
        <f t="shared" si="411"/>
        <v>-8.3333333333333329E-2</v>
      </c>
      <c r="AJ166" s="144">
        <f t="shared" si="412"/>
        <v>0</v>
      </c>
      <c r="AL166" s="144">
        <f t="shared" si="413"/>
        <v>0</v>
      </c>
      <c r="AN166" s="144">
        <f t="shared" si="414"/>
        <v>0</v>
      </c>
      <c r="AP166" s="144">
        <f t="shared" si="415"/>
        <v>0</v>
      </c>
      <c r="AR166" s="144">
        <f t="shared" si="416"/>
        <v>0</v>
      </c>
    </row>
    <row r="167" spans="3:44">
      <c r="C167" s="1">
        <v>20</v>
      </c>
      <c r="D167" s="29" t="s">
        <v>146</v>
      </c>
      <c r="E167" s="3">
        <v>1998</v>
      </c>
      <c r="F167" s="4">
        <v>3</v>
      </c>
      <c r="G167" s="30">
        <v>0</v>
      </c>
      <c r="H167" s="7"/>
      <c r="I167" s="14" t="s">
        <v>86</v>
      </c>
      <c r="J167" s="5">
        <v>10</v>
      </c>
      <c r="K167" s="13">
        <f t="shared" si="417"/>
        <v>2008</v>
      </c>
      <c r="N167" s="48">
        <v>3400</v>
      </c>
      <c r="P167" s="7">
        <f t="shared" si="418"/>
        <v>3400</v>
      </c>
      <c r="Q167" s="7">
        <f t="shared" si="419"/>
        <v>28.333333333333332</v>
      </c>
      <c r="R167" s="7">
        <f t="shared" si="431"/>
        <v>0</v>
      </c>
      <c r="T167" s="7">
        <f t="shared" si="421"/>
        <v>0</v>
      </c>
      <c r="U167" s="7">
        <v>1</v>
      </c>
      <c r="V167" s="7">
        <f t="shared" si="422"/>
        <v>0</v>
      </c>
      <c r="W167" s="7"/>
      <c r="X167" s="7">
        <f t="shared" si="423"/>
        <v>3400</v>
      </c>
      <c r="Y167" s="7">
        <f t="shared" si="424"/>
        <v>3400</v>
      </c>
      <c r="Z167" s="7">
        <v>1</v>
      </c>
      <c r="AA167" s="7">
        <f t="shared" si="425"/>
        <v>3400</v>
      </c>
      <c r="AB167" s="7">
        <f t="shared" si="426"/>
        <v>3400</v>
      </c>
      <c r="AC167" s="7">
        <f t="shared" si="427"/>
        <v>0</v>
      </c>
      <c r="AD167" s="7">
        <f t="shared" si="428"/>
        <v>1998.1666666666667</v>
      </c>
      <c r="AE167" s="7">
        <f t="shared" si="429"/>
        <v>2018</v>
      </c>
      <c r="AF167" s="7">
        <f t="shared" si="430"/>
        <v>2008.1666666666667</v>
      </c>
      <c r="AG167" s="7">
        <f t="shared" si="410"/>
        <v>2017</v>
      </c>
      <c r="AH167" s="7">
        <f t="shared" si="411"/>
        <v>-8.3333333333333329E-2</v>
      </c>
      <c r="AJ167" s="144">
        <f t="shared" si="412"/>
        <v>0</v>
      </c>
      <c r="AL167" s="144">
        <f t="shared" si="413"/>
        <v>0</v>
      </c>
      <c r="AN167" s="144">
        <f t="shared" si="414"/>
        <v>0</v>
      </c>
      <c r="AP167" s="144">
        <f t="shared" si="415"/>
        <v>0</v>
      </c>
      <c r="AR167" s="144">
        <f t="shared" si="416"/>
        <v>0</v>
      </c>
    </row>
    <row r="168" spans="3:44">
      <c r="C168" s="1">
        <v>10</v>
      </c>
      <c r="D168" s="29" t="s">
        <v>147</v>
      </c>
      <c r="E168" s="3">
        <v>1998</v>
      </c>
      <c r="F168" s="4">
        <v>4</v>
      </c>
      <c r="G168" s="30">
        <v>0</v>
      </c>
      <c r="H168" s="7"/>
      <c r="I168" s="14" t="s">
        <v>86</v>
      </c>
      <c r="J168" s="5">
        <v>10</v>
      </c>
      <c r="K168" s="13">
        <f t="shared" si="417"/>
        <v>2008</v>
      </c>
      <c r="N168" s="48">
        <v>3200</v>
      </c>
      <c r="P168" s="7">
        <f t="shared" si="418"/>
        <v>3200</v>
      </c>
      <c r="Q168" s="7">
        <f t="shared" si="419"/>
        <v>26.666666666666668</v>
      </c>
      <c r="R168" s="7">
        <f t="shared" si="431"/>
        <v>0</v>
      </c>
      <c r="T168" s="7">
        <f t="shared" si="421"/>
        <v>0</v>
      </c>
      <c r="U168" s="7">
        <v>1</v>
      </c>
      <c r="V168" s="7">
        <f t="shared" si="422"/>
        <v>0</v>
      </c>
      <c r="W168" s="7"/>
      <c r="X168" s="7">
        <f t="shared" si="423"/>
        <v>3200</v>
      </c>
      <c r="Y168" s="7">
        <f t="shared" si="424"/>
        <v>3200</v>
      </c>
      <c r="Z168" s="7">
        <v>1</v>
      </c>
      <c r="AA168" s="7">
        <f t="shared" si="425"/>
        <v>3200</v>
      </c>
      <c r="AB168" s="7">
        <f t="shared" si="426"/>
        <v>3200</v>
      </c>
      <c r="AC168" s="7">
        <f t="shared" si="427"/>
        <v>0</v>
      </c>
      <c r="AD168" s="7">
        <f t="shared" si="428"/>
        <v>1998.25</v>
      </c>
      <c r="AE168" s="7">
        <f t="shared" si="429"/>
        <v>2018</v>
      </c>
      <c r="AF168" s="7">
        <f t="shared" si="430"/>
        <v>2008.25</v>
      </c>
      <c r="AG168" s="7">
        <f t="shared" si="410"/>
        <v>2017</v>
      </c>
      <c r="AH168" s="7">
        <f t="shared" si="411"/>
        <v>-8.3333333333333329E-2</v>
      </c>
      <c r="AJ168" s="144">
        <f t="shared" si="412"/>
        <v>0</v>
      </c>
      <c r="AL168" s="144">
        <f t="shared" si="413"/>
        <v>0</v>
      </c>
      <c r="AN168" s="144">
        <f t="shared" si="414"/>
        <v>0</v>
      </c>
      <c r="AP168" s="144">
        <f t="shared" si="415"/>
        <v>0</v>
      </c>
      <c r="AR168" s="144">
        <f t="shared" si="416"/>
        <v>0</v>
      </c>
    </row>
    <row r="169" spans="3:44">
      <c r="C169" s="1">
        <v>20</v>
      </c>
      <c r="D169" s="29" t="s">
        <v>146</v>
      </c>
      <c r="E169" s="3">
        <v>1998</v>
      </c>
      <c r="F169" s="4">
        <v>7</v>
      </c>
      <c r="G169" s="30">
        <v>0</v>
      </c>
      <c r="H169" s="7"/>
      <c r="I169" s="14" t="s">
        <v>86</v>
      </c>
      <c r="J169" s="5">
        <v>10</v>
      </c>
      <c r="K169" s="13">
        <f t="shared" si="417"/>
        <v>2008</v>
      </c>
      <c r="N169" s="48">
        <v>6800</v>
      </c>
      <c r="P169" s="7">
        <f t="shared" si="418"/>
        <v>6800</v>
      </c>
      <c r="Q169" s="7">
        <f t="shared" si="419"/>
        <v>56.666666666666664</v>
      </c>
      <c r="R169" s="7">
        <f t="shared" si="431"/>
        <v>0</v>
      </c>
      <c r="T169" s="7">
        <f t="shared" si="421"/>
        <v>0</v>
      </c>
      <c r="U169" s="7">
        <v>1</v>
      </c>
      <c r="V169" s="7">
        <f t="shared" si="422"/>
        <v>0</v>
      </c>
      <c r="W169" s="7"/>
      <c r="X169" s="7">
        <f t="shared" si="423"/>
        <v>6800</v>
      </c>
      <c r="Y169" s="7">
        <f t="shared" si="424"/>
        <v>6800</v>
      </c>
      <c r="Z169" s="7">
        <v>1</v>
      </c>
      <c r="AA169" s="7">
        <f t="shared" si="425"/>
        <v>6800</v>
      </c>
      <c r="AB169" s="7">
        <f t="shared" si="426"/>
        <v>6800</v>
      </c>
      <c r="AC169" s="7">
        <f t="shared" si="427"/>
        <v>0</v>
      </c>
      <c r="AD169" s="7">
        <f t="shared" si="428"/>
        <v>1998.5</v>
      </c>
      <c r="AE169" s="7">
        <f t="shared" si="429"/>
        <v>2018</v>
      </c>
      <c r="AF169" s="7">
        <f t="shared" si="430"/>
        <v>2008.5</v>
      </c>
      <c r="AG169" s="7">
        <f t="shared" si="410"/>
        <v>2017</v>
      </c>
      <c r="AH169" s="7">
        <f t="shared" si="411"/>
        <v>-8.3333333333333329E-2</v>
      </c>
      <c r="AJ169" s="144">
        <f t="shared" si="412"/>
        <v>0</v>
      </c>
      <c r="AL169" s="144">
        <f t="shared" si="413"/>
        <v>0</v>
      </c>
      <c r="AN169" s="144">
        <f t="shared" si="414"/>
        <v>0</v>
      </c>
      <c r="AP169" s="144">
        <f t="shared" si="415"/>
        <v>0</v>
      </c>
      <c r="AR169" s="144">
        <f t="shared" si="416"/>
        <v>0</v>
      </c>
    </row>
    <row r="170" spans="3:44">
      <c r="C170" s="1">
        <v>20</v>
      </c>
      <c r="D170" s="39" t="s">
        <v>149</v>
      </c>
      <c r="E170" s="3">
        <v>1998</v>
      </c>
      <c r="F170" s="4">
        <v>7</v>
      </c>
      <c r="G170" s="30">
        <v>0</v>
      </c>
      <c r="H170" s="7"/>
      <c r="I170" s="14" t="s">
        <v>86</v>
      </c>
      <c r="J170" s="5">
        <v>10</v>
      </c>
      <c r="K170" s="13">
        <f t="shared" si="417"/>
        <v>2008</v>
      </c>
      <c r="N170" s="48">
        <v>6400</v>
      </c>
      <c r="P170" s="7">
        <f t="shared" si="418"/>
        <v>6400</v>
      </c>
      <c r="Q170" s="7">
        <f t="shared" si="419"/>
        <v>53.333333333333336</v>
      </c>
      <c r="R170" s="7">
        <f t="shared" si="431"/>
        <v>0</v>
      </c>
      <c r="T170" s="7">
        <f t="shared" si="421"/>
        <v>0</v>
      </c>
      <c r="U170" s="7">
        <v>1</v>
      </c>
      <c r="V170" s="7">
        <f t="shared" si="422"/>
        <v>0</v>
      </c>
      <c r="W170" s="7"/>
      <c r="X170" s="7">
        <f t="shared" si="423"/>
        <v>6400</v>
      </c>
      <c r="Y170" s="7">
        <f t="shared" si="424"/>
        <v>6400</v>
      </c>
      <c r="Z170" s="7">
        <v>1</v>
      </c>
      <c r="AA170" s="7">
        <f t="shared" si="425"/>
        <v>6400</v>
      </c>
      <c r="AB170" s="7">
        <f t="shared" si="426"/>
        <v>6400</v>
      </c>
      <c r="AC170" s="7">
        <f t="shared" si="427"/>
        <v>0</v>
      </c>
      <c r="AD170" s="7">
        <f t="shared" si="428"/>
        <v>1998.5</v>
      </c>
      <c r="AE170" s="7">
        <f t="shared" si="429"/>
        <v>2018</v>
      </c>
      <c r="AF170" s="7">
        <f t="shared" si="430"/>
        <v>2008.5</v>
      </c>
      <c r="AG170" s="7">
        <f t="shared" si="410"/>
        <v>2017</v>
      </c>
      <c r="AH170" s="7">
        <f t="shared" si="411"/>
        <v>-8.3333333333333329E-2</v>
      </c>
      <c r="AJ170" s="144">
        <f t="shared" si="412"/>
        <v>0</v>
      </c>
      <c r="AL170" s="144">
        <f t="shared" si="413"/>
        <v>0</v>
      </c>
      <c r="AN170" s="144">
        <f t="shared" si="414"/>
        <v>0</v>
      </c>
      <c r="AP170" s="144">
        <f t="shared" si="415"/>
        <v>0</v>
      </c>
      <c r="AR170" s="144">
        <f t="shared" si="416"/>
        <v>0</v>
      </c>
    </row>
    <row r="171" spans="3:44">
      <c r="C171" s="1">
        <v>143</v>
      </c>
      <c r="D171" s="39" t="s">
        <v>16</v>
      </c>
      <c r="E171" s="3">
        <v>1999</v>
      </c>
      <c r="F171" s="4">
        <v>8</v>
      </c>
      <c r="G171" s="30">
        <v>0</v>
      </c>
      <c r="H171" s="7"/>
      <c r="I171" s="14" t="s">
        <v>86</v>
      </c>
      <c r="J171" s="5">
        <v>10</v>
      </c>
      <c r="K171" s="13">
        <f t="shared" si="417"/>
        <v>2009</v>
      </c>
      <c r="N171" s="48">
        <v>10150</v>
      </c>
      <c r="P171" s="7">
        <f t="shared" si="418"/>
        <v>10150</v>
      </c>
      <c r="Q171" s="7">
        <f t="shared" si="419"/>
        <v>84.583333333333329</v>
      </c>
      <c r="R171" s="7">
        <f t="shared" si="431"/>
        <v>0</v>
      </c>
      <c r="T171" s="7">
        <f t="shared" si="421"/>
        <v>0</v>
      </c>
      <c r="U171" s="7">
        <v>1</v>
      </c>
      <c r="V171" s="7">
        <f t="shared" si="422"/>
        <v>0</v>
      </c>
      <c r="W171" s="7"/>
      <c r="X171" s="7">
        <f t="shared" si="423"/>
        <v>10150</v>
      </c>
      <c r="Y171" s="7">
        <f t="shared" si="424"/>
        <v>10150</v>
      </c>
      <c r="Z171" s="7">
        <v>1</v>
      </c>
      <c r="AA171" s="7">
        <f t="shared" si="425"/>
        <v>10150</v>
      </c>
      <c r="AB171" s="7">
        <f t="shared" si="426"/>
        <v>10150</v>
      </c>
      <c r="AC171" s="7">
        <f t="shared" si="427"/>
        <v>0</v>
      </c>
      <c r="AD171" s="7">
        <f t="shared" si="428"/>
        <v>1999.5833333333333</v>
      </c>
      <c r="AE171" s="7">
        <f t="shared" si="429"/>
        <v>2018</v>
      </c>
      <c r="AF171" s="7">
        <f t="shared" si="430"/>
        <v>2009.5833333333333</v>
      </c>
      <c r="AG171" s="7">
        <f t="shared" si="410"/>
        <v>2017</v>
      </c>
      <c r="AH171" s="7">
        <f t="shared" si="411"/>
        <v>-8.3333333333333329E-2</v>
      </c>
      <c r="AJ171" s="144">
        <f t="shared" si="412"/>
        <v>0</v>
      </c>
      <c r="AL171" s="144">
        <f t="shared" si="413"/>
        <v>0</v>
      </c>
      <c r="AN171" s="144">
        <f t="shared" si="414"/>
        <v>0</v>
      </c>
      <c r="AP171" s="144">
        <f t="shared" si="415"/>
        <v>0</v>
      </c>
      <c r="AR171" s="144">
        <f t="shared" si="416"/>
        <v>0</v>
      </c>
    </row>
    <row r="172" spans="3:44">
      <c r="C172" s="1">
        <v>145</v>
      </c>
      <c r="D172" s="39" t="s">
        <v>16</v>
      </c>
      <c r="E172" s="3">
        <v>1999</v>
      </c>
      <c r="F172" s="4">
        <v>12</v>
      </c>
      <c r="G172" s="30">
        <v>0</v>
      </c>
      <c r="H172" s="7"/>
      <c r="I172" s="14" t="s">
        <v>86</v>
      </c>
      <c r="J172" s="5">
        <v>10</v>
      </c>
      <c r="K172" s="13">
        <f t="shared" si="417"/>
        <v>2009</v>
      </c>
      <c r="N172" s="48">
        <v>9775</v>
      </c>
      <c r="P172" s="7">
        <f t="shared" si="418"/>
        <v>9775</v>
      </c>
      <c r="Q172" s="7">
        <f t="shared" si="419"/>
        <v>81.458333333333329</v>
      </c>
      <c r="R172" s="7">
        <f t="shared" si="431"/>
        <v>0</v>
      </c>
      <c r="T172" s="7">
        <f t="shared" si="421"/>
        <v>0</v>
      </c>
      <c r="U172" s="7">
        <v>1</v>
      </c>
      <c r="V172" s="7">
        <f t="shared" si="422"/>
        <v>0</v>
      </c>
      <c r="W172" s="7"/>
      <c r="X172" s="7">
        <f t="shared" si="423"/>
        <v>9775</v>
      </c>
      <c r="Y172" s="7">
        <f t="shared" si="424"/>
        <v>9775</v>
      </c>
      <c r="Z172" s="7">
        <v>1</v>
      </c>
      <c r="AA172" s="7">
        <f t="shared" si="425"/>
        <v>9775</v>
      </c>
      <c r="AB172" s="7">
        <f t="shared" si="426"/>
        <v>9775</v>
      </c>
      <c r="AC172" s="7">
        <f t="shared" si="427"/>
        <v>0</v>
      </c>
      <c r="AD172" s="7">
        <f t="shared" si="428"/>
        <v>1999.9166666666667</v>
      </c>
      <c r="AE172" s="7">
        <f t="shared" si="429"/>
        <v>2018</v>
      </c>
      <c r="AF172" s="7">
        <f t="shared" si="430"/>
        <v>2009.9166666666667</v>
      </c>
      <c r="AG172" s="7">
        <f t="shared" si="410"/>
        <v>2017</v>
      </c>
      <c r="AH172" s="7">
        <f t="shared" si="411"/>
        <v>-8.3333333333333329E-2</v>
      </c>
      <c r="AJ172" s="144">
        <f t="shared" si="412"/>
        <v>0</v>
      </c>
      <c r="AL172" s="144">
        <f t="shared" si="413"/>
        <v>0</v>
      </c>
      <c r="AN172" s="144">
        <f t="shared" si="414"/>
        <v>0</v>
      </c>
      <c r="AP172" s="144">
        <f t="shared" si="415"/>
        <v>0</v>
      </c>
      <c r="AR172" s="144">
        <f t="shared" si="416"/>
        <v>0</v>
      </c>
    </row>
    <row r="173" spans="3:44">
      <c r="D173" s="39"/>
      <c r="G173" s="30"/>
      <c r="H173" s="7"/>
      <c r="I173" s="14"/>
      <c r="K173" s="13"/>
      <c r="N173" s="48"/>
      <c r="P173" s="7"/>
      <c r="Q173" s="7"/>
      <c r="R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J173" s="144">
        <f t="shared" si="412"/>
        <v>0</v>
      </c>
      <c r="AL173" s="144">
        <f t="shared" si="413"/>
        <v>0</v>
      </c>
      <c r="AN173" s="144">
        <f t="shared" si="414"/>
        <v>0</v>
      </c>
      <c r="AP173" s="144">
        <f t="shared" si="415"/>
        <v>0</v>
      </c>
      <c r="AR173" s="144">
        <f t="shared" si="416"/>
        <v>0</v>
      </c>
    </row>
    <row r="174" spans="3:44">
      <c r="C174" s="1">
        <v>142</v>
      </c>
      <c r="D174" s="39" t="s">
        <v>16</v>
      </c>
      <c r="E174" s="3">
        <v>2000</v>
      </c>
      <c r="F174" s="4">
        <v>1</v>
      </c>
      <c r="G174" s="30">
        <v>0</v>
      </c>
      <c r="H174" s="7"/>
      <c r="I174" s="14" t="s">
        <v>86</v>
      </c>
      <c r="J174" s="5">
        <v>10</v>
      </c>
      <c r="K174" s="13">
        <f>E174+J174</f>
        <v>2010</v>
      </c>
      <c r="N174" s="48">
        <v>25912</v>
      </c>
      <c r="P174" s="7">
        <f>N174-N174*G174</f>
        <v>25912</v>
      </c>
      <c r="Q174" s="7">
        <f>P174/J174/12</f>
        <v>215.93333333333331</v>
      </c>
      <c r="R174" s="7">
        <f>IF(O174&gt;0,0,IF(OR(AD174&gt;AE174,AF174&lt;AG174),0,IF(AND(AF174&gt;=AG174,AF174&lt;=AE174),Q174*((AF174-AG174)*12),IF(AND(AG174&lt;=AD174,AE174&gt;=AD174),((AE174-AD174)*12)*Q174,IF(AF174&gt;AE174,12*Q174,0)))))</f>
        <v>0</v>
      </c>
      <c r="T174" s="7">
        <f>IF(S174&gt;0,S174,R174)</f>
        <v>0</v>
      </c>
      <c r="U174" s="7">
        <v>1</v>
      </c>
      <c r="V174" s="7">
        <f>U174*SUM(R174:S174)</f>
        <v>0</v>
      </c>
      <c r="W174" s="7"/>
      <c r="X174" s="7">
        <f t="shared" ref="X174:X181" si="432">IF(AD174&gt;AE174,0,IF(AF174&lt;AG174,P174,IF(AND(AF174&gt;=AG174,AF174&lt;=AE174),(P174-T174),IF(AND(AG174&lt;=AD174,AE174&gt;=AD174),0,IF(AF174&gt;AE174,((AG174-AD174)*12)*Q174,0)))))</f>
        <v>25912</v>
      </c>
      <c r="Y174" s="7">
        <f t="shared" ref="Y174:Y181" si="433">X174*U174</f>
        <v>25912</v>
      </c>
      <c r="Z174" s="7">
        <v>1</v>
      </c>
      <c r="AA174" s="7">
        <f>Y174*Z174</f>
        <v>25912</v>
      </c>
      <c r="AB174" s="7">
        <f>IF(O174&gt;0,0,AA174+V174*Z174)*Z174</f>
        <v>25912</v>
      </c>
      <c r="AC174" s="7">
        <f>IF(O174&gt;0,(N174-AA174)/2,IF(AD174&gt;=AG174,(((N174*U174)*Z174)-AB174)/2,((((N174*U174)*Z174)-AA174)+(((N174*U174)*Z174)-AB174))/2))</f>
        <v>0</v>
      </c>
      <c r="AD174" s="7">
        <f>$E174+(($F174-1)/12)</f>
        <v>2000</v>
      </c>
      <c r="AE174" s="7">
        <f>($P$5+1)-($P$2/12)</f>
        <v>2018</v>
      </c>
      <c r="AF174" s="7">
        <f>$K174+(($F174-1)/12)</f>
        <v>2010</v>
      </c>
      <c r="AG174" s="7">
        <f>$P$4+($P$3/12)</f>
        <v>2017</v>
      </c>
      <c r="AH174" s="7">
        <f>$L174+(($M174-1)/12)</f>
        <v>-8.3333333333333329E-2</v>
      </c>
      <c r="AJ174" s="144">
        <f t="shared" si="412"/>
        <v>0</v>
      </c>
      <c r="AL174" s="144">
        <f t="shared" si="413"/>
        <v>0</v>
      </c>
      <c r="AN174" s="144">
        <f t="shared" si="414"/>
        <v>0</v>
      </c>
      <c r="AP174" s="144">
        <f t="shared" si="415"/>
        <v>0</v>
      </c>
      <c r="AR174" s="144">
        <f t="shared" si="416"/>
        <v>0</v>
      </c>
    </row>
    <row r="175" spans="3:44">
      <c r="D175" s="39" t="s">
        <v>16</v>
      </c>
      <c r="E175" s="3">
        <v>2000</v>
      </c>
      <c r="F175" s="4">
        <v>1</v>
      </c>
      <c r="G175" s="30">
        <v>0</v>
      </c>
      <c r="H175" s="7"/>
      <c r="I175" s="14" t="s">
        <v>86</v>
      </c>
      <c r="J175" s="5">
        <v>10</v>
      </c>
      <c r="K175" s="13">
        <f>E175+J175</f>
        <v>2010</v>
      </c>
      <c r="N175" s="48">
        <v>2529</v>
      </c>
      <c r="P175" s="7">
        <f>N175-N175*G175</f>
        <v>2529</v>
      </c>
      <c r="Q175" s="7">
        <f>P175/J175/12</f>
        <v>21.074999999999999</v>
      </c>
      <c r="R175" s="7">
        <f>IF(O175&gt;0,0,IF(OR(AD175&gt;AE175,AF175&lt;AG175),0,IF(AND(AF175&gt;=AG175,AF175&lt;=AE175),Q175*((AF175-AG175)*12),IF(AND(AG175&lt;=AD175,AE175&gt;=AD175),((AE175-AD175)*12)*Q175,IF(AF175&gt;AE175,12*Q175,0)))))</f>
        <v>0</v>
      </c>
      <c r="T175" s="7">
        <f>IF(S175&gt;0,S175,R175)</f>
        <v>0</v>
      </c>
      <c r="U175" s="7">
        <v>1</v>
      </c>
      <c r="V175" s="7">
        <f>U175*SUM(R175:S175)</f>
        <v>0</v>
      </c>
      <c r="W175" s="7"/>
      <c r="X175" s="7">
        <f t="shared" si="432"/>
        <v>2529</v>
      </c>
      <c r="Y175" s="7">
        <f t="shared" si="433"/>
        <v>2529</v>
      </c>
      <c r="Z175" s="7">
        <v>1</v>
      </c>
      <c r="AA175" s="7">
        <f>Y175*Z175</f>
        <v>2529</v>
      </c>
      <c r="AB175" s="7">
        <f>IF(O175&gt;0,0,AA175+V175*Z175)*Z175</f>
        <v>2529</v>
      </c>
      <c r="AC175" s="7">
        <f>IF(O175&gt;0,(N175-AA175)/2,IF(AD175&gt;=AG175,(((N175*U175)*Z175)-AB175)/2,((((N175*U175)*Z175)-AA175)+(((N175*U175)*Z175)-AB175))/2))</f>
        <v>0</v>
      </c>
      <c r="AD175" s="7">
        <f>$E175+(($F175-1)/12)</f>
        <v>2000</v>
      </c>
      <c r="AE175" s="7">
        <f>($P$5+1)-($P$2/12)</f>
        <v>2018</v>
      </c>
      <c r="AF175" s="7">
        <f>$K175+(($F175-1)/12)</f>
        <v>2010</v>
      </c>
      <c r="AG175" s="7">
        <f>$P$4+($P$3/12)</f>
        <v>2017</v>
      </c>
      <c r="AH175" s="7">
        <f>$L175+(($M175-1)/12)</f>
        <v>-8.3333333333333329E-2</v>
      </c>
      <c r="AJ175" s="144">
        <f t="shared" si="412"/>
        <v>0</v>
      </c>
      <c r="AL175" s="144">
        <f t="shared" si="413"/>
        <v>0</v>
      </c>
      <c r="AN175" s="144">
        <f t="shared" si="414"/>
        <v>0</v>
      </c>
      <c r="AP175" s="144">
        <f t="shared" si="415"/>
        <v>0</v>
      </c>
      <c r="AR175" s="144">
        <f t="shared" si="416"/>
        <v>0</v>
      </c>
    </row>
    <row r="176" spans="3:44">
      <c r="D176" s="39" t="s">
        <v>16</v>
      </c>
      <c r="E176" s="3">
        <v>2000</v>
      </c>
      <c r="F176" s="4">
        <v>6</v>
      </c>
      <c r="G176" s="30">
        <v>0</v>
      </c>
      <c r="H176" s="7"/>
      <c r="I176" s="14" t="s">
        <v>86</v>
      </c>
      <c r="J176" s="5">
        <v>10</v>
      </c>
      <c r="K176" s="13">
        <f>E176+J176</f>
        <v>2010</v>
      </c>
      <c r="N176" s="48">
        <v>10080</v>
      </c>
      <c r="P176" s="7">
        <f>N176-N176*G176</f>
        <v>10080</v>
      </c>
      <c r="Q176" s="7">
        <f>P176/J176/12</f>
        <v>84</v>
      </c>
      <c r="R176" s="7">
        <f>IF(O176&gt;0,0,IF(OR(AD176&gt;AE176,AF176&lt;AG176),0,IF(AND(AF176&gt;=AG176,AF176&lt;=AE176),Q176*((AF176-AG176)*12),IF(AND(AG176&lt;=AD176,AE176&gt;=AD176),((AE176-AD176)*12)*Q176,IF(AF176&gt;AE176,12*Q176,0)))))</f>
        <v>0</v>
      </c>
      <c r="T176" s="7">
        <f>IF(S176&gt;0,S176,R176)</f>
        <v>0</v>
      </c>
      <c r="U176" s="7">
        <v>1</v>
      </c>
      <c r="V176" s="7">
        <f>U176*SUM(R176:S176)</f>
        <v>0</v>
      </c>
      <c r="W176" s="7"/>
      <c r="X176" s="7">
        <f t="shared" si="432"/>
        <v>10080</v>
      </c>
      <c r="Y176" s="7">
        <f t="shared" si="433"/>
        <v>10080</v>
      </c>
      <c r="Z176" s="7">
        <v>1</v>
      </c>
      <c r="AA176" s="7">
        <f>Y176*Z176</f>
        <v>10080</v>
      </c>
      <c r="AB176" s="7">
        <f>IF(O176&gt;0,0,AA176+V176*Z176)*Z176</f>
        <v>10080</v>
      </c>
      <c r="AC176" s="7">
        <f>IF(O176&gt;0,(N176-AA176)/2,IF(AD176&gt;=AG176,(((N176*U176)*Z176)-AB176)/2,((((N176*U176)*Z176)-AA176)+(((N176*U176)*Z176)-AB176))/2))</f>
        <v>0</v>
      </c>
      <c r="AD176" s="7">
        <f>$E176+(($F176-1)/12)</f>
        <v>2000.4166666666667</v>
      </c>
      <c r="AE176" s="7">
        <f>($P$5+1)-($P$2/12)</f>
        <v>2018</v>
      </c>
      <c r="AF176" s="7">
        <f>$K176+(($F176-1)/12)</f>
        <v>2010.4166666666667</v>
      </c>
      <c r="AG176" s="7">
        <f>$P$4+($P$3/12)</f>
        <v>2017</v>
      </c>
      <c r="AH176" s="7">
        <f>$L176+(($M176-1)/12)</f>
        <v>-8.3333333333333329E-2</v>
      </c>
      <c r="AJ176" s="144">
        <f t="shared" si="412"/>
        <v>0</v>
      </c>
      <c r="AL176" s="144">
        <f t="shared" si="413"/>
        <v>0</v>
      </c>
      <c r="AN176" s="144">
        <f t="shared" si="414"/>
        <v>0</v>
      </c>
      <c r="AP176" s="144">
        <f t="shared" si="415"/>
        <v>0</v>
      </c>
      <c r="AR176" s="144">
        <f t="shared" si="416"/>
        <v>0</v>
      </c>
    </row>
    <row r="177" spans="3:44">
      <c r="D177" s="39" t="s">
        <v>16</v>
      </c>
      <c r="E177" s="3">
        <v>2000</v>
      </c>
      <c r="F177" s="4">
        <v>9</v>
      </c>
      <c r="G177" s="30">
        <v>0</v>
      </c>
      <c r="H177" s="7"/>
      <c r="I177" s="14" t="s">
        <v>86</v>
      </c>
      <c r="J177" s="5">
        <v>10</v>
      </c>
      <c r="K177" s="13">
        <f>E177+J177</f>
        <v>2010</v>
      </c>
      <c r="N177" s="48">
        <v>25912</v>
      </c>
      <c r="P177" s="7">
        <f>N177-N177*G177</f>
        <v>25912</v>
      </c>
      <c r="Q177" s="7">
        <f>P177/J177/12</f>
        <v>215.93333333333331</v>
      </c>
      <c r="R177" s="7">
        <f>IF(O177&gt;0,0,IF(OR(AD177&gt;AE177,AF177&lt;AG177),0,IF(AND(AF177&gt;=AG177,AF177&lt;=AE177),Q177*((AF177-AG177)*12),IF(AND(AG177&lt;=AD177,AE177&gt;=AD177),((AE177-AD177)*12)*Q177,IF(AF177&gt;AE177,12*Q177,0)))))</f>
        <v>0</v>
      </c>
      <c r="T177" s="7">
        <f>IF(S177&gt;0,S177,R177)</f>
        <v>0</v>
      </c>
      <c r="U177" s="7">
        <v>1</v>
      </c>
      <c r="V177" s="7">
        <f>U177*SUM(R177:S177)</f>
        <v>0</v>
      </c>
      <c r="W177" s="7"/>
      <c r="X177" s="7">
        <f t="shared" si="432"/>
        <v>25912</v>
      </c>
      <c r="Y177" s="7">
        <f t="shared" si="433"/>
        <v>25912</v>
      </c>
      <c r="Z177" s="7">
        <v>1</v>
      </c>
      <c r="AA177" s="7">
        <f>Y177*Z177</f>
        <v>25912</v>
      </c>
      <c r="AB177" s="7">
        <f>IF(O177&gt;0,0,AA177+V177*Z177)*Z177</f>
        <v>25912</v>
      </c>
      <c r="AC177" s="7">
        <f>IF(O177&gt;0,(N177-AA177)/2,IF(AD177&gt;=AG177,(((N177*U177)*Z177)-AB177)/2,((((N177*U177)*Z177)-AA177)+(((N177*U177)*Z177)-AB177))/2))</f>
        <v>0</v>
      </c>
      <c r="AD177" s="7">
        <f>$E177+(($F177-1)/12)</f>
        <v>2000.6666666666667</v>
      </c>
      <c r="AE177" s="7">
        <f>($P$5+1)-($P$2/12)</f>
        <v>2018</v>
      </c>
      <c r="AF177" s="7">
        <f>$K177+(($F177-1)/12)</f>
        <v>2010.6666666666667</v>
      </c>
      <c r="AG177" s="7">
        <f>$P$4+($P$3/12)</f>
        <v>2017</v>
      </c>
      <c r="AH177" s="7">
        <f>$L177+(($M177-1)/12)</f>
        <v>-8.3333333333333329E-2</v>
      </c>
      <c r="AJ177" s="144">
        <f t="shared" si="412"/>
        <v>0</v>
      </c>
      <c r="AL177" s="144">
        <f t="shared" si="413"/>
        <v>0</v>
      </c>
      <c r="AN177" s="144">
        <f t="shared" si="414"/>
        <v>0</v>
      </c>
      <c r="AP177" s="144">
        <f t="shared" si="415"/>
        <v>0</v>
      </c>
      <c r="AR177" s="144">
        <f t="shared" si="416"/>
        <v>0</v>
      </c>
    </row>
    <row r="178" spans="3:44">
      <c r="D178" s="39" t="s">
        <v>16</v>
      </c>
      <c r="E178" s="3">
        <v>2000</v>
      </c>
      <c r="F178" s="4">
        <v>10</v>
      </c>
      <c r="G178" s="30">
        <v>0</v>
      </c>
      <c r="H178" s="7"/>
      <c r="I178" s="14" t="s">
        <v>86</v>
      </c>
      <c r="J178" s="5">
        <v>10</v>
      </c>
      <c r="K178" s="13">
        <f>E178+J178</f>
        <v>2010</v>
      </c>
      <c r="N178" s="48">
        <v>25912</v>
      </c>
      <c r="P178" s="7">
        <f>N178-N178*G178</f>
        <v>25912</v>
      </c>
      <c r="Q178" s="7">
        <f>P178/J178/12</f>
        <v>215.93333333333331</v>
      </c>
      <c r="R178" s="7">
        <f>IF(O178&gt;0,0,IF(OR(AD178&gt;AE178,AF178&lt;AG178),0,IF(AND(AF178&gt;=AG178,AF178&lt;=AE178),Q178*((AF178-AG178)*12),IF(AND(AG178&lt;=AD178,AE178&gt;=AD178),((AE178-AD178)*12)*Q178,IF(AF178&gt;AE178,12*Q178,0)))))</f>
        <v>0</v>
      </c>
      <c r="T178" s="7">
        <f>IF(S178&gt;0,S178,R178)</f>
        <v>0</v>
      </c>
      <c r="U178" s="7">
        <v>1</v>
      </c>
      <c r="V178" s="7">
        <f>U178*SUM(R178:S178)</f>
        <v>0</v>
      </c>
      <c r="W178" s="7"/>
      <c r="X178" s="7">
        <f t="shared" si="432"/>
        <v>25912</v>
      </c>
      <c r="Y178" s="7">
        <f t="shared" si="433"/>
        <v>25912</v>
      </c>
      <c r="Z178" s="7">
        <v>1</v>
      </c>
      <c r="AA178" s="7">
        <f>Y178*Z178</f>
        <v>25912</v>
      </c>
      <c r="AB178" s="7">
        <f>IF(O178&gt;0,0,AA178+V178*Z178)*Z178</f>
        <v>25912</v>
      </c>
      <c r="AC178" s="7">
        <f>IF(O178&gt;0,(N178-AA178)/2,IF(AD178&gt;=AG178,(((N178*U178)*Z178)-AB178)/2,((((N178*U178)*Z178)-AA178)+(((N178*U178)*Z178)-AB178))/2))</f>
        <v>0</v>
      </c>
      <c r="AD178" s="7">
        <f>$E178+(($F178-1)/12)</f>
        <v>2000.75</v>
      </c>
      <c r="AE178" s="7">
        <f>($P$5+1)-($P$2/12)</f>
        <v>2018</v>
      </c>
      <c r="AF178" s="7">
        <f>$K178+(($F178-1)/12)</f>
        <v>2010.75</v>
      </c>
      <c r="AG178" s="7">
        <f>$P$4+($P$3/12)</f>
        <v>2017</v>
      </c>
      <c r="AH178" s="7">
        <f>$L178+(($M178-1)/12)</f>
        <v>-8.3333333333333329E-2</v>
      </c>
      <c r="AJ178" s="144">
        <f t="shared" si="412"/>
        <v>0</v>
      </c>
      <c r="AL178" s="144">
        <f t="shared" si="413"/>
        <v>0</v>
      </c>
      <c r="AN178" s="144">
        <f t="shared" si="414"/>
        <v>0</v>
      </c>
      <c r="AP178" s="144">
        <f t="shared" si="415"/>
        <v>0</v>
      </c>
      <c r="AR178" s="144">
        <f t="shared" si="416"/>
        <v>0</v>
      </c>
    </row>
    <row r="179" spans="3:44">
      <c r="D179" s="39"/>
      <c r="G179" s="30"/>
      <c r="H179" s="7"/>
      <c r="I179" s="14"/>
      <c r="K179" s="13"/>
      <c r="N179" s="48"/>
      <c r="P179" s="7"/>
      <c r="Q179" s="7"/>
      <c r="R179" s="7"/>
      <c r="T179" s="7"/>
      <c r="U179" s="7"/>
      <c r="V179" s="7"/>
      <c r="W179" s="7"/>
      <c r="X179" s="7">
        <f t="shared" si="432"/>
        <v>0</v>
      </c>
      <c r="Y179" s="7">
        <f t="shared" si="433"/>
        <v>0</v>
      </c>
      <c r="Z179" s="7">
        <v>1</v>
      </c>
      <c r="AA179" s="7"/>
      <c r="AB179" s="7"/>
      <c r="AC179" s="7"/>
      <c r="AD179" s="7"/>
      <c r="AE179" s="7"/>
      <c r="AF179" s="7"/>
      <c r="AG179" s="7"/>
      <c r="AH179" s="7"/>
      <c r="AJ179" s="144">
        <f t="shared" si="412"/>
        <v>0</v>
      </c>
      <c r="AL179" s="144">
        <f t="shared" si="413"/>
        <v>0</v>
      </c>
      <c r="AN179" s="144">
        <f t="shared" si="414"/>
        <v>0</v>
      </c>
      <c r="AP179" s="144">
        <f t="shared" si="415"/>
        <v>0</v>
      </c>
      <c r="AR179" s="144">
        <f t="shared" si="416"/>
        <v>0</v>
      </c>
    </row>
    <row r="180" spans="3:44">
      <c r="C180" s="1">
        <v>15</v>
      </c>
      <c r="D180" s="29" t="s">
        <v>151</v>
      </c>
      <c r="E180" s="3">
        <v>2002</v>
      </c>
      <c r="F180" s="4">
        <v>12</v>
      </c>
      <c r="G180" s="30">
        <v>0</v>
      </c>
      <c r="H180" s="7"/>
      <c r="I180" s="14" t="s">
        <v>86</v>
      </c>
      <c r="J180" s="5">
        <v>5</v>
      </c>
      <c r="K180" s="13">
        <f>E180+J180</f>
        <v>2007</v>
      </c>
      <c r="N180" s="48">
        <v>849</v>
      </c>
      <c r="P180" s="7">
        <f t="shared" ref="P180:P191" si="434">N180-N180*G180</f>
        <v>849</v>
      </c>
      <c r="Q180" s="7">
        <f>P180/J180/12</f>
        <v>14.15</v>
      </c>
      <c r="R180" s="7">
        <f>IF(O180&gt;0,0,IF(OR(AD180&gt;AE180,AF180&lt;AG180),0,IF(AND(AF180&gt;=AG180,AF180&lt;=AE180),Q180*((AF180-AG180)*12),IF(AND(AG180&lt;=AD180,AE180&gt;=AD180),((AE180-AD180)*12)*Q180,IF(AF180&gt;AE180,12*Q180,0)))))</f>
        <v>0</v>
      </c>
      <c r="T180" s="7">
        <f>IF(S180&gt;0,S180,R180)</f>
        <v>0</v>
      </c>
      <c r="U180" s="7">
        <v>1</v>
      </c>
      <c r="V180" s="7">
        <f>U180*SUM(R180:S180)</f>
        <v>0</v>
      </c>
      <c r="W180" s="7"/>
      <c r="X180" s="7">
        <f t="shared" si="432"/>
        <v>849</v>
      </c>
      <c r="Y180" s="7">
        <f t="shared" si="433"/>
        <v>849</v>
      </c>
      <c r="Z180" s="7">
        <v>1</v>
      </c>
      <c r="AA180" s="7">
        <f>Y180*Z180</f>
        <v>849</v>
      </c>
      <c r="AB180" s="7">
        <f>IF(O180&gt;0,0,AA180+V180*Z180)*Z180</f>
        <v>849</v>
      </c>
      <c r="AC180" s="7">
        <f>IF(O180&gt;0,(N180-AA180)/2,IF(AD180&gt;=AG180,(((N180*U180)*Z180)-AB180)/2,((((N180*U180)*Z180)-AA180)+(((N180*U180)*Z180)-AB180))/2))</f>
        <v>0</v>
      </c>
      <c r="AD180" s="7">
        <f>$E180+(($F180-1)/12)</f>
        <v>2002.9166666666667</v>
      </c>
      <c r="AE180" s="7">
        <f>($P$5+1)-($P$2/12)</f>
        <v>2018</v>
      </c>
      <c r="AF180" s="7">
        <f t="shared" ref="AF180:AF191" si="435">$K180+(($F180-1)/12)</f>
        <v>2007.9166666666667</v>
      </c>
      <c r="AG180" s="7">
        <f t="shared" ref="AG180:AG521" si="436">$P$4+($P$3/12)</f>
        <v>2017</v>
      </c>
      <c r="AH180" s="7">
        <f t="shared" ref="AH180:AH191" si="437">$L180+(($M180-1)/12)</f>
        <v>-8.3333333333333329E-2</v>
      </c>
      <c r="AJ180" s="144">
        <f t="shared" si="412"/>
        <v>0</v>
      </c>
      <c r="AL180" s="144">
        <f t="shared" si="413"/>
        <v>0</v>
      </c>
      <c r="AN180" s="144">
        <f t="shared" si="414"/>
        <v>0</v>
      </c>
      <c r="AP180" s="144">
        <f t="shared" si="415"/>
        <v>0</v>
      </c>
      <c r="AR180" s="144">
        <f t="shared" si="416"/>
        <v>0</v>
      </c>
    </row>
    <row r="181" spans="3:44">
      <c r="D181" s="29" t="s">
        <v>152</v>
      </c>
      <c r="E181" s="3">
        <v>2002</v>
      </c>
      <c r="F181" s="4">
        <v>12</v>
      </c>
      <c r="G181" s="30">
        <v>0</v>
      </c>
      <c r="H181" s="7"/>
      <c r="I181" s="14" t="s">
        <v>86</v>
      </c>
      <c r="J181" s="5">
        <v>5</v>
      </c>
      <c r="K181" s="13">
        <f>E181+J181</f>
        <v>2007</v>
      </c>
      <c r="N181" s="48">
        <f>1019+212+1420+3134</f>
        <v>5785</v>
      </c>
      <c r="P181" s="7">
        <f t="shared" si="434"/>
        <v>5785</v>
      </c>
      <c r="Q181" s="7">
        <f>P181/J181/12</f>
        <v>96.416666666666671</v>
      </c>
      <c r="R181" s="7">
        <f>IF(O181&gt;0,0,IF(OR(AD181&gt;AE181,AF181&lt;AG181),0,IF(AND(AF181&gt;=AG181,AF181&lt;=AE181),Q181*((AF181-AG181)*12),IF(AND(AG181&lt;=AD181,AE181&gt;=AD181),((AE181-AD181)*12)*Q181,IF(AF181&gt;AE181,12*Q181,0)))))</f>
        <v>0</v>
      </c>
      <c r="T181" s="7">
        <f>IF(S181&gt;0,S181,R181)</f>
        <v>0</v>
      </c>
      <c r="U181" s="7">
        <v>1</v>
      </c>
      <c r="V181" s="7">
        <f>U181*SUM(R181:S181)</f>
        <v>0</v>
      </c>
      <c r="W181" s="7"/>
      <c r="X181" s="7">
        <f t="shared" si="432"/>
        <v>5785</v>
      </c>
      <c r="Y181" s="7">
        <f t="shared" si="433"/>
        <v>5785</v>
      </c>
      <c r="Z181" s="7">
        <v>1</v>
      </c>
      <c r="AA181" s="7">
        <f>Y181*Z181</f>
        <v>5785</v>
      </c>
      <c r="AB181" s="7">
        <f>IF(O181&gt;0,0,AA181+V181*Z181)*Z181</f>
        <v>5785</v>
      </c>
      <c r="AC181" s="7">
        <f>IF(O181&gt;0,(N181-AA181)/2,IF(AD181&gt;=AG181,(((N181*U181)*Z181)-AB181)/2,((((N181*U181)*Z181)-AA181)+(((N181*U181)*Z181)-AB181))/2))</f>
        <v>0</v>
      </c>
      <c r="AD181" s="7">
        <f>$E181+(($F181-1)/12)</f>
        <v>2002.9166666666667</v>
      </c>
      <c r="AE181" s="7">
        <f>($P$5+1)-($P$2/12)</f>
        <v>2018</v>
      </c>
      <c r="AF181" s="7">
        <f t="shared" si="435"/>
        <v>2007.9166666666667</v>
      </c>
      <c r="AG181" s="7">
        <f t="shared" si="436"/>
        <v>2017</v>
      </c>
      <c r="AH181" s="7">
        <f t="shared" si="437"/>
        <v>-8.3333333333333329E-2</v>
      </c>
      <c r="AJ181" s="144">
        <f t="shared" si="412"/>
        <v>0</v>
      </c>
      <c r="AL181" s="144">
        <f t="shared" si="413"/>
        <v>0</v>
      </c>
      <c r="AN181" s="144">
        <f t="shared" si="414"/>
        <v>0</v>
      </c>
      <c r="AP181" s="144">
        <f t="shared" si="415"/>
        <v>0</v>
      </c>
      <c r="AR181" s="144">
        <f t="shared" si="416"/>
        <v>0</v>
      </c>
    </row>
    <row r="182" spans="3:44">
      <c r="D182" s="39"/>
      <c r="G182" s="30"/>
      <c r="H182" s="7"/>
      <c r="I182" s="14"/>
      <c r="K182" s="13"/>
      <c r="N182" s="48"/>
      <c r="P182" s="7">
        <f t="shared" si="434"/>
        <v>0</v>
      </c>
      <c r="Q182" s="7"/>
      <c r="R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>
        <f t="shared" si="435"/>
        <v>-8.3333333333333329E-2</v>
      </c>
      <c r="AG182" s="7">
        <f t="shared" si="436"/>
        <v>2017</v>
      </c>
      <c r="AH182" s="7">
        <f t="shared" si="437"/>
        <v>-8.3333333333333329E-2</v>
      </c>
      <c r="AJ182" s="144">
        <f t="shared" si="412"/>
        <v>0</v>
      </c>
      <c r="AL182" s="144">
        <f t="shared" si="413"/>
        <v>0</v>
      </c>
      <c r="AN182" s="144">
        <f t="shared" si="414"/>
        <v>0</v>
      </c>
      <c r="AP182" s="144">
        <f t="shared" si="415"/>
        <v>0</v>
      </c>
      <c r="AR182" s="144">
        <f t="shared" si="416"/>
        <v>0</v>
      </c>
    </row>
    <row r="183" spans="3:44">
      <c r="D183" s="29" t="s">
        <v>153</v>
      </c>
      <c r="E183" s="3">
        <v>2003</v>
      </c>
      <c r="F183" s="4">
        <v>12</v>
      </c>
      <c r="G183" s="30">
        <v>0</v>
      </c>
      <c r="H183" s="7"/>
      <c r="I183" s="14" t="s">
        <v>86</v>
      </c>
      <c r="J183" s="5">
        <v>10</v>
      </c>
      <c r="K183" s="13">
        <f>E183+J183</f>
        <v>2013</v>
      </c>
      <c r="N183" s="48">
        <v>649</v>
      </c>
      <c r="P183" s="7">
        <f t="shared" si="434"/>
        <v>649</v>
      </c>
      <c r="Q183" s="7">
        <f>P183/J183/12</f>
        <v>5.4083333333333341</v>
      </c>
      <c r="R183" s="7">
        <f>IF(O183&gt;0,0,IF(OR(AD183&gt;AE183,AF183&lt;AG183),0,IF(AND(AF183&gt;=AG183,AF183&lt;=AE183),Q183*((AF183-AG183)*12),IF(AND(AG183&lt;=AD183,AE183&gt;=AD183),((AE183-AD183)*12)*Q183,IF(AF183&gt;AE183,12*Q183,0)))))</f>
        <v>0</v>
      </c>
      <c r="T183" s="7">
        <f>IF(S183&gt;0,S183,R183)</f>
        <v>0</v>
      </c>
      <c r="U183" s="7">
        <v>1</v>
      </c>
      <c r="V183" s="7">
        <f>U183*SUM(R183:S183)</f>
        <v>0</v>
      </c>
      <c r="W183" s="7"/>
      <c r="X183" s="7">
        <f>IF(AD183&gt;AE183,0,IF(AF183&lt;AG183,P183,IF(AND(AF183&gt;=AG183,AF183&lt;=AE183),(P183-T183),IF(AND(AG183&lt;=AD183,AE183&gt;=AD183),0,IF(AF183&gt;AE183,((AG183-AD183)*12)*Q183,0)))))</f>
        <v>649</v>
      </c>
      <c r="Y183" s="7">
        <f>X183*U183</f>
        <v>649</v>
      </c>
      <c r="Z183" s="7">
        <v>1</v>
      </c>
      <c r="AA183" s="7">
        <f>Y183*Z183</f>
        <v>649</v>
      </c>
      <c r="AB183" s="7">
        <f>IF(O183&gt;0,0,AA183+V183*Z183)*Z183</f>
        <v>649</v>
      </c>
      <c r="AC183" s="7">
        <f>IF(O183&gt;0,(N183-AA183)/2,IF(AD183&gt;=AG183,(((N183*U183)*Z183)-AB183)/2,((((N183*U183)*Z183)-AA183)+(((N183*U183)*Z183)-AB183))/2))</f>
        <v>0</v>
      </c>
      <c r="AD183" s="7">
        <f>$E183+(($F183-1)/12)</f>
        <v>2003.9166666666667</v>
      </c>
      <c r="AE183" s="7">
        <f>($P$5+1)-($P$2/12)</f>
        <v>2018</v>
      </c>
      <c r="AF183" s="7">
        <f t="shared" si="435"/>
        <v>2013.9166666666667</v>
      </c>
      <c r="AG183" s="7">
        <f t="shared" si="436"/>
        <v>2017</v>
      </c>
      <c r="AH183" s="7">
        <f t="shared" si="437"/>
        <v>-8.3333333333333329E-2</v>
      </c>
      <c r="AJ183" s="144">
        <f t="shared" si="412"/>
        <v>0</v>
      </c>
      <c r="AL183" s="144">
        <f t="shared" si="413"/>
        <v>0</v>
      </c>
      <c r="AN183" s="144">
        <f t="shared" si="414"/>
        <v>0</v>
      </c>
      <c r="AP183" s="144">
        <f t="shared" si="415"/>
        <v>0</v>
      </c>
      <c r="AR183" s="144">
        <f t="shared" si="416"/>
        <v>0</v>
      </c>
    </row>
    <row r="184" spans="3:44">
      <c r="C184" s="1">
        <v>30</v>
      </c>
      <c r="D184" s="29" t="s">
        <v>154</v>
      </c>
      <c r="E184" s="3">
        <v>2003</v>
      </c>
      <c r="F184" s="4">
        <v>12</v>
      </c>
      <c r="G184" s="30">
        <v>0</v>
      </c>
      <c r="H184" s="7"/>
      <c r="I184" s="14" t="s">
        <v>86</v>
      </c>
      <c r="J184" s="5">
        <v>10</v>
      </c>
      <c r="K184" s="13">
        <f>E184+J184</f>
        <v>2013</v>
      </c>
      <c r="N184" s="48">
        <v>10240</v>
      </c>
      <c r="P184" s="7">
        <f t="shared" si="434"/>
        <v>10240</v>
      </c>
      <c r="Q184" s="7">
        <f>P184/J184/12</f>
        <v>85.333333333333329</v>
      </c>
      <c r="R184" s="7">
        <f>IF(O184&gt;0,0,IF(OR(AD184&gt;AE184,AF184&lt;AG184),0,IF(AND(AF184&gt;=AG184,AF184&lt;=AE184),Q184*((AF184-AG184)*12),IF(AND(AG184&lt;=AD184,AE184&gt;=AD184),((AE184-AD184)*12)*Q184,IF(AF184&gt;AE184,12*Q184,0)))))</f>
        <v>0</v>
      </c>
      <c r="T184" s="7">
        <f>IF(S184&gt;0,S184,R184)</f>
        <v>0</v>
      </c>
      <c r="U184" s="7">
        <v>1</v>
      </c>
      <c r="V184" s="7">
        <f>U184*SUM(R184:S184)</f>
        <v>0</v>
      </c>
      <c r="W184" s="7"/>
      <c r="X184" s="7">
        <f>IF(AD184&gt;AE184,0,IF(AF184&lt;AG184,P184,IF(AND(AF184&gt;=AG184,AF184&lt;=AE184),(P184-T184),IF(AND(AG184&lt;=AD184,AE184&gt;=AD184),0,IF(AF184&gt;AE184,((AG184-AD184)*12)*Q184,0)))))</f>
        <v>10240</v>
      </c>
      <c r="Y184" s="7">
        <f>X184*U184</f>
        <v>10240</v>
      </c>
      <c r="Z184" s="7">
        <v>1</v>
      </c>
      <c r="AA184" s="7">
        <f>Y184*Z184</f>
        <v>10240</v>
      </c>
      <c r="AB184" s="7">
        <f>IF(O184&gt;0,0,AA184+V184*Z184)*Z184</f>
        <v>10240</v>
      </c>
      <c r="AC184" s="7">
        <f>IF(O184&gt;0,(N184-AA184)/2,IF(AD184&gt;=AG184,(((N184*U184)*Z184)-AB184)/2,((((N184*U184)*Z184)-AA184)+(((N184*U184)*Z184)-AB184))/2))</f>
        <v>0</v>
      </c>
      <c r="AD184" s="7">
        <f>$E184+(($F184-1)/12)</f>
        <v>2003.9166666666667</v>
      </c>
      <c r="AE184" s="7">
        <f>($P$5+1)-($P$2/12)</f>
        <v>2018</v>
      </c>
      <c r="AF184" s="7">
        <f t="shared" si="435"/>
        <v>2013.9166666666667</v>
      </c>
      <c r="AG184" s="7">
        <f t="shared" si="436"/>
        <v>2017</v>
      </c>
      <c r="AH184" s="7">
        <f t="shared" si="437"/>
        <v>-8.3333333333333329E-2</v>
      </c>
      <c r="AJ184" s="144">
        <f t="shared" si="412"/>
        <v>0</v>
      </c>
      <c r="AL184" s="144">
        <f t="shared" si="413"/>
        <v>0</v>
      </c>
      <c r="AN184" s="144">
        <f t="shared" si="414"/>
        <v>0</v>
      </c>
      <c r="AP184" s="144">
        <f t="shared" si="415"/>
        <v>0</v>
      </c>
      <c r="AR184" s="144">
        <f t="shared" si="416"/>
        <v>0</v>
      </c>
    </row>
    <row r="185" spans="3:44">
      <c r="C185" s="1">
        <v>17</v>
      </c>
      <c r="D185" s="29" t="s">
        <v>155</v>
      </c>
      <c r="E185" s="3">
        <v>2003</v>
      </c>
      <c r="F185" s="4">
        <v>12</v>
      </c>
      <c r="G185" s="30">
        <v>0</v>
      </c>
      <c r="H185" s="7"/>
      <c r="I185" s="14" t="s">
        <v>86</v>
      </c>
      <c r="J185" s="5">
        <v>10</v>
      </c>
      <c r="K185" s="13">
        <f>E185+J185</f>
        <v>2013</v>
      </c>
      <c r="N185" s="48">
        <v>5623</v>
      </c>
      <c r="P185" s="7">
        <f t="shared" si="434"/>
        <v>5623</v>
      </c>
      <c r="Q185" s="7">
        <f>P185/J185/12</f>
        <v>46.858333333333327</v>
      </c>
      <c r="R185" s="7">
        <f>IF(O185&gt;0,0,IF(OR(AD185&gt;AE185,AF185&lt;AG185),0,IF(AND(AF185&gt;=AG185,AF185&lt;=AE185),Q185*((AF185-AG185)*12),IF(AND(AG185&lt;=AD185,AE185&gt;=AD185),((AE185-AD185)*12)*Q185,IF(AF185&gt;AE185,12*Q185,0)))))</f>
        <v>0</v>
      </c>
      <c r="T185" s="7">
        <f>IF(S185&gt;0,S185,R185)</f>
        <v>0</v>
      </c>
      <c r="U185" s="7">
        <v>1</v>
      </c>
      <c r="V185" s="7">
        <f>U185*SUM(R185:S185)</f>
        <v>0</v>
      </c>
      <c r="W185" s="7"/>
      <c r="X185" s="7">
        <f>IF(AD185&gt;AE185,0,IF(AF185&lt;AG185,P185,IF(AND(AF185&gt;=AG185,AF185&lt;=AE185),(P185-T185),IF(AND(AG185&lt;=AD185,AE185&gt;=AD185),0,IF(AF185&gt;AE185,((AG185-AD185)*12)*Q185,0)))))</f>
        <v>5623</v>
      </c>
      <c r="Y185" s="7">
        <f>X185*U185</f>
        <v>5623</v>
      </c>
      <c r="Z185" s="7">
        <v>1</v>
      </c>
      <c r="AA185" s="7">
        <f>Y185*Z185</f>
        <v>5623</v>
      </c>
      <c r="AB185" s="7">
        <f>IF(O185&gt;0,0,AA185+V185*Z185)*Z185</f>
        <v>5623</v>
      </c>
      <c r="AC185" s="7">
        <f>IF(O185&gt;0,(N185-AA185)/2,IF(AD185&gt;=AG185,(((N185*U185)*Z185)-AB185)/2,((((N185*U185)*Z185)-AA185)+(((N185*U185)*Z185)-AB185))/2))</f>
        <v>0</v>
      </c>
      <c r="AD185" s="7">
        <f>$E185+(($F185-1)/12)</f>
        <v>2003.9166666666667</v>
      </c>
      <c r="AE185" s="7">
        <f>($P$5+1)-($P$2/12)</f>
        <v>2018</v>
      </c>
      <c r="AF185" s="7">
        <f t="shared" si="435"/>
        <v>2013.9166666666667</v>
      </c>
      <c r="AG185" s="7">
        <f t="shared" si="436"/>
        <v>2017</v>
      </c>
      <c r="AH185" s="7">
        <f t="shared" si="437"/>
        <v>-8.3333333333333329E-2</v>
      </c>
      <c r="AJ185" s="144">
        <f t="shared" ref="AJ185:AJ228" si="438">+IF((AF185-AG185)&gt;3,((N185-P185)/(AF185-AG185)),(N185-P185)/3)</f>
        <v>0</v>
      </c>
      <c r="AL185" s="144">
        <f t="shared" ref="AL185:AL228" si="439">+AJ185+R185</f>
        <v>0</v>
      </c>
      <c r="AN185" s="144">
        <f t="shared" ref="AN185:AN228" si="440">+IF(AF185&lt;AG185,-AC185,0)</f>
        <v>0</v>
      </c>
      <c r="AP185" s="144">
        <f t="shared" ref="AP185:AP228" si="441">+IF(AF185&gt;AG185,IF(AJ185&gt;0,IF(O185&gt;0,(N185-AA185)/2,IF(AD185&gt;=AG185,(((N185*U185)*Z185)-(AB185+AJ185))/2,((((N185*U185)*Z185)-AA185)+(((N185*U185)*Z185)-(AB185+AJ185)))/2)),0),0)</f>
        <v>0</v>
      </c>
      <c r="AR185" s="144">
        <f t="shared" ref="AR185:AR228" si="442">+AC185+AN185+(IF(AP185&gt;0,(AP185-AC185),0))</f>
        <v>0</v>
      </c>
    </row>
    <row r="186" spans="3:44">
      <c r="D186" s="29"/>
      <c r="G186" s="30"/>
      <c r="H186" s="7"/>
      <c r="I186" s="14"/>
      <c r="K186" s="13"/>
      <c r="N186" s="48"/>
      <c r="P186" s="7">
        <f t="shared" si="434"/>
        <v>0</v>
      </c>
      <c r="Q186" s="7"/>
      <c r="R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>
        <f t="shared" si="435"/>
        <v>-8.3333333333333329E-2</v>
      </c>
      <c r="AG186" s="7">
        <f t="shared" si="436"/>
        <v>2017</v>
      </c>
      <c r="AH186" s="7">
        <f t="shared" si="437"/>
        <v>-8.3333333333333329E-2</v>
      </c>
      <c r="AJ186" s="144">
        <f t="shared" si="438"/>
        <v>0</v>
      </c>
      <c r="AL186" s="144">
        <f t="shared" si="439"/>
        <v>0</v>
      </c>
      <c r="AN186" s="144">
        <f t="shared" si="440"/>
        <v>0</v>
      </c>
      <c r="AP186" s="144">
        <f t="shared" si="441"/>
        <v>0</v>
      </c>
      <c r="AR186" s="144">
        <f t="shared" si="442"/>
        <v>0</v>
      </c>
    </row>
    <row r="187" spans="3:44">
      <c r="C187" s="1">
        <v>30</v>
      </c>
      <c r="D187" s="29" t="s">
        <v>156</v>
      </c>
      <c r="E187" s="3">
        <v>2004</v>
      </c>
      <c r="F187" s="4">
        <v>5</v>
      </c>
      <c r="G187" s="30">
        <v>0</v>
      </c>
      <c r="H187" s="7"/>
      <c r="I187" s="14" t="s">
        <v>86</v>
      </c>
      <c r="J187" s="5">
        <v>7</v>
      </c>
      <c r="K187" s="13">
        <f>E187+J187</f>
        <v>2011</v>
      </c>
      <c r="N187" s="48">
        <v>4101</v>
      </c>
      <c r="P187" s="7">
        <f t="shared" si="434"/>
        <v>4101</v>
      </c>
      <c r="Q187" s="7">
        <f>P187/J187/12</f>
        <v>48.821428571428577</v>
      </c>
      <c r="R187" s="7">
        <f>IF(O187&gt;0,0,IF(OR(AD187&gt;AE187,AF187&lt;AG187),0,IF(AND(AF187&gt;=AG187,AF187&lt;=AE187),Q187*((AF187-AG187)*12),IF(AND(AG187&lt;=AD187,AE187&gt;=AD187),((AE187-AD187)*12)*Q187,IF(AF187&gt;AE187,12*Q187,0)))))</f>
        <v>0</v>
      </c>
      <c r="T187" s="7">
        <f t="shared" ref="T187:T194" si="443">IF(S187&gt;0,S187,R187)</f>
        <v>0</v>
      </c>
      <c r="U187" s="7">
        <v>1</v>
      </c>
      <c r="V187" s="7">
        <f>U187*SUM(R187:S187)</f>
        <v>0</v>
      </c>
      <c r="W187" s="7"/>
      <c r="X187" s="7">
        <f t="shared" ref="X187:X194" si="444">IF(AD187&gt;AE187,0,IF(AF187&lt;AG187,P187,IF(AND(AF187&gt;=AG187,AF187&lt;=AE187),(P187-T187),IF(AND(AG187&lt;=AD187,AE187&gt;=AD187),0,IF(AF187&gt;AE187,((AG187-AD187)*12)*Q187,0)))))</f>
        <v>4101</v>
      </c>
      <c r="Y187" s="7">
        <f t="shared" ref="Y187:Y194" si="445">X187*U187</f>
        <v>4101</v>
      </c>
      <c r="Z187" s="7">
        <v>1</v>
      </c>
      <c r="AA187" s="7">
        <f>Y187*Z187</f>
        <v>4101</v>
      </c>
      <c r="AB187" s="7">
        <f>IF(O187&gt;0,0,AA187+V187*Z187)*Z187</f>
        <v>4101</v>
      </c>
      <c r="AC187" s="7">
        <f>IF(O187&gt;0,(N187-AA187)/2,IF(AD187&gt;=AG187,(((N187*U187)*Z187)-AB187)/2,((((N187*U187)*Z187)-AA187)+(((N187*U187)*Z187)-AB187))/2))</f>
        <v>0</v>
      </c>
      <c r="AD187" s="7">
        <f>$E187+(($F187-1)/12)</f>
        <v>2004.3333333333333</v>
      </c>
      <c r="AE187" s="7">
        <f>($P$5+1)-($P$2/12)</f>
        <v>2018</v>
      </c>
      <c r="AF187" s="7">
        <f t="shared" si="435"/>
        <v>2011.3333333333333</v>
      </c>
      <c r="AG187" s="7">
        <f t="shared" si="436"/>
        <v>2017</v>
      </c>
      <c r="AH187" s="7">
        <f t="shared" si="437"/>
        <v>-8.3333333333333329E-2</v>
      </c>
      <c r="AJ187" s="144">
        <f t="shared" si="438"/>
        <v>0</v>
      </c>
      <c r="AL187" s="144">
        <f t="shared" si="439"/>
        <v>0</v>
      </c>
      <c r="AN187" s="144">
        <f t="shared" si="440"/>
        <v>0</v>
      </c>
      <c r="AP187" s="144">
        <f t="shared" si="441"/>
        <v>0</v>
      </c>
      <c r="AR187" s="144">
        <f t="shared" si="442"/>
        <v>0</v>
      </c>
    </row>
    <row r="188" spans="3:44">
      <c r="D188" s="29" t="s">
        <v>157</v>
      </c>
      <c r="E188" s="3">
        <v>2004</v>
      </c>
      <c r="F188" s="4">
        <v>5</v>
      </c>
      <c r="G188" s="30">
        <v>0</v>
      </c>
      <c r="H188" s="7"/>
      <c r="I188" s="14" t="s">
        <v>86</v>
      </c>
      <c r="J188" s="5">
        <v>7</v>
      </c>
      <c r="K188" s="13">
        <f>E188+J188</f>
        <v>2011</v>
      </c>
      <c r="N188" s="48">
        <f>3851+662</f>
        <v>4513</v>
      </c>
      <c r="P188" s="7">
        <f t="shared" si="434"/>
        <v>4513</v>
      </c>
      <c r="Q188" s="7">
        <f>P188/J188/12</f>
        <v>53.726190476190474</v>
      </c>
      <c r="R188" s="7">
        <f>IF(O188&gt;0,0,IF(OR(AD188&gt;AE188,AF188&lt;AG188),0,IF(AND(AF188&gt;=AG188,AF188&lt;=AE188),Q188*((AF188-AG188)*12),IF(AND(AG188&lt;=AD188,AE188&gt;=AD188),((AE188-AD188)*12)*Q188,IF(AF188&gt;AE188,12*Q188,0)))))</f>
        <v>0</v>
      </c>
      <c r="T188" s="7">
        <f t="shared" si="443"/>
        <v>0</v>
      </c>
      <c r="U188" s="7">
        <v>1</v>
      </c>
      <c r="V188" s="7">
        <f>U188*SUM(R188:S188)</f>
        <v>0</v>
      </c>
      <c r="W188" s="7"/>
      <c r="X188" s="7">
        <f t="shared" si="444"/>
        <v>4513</v>
      </c>
      <c r="Y188" s="7">
        <f t="shared" si="445"/>
        <v>4513</v>
      </c>
      <c r="Z188" s="7">
        <v>1</v>
      </c>
      <c r="AA188" s="7">
        <f>Y188*Z188</f>
        <v>4513</v>
      </c>
      <c r="AB188" s="7">
        <f>IF(O188&gt;0,0,AA188+V188*Z188)*Z188</f>
        <v>4513</v>
      </c>
      <c r="AC188" s="7">
        <f>IF(O188&gt;0,(N188-AA188)/2,IF(AD188&gt;=AG188,(((N188*U188)*Z188)-AB188)/2,((((N188*U188)*Z188)-AA188)+(((N188*U188)*Z188)-AB188))/2))</f>
        <v>0</v>
      </c>
      <c r="AD188" s="7">
        <f>$E188+(($F188-1)/12)</f>
        <v>2004.3333333333333</v>
      </c>
      <c r="AE188" s="7">
        <f>($P$5+1)-($P$2/12)</f>
        <v>2018</v>
      </c>
      <c r="AF188" s="7">
        <f t="shared" si="435"/>
        <v>2011.3333333333333</v>
      </c>
      <c r="AG188" s="7">
        <f t="shared" si="436"/>
        <v>2017</v>
      </c>
      <c r="AH188" s="7">
        <f t="shared" si="437"/>
        <v>-8.3333333333333329E-2</v>
      </c>
      <c r="AJ188" s="144">
        <f t="shared" si="438"/>
        <v>0</v>
      </c>
      <c r="AL188" s="144">
        <f t="shared" si="439"/>
        <v>0</v>
      </c>
      <c r="AN188" s="144">
        <f t="shared" si="440"/>
        <v>0</v>
      </c>
      <c r="AP188" s="144">
        <f t="shared" si="441"/>
        <v>0</v>
      </c>
      <c r="AR188" s="144">
        <f t="shared" si="442"/>
        <v>0</v>
      </c>
    </row>
    <row r="189" spans="3:44">
      <c r="C189" s="1">
        <v>18</v>
      </c>
      <c r="D189" s="29" t="s">
        <v>158</v>
      </c>
      <c r="E189" s="3">
        <v>2004</v>
      </c>
      <c r="F189" s="4">
        <v>6</v>
      </c>
      <c r="G189" s="30">
        <v>0</v>
      </c>
      <c r="H189" s="7"/>
      <c r="I189" s="14" t="s">
        <v>86</v>
      </c>
      <c r="J189" s="5">
        <v>10</v>
      </c>
      <c r="K189" s="13">
        <f>E189+J189</f>
        <v>2014</v>
      </c>
      <c r="N189" s="48">
        <v>7272</v>
      </c>
      <c r="P189" s="7">
        <f t="shared" si="434"/>
        <v>7272</v>
      </c>
      <c r="Q189" s="7">
        <f>P189/J189/12</f>
        <v>60.6</v>
      </c>
      <c r="R189" s="7">
        <f>IF(O189&gt;0,0,IF(OR(AD189&gt;AE189,AF189&lt;AG189),0,IF(AND(AF189&gt;=AG189,AF189&lt;=AE189),Q189*((AF189-AG189)*12),IF(AND(AG189&lt;=AD189,AE189&gt;=AD189),((AE189-AD189)*12)*Q189,IF(AF189&gt;AE189,12*Q189,0)))))</f>
        <v>0</v>
      </c>
      <c r="T189" s="7">
        <f t="shared" si="443"/>
        <v>0</v>
      </c>
      <c r="U189" s="7">
        <v>1</v>
      </c>
      <c r="V189" s="7">
        <f>U189*SUM(R189:S189)</f>
        <v>0</v>
      </c>
      <c r="W189" s="7"/>
      <c r="X189" s="7">
        <f t="shared" si="444"/>
        <v>7272</v>
      </c>
      <c r="Y189" s="7">
        <f t="shared" si="445"/>
        <v>7272</v>
      </c>
      <c r="Z189" s="7">
        <v>1</v>
      </c>
      <c r="AA189" s="7">
        <f>Y189*Z189</f>
        <v>7272</v>
      </c>
      <c r="AB189" s="7">
        <f>IF(O189&gt;0,0,AA189+V189*Z189)*Z189</f>
        <v>7272</v>
      </c>
      <c r="AC189" s="7">
        <f>IF(O189&gt;0,(N189-AA189)/2,IF(AD189&gt;=AG189,(((N189*U189)*Z189)-AB189)/2,((((N189*U189)*Z189)-AA189)+(((N189*U189)*Z189)-AB189))/2))</f>
        <v>0</v>
      </c>
      <c r="AD189" s="7">
        <f>$E189+(($F189-1)/12)</f>
        <v>2004.4166666666667</v>
      </c>
      <c r="AE189" s="7">
        <f>($P$5+1)-($P$2/12)</f>
        <v>2018</v>
      </c>
      <c r="AF189" s="7">
        <f t="shared" si="435"/>
        <v>2014.4166666666667</v>
      </c>
      <c r="AG189" s="7">
        <f t="shared" si="436"/>
        <v>2017</v>
      </c>
      <c r="AH189" s="7">
        <f t="shared" si="437"/>
        <v>-8.3333333333333329E-2</v>
      </c>
      <c r="AJ189" s="144">
        <f t="shared" si="438"/>
        <v>0</v>
      </c>
      <c r="AL189" s="144">
        <f t="shared" si="439"/>
        <v>0</v>
      </c>
      <c r="AN189" s="144">
        <f t="shared" si="440"/>
        <v>0</v>
      </c>
      <c r="AP189" s="144">
        <f t="shared" si="441"/>
        <v>0</v>
      </c>
      <c r="AR189" s="144">
        <f t="shared" si="442"/>
        <v>0</v>
      </c>
    </row>
    <row r="190" spans="3:44">
      <c r="C190" s="1">
        <v>5</v>
      </c>
      <c r="D190" s="29" t="s">
        <v>159</v>
      </c>
      <c r="E190" s="3">
        <v>2004</v>
      </c>
      <c r="F190" s="4">
        <v>6</v>
      </c>
      <c r="G190" s="30">
        <v>0</v>
      </c>
      <c r="H190" s="7"/>
      <c r="I190" s="14" t="s">
        <v>86</v>
      </c>
      <c r="J190" s="5">
        <v>10</v>
      </c>
      <c r="K190" s="13">
        <f>E190+J190</f>
        <v>2014</v>
      </c>
      <c r="N190" s="48">
        <v>1875</v>
      </c>
      <c r="P190" s="7">
        <f t="shared" si="434"/>
        <v>1875</v>
      </c>
      <c r="Q190" s="7">
        <f>P190/J190/12</f>
        <v>15.625</v>
      </c>
      <c r="R190" s="7">
        <f>IF(O190&gt;0,0,IF(OR(AD190&gt;AE190,AF190&lt;AG190),0,IF(AND(AF190&gt;=AG190,AF190&lt;=AE190),Q190*((AF190-AG190)*12),IF(AND(AG190&lt;=AD190,AE190&gt;=AD190),((AE190-AD190)*12)*Q190,IF(AF190&gt;AE190,12*Q190,0)))))</f>
        <v>0</v>
      </c>
      <c r="T190" s="7">
        <f t="shared" si="443"/>
        <v>0</v>
      </c>
      <c r="U190" s="7">
        <v>1</v>
      </c>
      <c r="V190" s="7">
        <f>U190*SUM(R190:S190)</f>
        <v>0</v>
      </c>
      <c r="W190" s="7"/>
      <c r="X190" s="7">
        <f t="shared" si="444"/>
        <v>1875</v>
      </c>
      <c r="Y190" s="7">
        <f t="shared" si="445"/>
        <v>1875</v>
      </c>
      <c r="Z190" s="7">
        <v>1</v>
      </c>
      <c r="AA190" s="7">
        <f>Y190*Z190</f>
        <v>1875</v>
      </c>
      <c r="AB190" s="7">
        <f>IF(O190&gt;0,0,AA190+V190*Z190)*Z190</f>
        <v>1875</v>
      </c>
      <c r="AC190" s="7">
        <f>IF(O190&gt;0,(N190-AA190)/2,IF(AD190&gt;=AG190,(((N190*U190)*Z190)-AB190)/2,((((N190*U190)*Z190)-AA190)+(((N190*U190)*Z190)-AB190))/2))</f>
        <v>0</v>
      </c>
      <c r="AD190" s="7">
        <f>$E190+(($F190-1)/12)</f>
        <v>2004.4166666666667</v>
      </c>
      <c r="AE190" s="7">
        <f>($P$5+1)-($P$2/12)</f>
        <v>2018</v>
      </c>
      <c r="AF190" s="7">
        <f t="shared" si="435"/>
        <v>2014.4166666666667</v>
      </c>
      <c r="AG190" s="7">
        <f t="shared" si="436"/>
        <v>2017</v>
      </c>
      <c r="AH190" s="7">
        <f t="shared" si="437"/>
        <v>-8.3333333333333329E-2</v>
      </c>
      <c r="AJ190" s="144">
        <f t="shared" si="438"/>
        <v>0</v>
      </c>
      <c r="AL190" s="144">
        <f t="shared" si="439"/>
        <v>0</v>
      </c>
      <c r="AN190" s="144">
        <f t="shared" si="440"/>
        <v>0</v>
      </c>
      <c r="AP190" s="144">
        <f t="shared" si="441"/>
        <v>0</v>
      </c>
      <c r="AR190" s="144">
        <f t="shared" si="442"/>
        <v>0</v>
      </c>
    </row>
    <row r="191" spans="3:44">
      <c r="D191" s="29" t="s">
        <v>157</v>
      </c>
      <c r="E191" s="3">
        <v>2004</v>
      </c>
      <c r="F191" s="4">
        <v>8</v>
      </c>
      <c r="G191" s="30">
        <v>0</v>
      </c>
      <c r="H191" s="7"/>
      <c r="I191" s="14" t="s">
        <v>86</v>
      </c>
      <c r="J191" s="5">
        <v>7</v>
      </c>
      <c r="K191" s="13">
        <f>E191+J191</f>
        <v>2011</v>
      </c>
      <c r="N191" s="48">
        <f>993+1189+1323+1195</f>
        <v>4700</v>
      </c>
      <c r="P191" s="7">
        <f t="shared" si="434"/>
        <v>4700</v>
      </c>
      <c r="Q191" s="7">
        <f>P191/J191/12</f>
        <v>55.952380952380956</v>
      </c>
      <c r="R191" s="7">
        <f>IF(O191&gt;0,0,IF(OR(AD191&gt;AE191,AF191&lt;AG191),0,IF(AND(AF191&gt;=AG191,AF191&lt;=AE191),Q191*((AF191-AG191)*12),IF(AND(AG191&lt;=AD191,AE191&gt;=AD191),((AE191-AD191)*12)*Q191,IF(AF191&gt;AE191,12*Q191,0)))))</f>
        <v>0</v>
      </c>
      <c r="T191" s="7">
        <f t="shared" si="443"/>
        <v>0</v>
      </c>
      <c r="U191" s="7">
        <v>1</v>
      </c>
      <c r="V191" s="7">
        <f>U191*SUM(R191:S191)</f>
        <v>0</v>
      </c>
      <c r="W191" s="7"/>
      <c r="X191" s="7">
        <f t="shared" si="444"/>
        <v>4700</v>
      </c>
      <c r="Y191" s="7">
        <f t="shared" si="445"/>
        <v>4700</v>
      </c>
      <c r="Z191" s="7">
        <v>1</v>
      </c>
      <c r="AA191" s="7">
        <f>Y191*Z191</f>
        <v>4700</v>
      </c>
      <c r="AB191" s="7">
        <f>IF(O191&gt;0,0,AA191+V191*Z191)*Z191</f>
        <v>4700</v>
      </c>
      <c r="AC191" s="7">
        <f>IF(O191&gt;0,(N191-AA191)/2,IF(AD191&gt;=AG191,(((N191*U191)*Z191)-AB191)/2,((((N191*U191)*Z191)-AA191)+(((N191*U191)*Z191)-AB191))/2))</f>
        <v>0</v>
      </c>
      <c r="AD191" s="7">
        <f>$E191+(($F191-1)/12)</f>
        <v>2004.5833333333333</v>
      </c>
      <c r="AE191" s="7">
        <f>($P$5+1)-($P$2/12)</f>
        <v>2018</v>
      </c>
      <c r="AF191" s="7">
        <f t="shared" si="435"/>
        <v>2011.5833333333333</v>
      </c>
      <c r="AG191" s="7">
        <f t="shared" si="436"/>
        <v>2017</v>
      </c>
      <c r="AH191" s="7">
        <f t="shared" si="437"/>
        <v>-8.3333333333333329E-2</v>
      </c>
      <c r="AJ191" s="144">
        <f t="shared" si="438"/>
        <v>0</v>
      </c>
      <c r="AL191" s="144">
        <f t="shared" si="439"/>
        <v>0</v>
      </c>
      <c r="AN191" s="144">
        <f t="shared" si="440"/>
        <v>0</v>
      </c>
      <c r="AP191" s="144">
        <f t="shared" si="441"/>
        <v>0</v>
      </c>
      <c r="AR191" s="144">
        <f t="shared" si="442"/>
        <v>0</v>
      </c>
    </row>
    <row r="192" spans="3:44">
      <c r="D192" s="29"/>
      <c r="G192" s="30"/>
      <c r="H192" s="7"/>
      <c r="I192" s="14"/>
      <c r="K192" s="13"/>
      <c r="N192" s="48"/>
      <c r="P192" s="7"/>
      <c r="Q192" s="7"/>
      <c r="R192" s="7"/>
      <c r="T192" s="7">
        <f t="shared" si="443"/>
        <v>0</v>
      </c>
      <c r="U192" s="7"/>
      <c r="V192" s="7"/>
      <c r="W192" s="7"/>
      <c r="X192" s="7">
        <f t="shared" si="444"/>
        <v>0</v>
      </c>
      <c r="Y192" s="7">
        <f t="shared" si="445"/>
        <v>0</v>
      </c>
      <c r="Z192" s="7">
        <v>1</v>
      </c>
      <c r="AA192" s="7"/>
      <c r="AB192" s="7"/>
      <c r="AC192" s="7"/>
      <c r="AD192" s="7"/>
      <c r="AE192" s="7"/>
      <c r="AF192" s="7"/>
      <c r="AG192" s="7"/>
      <c r="AH192" s="7"/>
      <c r="AJ192" s="144">
        <f t="shared" si="438"/>
        <v>0</v>
      </c>
      <c r="AL192" s="144">
        <f t="shared" si="439"/>
        <v>0</v>
      </c>
      <c r="AN192" s="144">
        <f t="shared" si="440"/>
        <v>0</v>
      </c>
      <c r="AP192" s="144">
        <f t="shared" si="441"/>
        <v>0</v>
      </c>
      <c r="AR192" s="144">
        <f t="shared" si="442"/>
        <v>0</v>
      </c>
    </row>
    <row r="193" spans="3:44">
      <c r="C193" s="1">
        <v>24</v>
      </c>
      <c r="D193" s="29" t="s">
        <v>158</v>
      </c>
      <c r="E193" s="3">
        <v>2005</v>
      </c>
      <c r="F193" s="4">
        <v>7</v>
      </c>
      <c r="G193" s="30">
        <v>0</v>
      </c>
      <c r="H193" s="7"/>
      <c r="I193" s="14" t="s">
        <v>86</v>
      </c>
      <c r="J193" s="5">
        <v>10</v>
      </c>
      <c r="K193" s="13">
        <f>E193+J193</f>
        <v>2015</v>
      </c>
      <c r="N193" s="48">
        <v>10944</v>
      </c>
      <c r="P193" s="7">
        <f>N193-N193*G193</f>
        <v>10944</v>
      </c>
      <c r="Q193" s="7">
        <f>P193/J193/12</f>
        <v>91.2</v>
      </c>
      <c r="R193" s="7">
        <f>IF(O193&gt;0,0,IF(OR(AD193&gt;AE193,AF193&lt;AG193),0,IF(AND(AF193&gt;=AG193,AF193&lt;=AE193),Q193*((AF193-AG193)*12),IF(AND(AG193&lt;=AD193,AE193&gt;=AD193),((AE193-AD193)*12)*Q193,IF(AF193&gt;AE193,12*Q193,0)))))</f>
        <v>0</v>
      </c>
      <c r="T193" s="7">
        <f t="shared" si="443"/>
        <v>0</v>
      </c>
      <c r="U193" s="7">
        <v>1</v>
      </c>
      <c r="V193" s="7">
        <f>U193*SUM(R193:S193)</f>
        <v>0</v>
      </c>
      <c r="W193" s="7"/>
      <c r="X193" s="7">
        <f t="shared" si="444"/>
        <v>10944</v>
      </c>
      <c r="Y193" s="7">
        <f t="shared" si="445"/>
        <v>10944</v>
      </c>
      <c r="Z193" s="7">
        <v>1</v>
      </c>
      <c r="AA193" s="7">
        <f>Y193*Z193</f>
        <v>10944</v>
      </c>
      <c r="AB193" s="7">
        <f>IF(O193&gt;0,0,AA193+V193*Z193)*Z193</f>
        <v>10944</v>
      </c>
      <c r="AC193" s="7">
        <f>IF(O193&gt;0,(N193-AA193)/2,IF(AD193&gt;=AG193,(((N193*U193)*Z193)-AB193)/2,((((N193*U193)*Z193)-AA193)+(((N193*U193)*Z193)-AB193))/2))</f>
        <v>0</v>
      </c>
      <c r="AD193" s="7">
        <f>$E193+(($F193-1)/12)</f>
        <v>2005.5</v>
      </c>
      <c r="AE193" s="7">
        <f>($P$5+1)-($P$2/12)</f>
        <v>2018</v>
      </c>
      <c r="AF193" s="7">
        <f>$K193+(($F193-1)/12)</f>
        <v>2015.5</v>
      </c>
      <c r="AG193" s="7">
        <f>$P$4+($P$3/12)</f>
        <v>2017</v>
      </c>
      <c r="AH193" s="7">
        <f>$L193+(($M193-1)/12)</f>
        <v>-8.3333333333333329E-2</v>
      </c>
      <c r="AJ193" s="144">
        <f t="shared" si="438"/>
        <v>0</v>
      </c>
      <c r="AL193" s="144">
        <f t="shared" si="439"/>
        <v>0</v>
      </c>
      <c r="AN193" s="144">
        <f t="shared" si="440"/>
        <v>0</v>
      </c>
      <c r="AP193" s="144">
        <f t="shared" si="441"/>
        <v>0</v>
      </c>
      <c r="AR193" s="144">
        <f t="shared" si="442"/>
        <v>0</v>
      </c>
    </row>
    <row r="194" spans="3:44">
      <c r="C194" s="1">
        <v>9</v>
      </c>
      <c r="D194" s="29" t="s">
        <v>159</v>
      </c>
      <c r="E194" s="3">
        <v>2005</v>
      </c>
      <c r="F194" s="4">
        <v>7</v>
      </c>
      <c r="G194" s="30">
        <v>0</v>
      </c>
      <c r="H194" s="7"/>
      <c r="I194" s="14" t="s">
        <v>86</v>
      </c>
      <c r="J194" s="5">
        <v>10</v>
      </c>
      <c r="K194" s="13">
        <f>E194+J194</f>
        <v>2015</v>
      </c>
      <c r="N194" s="48">
        <v>3933</v>
      </c>
      <c r="P194" s="7">
        <f>N194-N194*G194</f>
        <v>3933</v>
      </c>
      <c r="Q194" s="7">
        <f>P194/J194/12</f>
        <v>32.774999999999999</v>
      </c>
      <c r="R194" s="7">
        <f>IF(O194&gt;0,0,IF(OR(AD194&gt;AE194,AF194&lt;AG194),0,IF(AND(AF194&gt;=AG194,AF194&lt;=AE194),Q194*((AF194-AG194)*12),IF(AND(AG194&lt;=AD194,AE194&gt;=AD194),((AE194-AD194)*12)*Q194,IF(AF194&gt;AE194,12*Q194,0)))))</f>
        <v>0</v>
      </c>
      <c r="T194" s="7">
        <f t="shared" si="443"/>
        <v>0</v>
      </c>
      <c r="U194" s="7">
        <v>1</v>
      </c>
      <c r="V194" s="7">
        <f>U194*SUM(R194:S194)</f>
        <v>0</v>
      </c>
      <c r="W194" s="7"/>
      <c r="X194" s="7">
        <f t="shared" si="444"/>
        <v>3933</v>
      </c>
      <c r="Y194" s="7">
        <f t="shared" si="445"/>
        <v>3933</v>
      </c>
      <c r="Z194" s="7">
        <v>1</v>
      </c>
      <c r="AA194" s="7">
        <f>Y194*Z194</f>
        <v>3933</v>
      </c>
      <c r="AB194" s="7">
        <f>IF(O194&gt;0,0,AA194+V194*Z194)*Z194</f>
        <v>3933</v>
      </c>
      <c r="AC194" s="7">
        <f>IF(O194&gt;0,(N194-AA194)/2,IF(AD194&gt;=AG194,(((N194*U194)*Z194)-AB194)/2,((((N194*U194)*Z194)-AA194)+(((N194*U194)*Z194)-AB194))/2))</f>
        <v>0</v>
      </c>
      <c r="AD194" s="7">
        <f>$E194+(($F194-1)/12)</f>
        <v>2005.5</v>
      </c>
      <c r="AE194" s="7">
        <f>($P$5+1)-($P$2/12)</f>
        <v>2018</v>
      </c>
      <c r="AF194" s="7">
        <f>$K194+(($F194-1)/12)</f>
        <v>2015.5</v>
      </c>
      <c r="AG194" s="7">
        <f>$P$4+($P$3/12)</f>
        <v>2017</v>
      </c>
      <c r="AH194" s="7">
        <f>$L194+(($M194-1)/12)</f>
        <v>-8.3333333333333329E-2</v>
      </c>
      <c r="AJ194" s="144">
        <f t="shared" si="438"/>
        <v>0</v>
      </c>
      <c r="AL194" s="144">
        <f t="shared" si="439"/>
        <v>0</v>
      </c>
      <c r="AN194" s="144">
        <f t="shared" si="440"/>
        <v>0</v>
      </c>
      <c r="AP194" s="144">
        <f t="shared" si="441"/>
        <v>0</v>
      </c>
      <c r="AR194" s="144">
        <f t="shared" si="442"/>
        <v>0</v>
      </c>
    </row>
    <row r="195" spans="3:44">
      <c r="D195" s="29"/>
      <c r="G195" s="30"/>
      <c r="H195" s="7"/>
      <c r="I195" s="14"/>
      <c r="K195" s="13"/>
      <c r="N195" s="48"/>
      <c r="P195" s="7"/>
      <c r="Q195" s="7"/>
      <c r="R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>
        <f>$E195+(($F195-1)/12)</f>
        <v>-8.3333333333333329E-2</v>
      </c>
      <c r="AE195" s="7">
        <f>($P$5+1)-($P$2/12)</f>
        <v>2018</v>
      </c>
      <c r="AF195" s="7">
        <f>$K195+(($F195-1)/12)</f>
        <v>-8.3333333333333329E-2</v>
      </c>
      <c r="AG195" s="7">
        <f>$P$4+($P$3/12)</f>
        <v>2017</v>
      </c>
      <c r="AH195" s="7">
        <f>$L195+(($M195-1)/12)</f>
        <v>-8.3333333333333329E-2</v>
      </c>
      <c r="AJ195" s="144">
        <f t="shared" si="438"/>
        <v>0</v>
      </c>
      <c r="AL195" s="144">
        <f t="shared" si="439"/>
        <v>0</v>
      </c>
      <c r="AN195" s="144">
        <f t="shared" si="440"/>
        <v>0</v>
      </c>
      <c r="AP195" s="144">
        <f t="shared" si="441"/>
        <v>0</v>
      </c>
      <c r="AR195" s="144">
        <f t="shared" si="442"/>
        <v>0</v>
      </c>
    </row>
    <row r="196" spans="3:44">
      <c r="C196" s="1">
        <v>50</v>
      </c>
      <c r="D196" s="29" t="s">
        <v>158</v>
      </c>
      <c r="E196" s="3">
        <v>2006</v>
      </c>
      <c r="F196" s="4">
        <v>3</v>
      </c>
      <c r="G196" s="30">
        <v>0</v>
      </c>
      <c r="H196" s="7"/>
      <c r="I196" s="14" t="s">
        <v>86</v>
      </c>
      <c r="J196" s="5">
        <v>10</v>
      </c>
      <c r="K196" s="13">
        <f>E196+J196</f>
        <v>2016</v>
      </c>
      <c r="N196" s="48">
        <f>435*50</f>
        <v>21750</v>
      </c>
      <c r="P196" s="7">
        <f>N196-N196*G196</f>
        <v>21750</v>
      </c>
      <c r="Q196" s="7">
        <f>P196/J196/12</f>
        <v>181.25</v>
      </c>
      <c r="R196" s="7">
        <f>IF(O196&gt;0,0,IF(OR(AD196&gt;AE196,AF196&lt;AG196),0,IF(AND(AF196&gt;=AG196,AF196&lt;=AE196),Q196*((AF196-AG196)*12),IF(AND(AG196&lt;=AD196,AE196&gt;=AD196),((AE196-AD196)*12)*Q196,IF(AF196&gt;AE196,12*Q196,0)))))</f>
        <v>0</v>
      </c>
      <c r="T196" s="7">
        <f>IF(S196&gt;0,S196,R196)</f>
        <v>0</v>
      </c>
      <c r="U196" s="7">
        <v>1</v>
      </c>
      <c r="V196" s="7">
        <f>U196*SUM(R196:S196)</f>
        <v>0</v>
      </c>
      <c r="W196" s="7"/>
      <c r="X196" s="7">
        <f>IF(AD196&gt;AE196,0,IF(AF196&lt;AG196,P196,IF(AND(AF196&gt;=AG196,AF196&lt;=AE196),(P196-T196),IF(AND(AG196&lt;=AD196,AE196&gt;=AD196),0,IF(AF196&gt;AE196,((AG196-AD196)*12)*Q196,0)))))</f>
        <v>21750</v>
      </c>
      <c r="Y196" s="7">
        <f>X196*U196</f>
        <v>21750</v>
      </c>
      <c r="Z196" s="7">
        <v>1</v>
      </c>
      <c r="AA196" s="7">
        <f>Y196*Z196</f>
        <v>21750</v>
      </c>
      <c r="AB196" s="7">
        <f>IF(O196&gt;0,0,AA196+V196*Z196)*Z196</f>
        <v>21750</v>
      </c>
      <c r="AC196" s="7">
        <f>IF(O196&gt;0,(N196-AA196)/2,IF(AD196&gt;=AG196,(((N196*U196)*Z196)-AB196)/2,((((N196*U196)*Z196)-AA196)+(((N196*U196)*Z196)-AB196))/2))</f>
        <v>0</v>
      </c>
      <c r="AD196" s="7">
        <f>$E196+(($F196-1)/12)</f>
        <v>2006.1666666666667</v>
      </c>
      <c r="AE196" s="7">
        <f>($P$5+1)-($P$2/12)</f>
        <v>2018</v>
      </c>
      <c r="AF196" s="7">
        <f>$K196+(($F196-1)/12)</f>
        <v>2016.1666666666667</v>
      </c>
      <c r="AG196" s="7">
        <f>$P$4+($P$3/12)</f>
        <v>2017</v>
      </c>
      <c r="AH196" s="7">
        <f>$L196+(($M196-1)/12)</f>
        <v>-8.3333333333333329E-2</v>
      </c>
      <c r="AJ196" s="144">
        <f t="shared" si="438"/>
        <v>0</v>
      </c>
      <c r="AL196" s="144">
        <f t="shared" si="439"/>
        <v>0</v>
      </c>
      <c r="AN196" s="144">
        <f t="shared" si="440"/>
        <v>0</v>
      </c>
      <c r="AP196" s="144">
        <f t="shared" si="441"/>
        <v>0</v>
      </c>
      <c r="AR196" s="144">
        <f t="shared" si="442"/>
        <v>0</v>
      </c>
    </row>
    <row r="197" spans="3:44">
      <c r="C197" s="1">
        <v>20</v>
      </c>
      <c r="D197" s="29" t="s">
        <v>159</v>
      </c>
      <c r="E197" s="3">
        <v>2006</v>
      </c>
      <c r="F197" s="4">
        <v>3</v>
      </c>
      <c r="G197" s="30">
        <v>0</v>
      </c>
      <c r="H197" s="7"/>
      <c r="I197" s="14" t="s">
        <v>86</v>
      </c>
      <c r="J197" s="5">
        <v>10</v>
      </c>
      <c r="K197" s="13">
        <f>E197+J197</f>
        <v>2016</v>
      </c>
      <c r="N197" s="48">
        <f>415*20</f>
        <v>8300</v>
      </c>
      <c r="P197" s="7">
        <f>N197-N197*G197</f>
        <v>8300</v>
      </c>
      <c r="Q197" s="7">
        <f>P197/J197/12</f>
        <v>69.166666666666671</v>
      </c>
      <c r="R197" s="7">
        <f>IF(O197&gt;0,0,IF(OR(AD197&gt;AE197,AF197&lt;AG197),0,IF(AND(AF197&gt;=AG197,AF197&lt;=AE197),Q197*((AF197-AG197)*12),IF(AND(AG197&lt;=AD197,AE197&gt;=AD197),((AE197-AD197)*12)*Q197,IF(AF197&gt;AE197,12*Q197,0)))))</f>
        <v>0</v>
      </c>
      <c r="T197" s="7">
        <f>IF(S197&gt;0,S197,R197)</f>
        <v>0</v>
      </c>
      <c r="U197" s="7">
        <v>1</v>
      </c>
      <c r="V197" s="7">
        <f>U197*SUM(R197:S197)</f>
        <v>0</v>
      </c>
      <c r="W197" s="7"/>
      <c r="X197" s="7">
        <f>IF(AD197&gt;AE197,0,IF(AF197&lt;AG197,P197,IF(AND(AF197&gt;=AG197,AF197&lt;=AE197),(P197-T197),IF(AND(AG197&lt;=AD197,AE197&gt;=AD197),0,IF(AF197&gt;AE197,((AG197-AD197)*12)*Q197,0)))))</f>
        <v>8300</v>
      </c>
      <c r="Y197" s="7">
        <f>X197*U197</f>
        <v>8300</v>
      </c>
      <c r="Z197" s="7">
        <v>1</v>
      </c>
      <c r="AA197" s="7">
        <f>Y197*Z197</f>
        <v>8300</v>
      </c>
      <c r="AB197" s="7">
        <f>IF(O197&gt;0,0,AA197+V197*Z197)*Z197</f>
        <v>8300</v>
      </c>
      <c r="AC197" s="7">
        <f>IF(O197&gt;0,(N197-AA197)/2,IF(AD197&gt;=AG197,(((N197*U197)*Z197)-AB197)/2,((((N197*U197)*Z197)-AA197)+(((N197*U197)*Z197)-AB197))/2))</f>
        <v>0</v>
      </c>
      <c r="AD197" s="7">
        <f>$E197+(($F197-1)/12)</f>
        <v>2006.1666666666667</v>
      </c>
      <c r="AE197" s="7">
        <f>($P$5+1)-($P$2/12)</f>
        <v>2018</v>
      </c>
      <c r="AF197" s="7">
        <f>$K197+(($F197-1)/12)</f>
        <v>2016.1666666666667</v>
      </c>
      <c r="AG197" s="7">
        <f>$P$4+($P$3/12)</f>
        <v>2017</v>
      </c>
      <c r="AH197" s="7">
        <f>$L197+(($M197-1)/12)</f>
        <v>-8.3333333333333329E-2</v>
      </c>
      <c r="AJ197" s="144">
        <f t="shared" si="438"/>
        <v>0</v>
      </c>
      <c r="AL197" s="144">
        <f t="shared" si="439"/>
        <v>0</v>
      </c>
      <c r="AN197" s="144">
        <f t="shared" si="440"/>
        <v>0</v>
      </c>
      <c r="AP197" s="144">
        <f t="shared" si="441"/>
        <v>0</v>
      </c>
      <c r="AR197" s="144">
        <f t="shared" si="442"/>
        <v>0</v>
      </c>
    </row>
    <row r="198" spans="3:44">
      <c r="D198" s="29"/>
      <c r="G198" s="30"/>
      <c r="H198" s="7"/>
      <c r="I198" s="14"/>
      <c r="K198" s="13"/>
      <c r="N198" s="48"/>
      <c r="P198" s="7"/>
      <c r="Q198" s="7"/>
      <c r="R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J198" s="144">
        <f t="shared" si="438"/>
        <v>0</v>
      </c>
      <c r="AL198" s="144">
        <f t="shared" si="439"/>
        <v>0</v>
      </c>
      <c r="AN198" s="144">
        <f t="shared" si="440"/>
        <v>0</v>
      </c>
      <c r="AP198" s="144">
        <f t="shared" si="441"/>
        <v>0</v>
      </c>
      <c r="AR198" s="144">
        <f t="shared" si="442"/>
        <v>0</v>
      </c>
    </row>
    <row r="199" spans="3:44">
      <c r="C199" s="1">
        <v>53</v>
      </c>
      <c r="D199" s="29" t="s">
        <v>160</v>
      </c>
      <c r="E199" s="3">
        <v>2007</v>
      </c>
      <c r="F199" s="4">
        <v>5</v>
      </c>
      <c r="G199" s="30">
        <v>0</v>
      </c>
      <c r="H199" s="7"/>
      <c r="I199" s="14" t="s">
        <v>86</v>
      </c>
      <c r="J199" s="5">
        <v>10</v>
      </c>
      <c r="K199" s="13">
        <f>E199+J199</f>
        <v>2017</v>
      </c>
      <c r="N199" s="48">
        <v>22048</v>
      </c>
      <c r="P199" s="7">
        <f>N199-N199*G199</f>
        <v>22048</v>
      </c>
      <c r="Q199" s="7">
        <f>P199/J199/12</f>
        <v>183.73333333333335</v>
      </c>
      <c r="R199" s="7">
        <f>IF(O199&gt;0,0,IF(OR(AD199&gt;AE199,AF199&lt;AG199),0,IF(AND(AF199&gt;=AG199,AF199&lt;=AE199),Q199*((AF199-AG199)*12),IF(AND(AG199&lt;=AD199,AE199&gt;=AD199),((AE199-AD199)*12)*Q199,IF(AF199&gt;AE199,12*Q199,0)))))</f>
        <v>734.93333333316627</v>
      </c>
      <c r="T199" s="7">
        <f>IF(S199&gt;0,S199,R199)</f>
        <v>734.93333333316627</v>
      </c>
      <c r="U199" s="7">
        <v>1</v>
      </c>
      <c r="V199" s="7">
        <f>U199*SUM(R199:S199)</f>
        <v>734.93333333316627</v>
      </c>
      <c r="W199" s="7"/>
      <c r="X199" s="7">
        <f>IF(AD199&gt;AE199,0,IF(AF199&lt;AG199,P199,IF(AND(AF199&gt;=AG199,AF199&lt;=AE199),(P199-T199),IF(AND(AG199&lt;=AD199,AE199&gt;=AD199),0,IF(AF199&gt;AE199,((AG199-AD199)*12)*Q199,0)))))</f>
        <v>21313.066666666833</v>
      </c>
      <c r="Y199" s="7">
        <f>X199*U199</f>
        <v>21313.066666666833</v>
      </c>
      <c r="Z199" s="7">
        <v>1</v>
      </c>
      <c r="AA199" s="7">
        <f>Y199*Z199</f>
        <v>21313.066666666833</v>
      </c>
      <c r="AB199" s="7">
        <f>IF(O199&gt;0,0,AA199+V199*Z199)*Z199</f>
        <v>22048</v>
      </c>
      <c r="AC199" s="7">
        <f>IF(O199&gt;0,(N199-AA199)/2,IF(AD199&gt;=AG199,(((N199*U199)*Z199)-AB199)/2,((((N199*U199)*Z199)-AA199)+(((N199*U199)*Z199)-AB199))/2))</f>
        <v>367.46666666658348</v>
      </c>
      <c r="AD199" s="7">
        <f>$E199+(($F199-1)/12)</f>
        <v>2007.3333333333333</v>
      </c>
      <c r="AE199" s="7">
        <f>($P$5+1)-($P$2/12)</f>
        <v>2018</v>
      </c>
      <c r="AF199" s="7">
        <f>$K199+(($F199-1)/12)</f>
        <v>2017.3333333333333</v>
      </c>
      <c r="AG199" s="7">
        <f>$P$4+($P$3/12)</f>
        <v>2017</v>
      </c>
      <c r="AH199" s="7">
        <f>$L199+(($M199-1)/12)</f>
        <v>-8.3333333333333329E-2</v>
      </c>
      <c r="AJ199" s="144">
        <f t="shared" si="438"/>
        <v>0</v>
      </c>
      <c r="AL199" s="144">
        <f t="shared" si="439"/>
        <v>734.93333333316627</v>
      </c>
      <c r="AN199" s="144">
        <f t="shared" si="440"/>
        <v>0</v>
      </c>
      <c r="AP199" s="144">
        <f t="shared" si="441"/>
        <v>0</v>
      </c>
      <c r="AR199" s="144">
        <f t="shared" si="442"/>
        <v>367.46666666658348</v>
      </c>
    </row>
    <row r="200" spans="3:44">
      <c r="C200" s="1">
        <v>26</v>
      </c>
      <c r="D200" s="29" t="s">
        <v>161</v>
      </c>
      <c r="E200" s="3">
        <v>2007</v>
      </c>
      <c r="F200" s="4">
        <v>5</v>
      </c>
      <c r="G200" s="30">
        <v>0</v>
      </c>
      <c r="H200" s="7"/>
      <c r="I200" s="14" t="s">
        <v>86</v>
      </c>
      <c r="J200" s="5">
        <v>10</v>
      </c>
      <c r="K200" s="13">
        <f>E200+J200</f>
        <v>2017</v>
      </c>
      <c r="N200" s="48">
        <v>10348</v>
      </c>
      <c r="P200" s="7">
        <f>N200-N200*G200</f>
        <v>10348</v>
      </c>
      <c r="Q200" s="7">
        <f>P200/J200/12</f>
        <v>86.233333333333334</v>
      </c>
      <c r="R200" s="7">
        <f>IF(O200&gt;0,0,IF(OR(AD200&gt;AE200,AF200&lt;AG200),0,IF(AND(AF200&gt;=AG200,AF200&lt;=AE200),Q200*((AF200-AG200)*12),IF(AND(AG200&lt;=AD200,AE200&gt;=AD200),((AE200-AD200)*12)*Q200,IF(AF200&gt;AE200,12*Q200,0)))))</f>
        <v>344.93333333325489</v>
      </c>
      <c r="T200" s="7">
        <f>IF(S200&gt;0,S200,R200)</f>
        <v>344.93333333325489</v>
      </c>
      <c r="U200" s="7">
        <v>1</v>
      </c>
      <c r="V200" s="7">
        <f>U200*SUM(R200:S200)</f>
        <v>344.93333333325489</v>
      </c>
      <c r="W200" s="7"/>
      <c r="X200" s="7">
        <f>IF(AD200&gt;AE200,0,IF(AF200&lt;AG200,P200,IF(AND(AF200&gt;=AG200,AF200&lt;=AE200),(P200-T200),IF(AND(AG200&lt;=AD200,AE200&gt;=AD200),0,IF(AF200&gt;AE200,((AG200-AD200)*12)*Q200,0)))))</f>
        <v>10003.066666666746</v>
      </c>
      <c r="Y200" s="7">
        <f>X200*U200</f>
        <v>10003.066666666746</v>
      </c>
      <c r="Z200" s="7">
        <v>1</v>
      </c>
      <c r="AA200" s="7">
        <f>Y200*Z200</f>
        <v>10003.066666666746</v>
      </c>
      <c r="AB200" s="7">
        <f>IF(O200&gt;0,0,AA200+V200*Z200)*Z200</f>
        <v>10348</v>
      </c>
      <c r="AC200" s="7">
        <f>IF(O200&gt;0,(N200-AA200)/2,IF(AD200&gt;=AG200,(((N200*U200)*Z200)-AB200)/2,((((N200*U200)*Z200)-AA200)+(((N200*U200)*Z200)-AB200))/2))</f>
        <v>172.46666666662713</v>
      </c>
      <c r="AD200" s="7">
        <f>$E200+(($F200-1)/12)</f>
        <v>2007.3333333333333</v>
      </c>
      <c r="AE200" s="7">
        <f>($P$5+1)-($P$2/12)</f>
        <v>2018</v>
      </c>
      <c r="AF200" s="7">
        <f>$K200+(($F200-1)/12)</f>
        <v>2017.3333333333333</v>
      </c>
      <c r="AG200" s="7">
        <f>$P$4+($P$3/12)</f>
        <v>2017</v>
      </c>
      <c r="AH200" s="7">
        <f>$L200+(($M200-1)/12)</f>
        <v>-8.3333333333333329E-2</v>
      </c>
      <c r="AJ200" s="144">
        <f t="shared" si="438"/>
        <v>0</v>
      </c>
      <c r="AL200" s="144">
        <f t="shared" si="439"/>
        <v>344.93333333325489</v>
      </c>
      <c r="AN200" s="144">
        <f t="shared" si="440"/>
        <v>0</v>
      </c>
      <c r="AP200" s="144">
        <f t="shared" si="441"/>
        <v>0</v>
      </c>
      <c r="AR200" s="144">
        <f t="shared" si="442"/>
        <v>172.46666666662713</v>
      </c>
    </row>
    <row r="201" spans="3:44">
      <c r="C201" s="1">
        <v>25</v>
      </c>
      <c r="D201" s="29" t="s">
        <v>162</v>
      </c>
      <c r="E201" s="3">
        <v>2007</v>
      </c>
      <c r="F201" s="4">
        <v>11</v>
      </c>
      <c r="G201" s="30">
        <v>0</v>
      </c>
      <c r="H201" s="7"/>
      <c r="I201" s="14" t="s">
        <v>86</v>
      </c>
      <c r="J201" s="5">
        <v>10</v>
      </c>
      <c r="K201" s="13">
        <f>E201+J201</f>
        <v>2017</v>
      </c>
      <c r="N201" s="48">
        <f>416*25</f>
        <v>10400</v>
      </c>
      <c r="P201" s="7">
        <f>N201-N201*G201</f>
        <v>10400</v>
      </c>
      <c r="Q201" s="7">
        <f>P201/J201/12</f>
        <v>86.666666666666671</v>
      </c>
      <c r="R201" s="7">
        <f>IF(O201&gt;0,0,IF(OR(AD201&gt;AE201,AF201&lt;AG201),0,IF(AND(AF201&gt;=AG201,AF201&lt;=AE201),Q201*((AF201-AG201)*12),IF(AND(AG201&lt;=AD201,AE201&gt;=AD201),((AE201-AD201)*12)*Q201,IF(AF201&gt;AE201,12*Q201,0)))))</f>
        <v>866.66666666658784</v>
      </c>
      <c r="T201" s="7">
        <f>IF(S201&gt;0,S201,R201)</f>
        <v>866.66666666658784</v>
      </c>
      <c r="U201" s="7">
        <v>1</v>
      </c>
      <c r="V201" s="7">
        <f>U201*SUM(R201:S201)</f>
        <v>866.66666666658784</v>
      </c>
      <c r="W201" s="7"/>
      <c r="X201" s="7">
        <f>IF(AD201&gt;AE201,0,IF(AF201&lt;AG201,P201,IF(AND(AF201&gt;=AG201,AF201&lt;=AE201),(P201-T201),IF(AND(AG201&lt;=AD201,AE201&gt;=AD201),0,IF(AF201&gt;AE201,((AG201-AD201)*12)*Q201,0)))))</f>
        <v>9533.3333333334122</v>
      </c>
      <c r="Y201" s="7">
        <f>X201*U201</f>
        <v>9533.3333333334122</v>
      </c>
      <c r="Z201" s="7">
        <v>1</v>
      </c>
      <c r="AA201" s="7">
        <f>Y201*Z201</f>
        <v>9533.3333333334122</v>
      </c>
      <c r="AB201" s="7">
        <f>IF(O201&gt;0,0,AA201+V201*Z201)*Z201</f>
        <v>10400</v>
      </c>
      <c r="AC201" s="7">
        <f>IF(O201&gt;0,(N201-AA201)/2,IF(AD201&gt;=AG201,(((N201*U201)*Z201)-AB201)/2,((((N201*U201)*Z201)-AA201)+(((N201*U201)*Z201)-AB201))/2))</f>
        <v>433.33333333329392</v>
      </c>
      <c r="AD201" s="7">
        <f>$E201+(($F201-1)/12)</f>
        <v>2007.8333333333333</v>
      </c>
      <c r="AE201" s="7">
        <f>($P$5+1)-($P$2/12)</f>
        <v>2018</v>
      </c>
      <c r="AF201" s="7">
        <f>$K201+(($F201-1)/12)</f>
        <v>2017.8333333333333</v>
      </c>
      <c r="AG201" s="7">
        <f>$P$4+($P$3/12)</f>
        <v>2017</v>
      </c>
      <c r="AH201" s="7">
        <f>$L201+(($M201-1)/12)</f>
        <v>-8.3333333333333329E-2</v>
      </c>
      <c r="AJ201" s="144">
        <f t="shared" si="438"/>
        <v>0</v>
      </c>
      <c r="AL201" s="144">
        <f t="shared" si="439"/>
        <v>866.66666666658784</v>
      </c>
      <c r="AN201" s="144">
        <f t="shared" si="440"/>
        <v>0</v>
      </c>
      <c r="AP201" s="144">
        <f t="shared" si="441"/>
        <v>0</v>
      </c>
      <c r="AR201" s="144">
        <f t="shared" si="442"/>
        <v>433.33333333329392</v>
      </c>
    </row>
    <row r="202" spans="3:44">
      <c r="C202" s="1">
        <v>7</v>
      </c>
      <c r="D202" s="29" t="s">
        <v>163</v>
      </c>
      <c r="E202" s="3">
        <v>2007</v>
      </c>
      <c r="F202" s="4">
        <v>11</v>
      </c>
      <c r="G202" s="30">
        <v>0</v>
      </c>
      <c r="H202" s="7"/>
      <c r="I202" s="14" t="s">
        <v>86</v>
      </c>
      <c r="J202" s="5">
        <v>10</v>
      </c>
      <c r="K202" s="13">
        <f>E202+J202</f>
        <v>2017</v>
      </c>
      <c r="N202" s="48">
        <f>398*7</f>
        <v>2786</v>
      </c>
      <c r="P202" s="7">
        <f>N202-N202*G202</f>
        <v>2786</v>
      </c>
      <c r="Q202" s="7">
        <f>P202/J202/12</f>
        <v>23.216666666666669</v>
      </c>
      <c r="R202" s="7">
        <f>IF(O202&gt;0,0,IF(OR(AD202&gt;AE202,AF202&lt;AG202),0,IF(AND(AF202&gt;=AG202,AF202&lt;=AE202),Q202*((AF202-AG202)*12),IF(AND(AG202&lt;=AD202,AE202&gt;=AD202),((AE202-AD202)*12)*Q202,IF(AF202&gt;AE202,12*Q202,0)))))</f>
        <v>232.16666666664557</v>
      </c>
      <c r="T202" s="7">
        <f>IF(S202&gt;0,S202,R202)</f>
        <v>232.16666666664557</v>
      </c>
      <c r="U202" s="7">
        <v>1</v>
      </c>
      <c r="V202" s="7">
        <f>U202*SUM(R202:S202)</f>
        <v>232.16666666664557</v>
      </c>
      <c r="W202" s="7"/>
      <c r="X202" s="7">
        <f>IF(AD202&gt;AE202,0,IF(AF202&lt;AG202,P202,IF(AND(AF202&gt;=AG202,AF202&lt;=AE202),(P202-T202),IF(AND(AG202&lt;=AD202,AE202&gt;=AD202),0,IF(AF202&gt;AE202,((AG202-AD202)*12)*Q202,0)))))</f>
        <v>2553.8333333333544</v>
      </c>
      <c r="Y202" s="7">
        <f>X202*U202</f>
        <v>2553.8333333333544</v>
      </c>
      <c r="Z202" s="7">
        <v>1</v>
      </c>
      <c r="AA202" s="7">
        <f>Y202*Z202</f>
        <v>2553.8333333333544</v>
      </c>
      <c r="AB202" s="7">
        <f>IF(O202&gt;0,0,AA202+V202*Z202)*Z202</f>
        <v>2786</v>
      </c>
      <c r="AC202" s="7">
        <f>IF(O202&gt;0,(N202-AA202)/2,IF(AD202&gt;=AG202,(((N202*U202)*Z202)-AB202)/2,((((N202*U202)*Z202)-AA202)+(((N202*U202)*Z202)-AB202))/2))</f>
        <v>116.0833333333228</v>
      </c>
      <c r="AD202" s="7">
        <f>$E202+(($F202-1)/12)</f>
        <v>2007.8333333333333</v>
      </c>
      <c r="AE202" s="7">
        <f>($P$5+1)-($P$2/12)</f>
        <v>2018</v>
      </c>
      <c r="AF202" s="7">
        <f>$K202+(($F202-1)/12)</f>
        <v>2017.8333333333333</v>
      </c>
      <c r="AG202" s="7">
        <f>$P$4+($P$3/12)</f>
        <v>2017</v>
      </c>
      <c r="AH202" s="7">
        <f>$L202+(($M202-1)/12)</f>
        <v>-8.3333333333333329E-2</v>
      </c>
      <c r="AJ202" s="144">
        <f t="shared" si="438"/>
        <v>0</v>
      </c>
      <c r="AL202" s="144">
        <f t="shared" si="439"/>
        <v>232.16666666664557</v>
      </c>
      <c r="AN202" s="144">
        <f t="shared" si="440"/>
        <v>0</v>
      </c>
      <c r="AP202" s="144">
        <f t="shared" si="441"/>
        <v>0</v>
      </c>
      <c r="AR202" s="144">
        <f t="shared" si="442"/>
        <v>116.0833333333228</v>
      </c>
    </row>
    <row r="203" spans="3:44">
      <c r="D203" s="29"/>
      <c r="G203" s="30"/>
      <c r="H203" s="7"/>
      <c r="I203" s="14"/>
      <c r="K203" s="13"/>
      <c r="N203" s="48"/>
      <c r="P203" s="7"/>
      <c r="Q203" s="7"/>
      <c r="R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J203" s="144">
        <f t="shared" si="438"/>
        <v>0</v>
      </c>
      <c r="AL203" s="144">
        <f t="shared" si="439"/>
        <v>0</v>
      </c>
      <c r="AN203" s="144">
        <f t="shared" si="440"/>
        <v>0</v>
      </c>
      <c r="AP203" s="144">
        <f t="shared" si="441"/>
        <v>0</v>
      </c>
      <c r="AR203" s="144">
        <f t="shared" si="442"/>
        <v>0</v>
      </c>
    </row>
    <row r="204" spans="3:44">
      <c r="C204" s="1">
        <v>11</v>
      </c>
      <c r="D204" s="29" t="s">
        <v>164</v>
      </c>
      <c r="E204" s="3">
        <v>2008</v>
      </c>
      <c r="F204" s="4">
        <v>9</v>
      </c>
      <c r="G204" s="30">
        <v>0</v>
      </c>
      <c r="H204" s="7"/>
      <c r="I204" s="14" t="s">
        <v>86</v>
      </c>
      <c r="J204" s="5">
        <v>10</v>
      </c>
      <c r="K204" s="13">
        <f>E204+J204</f>
        <v>2018</v>
      </c>
      <c r="N204" s="48">
        <f>479*11+859</f>
        <v>6128</v>
      </c>
      <c r="P204" s="7">
        <f>N204-N204*G204</f>
        <v>6128</v>
      </c>
      <c r="Q204" s="7">
        <f>P204/J204/12</f>
        <v>51.066666666666663</v>
      </c>
      <c r="R204" s="7">
        <f>IF(O204&gt;0,0,IF(OR(AD204&gt;AE204,AF204&lt;AG204),0,IF(AND(AF204&gt;=AG204,AF204&lt;=AE204),Q204*((AF204-AG204)*12),IF(AND(AG204&lt;=AD204,AE204&gt;=AD204),((AE204-AD204)*12)*Q204,IF(AF204&gt;AE204,12*Q204,0)))))</f>
        <v>612.79999999999995</v>
      </c>
      <c r="T204" s="7">
        <f>IF(S204&gt;0,S204,R204)</f>
        <v>612.79999999999995</v>
      </c>
      <c r="U204" s="7">
        <v>1</v>
      </c>
      <c r="V204" s="7">
        <f>U204*SUM(R204:S204)</f>
        <v>612.79999999999995</v>
      </c>
      <c r="W204" s="7"/>
      <c r="X204" s="7">
        <f>IF(AD204&gt;AE204,0,IF(AF204&lt;AG204,P204,IF(AND(AF204&gt;=AG204,AF204&lt;=AE204),(P204-T204),IF(AND(AG204&lt;=AD204,AE204&gt;=AD204),0,IF(AF204&gt;AE204,((AG204-AD204)*12)*Q204,0)))))</f>
        <v>5106.6666666666197</v>
      </c>
      <c r="Y204" s="7">
        <f>X204*U204</f>
        <v>5106.6666666666197</v>
      </c>
      <c r="Z204" s="7">
        <v>1</v>
      </c>
      <c r="AA204" s="7">
        <f>Y204*Z204</f>
        <v>5106.6666666666197</v>
      </c>
      <c r="AB204" s="7">
        <f>IF(O204&gt;0,0,AA204+V204*Z204)*Z204</f>
        <v>5719.4666666666199</v>
      </c>
      <c r="AC204" s="7">
        <f>IF(O204&gt;0,(N204-AA204)/2,IF(AD204&gt;=AG204,(((N204*U204)*Z204)-AB204)/2,((((N204*U204)*Z204)-AA204)+(((N204*U204)*Z204)-AB204))/2))</f>
        <v>714.93333333338023</v>
      </c>
      <c r="AD204" s="7">
        <f>$E204+(($F204-1)/12)</f>
        <v>2008.6666666666667</v>
      </c>
      <c r="AE204" s="7">
        <f>($P$5+1)-($P$2/12)</f>
        <v>2018</v>
      </c>
      <c r="AF204" s="7">
        <f>$K204+(($F204-1)/12)</f>
        <v>2018.6666666666667</v>
      </c>
      <c r="AG204" s="7">
        <f>$P$4+($P$3/12)</f>
        <v>2017</v>
      </c>
      <c r="AH204" s="7">
        <f>$L204+(($M204-1)/12)</f>
        <v>-8.3333333333333329E-2</v>
      </c>
      <c r="AJ204" s="144">
        <f t="shared" si="438"/>
        <v>0</v>
      </c>
      <c r="AL204" s="144">
        <f t="shared" si="439"/>
        <v>612.79999999999995</v>
      </c>
      <c r="AN204" s="144">
        <f t="shared" si="440"/>
        <v>0</v>
      </c>
      <c r="AP204" s="144">
        <f t="shared" si="441"/>
        <v>0</v>
      </c>
      <c r="AR204" s="144">
        <f t="shared" si="442"/>
        <v>714.93333333338023</v>
      </c>
    </row>
    <row r="205" spans="3:44">
      <c r="C205" s="1">
        <v>21</v>
      </c>
      <c r="D205" s="29" t="s">
        <v>165</v>
      </c>
      <c r="E205" s="3">
        <v>2008</v>
      </c>
      <c r="F205" s="4">
        <v>9</v>
      </c>
      <c r="G205" s="30">
        <v>0</v>
      </c>
      <c r="H205" s="7"/>
      <c r="I205" s="14" t="s">
        <v>86</v>
      </c>
      <c r="J205" s="5">
        <v>10</v>
      </c>
      <c r="K205" s="13">
        <f>E205+J205</f>
        <v>2018</v>
      </c>
      <c r="N205" s="48">
        <f>499*21+1341</f>
        <v>11820</v>
      </c>
      <c r="P205" s="7">
        <f>N205-N205*G205</f>
        <v>11820</v>
      </c>
      <c r="Q205" s="7">
        <f>P205/J205/12</f>
        <v>98.5</v>
      </c>
      <c r="R205" s="7">
        <f>IF(O205&gt;0,0,IF(OR(AD205&gt;AE205,AF205&lt;AG205),0,IF(AND(AF205&gt;=AG205,AF205&lt;=AE205),Q205*((AF205-AG205)*12),IF(AND(AG205&lt;=AD205,AE205&gt;=AD205),((AE205-AD205)*12)*Q205,IF(AF205&gt;AE205,12*Q205,0)))))</f>
        <v>1182</v>
      </c>
      <c r="T205" s="7">
        <f>IF(S205&gt;0,S205,R205)</f>
        <v>1182</v>
      </c>
      <c r="U205" s="7">
        <v>1</v>
      </c>
      <c r="V205" s="7">
        <f>U205*SUM(R205:S205)</f>
        <v>1182</v>
      </c>
      <c r="W205" s="7"/>
      <c r="X205" s="7">
        <f>IF(AD205&gt;AE205,0,IF(AF205&lt;AG205,P205,IF(AND(AF205&gt;=AG205,AF205&lt;=AE205),(P205-T205),IF(AND(AG205&lt;=AD205,AE205&gt;=AD205),0,IF(AF205&gt;AE205,((AG205-AD205)*12)*Q205,0)))))</f>
        <v>9849.9999999999109</v>
      </c>
      <c r="Y205" s="7">
        <f>X205*U205</f>
        <v>9849.9999999999109</v>
      </c>
      <c r="Z205" s="7">
        <v>1</v>
      </c>
      <c r="AA205" s="7">
        <f>Y205*Z205</f>
        <v>9849.9999999999109</v>
      </c>
      <c r="AB205" s="7">
        <f>IF(O205&gt;0,0,AA205+V205*Z205)*Z205</f>
        <v>11031.999999999911</v>
      </c>
      <c r="AC205" s="7">
        <f>IF(O205&gt;0,(N205-AA205)/2,IF(AD205&gt;=AG205,(((N205*U205)*Z205)-AB205)/2,((((N205*U205)*Z205)-AA205)+(((N205*U205)*Z205)-AB205))/2))</f>
        <v>1379.0000000000891</v>
      </c>
      <c r="AD205" s="7">
        <f>$E205+(($F205-1)/12)</f>
        <v>2008.6666666666667</v>
      </c>
      <c r="AE205" s="7">
        <f>($P$5+1)-($P$2/12)</f>
        <v>2018</v>
      </c>
      <c r="AF205" s="7">
        <f>$K205+(($F205-1)/12)</f>
        <v>2018.6666666666667</v>
      </c>
      <c r="AG205" s="7">
        <f>$P$4+($P$3/12)</f>
        <v>2017</v>
      </c>
      <c r="AH205" s="7">
        <f>$L205+(($M205-1)/12)</f>
        <v>-8.3333333333333329E-2</v>
      </c>
      <c r="AJ205" s="144">
        <f t="shared" si="438"/>
        <v>0</v>
      </c>
      <c r="AL205" s="144">
        <f t="shared" si="439"/>
        <v>1182</v>
      </c>
      <c r="AN205" s="144">
        <f t="shared" si="440"/>
        <v>0</v>
      </c>
      <c r="AP205" s="144">
        <f t="shared" si="441"/>
        <v>0</v>
      </c>
      <c r="AR205" s="144">
        <f t="shared" si="442"/>
        <v>1379.0000000000891</v>
      </c>
    </row>
    <row r="206" spans="3:44">
      <c r="D206" s="29"/>
      <c r="G206" s="30"/>
      <c r="H206" s="7"/>
      <c r="I206" s="14"/>
      <c r="K206" s="13"/>
      <c r="N206" s="48"/>
      <c r="P206" s="7"/>
      <c r="Q206" s="7"/>
      <c r="R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J206" s="144">
        <f t="shared" si="438"/>
        <v>0</v>
      </c>
      <c r="AL206" s="144">
        <f t="shared" si="439"/>
        <v>0</v>
      </c>
      <c r="AN206" s="144">
        <f t="shared" si="440"/>
        <v>0</v>
      </c>
      <c r="AP206" s="144">
        <f t="shared" si="441"/>
        <v>0</v>
      </c>
      <c r="AR206" s="144">
        <f t="shared" si="442"/>
        <v>0</v>
      </c>
    </row>
    <row r="207" spans="3:44">
      <c r="C207" s="1">
        <v>3</v>
      </c>
      <c r="D207" s="29" t="s">
        <v>166</v>
      </c>
      <c r="E207" s="3">
        <v>2010</v>
      </c>
      <c r="F207" s="4">
        <v>5</v>
      </c>
      <c r="G207" s="30">
        <v>0</v>
      </c>
      <c r="H207" s="7"/>
      <c r="I207" s="14" t="s">
        <v>86</v>
      </c>
      <c r="J207" s="5">
        <v>10</v>
      </c>
      <c r="K207" s="13">
        <f>E207+J207</f>
        <v>2020</v>
      </c>
      <c r="N207" s="48">
        <v>1566.38</v>
      </c>
      <c r="P207" s="7">
        <f>N207-N207*G207</f>
        <v>1566.38</v>
      </c>
      <c r="Q207" s="7">
        <f>P207/J207/12</f>
        <v>13.053166666666668</v>
      </c>
      <c r="R207" s="7">
        <f>IF(O207&gt;0,0,IF(OR(AD207&gt;AE207,AF207&lt;AG207),0,IF(AND(AF207&gt;=AG207,AF207&lt;=AE207),Q207*((AF207-AG207)*12),IF(AND(AG207&lt;=AD207,AE207&gt;=AD207),((AE207-AD207)*12)*Q207,IF(AF207&gt;AE207,12*Q207,0)))))</f>
        <v>156.63800000000001</v>
      </c>
      <c r="T207" s="7">
        <f>IF(S207&gt;0,S207,R207)</f>
        <v>156.63800000000001</v>
      </c>
      <c r="U207" s="7">
        <v>1</v>
      </c>
      <c r="V207" s="7">
        <f>U207*SUM(R207:S207)</f>
        <v>156.63800000000001</v>
      </c>
      <c r="W207" s="7"/>
      <c r="X207" s="7">
        <f>IF(AD207&gt;AE207,0,IF(AF207&lt;AG207,P207,IF(AND(AF207&gt;=AG207,AF207&lt;=AE207),(P207-T207),IF(AND(AG207&lt;=AD207,AE207&gt;=AD207),0,IF(AF207&gt;AE207,((AG207-AD207)*12)*Q207,0)))))</f>
        <v>1044.2533333333454</v>
      </c>
      <c r="Y207" s="7">
        <f>X207*U207</f>
        <v>1044.2533333333454</v>
      </c>
      <c r="Z207" s="7">
        <v>1</v>
      </c>
      <c r="AA207" s="7">
        <f>Y207*Z207</f>
        <v>1044.2533333333454</v>
      </c>
      <c r="AB207" s="7">
        <f>IF(O207&gt;0,0,AA207+V207*Z207)*Z207</f>
        <v>1200.8913333333453</v>
      </c>
      <c r="AC207" s="7">
        <f>IF(O207&gt;0,(N207-AA207)/2,IF(AD207&gt;=AG207,(((N207*U207)*Z207)-AB207)/2,((((N207*U207)*Z207)-AA207)+(((N207*U207)*Z207)-AB207))/2))</f>
        <v>443.80766666665477</v>
      </c>
      <c r="AD207" s="7">
        <f>$E207+(($F207-1)/12)</f>
        <v>2010.3333333333333</v>
      </c>
      <c r="AE207" s="7">
        <f>($P$5+1)-($P$2/12)</f>
        <v>2018</v>
      </c>
      <c r="AF207" s="7">
        <f>$K207+(($F207-1)/12)</f>
        <v>2020.3333333333333</v>
      </c>
      <c r="AG207" s="7">
        <f>$P$4+($P$3/12)</f>
        <v>2017</v>
      </c>
      <c r="AH207" s="7">
        <f>$L207+(($M207-1)/12)</f>
        <v>-8.3333333333333329E-2</v>
      </c>
      <c r="AJ207" s="144">
        <f t="shared" si="438"/>
        <v>0</v>
      </c>
      <c r="AL207" s="144">
        <f t="shared" si="439"/>
        <v>156.63800000000001</v>
      </c>
      <c r="AN207" s="144">
        <f t="shared" si="440"/>
        <v>0</v>
      </c>
      <c r="AP207" s="144">
        <f t="shared" si="441"/>
        <v>0</v>
      </c>
      <c r="AR207" s="144">
        <f t="shared" si="442"/>
        <v>443.80766666665477</v>
      </c>
    </row>
    <row r="208" spans="3:44">
      <c r="C208" s="1">
        <v>32</v>
      </c>
      <c r="D208" s="29" t="s">
        <v>167</v>
      </c>
      <c r="E208" s="3">
        <v>2010</v>
      </c>
      <c r="F208" s="4">
        <v>5</v>
      </c>
      <c r="G208" s="30">
        <v>0</v>
      </c>
      <c r="H208" s="7"/>
      <c r="I208" s="14" t="s">
        <v>86</v>
      </c>
      <c r="J208" s="5">
        <v>10</v>
      </c>
      <c r="K208" s="13">
        <f>E208+J208</f>
        <v>2020</v>
      </c>
      <c r="N208" s="48">
        <v>15312.58</v>
      </c>
      <c r="P208" s="7">
        <f>N208-N208*G208</f>
        <v>15312.58</v>
      </c>
      <c r="Q208" s="7">
        <f>P208/J208/12</f>
        <v>127.60483333333333</v>
      </c>
      <c r="R208" s="7">
        <f>IF(O208&gt;0,0,IF(OR(AD208&gt;AE208,AF208&lt;AG208),0,IF(AND(AF208&gt;=AG208,AF208&lt;=AE208),Q208*((AF208-AG208)*12),IF(AND(AG208&lt;=AD208,AE208&gt;=AD208),((AE208-AD208)*12)*Q208,IF(AF208&gt;AE208,12*Q208,0)))))</f>
        <v>1531.258</v>
      </c>
      <c r="T208" s="7">
        <f>IF(S208&gt;0,S208,R208)</f>
        <v>1531.258</v>
      </c>
      <c r="U208" s="7">
        <v>1</v>
      </c>
      <c r="V208" s="7">
        <f>U208*SUM(R208:S208)</f>
        <v>1531.258</v>
      </c>
      <c r="W208" s="7"/>
      <c r="X208" s="7">
        <f>IF(AD208&gt;AE208,0,IF(AF208&lt;AG208,P208,IF(AND(AF208&gt;=AG208,AF208&lt;=AE208),(P208-T208),IF(AND(AG208&lt;=AD208,AE208&gt;=AD208),0,IF(AF208&gt;AE208,((AG208-AD208)*12)*Q208,0)))))</f>
        <v>10208.386666666782</v>
      </c>
      <c r="Y208" s="7">
        <f>X208*U208</f>
        <v>10208.386666666782</v>
      </c>
      <c r="Z208" s="7">
        <v>1</v>
      </c>
      <c r="AA208" s="7">
        <f>Y208*Z208</f>
        <v>10208.386666666782</v>
      </c>
      <c r="AB208" s="7">
        <f>IF(O208&gt;0,0,AA208+V208*Z208)*Z208</f>
        <v>11739.644666666782</v>
      </c>
      <c r="AC208" s="7">
        <f>IF(O208&gt;0,(N208-AA208)/2,IF(AD208&gt;=AG208,(((N208*U208)*Z208)-AB208)/2,((((N208*U208)*Z208)-AA208)+(((N208*U208)*Z208)-AB208))/2))</f>
        <v>4338.5643333332182</v>
      </c>
      <c r="AD208" s="7">
        <f>$E208+(($F208-1)/12)</f>
        <v>2010.3333333333333</v>
      </c>
      <c r="AE208" s="7">
        <f>($P$5+1)-($P$2/12)</f>
        <v>2018</v>
      </c>
      <c r="AF208" s="7">
        <f>$K208+(($F208-1)/12)</f>
        <v>2020.3333333333333</v>
      </c>
      <c r="AG208" s="7">
        <f>$P$4+($P$3/12)</f>
        <v>2017</v>
      </c>
      <c r="AH208" s="7">
        <f>$L208+(($M208-1)/12)</f>
        <v>-8.3333333333333329E-2</v>
      </c>
      <c r="AJ208" s="144">
        <f t="shared" si="438"/>
        <v>0</v>
      </c>
      <c r="AL208" s="144">
        <f t="shared" si="439"/>
        <v>1531.258</v>
      </c>
      <c r="AN208" s="144">
        <f t="shared" si="440"/>
        <v>0</v>
      </c>
      <c r="AP208" s="144">
        <f t="shared" si="441"/>
        <v>0</v>
      </c>
      <c r="AR208" s="144">
        <f t="shared" si="442"/>
        <v>4338.5643333332182</v>
      </c>
    </row>
    <row r="209" spans="1:44">
      <c r="C209" s="1">
        <v>6</v>
      </c>
      <c r="D209" s="29" t="s">
        <v>168</v>
      </c>
      <c r="E209" s="3">
        <v>2010</v>
      </c>
      <c r="F209" s="4">
        <v>5</v>
      </c>
      <c r="G209" s="30">
        <v>0</v>
      </c>
      <c r="H209" s="7"/>
      <c r="I209" s="14" t="s">
        <v>86</v>
      </c>
      <c r="J209" s="5">
        <v>10</v>
      </c>
      <c r="K209" s="13">
        <f>E209+J209</f>
        <v>2020</v>
      </c>
      <c r="N209" s="48">
        <v>2610</v>
      </c>
      <c r="P209" s="7">
        <f>N209-N209*G209</f>
        <v>2610</v>
      </c>
      <c r="Q209" s="7">
        <f>P209/J209/12</f>
        <v>21.75</v>
      </c>
      <c r="R209" s="7">
        <f>IF(O209&gt;0,0,IF(OR(AD209&gt;AE209,AF209&lt;AG209),0,IF(AND(AF209&gt;=AG209,AF209&lt;=AE209),Q209*((AF209-AG209)*12),IF(AND(AG209&lt;=AD209,AE209&gt;=AD209),((AE209-AD209)*12)*Q209,IF(AF209&gt;AE209,12*Q209,0)))))</f>
        <v>261</v>
      </c>
      <c r="T209" s="7">
        <f>IF(S209&gt;0,S209,R209)</f>
        <v>261</v>
      </c>
      <c r="U209" s="7">
        <v>1</v>
      </c>
      <c r="V209" s="7">
        <f>U209*SUM(R209:S209)</f>
        <v>261</v>
      </c>
      <c r="W209" s="7"/>
      <c r="X209" s="7">
        <f>IF(AD209&gt;AE209,0,IF(AF209&lt;AG209,P209,IF(AND(AF209&gt;=AG209,AF209&lt;=AE209),(P209-T209),IF(AND(AG209&lt;=AD209,AE209&gt;=AD209),0,IF(AF209&gt;AE209,((AG209-AD209)*12)*Q209,0)))))</f>
        <v>1740.0000000000198</v>
      </c>
      <c r="Y209" s="7">
        <f>X209*U209</f>
        <v>1740.0000000000198</v>
      </c>
      <c r="Z209" s="7">
        <v>1</v>
      </c>
      <c r="AA209" s="7">
        <f>Y209*Z209</f>
        <v>1740.0000000000198</v>
      </c>
      <c r="AB209" s="7">
        <f>IF(O209&gt;0,0,AA209+V209*Z209)*Z209</f>
        <v>2001.0000000000198</v>
      </c>
      <c r="AC209" s="7">
        <f>IF(O209&gt;0,(N209-AA209)/2,IF(AD209&gt;=AG209,(((N209*U209)*Z209)-AB209)/2,((((N209*U209)*Z209)-AA209)+(((N209*U209)*Z209)-AB209))/2))</f>
        <v>739.49999999998022</v>
      </c>
      <c r="AD209" s="7">
        <f>$E209+(($F209-1)/12)</f>
        <v>2010.3333333333333</v>
      </c>
      <c r="AE209" s="7">
        <f>($P$5+1)-($P$2/12)</f>
        <v>2018</v>
      </c>
      <c r="AF209" s="7">
        <f>$K209+(($F209-1)/12)</f>
        <v>2020.3333333333333</v>
      </c>
      <c r="AG209" s="7">
        <f>$P$4+($P$3/12)</f>
        <v>2017</v>
      </c>
      <c r="AH209" s="7">
        <f>$L209+(($M209-1)/12)</f>
        <v>-8.3333333333333329E-2</v>
      </c>
      <c r="AJ209" s="144">
        <f t="shared" si="438"/>
        <v>0</v>
      </c>
      <c r="AL209" s="144">
        <f t="shared" si="439"/>
        <v>261</v>
      </c>
      <c r="AN209" s="144">
        <f t="shared" si="440"/>
        <v>0</v>
      </c>
      <c r="AP209" s="144">
        <f t="shared" si="441"/>
        <v>0</v>
      </c>
      <c r="AR209" s="144">
        <f t="shared" si="442"/>
        <v>739.49999999998022</v>
      </c>
    </row>
    <row r="210" spans="1:44">
      <c r="D210" s="29"/>
      <c r="G210" s="30"/>
      <c r="H210" s="7"/>
      <c r="I210" s="14"/>
      <c r="K210" s="13"/>
      <c r="N210" s="48"/>
      <c r="P210" s="7"/>
      <c r="Q210" s="7"/>
      <c r="R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J210" s="144">
        <f t="shared" si="438"/>
        <v>0</v>
      </c>
      <c r="AL210" s="144">
        <f t="shared" si="439"/>
        <v>0</v>
      </c>
      <c r="AN210" s="144">
        <f t="shared" si="440"/>
        <v>0</v>
      </c>
      <c r="AP210" s="144">
        <f t="shared" si="441"/>
        <v>0</v>
      </c>
      <c r="AR210" s="144">
        <f t="shared" si="442"/>
        <v>0</v>
      </c>
    </row>
    <row r="211" spans="1:44">
      <c r="C211" s="1">
        <v>12</v>
      </c>
      <c r="D211" s="29" t="s">
        <v>169</v>
      </c>
      <c r="E211" s="3">
        <v>2011</v>
      </c>
      <c r="F211" s="4">
        <v>5</v>
      </c>
      <c r="G211" s="30">
        <v>0</v>
      </c>
      <c r="H211" s="7"/>
      <c r="I211" s="14" t="s">
        <v>86</v>
      </c>
      <c r="J211" s="5">
        <v>7</v>
      </c>
      <c r="K211" s="13">
        <f>E211+J211</f>
        <v>2018</v>
      </c>
      <c r="N211" s="48">
        <f>32650.3/351*12</f>
        <v>1116.2495726495727</v>
      </c>
      <c r="P211" s="7">
        <f>N211-N211*G211</f>
        <v>1116.2495726495727</v>
      </c>
      <c r="Q211" s="7">
        <f>P211/J211/12</f>
        <v>13.288685388685389</v>
      </c>
      <c r="R211" s="7">
        <f>IF(O211&gt;0,0,IF(OR(AD211&gt;AE211,AF211&lt;AG211),0,IF(AND(AF211&gt;=AG211,AF211&lt;=AE211),Q211*((AF211-AG211)*12),IF(AND(AG211&lt;=AD211,AE211&gt;=AD211),((AE211-AD211)*12)*Q211,IF(AF211&gt;AE211,12*Q211,0)))))</f>
        <v>159.46422466422467</v>
      </c>
      <c r="T211" s="7">
        <f>IF(S211&gt;0,S211,R211)</f>
        <v>159.46422466422467</v>
      </c>
      <c r="U211" s="7">
        <v>1</v>
      </c>
      <c r="V211" s="7">
        <f>U211*SUM(R211:S211)</f>
        <v>159.46422466422467</v>
      </c>
      <c r="W211" s="7"/>
      <c r="X211" s="7">
        <f>IF(AD211&gt;AE211,0,IF(AF211&lt;AG211,P211,IF(AND(AF211&gt;=AG211,AF211&lt;=AE211),(P211-T211),IF(AND(AG211&lt;=AD211,AE211&gt;=AD211),0,IF(AF211&gt;AE211,((AG211-AD211)*12)*Q211,0)))))</f>
        <v>903.63060643061851</v>
      </c>
      <c r="Y211" s="7">
        <f>X211*U211</f>
        <v>903.63060643061851</v>
      </c>
      <c r="Z211" s="7">
        <v>1</v>
      </c>
      <c r="AA211" s="7">
        <f>Y211*Z211</f>
        <v>903.63060643061851</v>
      </c>
      <c r="AB211" s="7">
        <f>IF(O211&gt;0,0,AA211+V211*Z211)*Z211</f>
        <v>1063.0948310948431</v>
      </c>
      <c r="AC211" s="7">
        <f>IF(O211&gt;0,(N211-AA211)/2,IF(AD211&gt;=AG211,(((N211*U211)*Z211)-AB211)/2,((((N211*U211)*Z211)-AA211)+(((N211*U211)*Z211)-AB211))/2))</f>
        <v>132.88685388684183</v>
      </c>
      <c r="AD211" s="7">
        <f>$E211+(($F211-1)/12)</f>
        <v>2011.3333333333333</v>
      </c>
      <c r="AE211" s="7">
        <f>($P$5+1)-($P$2/12)</f>
        <v>2018</v>
      </c>
      <c r="AF211" s="7">
        <f>$K211+(($F211-1)/12)</f>
        <v>2018.3333333333333</v>
      </c>
      <c r="AG211" s="7">
        <f>$P$4+($P$3/12)</f>
        <v>2017</v>
      </c>
      <c r="AH211" s="7">
        <f>$L211+(($M211-1)/12)</f>
        <v>-8.3333333333333329E-2</v>
      </c>
      <c r="AJ211" s="144">
        <f t="shared" si="438"/>
        <v>0</v>
      </c>
      <c r="AL211" s="144">
        <f t="shared" si="439"/>
        <v>159.46422466422467</v>
      </c>
      <c r="AN211" s="144">
        <f t="shared" si="440"/>
        <v>0</v>
      </c>
      <c r="AP211" s="144">
        <f t="shared" si="441"/>
        <v>0</v>
      </c>
      <c r="AR211" s="144">
        <f t="shared" si="442"/>
        <v>132.88685388684183</v>
      </c>
    </row>
    <row r="212" spans="1:44">
      <c r="C212" s="1">
        <v>6</v>
      </c>
      <c r="D212" s="29" t="s">
        <v>170</v>
      </c>
      <c r="E212" s="3">
        <v>2011</v>
      </c>
      <c r="F212" s="4">
        <v>5</v>
      </c>
      <c r="G212" s="30">
        <v>0</v>
      </c>
      <c r="H212" s="7"/>
      <c r="I212" s="14" t="s">
        <v>86</v>
      </c>
      <c r="J212" s="5">
        <v>10</v>
      </c>
      <c r="K212" s="13">
        <f>E212+J212</f>
        <v>2021</v>
      </c>
      <c r="N212" s="48">
        <v>2610</v>
      </c>
      <c r="P212" s="7">
        <f>N212-N212*G212</f>
        <v>2610</v>
      </c>
      <c r="Q212" s="7">
        <f>P212/J212/12</f>
        <v>21.75</v>
      </c>
      <c r="R212" s="7">
        <f>IF(O212&gt;0,0,IF(OR(AD212&gt;AE212,AF212&lt;AG212),0,IF(AND(AF212&gt;=AG212,AF212&lt;=AE212),Q212*((AF212-AG212)*12),IF(AND(AG212&lt;=AD212,AE212&gt;=AD212),((AE212-AD212)*12)*Q212,IF(AF212&gt;AE212,12*Q212,0)))))</f>
        <v>261</v>
      </c>
      <c r="T212" s="7">
        <f>IF(S212&gt;0,S212,R212)</f>
        <v>261</v>
      </c>
      <c r="U212" s="7">
        <v>1</v>
      </c>
      <c r="V212" s="7">
        <f>U212*SUM(R212:S212)</f>
        <v>261</v>
      </c>
      <c r="W212" s="7"/>
      <c r="X212" s="7">
        <f>IF(AD212&gt;AE212,0,IF(AF212&lt;AG212,P212,IF(AND(AF212&gt;=AG212,AF212&lt;=AE212),(P212-T212),IF(AND(AG212&lt;=AD212,AE212&gt;=AD212),0,IF(AF212&gt;AE212,((AG212-AD212)*12)*Q212,0)))))</f>
        <v>1479.0000000000198</v>
      </c>
      <c r="Y212" s="7">
        <f>X212*U212</f>
        <v>1479.0000000000198</v>
      </c>
      <c r="Z212" s="7">
        <v>1</v>
      </c>
      <c r="AA212" s="7">
        <f>Y212*Z212</f>
        <v>1479.0000000000198</v>
      </c>
      <c r="AB212" s="7">
        <f>IF(O212&gt;0,0,AA212+V212*Z212)*Z212</f>
        <v>1740.0000000000198</v>
      </c>
      <c r="AC212" s="7">
        <f>IF(O212&gt;0,(N212-AA212)/2,IF(AD212&gt;=AG212,(((N212*U212)*Z212)-AB212)/2,((((N212*U212)*Z212)-AA212)+(((N212*U212)*Z212)-AB212))/2))</f>
        <v>1000.4999999999802</v>
      </c>
      <c r="AD212" s="7">
        <f>$E212+(($F212-1)/12)</f>
        <v>2011.3333333333333</v>
      </c>
      <c r="AE212" s="7">
        <f>($P$5+1)-($P$2/12)</f>
        <v>2018</v>
      </c>
      <c r="AF212" s="7">
        <f>$K212+(($F212-1)/12)</f>
        <v>2021.3333333333333</v>
      </c>
      <c r="AG212" s="7">
        <f>$P$4+($P$3/12)</f>
        <v>2017</v>
      </c>
      <c r="AH212" s="7">
        <f>$L212+(($M212-1)/12)</f>
        <v>-8.3333333333333329E-2</v>
      </c>
      <c r="AJ212" s="144">
        <f t="shared" si="438"/>
        <v>0</v>
      </c>
      <c r="AL212" s="144">
        <f t="shared" si="439"/>
        <v>261</v>
      </c>
      <c r="AN212" s="144">
        <f t="shared" si="440"/>
        <v>0</v>
      </c>
      <c r="AP212" s="144">
        <f t="shared" si="441"/>
        <v>0</v>
      </c>
      <c r="AR212" s="144">
        <f t="shared" si="442"/>
        <v>1000.4999999999802</v>
      </c>
    </row>
    <row r="213" spans="1:44">
      <c r="C213" s="1">
        <v>66</v>
      </c>
      <c r="D213" s="29" t="s">
        <v>171</v>
      </c>
      <c r="E213" s="3">
        <v>2011</v>
      </c>
      <c r="F213" s="4">
        <v>6</v>
      </c>
      <c r="G213" s="30">
        <v>0</v>
      </c>
      <c r="H213" s="7"/>
      <c r="I213" s="14" t="s">
        <v>86</v>
      </c>
      <c r="J213" s="5">
        <v>10</v>
      </c>
      <c r="K213" s="13">
        <f>E213+J213</f>
        <v>2021</v>
      </c>
      <c r="N213" s="48">
        <v>30588.26</v>
      </c>
      <c r="P213" s="7">
        <f>N213-N213*G213</f>
        <v>30588.26</v>
      </c>
      <c r="Q213" s="7">
        <f>P213/J213/12</f>
        <v>254.90216666666666</v>
      </c>
      <c r="R213" s="7">
        <f>IF(O213&gt;0,0,IF(OR(AD213&gt;AE213,AF213&lt;AG213),0,IF(AND(AF213&gt;=AG213,AF213&lt;=AE213),Q213*((AF213-AG213)*12),IF(AND(AG213&lt;=AD213,AE213&gt;=AD213),((AE213-AD213)*12)*Q213,IF(AF213&gt;AE213,12*Q213,0)))))</f>
        <v>3058.826</v>
      </c>
      <c r="T213" s="7">
        <f>IF(S213&gt;0,S213,R213)</f>
        <v>3058.826</v>
      </c>
      <c r="U213" s="7">
        <v>1</v>
      </c>
      <c r="V213" s="7">
        <f>U213*SUM(R213:S213)</f>
        <v>3058.826</v>
      </c>
      <c r="W213" s="7"/>
      <c r="X213" s="7">
        <f>IF(AD213&gt;AE213,0,IF(AF213&lt;AG213,P213,IF(AND(AF213&gt;=AG213,AF213&lt;=AE213),(P213-T213),IF(AND(AG213&lt;=AD213,AE213&gt;=AD213),0,IF(AF213&gt;AE213,((AG213-AD213)*12)*Q213,0)))))</f>
        <v>17078.445166666435</v>
      </c>
      <c r="Y213" s="7">
        <f>X213*U213</f>
        <v>17078.445166666435</v>
      </c>
      <c r="Z213" s="7">
        <v>1</v>
      </c>
      <c r="AA213" s="7">
        <f>Y213*Z213</f>
        <v>17078.445166666435</v>
      </c>
      <c r="AB213" s="7">
        <f>IF(O213&gt;0,0,AA213+V213*Z213)*Z213</f>
        <v>20137.271166666436</v>
      </c>
      <c r="AC213" s="7">
        <f>IF(O213&gt;0,(N213-AA213)/2,IF(AD213&gt;=AG213,(((N213*U213)*Z213)-AB213)/2,((((N213*U213)*Z213)-AA213)+(((N213*U213)*Z213)-AB213))/2))</f>
        <v>11980.401833333563</v>
      </c>
      <c r="AD213" s="7">
        <f>$E213+(($F213-1)/12)</f>
        <v>2011.4166666666667</v>
      </c>
      <c r="AE213" s="7">
        <f>($P$5+1)-($P$2/12)</f>
        <v>2018</v>
      </c>
      <c r="AF213" s="7">
        <f>$K213+(($F213-1)/12)</f>
        <v>2021.4166666666667</v>
      </c>
      <c r="AG213" s="7">
        <f>$P$4+($P$3/12)</f>
        <v>2017</v>
      </c>
      <c r="AH213" s="7">
        <f>$L213+(($M213-1)/12)</f>
        <v>-8.3333333333333329E-2</v>
      </c>
      <c r="AJ213" s="144">
        <f t="shared" si="438"/>
        <v>0</v>
      </c>
      <c r="AL213" s="144">
        <f t="shared" si="439"/>
        <v>3058.826</v>
      </c>
      <c r="AN213" s="144">
        <f t="shared" si="440"/>
        <v>0</v>
      </c>
      <c r="AP213" s="144">
        <f t="shared" si="441"/>
        <v>0</v>
      </c>
      <c r="AR213" s="144">
        <f t="shared" si="442"/>
        <v>11980.401833333563</v>
      </c>
    </row>
    <row r="214" spans="1:44">
      <c r="D214" s="29"/>
      <c r="G214" s="30"/>
      <c r="H214" s="7"/>
      <c r="I214" s="14"/>
      <c r="K214" s="13"/>
      <c r="N214" s="48"/>
      <c r="P214" s="7"/>
      <c r="Q214" s="7"/>
      <c r="R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J214" s="144">
        <f t="shared" si="438"/>
        <v>0</v>
      </c>
      <c r="AL214" s="144">
        <f t="shared" si="439"/>
        <v>0</v>
      </c>
      <c r="AN214" s="144">
        <f t="shared" si="440"/>
        <v>0</v>
      </c>
      <c r="AP214" s="144">
        <f t="shared" si="441"/>
        <v>0</v>
      </c>
      <c r="AR214" s="144">
        <f t="shared" si="442"/>
        <v>0</v>
      </c>
    </row>
    <row r="215" spans="1:44">
      <c r="A215" s="1">
        <v>93744</v>
      </c>
      <c r="C215" s="1">
        <v>23</v>
      </c>
      <c r="D215" s="29" t="s">
        <v>172</v>
      </c>
      <c r="E215" s="3">
        <v>2012</v>
      </c>
      <c r="F215" s="4">
        <v>4</v>
      </c>
      <c r="G215" s="30">
        <v>0</v>
      </c>
      <c r="H215" s="7"/>
      <c r="I215" s="14" t="s">
        <v>86</v>
      </c>
      <c r="J215" s="5">
        <v>10</v>
      </c>
      <c r="K215" s="13">
        <f>E215+J215</f>
        <v>2022</v>
      </c>
      <c r="N215" s="48">
        <v>10925</v>
      </c>
      <c r="P215" s="7">
        <f t="shared" ref="P215:P222" si="446">N215-N215*G215</f>
        <v>10925</v>
      </c>
      <c r="Q215" s="7">
        <f t="shared" ref="Q215:Q222" si="447">P215/J215/12</f>
        <v>91.041666666666671</v>
      </c>
      <c r="R215" s="7">
        <f>IF(O215&gt;0,0,IF(OR(AD215&gt;AE215,AF215&lt;AG215),0,IF(AND(AF215&gt;=AG215,AF215&lt;=AE215),Q215*((AF215-AG215)*12),IF(AND(AG215&lt;=AD215,AE215&gt;=AD215),((AE215-AD215)*12)*Q215,IF(AF215&gt;AE215,12*Q215,0)))))</f>
        <v>1092.5</v>
      </c>
      <c r="T215" s="7">
        <f>IF(S215&gt;0,S215,R215)</f>
        <v>1092.5</v>
      </c>
      <c r="U215" s="7">
        <v>1</v>
      </c>
      <c r="V215" s="7">
        <f>U215*SUM(R215:S215)</f>
        <v>1092.5</v>
      </c>
      <c r="W215" s="7"/>
      <c r="X215" s="7">
        <f>IF(AD215&gt;AE215,0,IF(AF215&lt;AG215,P215,IF(AND(AF215&gt;=AG215,AF215&lt;=AE215),(P215-T215),IF(AND(AG215&lt;=AD215,AE215&gt;=AD215),0,IF(AF215&gt;AE215,((AG215-AD215)*12)*Q215,0)))))</f>
        <v>5189.375</v>
      </c>
      <c r="Y215" s="7">
        <f>X215*U215</f>
        <v>5189.375</v>
      </c>
      <c r="Z215" s="7">
        <v>1</v>
      </c>
      <c r="AA215" s="7">
        <f>Y215*Z215</f>
        <v>5189.375</v>
      </c>
      <c r="AB215" s="7">
        <f>IF(O215&gt;0,0,AA215+V215*Z215)*Z215</f>
        <v>6281.875</v>
      </c>
      <c r="AC215" s="7">
        <f>IF(O215&gt;0,(N215-AA215)/2,IF(AD215&gt;=AG215,(((N215*U215)*Z215)-AB215)/2,((((N215*U215)*Z215)-AA215)+(((N215*U215)*Z215)-AB215))/2))</f>
        <v>5189.375</v>
      </c>
      <c r="AD215" s="7">
        <f>$E215+(($F215-1)/12)</f>
        <v>2012.25</v>
      </c>
      <c r="AE215" s="7">
        <f>($P$5+1)-($P$2/12)</f>
        <v>2018</v>
      </c>
      <c r="AF215" s="7">
        <f>$K215+(($F215-1)/12)</f>
        <v>2022.25</v>
      </c>
      <c r="AG215" s="7">
        <f>$P$4+($P$3/12)</f>
        <v>2017</v>
      </c>
      <c r="AH215" s="7">
        <f>$L215+(($M215-1)/12)</f>
        <v>-8.3333333333333329E-2</v>
      </c>
      <c r="AJ215" s="144">
        <f t="shared" si="438"/>
        <v>0</v>
      </c>
      <c r="AL215" s="144">
        <f t="shared" si="439"/>
        <v>1092.5</v>
      </c>
      <c r="AN215" s="144">
        <f t="shared" si="440"/>
        <v>0</v>
      </c>
      <c r="AP215" s="144">
        <f t="shared" si="441"/>
        <v>0</v>
      </c>
      <c r="AR215" s="144">
        <f t="shared" si="442"/>
        <v>5189.375</v>
      </c>
    </row>
    <row r="216" spans="1:44">
      <c r="A216" s="1">
        <v>103832</v>
      </c>
      <c r="C216" s="1">
        <v>23</v>
      </c>
      <c r="D216" s="29" t="s">
        <v>296</v>
      </c>
      <c r="E216" s="3">
        <v>2013</v>
      </c>
      <c r="F216" s="4">
        <v>4</v>
      </c>
      <c r="G216" s="30">
        <v>0</v>
      </c>
      <c r="H216" s="7"/>
      <c r="I216" s="14" t="s">
        <v>86</v>
      </c>
      <c r="J216" s="5">
        <v>10</v>
      </c>
      <c r="K216" s="13">
        <f>E216+J216</f>
        <v>2023</v>
      </c>
      <c r="N216" s="48">
        <v>10212</v>
      </c>
      <c r="P216" s="7">
        <f t="shared" si="446"/>
        <v>10212</v>
      </c>
      <c r="Q216" s="7">
        <f t="shared" si="447"/>
        <v>85.100000000000009</v>
      </c>
      <c r="R216" s="7">
        <f>IF(O216&gt;0,0,IF(OR(AD216&gt;AE216,AF216&lt;AG216),0,IF(AND(AF216&gt;=AG216,AF216&lt;=AE216),Q216*((AF216-AG216)*12),IF(AND(AG216&lt;=AD216,AE216&gt;=AD216),((AE216-AD216)*12)*Q216,IF(AF216&gt;AE216,12*Q216,0)))))</f>
        <v>1021.2</v>
      </c>
      <c r="T216" s="7">
        <f>IF(S216&gt;0,S216,R216)</f>
        <v>1021.2</v>
      </c>
      <c r="U216" s="7">
        <v>1</v>
      </c>
      <c r="V216" s="7">
        <f>U216*SUM(R216:S216)</f>
        <v>1021.2</v>
      </c>
      <c r="W216" s="7"/>
      <c r="X216" s="7">
        <f>IF(AD216&gt;AE216,0,IF(AF216&lt;AG216,P216,IF(AND(AF216&gt;=AG216,AF216&lt;=AE216),(P216-T216),IF(AND(AG216&lt;=AD216,AE216&gt;=AD216),0,IF(AF216&gt;AE216,((AG216-AD216)*12)*Q216,0)))))</f>
        <v>3829.5000000000005</v>
      </c>
      <c r="Y216" s="7">
        <f>X216*U216</f>
        <v>3829.5000000000005</v>
      </c>
      <c r="Z216" s="7">
        <v>1</v>
      </c>
      <c r="AA216" s="7">
        <f>Y216*Z216</f>
        <v>3829.5000000000005</v>
      </c>
      <c r="AB216" s="7">
        <f>IF(O216&gt;0,0,AA216+V216*Z216)*Z216</f>
        <v>4850.7000000000007</v>
      </c>
      <c r="AC216" s="7">
        <f>IF(O216&gt;0,(N216-AA216)/2,IF(AD216&gt;=AG216,(((N216*U216)*Z216)-AB216)/2,((((N216*U216)*Z216)-AA216)+(((N216*U216)*Z216)-AB216))/2))</f>
        <v>5871.9</v>
      </c>
      <c r="AD216" s="7">
        <f>$E216+(($F216-1)/12)</f>
        <v>2013.25</v>
      </c>
      <c r="AE216" s="7">
        <f>($P$5+1)-($P$2/12)</f>
        <v>2018</v>
      </c>
      <c r="AF216" s="7">
        <f>$K216+(($F216-1)/12)</f>
        <v>2023.25</v>
      </c>
      <c r="AG216" s="7">
        <f>$P$4+($P$3/12)</f>
        <v>2017</v>
      </c>
      <c r="AH216" s="7">
        <f>$L216+(($M216-1)/12)</f>
        <v>-8.3333333333333329E-2</v>
      </c>
      <c r="AJ216" s="144">
        <f t="shared" si="438"/>
        <v>0</v>
      </c>
      <c r="AL216" s="144">
        <f t="shared" si="439"/>
        <v>1021.2</v>
      </c>
      <c r="AN216" s="144">
        <f t="shared" si="440"/>
        <v>0</v>
      </c>
      <c r="AP216" s="144">
        <f t="shared" si="441"/>
        <v>0</v>
      </c>
      <c r="AR216" s="144">
        <f t="shared" si="442"/>
        <v>5871.9</v>
      </c>
    </row>
    <row r="217" spans="1:44">
      <c r="A217" s="1">
        <v>107424</v>
      </c>
      <c r="C217" s="1">
        <v>10</v>
      </c>
      <c r="D217" s="29" t="s">
        <v>299</v>
      </c>
      <c r="E217" s="3">
        <v>2013</v>
      </c>
      <c r="F217" s="4">
        <v>9</v>
      </c>
      <c r="G217" s="30">
        <v>0</v>
      </c>
      <c r="H217" s="7"/>
      <c r="I217" s="14" t="s">
        <v>86</v>
      </c>
      <c r="J217" s="5">
        <v>10</v>
      </c>
      <c r="K217" s="13">
        <f>E217+J217</f>
        <v>2023</v>
      </c>
      <c r="N217" s="48">
        <v>4100</v>
      </c>
      <c r="P217" s="7">
        <f t="shared" si="446"/>
        <v>4100</v>
      </c>
      <c r="Q217" s="7">
        <f t="shared" si="447"/>
        <v>34.166666666666664</v>
      </c>
      <c r="R217" s="7">
        <f>IF(O217&gt;0,0,IF(OR(AD217&gt;AE217,AF217&lt;AG217),0,IF(AND(AF217&gt;=AG217,AF217&lt;=AE217),Q217*((AF217-AG217)*12),IF(AND(AG217&lt;=AD217,AE217&gt;=AD217),((AE217-AD217)*12)*Q217,IF(AF217&gt;AE217,12*Q217,0)))))</f>
        <v>410</v>
      </c>
      <c r="T217" s="7">
        <f>IF(S217&gt;0,S217,R217)</f>
        <v>410</v>
      </c>
      <c r="U217" s="7">
        <v>1</v>
      </c>
      <c r="V217" s="7">
        <f>U217*SUM(R217:S217)</f>
        <v>410</v>
      </c>
      <c r="W217" s="7"/>
      <c r="X217" s="7">
        <f>IF(AD217&gt;AE217,0,IF(AF217&lt;AG217,P217,IF(AND(AF217&gt;=AG217,AF217&lt;=AE217),(P217-T217),IF(AND(AG217&lt;=AD217,AE217&gt;=AD217),0,IF(AF217&gt;AE217,((AG217-AD217)*12)*Q217,0)))))</f>
        <v>1366.6666666666356</v>
      </c>
      <c r="Y217" s="7">
        <f>X217*U217</f>
        <v>1366.6666666666356</v>
      </c>
      <c r="Z217" s="7">
        <v>1</v>
      </c>
      <c r="AA217" s="7">
        <f>Y217*Z217</f>
        <v>1366.6666666666356</v>
      </c>
      <c r="AB217" s="7">
        <f>IF(O217&gt;0,0,AA217+V217*Z217)*Z217</f>
        <v>1776.6666666666356</v>
      </c>
      <c r="AC217" s="7">
        <f>IF(O217&gt;0,(N217-AA217)/2,IF(AD217&gt;=AG217,(((N217*U217)*Z217)-AB217)/2,((((N217*U217)*Z217)-AA217)+(((N217*U217)*Z217)-AB217))/2))</f>
        <v>2528.3333333333644</v>
      </c>
      <c r="AD217" s="7">
        <f>$E217+(($F217-1)/12)</f>
        <v>2013.6666666666667</v>
      </c>
      <c r="AE217" s="7">
        <f>($P$5+1)-($P$2/12)</f>
        <v>2018</v>
      </c>
      <c r="AF217" s="7">
        <f>$K217+(($F217-1)/12)</f>
        <v>2023.6666666666667</v>
      </c>
      <c r="AG217" s="7">
        <f>$P$4+($P$3/12)</f>
        <v>2017</v>
      </c>
      <c r="AH217" s="7">
        <f>$L217+(($M217-1)/12)</f>
        <v>-8.3333333333333329E-2</v>
      </c>
      <c r="AJ217" s="144">
        <f t="shared" si="438"/>
        <v>0</v>
      </c>
      <c r="AL217" s="144">
        <f t="shared" si="439"/>
        <v>410</v>
      </c>
      <c r="AN217" s="144">
        <f t="shared" si="440"/>
        <v>0</v>
      </c>
      <c r="AP217" s="144">
        <f t="shared" si="441"/>
        <v>0</v>
      </c>
      <c r="AR217" s="144">
        <f t="shared" si="442"/>
        <v>2528.3333333333644</v>
      </c>
    </row>
    <row r="218" spans="1:44">
      <c r="A218" s="1">
        <v>115364</v>
      </c>
      <c r="C218" s="1">
        <v>25</v>
      </c>
      <c r="D218" s="29" t="s">
        <v>315</v>
      </c>
      <c r="E218" s="3">
        <v>2014</v>
      </c>
      <c r="F218" s="4">
        <v>8</v>
      </c>
      <c r="G218" s="30">
        <v>0</v>
      </c>
      <c r="H218" s="7"/>
      <c r="I218" s="14" t="s">
        <v>86</v>
      </c>
      <c r="J218" s="5">
        <v>10</v>
      </c>
      <c r="K218" s="13">
        <f>E218+J218</f>
        <v>2024</v>
      </c>
      <c r="N218" s="48">
        <v>11750</v>
      </c>
      <c r="P218" s="7">
        <f t="shared" si="446"/>
        <v>11750</v>
      </c>
      <c r="Q218" s="7">
        <f t="shared" si="447"/>
        <v>97.916666666666671</v>
      </c>
      <c r="R218" s="7">
        <f t="shared" ref="R218:R220" si="448">IF(O218&gt;0,0,IF(OR(AD218&gt;AE218,AF218&lt;AG218),0,IF(AND(AF218&gt;=AG218,AF218&lt;=AE218),Q218*((AF218-AG218)*12),IF(AND(AG218&lt;=AD218,AE218&gt;=AD218),((AE218-AD218)*12)*Q218,IF(AF218&gt;AE218,12*Q218,0)))))</f>
        <v>1175</v>
      </c>
      <c r="T218" s="7">
        <f t="shared" ref="T218:T220" si="449">IF(S218&gt;0,S218,R218)</f>
        <v>1175</v>
      </c>
      <c r="U218" s="7">
        <v>1</v>
      </c>
      <c r="V218" s="7">
        <f t="shared" ref="V218:V220" si="450">U218*SUM(R218:S218)</f>
        <v>1175</v>
      </c>
      <c r="W218" s="7"/>
      <c r="X218" s="7">
        <f t="shared" ref="X218:X220" si="451">IF(AD218&gt;AE218,0,IF(AF218&lt;AG218,P218,IF(AND(AF218&gt;=AG218,AF218&lt;=AE218),(P218-T218),IF(AND(AG218&lt;=AD218,AE218&gt;=AD218),0,IF(AF218&gt;AE218,((AG218-AD218)*12)*Q218,0)))))</f>
        <v>2839.5833333334226</v>
      </c>
      <c r="Y218" s="7">
        <f t="shared" ref="Y218:Y220" si="452">X218*U218</f>
        <v>2839.5833333334226</v>
      </c>
      <c r="Z218" s="7">
        <v>1</v>
      </c>
      <c r="AA218" s="7">
        <f t="shared" ref="AA218:AA220" si="453">Y218*Z218</f>
        <v>2839.5833333334226</v>
      </c>
      <c r="AB218" s="7">
        <f t="shared" ref="AB218:AB220" si="454">IF(O218&gt;0,0,AA218+V218*Z218)*Z218</f>
        <v>4014.5833333334226</v>
      </c>
      <c r="AC218" s="7">
        <f t="shared" ref="AC218:AC220" si="455">IF(O218&gt;0,(N218-AA218)/2,IF(AD218&gt;=AG218,(((N218*U218)*Z218)-AB218)/2,((((N218*U218)*Z218)-AA218)+(((N218*U218)*Z218)-AB218))/2))</f>
        <v>8322.9166666665769</v>
      </c>
      <c r="AD218" s="7">
        <f t="shared" ref="AD218:AD228" si="456">$E218+(($F218-1)/12)</f>
        <v>2014.5833333333333</v>
      </c>
      <c r="AE218" s="7">
        <f t="shared" ref="AE218:AE228" si="457">($P$5+1)-($P$2/12)</f>
        <v>2018</v>
      </c>
      <c r="AF218" s="7">
        <f t="shared" ref="AF218:AF228" si="458">$K218+(($F218-1)/12)</f>
        <v>2024.5833333333333</v>
      </c>
      <c r="AG218" s="7">
        <f t="shared" ref="AG218:AG228" si="459">$P$4+($P$3/12)</f>
        <v>2017</v>
      </c>
      <c r="AH218" s="7">
        <f t="shared" ref="AH218:AH228" si="460">$L218+(($M218-1)/12)</f>
        <v>-8.3333333333333329E-2</v>
      </c>
      <c r="AJ218" s="144">
        <f t="shared" si="438"/>
        <v>0</v>
      </c>
      <c r="AL218" s="144">
        <f t="shared" si="439"/>
        <v>1175</v>
      </c>
      <c r="AN218" s="144">
        <f t="shared" si="440"/>
        <v>0</v>
      </c>
      <c r="AP218" s="144">
        <f t="shared" si="441"/>
        <v>0</v>
      </c>
      <c r="AR218" s="144">
        <f t="shared" si="442"/>
        <v>8322.9166666665769</v>
      </c>
    </row>
    <row r="219" spans="1:44">
      <c r="A219" s="1">
        <v>115252</v>
      </c>
      <c r="C219" s="1">
        <v>18</v>
      </c>
      <c r="D219" s="29" t="s">
        <v>315</v>
      </c>
      <c r="E219" s="3">
        <v>2014</v>
      </c>
      <c r="F219" s="4">
        <v>8</v>
      </c>
      <c r="G219" s="30">
        <v>0</v>
      </c>
      <c r="H219" s="7"/>
      <c r="I219" s="14" t="s">
        <v>86</v>
      </c>
      <c r="J219" s="5">
        <v>10</v>
      </c>
      <c r="K219" s="13">
        <f t="shared" ref="K219:K223" si="461">E219+J219</f>
        <v>2024</v>
      </c>
      <c r="N219" s="48">
        <v>8460</v>
      </c>
      <c r="P219" s="7">
        <f t="shared" si="446"/>
        <v>8460</v>
      </c>
      <c r="Q219" s="7">
        <f t="shared" si="447"/>
        <v>70.5</v>
      </c>
      <c r="R219" s="7">
        <f t="shared" si="448"/>
        <v>846</v>
      </c>
      <c r="T219" s="7">
        <f t="shared" si="449"/>
        <v>846</v>
      </c>
      <c r="U219" s="7">
        <v>1</v>
      </c>
      <c r="V219" s="7">
        <f t="shared" si="450"/>
        <v>846</v>
      </c>
      <c r="W219" s="7"/>
      <c r="X219" s="7">
        <f t="shared" si="451"/>
        <v>2044.5000000000641</v>
      </c>
      <c r="Y219" s="7">
        <f t="shared" si="452"/>
        <v>2044.5000000000641</v>
      </c>
      <c r="Z219" s="7">
        <v>1</v>
      </c>
      <c r="AA219" s="7">
        <f t="shared" si="453"/>
        <v>2044.5000000000641</v>
      </c>
      <c r="AB219" s="7">
        <f t="shared" si="454"/>
        <v>2890.5000000000641</v>
      </c>
      <c r="AC219" s="7">
        <f t="shared" si="455"/>
        <v>5992.4999999999363</v>
      </c>
      <c r="AD219" s="7">
        <f t="shared" si="456"/>
        <v>2014.5833333333333</v>
      </c>
      <c r="AE219" s="7">
        <f t="shared" si="457"/>
        <v>2018</v>
      </c>
      <c r="AF219" s="7">
        <f t="shared" si="458"/>
        <v>2024.5833333333333</v>
      </c>
      <c r="AG219" s="7">
        <f t="shared" si="459"/>
        <v>2017</v>
      </c>
      <c r="AH219" s="7">
        <f t="shared" si="460"/>
        <v>-8.3333333333333329E-2</v>
      </c>
      <c r="AJ219" s="144">
        <f t="shared" si="438"/>
        <v>0</v>
      </c>
      <c r="AL219" s="144">
        <f t="shared" si="439"/>
        <v>846</v>
      </c>
      <c r="AN219" s="144">
        <f t="shared" si="440"/>
        <v>0</v>
      </c>
      <c r="AP219" s="144">
        <f t="shared" si="441"/>
        <v>0</v>
      </c>
      <c r="AR219" s="144">
        <f t="shared" si="442"/>
        <v>5992.4999999999363</v>
      </c>
    </row>
    <row r="220" spans="1:44">
      <c r="A220" s="1">
        <v>115251</v>
      </c>
      <c r="C220" s="1">
        <v>35</v>
      </c>
      <c r="D220" s="29" t="s">
        <v>314</v>
      </c>
      <c r="E220" s="3">
        <v>2014</v>
      </c>
      <c r="F220" s="4">
        <v>8</v>
      </c>
      <c r="G220" s="30">
        <v>0</v>
      </c>
      <c r="H220" s="7"/>
      <c r="I220" s="14" t="s">
        <v>86</v>
      </c>
      <c r="J220" s="5">
        <v>10</v>
      </c>
      <c r="K220" s="13">
        <f t="shared" si="461"/>
        <v>2024</v>
      </c>
      <c r="N220" s="48">
        <v>15400</v>
      </c>
      <c r="P220" s="7">
        <f t="shared" si="446"/>
        <v>15400</v>
      </c>
      <c r="Q220" s="7">
        <f t="shared" si="447"/>
        <v>128.33333333333334</v>
      </c>
      <c r="R220" s="7">
        <f t="shared" si="448"/>
        <v>1540</v>
      </c>
      <c r="T220" s="7">
        <f t="shared" si="449"/>
        <v>1540</v>
      </c>
      <c r="U220" s="7">
        <v>1</v>
      </c>
      <c r="V220" s="7">
        <f t="shared" si="450"/>
        <v>1540</v>
      </c>
      <c r="W220" s="7"/>
      <c r="X220" s="7">
        <f t="shared" si="451"/>
        <v>3721.6666666667838</v>
      </c>
      <c r="Y220" s="7">
        <f t="shared" si="452"/>
        <v>3721.6666666667838</v>
      </c>
      <c r="Z220" s="7">
        <v>1</v>
      </c>
      <c r="AA220" s="7">
        <f t="shared" si="453"/>
        <v>3721.6666666667838</v>
      </c>
      <c r="AB220" s="7">
        <f t="shared" si="454"/>
        <v>5261.6666666667843</v>
      </c>
      <c r="AC220" s="7">
        <f t="shared" si="455"/>
        <v>10908.333333333216</v>
      </c>
      <c r="AD220" s="7">
        <f t="shared" si="456"/>
        <v>2014.5833333333333</v>
      </c>
      <c r="AE220" s="7">
        <f t="shared" si="457"/>
        <v>2018</v>
      </c>
      <c r="AF220" s="7">
        <f t="shared" si="458"/>
        <v>2024.5833333333333</v>
      </c>
      <c r="AG220" s="7">
        <f t="shared" si="459"/>
        <v>2017</v>
      </c>
      <c r="AH220" s="7">
        <f t="shared" si="460"/>
        <v>-8.3333333333333329E-2</v>
      </c>
      <c r="AJ220" s="144">
        <f t="shared" si="438"/>
        <v>0</v>
      </c>
      <c r="AL220" s="144">
        <f t="shared" si="439"/>
        <v>1540</v>
      </c>
      <c r="AN220" s="144">
        <f t="shared" si="440"/>
        <v>0</v>
      </c>
      <c r="AP220" s="144">
        <f t="shared" si="441"/>
        <v>0</v>
      </c>
      <c r="AR220" s="144">
        <f t="shared" si="442"/>
        <v>10908.333333333216</v>
      </c>
    </row>
    <row r="221" spans="1:44">
      <c r="A221" s="1">
        <v>124067</v>
      </c>
      <c r="C221" s="1">
        <v>25</v>
      </c>
      <c r="D221" s="29" t="s">
        <v>314</v>
      </c>
      <c r="E221" s="3">
        <v>2015</v>
      </c>
      <c r="F221" s="4">
        <v>7</v>
      </c>
      <c r="G221" s="30">
        <v>0</v>
      </c>
      <c r="H221" s="7"/>
      <c r="I221" s="14" t="s">
        <v>86</v>
      </c>
      <c r="J221" s="5">
        <v>10</v>
      </c>
      <c r="K221" s="13">
        <f t="shared" si="461"/>
        <v>2025</v>
      </c>
      <c r="N221" s="48">
        <v>10875</v>
      </c>
      <c r="P221" s="7">
        <f t="shared" si="446"/>
        <v>10875</v>
      </c>
      <c r="Q221" s="7">
        <f t="shared" si="447"/>
        <v>90.625</v>
      </c>
      <c r="R221" s="7">
        <f t="shared" ref="R221:R222" si="462">IF(O221&gt;0,0,IF(OR(AD221&gt;AE221,AF221&lt;AG221),0,IF(AND(AF221&gt;=AG221,AF221&lt;=AE221),Q221*((AF221-AG221)*12),IF(AND(AG221&lt;=AD221,AE221&gt;=AD221),((AE221-AD221)*12)*Q221,IF(AF221&gt;AE221,12*Q221,0)))))</f>
        <v>1087.5</v>
      </c>
      <c r="T221" s="7">
        <f t="shared" ref="T221:T222" si="463">IF(S221&gt;0,S221,R221)</f>
        <v>1087.5</v>
      </c>
      <c r="U221" s="7">
        <v>1</v>
      </c>
      <c r="V221" s="7">
        <f t="shared" ref="V221:V222" si="464">U221*SUM(R221:S221)</f>
        <v>1087.5</v>
      </c>
      <c r="W221" s="7"/>
      <c r="X221" s="7">
        <f t="shared" ref="X221:X222" si="465">IF(AD221&gt;AE221,0,IF(AF221&lt;AG221,P221,IF(AND(AF221&gt;=AG221,AF221&lt;=AE221),(P221-T221),IF(AND(AG221&lt;=AD221,AE221&gt;=AD221),0,IF(AF221&gt;AE221,((AG221-AD221)*12)*Q221,0)))))</f>
        <v>1631.25</v>
      </c>
      <c r="Y221" s="7">
        <f t="shared" ref="Y221:Y222" si="466">X221*U221</f>
        <v>1631.25</v>
      </c>
      <c r="Z221" s="7">
        <v>1</v>
      </c>
      <c r="AA221" s="7">
        <f t="shared" ref="AA221:AA222" si="467">Y221*Z221</f>
        <v>1631.25</v>
      </c>
      <c r="AB221" s="7">
        <f t="shared" ref="AB221:AB222" si="468">IF(O221&gt;0,0,AA221+V221*Z221)*Z221</f>
        <v>2718.75</v>
      </c>
      <c r="AC221" s="7">
        <f t="shared" ref="AC221:AC222" si="469">IF(O221&gt;0,(N221-AA221)/2,IF(AD221&gt;=AG221,(((N221*U221)*Z221)-AB221)/2,((((N221*U221)*Z221)-AA221)+(((N221*U221)*Z221)-AB221))/2))</f>
        <v>8700</v>
      </c>
      <c r="AD221" s="7">
        <f t="shared" si="456"/>
        <v>2015.5</v>
      </c>
      <c r="AE221" s="7">
        <f t="shared" si="457"/>
        <v>2018</v>
      </c>
      <c r="AF221" s="7">
        <f t="shared" si="458"/>
        <v>2025.5</v>
      </c>
      <c r="AG221" s="7">
        <f t="shared" si="459"/>
        <v>2017</v>
      </c>
      <c r="AH221" s="7">
        <f t="shared" si="460"/>
        <v>-8.3333333333333329E-2</v>
      </c>
      <c r="AJ221" s="144">
        <f t="shared" si="438"/>
        <v>0</v>
      </c>
      <c r="AL221" s="144">
        <f t="shared" si="439"/>
        <v>1087.5</v>
      </c>
      <c r="AN221" s="144">
        <f t="shared" si="440"/>
        <v>0</v>
      </c>
      <c r="AP221" s="144">
        <f t="shared" si="441"/>
        <v>0</v>
      </c>
      <c r="AR221" s="144">
        <f t="shared" si="442"/>
        <v>8700</v>
      </c>
    </row>
    <row r="222" spans="1:44">
      <c r="A222" s="1">
        <v>124068</v>
      </c>
      <c r="C222" s="1">
        <v>44</v>
      </c>
      <c r="D222" s="29" t="s">
        <v>315</v>
      </c>
      <c r="E222" s="3">
        <v>2015</v>
      </c>
      <c r="F222" s="4">
        <v>7</v>
      </c>
      <c r="G222" s="30">
        <v>0</v>
      </c>
      <c r="H222" s="7"/>
      <c r="I222" s="14" t="s">
        <v>86</v>
      </c>
      <c r="J222" s="5">
        <v>10</v>
      </c>
      <c r="K222" s="13">
        <f t="shared" si="461"/>
        <v>2025</v>
      </c>
      <c r="N222" s="48">
        <v>20328</v>
      </c>
      <c r="P222" s="7">
        <f t="shared" si="446"/>
        <v>20328</v>
      </c>
      <c r="Q222" s="7">
        <f t="shared" si="447"/>
        <v>169.4</v>
      </c>
      <c r="R222" s="7">
        <f t="shared" si="462"/>
        <v>2032.8000000000002</v>
      </c>
      <c r="T222" s="7">
        <f t="shared" si="463"/>
        <v>2032.8000000000002</v>
      </c>
      <c r="U222" s="7">
        <v>1</v>
      </c>
      <c r="V222" s="7">
        <f t="shared" si="464"/>
        <v>2032.8000000000002</v>
      </c>
      <c r="W222" s="7"/>
      <c r="X222" s="7">
        <f t="shared" si="465"/>
        <v>3049.2000000000003</v>
      </c>
      <c r="Y222" s="7">
        <f t="shared" si="466"/>
        <v>3049.2000000000003</v>
      </c>
      <c r="Z222" s="7">
        <v>1</v>
      </c>
      <c r="AA222" s="7">
        <f t="shared" si="467"/>
        <v>3049.2000000000003</v>
      </c>
      <c r="AB222" s="7">
        <f t="shared" si="468"/>
        <v>5082</v>
      </c>
      <c r="AC222" s="7">
        <f t="shared" si="469"/>
        <v>16262.4</v>
      </c>
      <c r="AD222" s="7">
        <f t="shared" si="456"/>
        <v>2015.5</v>
      </c>
      <c r="AE222" s="7">
        <f t="shared" si="457"/>
        <v>2018</v>
      </c>
      <c r="AF222" s="7">
        <f t="shared" si="458"/>
        <v>2025.5</v>
      </c>
      <c r="AG222" s="7">
        <f t="shared" si="459"/>
        <v>2017</v>
      </c>
      <c r="AH222" s="7">
        <f t="shared" si="460"/>
        <v>-8.3333333333333329E-2</v>
      </c>
      <c r="AJ222" s="144">
        <f t="shared" si="438"/>
        <v>0</v>
      </c>
      <c r="AL222" s="144">
        <f t="shared" si="439"/>
        <v>2032.8000000000002</v>
      </c>
      <c r="AN222" s="144">
        <f t="shared" si="440"/>
        <v>0</v>
      </c>
      <c r="AP222" s="144">
        <f t="shared" si="441"/>
        <v>0</v>
      </c>
      <c r="AR222" s="144">
        <f t="shared" si="442"/>
        <v>16262.4</v>
      </c>
    </row>
    <row r="223" spans="1:44">
      <c r="A223" s="1" t="s">
        <v>341</v>
      </c>
      <c r="C223" s="1">
        <f>45</f>
        <v>45</v>
      </c>
      <c r="D223" s="29" t="s">
        <v>315</v>
      </c>
      <c r="E223" s="3">
        <v>2016</v>
      </c>
      <c r="F223" s="4">
        <v>2</v>
      </c>
      <c r="G223" s="30">
        <v>0</v>
      </c>
      <c r="H223" s="7"/>
      <c r="I223" s="14" t="s">
        <v>86</v>
      </c>
      <c r="J223" s="5">
        <v>10</v>
      </c>
      <c r="K223" s="13">
        <f t="shared" si="461"/>
        <v>2026</v>
      </c>
      <c r="N223" s="55">
        <f>20900+520</f>
        <v>21420</v>
      </c>
      <c r="P223" s="7">
        <f t="shared" ref="P223:P228" si="470">N223-N223*G223</f>
        <v>21420</v>
      </c>
      <c r="Q223" s="7">
        <f t="shared" ref="Q223:Q228" si="471">P223/J223/12</f>
        <v>178.5</v>
      </c>
      <c r="R223" s="7">
        <f t="shared" ref="R223:R225" si="472">IF(O223&gt;0,0,IF(OR(AD223&gt;AE223,AF223&lt;AG223),0,IF(AND(AF223&gt;=AG223,AF223&lt;=AE223),Q223*((AF223-AG223)*12),IF(AND(AG223&lt;=AD223,AE223&gt;=AD223),((AE223-AD223)*12)*Q223,IF(AF223&gt;AE223,12*Q223,0)))))</f>
        <v>2142</v>
      </c>
      <c r="T223" s="7">
        <f t="shared" ref="T223:T225" si="473">IF(S223&gt;0,S223,R223)</f>
        <v>2142</v>
      </c>
      <c r="U223" s="7">
        <v>1</v>
      </c>
      <c r="V223" s="7">
        <f t="shared" ref="V223:V225" si="474">U223*SUM(R223:S223)</f>
        <v>2142</v>
      </c>
      <c r="W223" s="7"/>
      <c r="X223" s="7">
        <f t="shared" ref="X223:X225" si="475">IF(AD223&gt;AE223,0,IF(AF223&lt;AG223,P223,IF(AND(AF223&gt;=AG223,AF223&lt;=AE223),(P223-T223),IF(AND(AG223&lt;=AD223,AE223&gt;=AD223),0,IF(AF223&gt;AE223,((AG223-AD223)*12)*Q223,0)))))</f>
        <v>1963.5000000001623</v>
      </c>
      <c r="Y223" s="7">
        <f t="shared" ref="Y223:Y225" si="476">X223*U223</f>
        <v>1963.5000000001623</v>
      </c>
      <c r="Z223" s="7">
        <v>1</v>
      </c>
      <c r="AA223" s="7">
        <f t="shared" ref="AA223:AA225" si="477">Y223*Z223</f>
        <v>1963.5000000001623</v>
      </c>
      <c r="AB223" s="7">
        <f t="shared" ref="AB223:AB225" si="478">IF(O223&gt;0,0,AA223+V223*Z223)*Z223</f>
        <v>4105.5000000001619</v>
      </c>
      <c r="AC223" s="7">
        <f t="shared" ref="AC223:AC225" si="479">IF(O223&gt;0,(N223-AA223)/2,IF(AD223&gt;=AG223,(((N223*U223)*Z223)-AB223)/2,((((N223*U223)*Z223)-AA223)+(((N223*U223)*Z223)-AB223))/2))</f>
        <v>18385.49999999984</v>
      </c>
      <c r="AD223" s="7">
        <f t="shared" si="456"/>
        <v>2016.0833333333333</v>
      </c>
      <c r="AE223" s="7">
        <f t="shared" si="457"/>
        <v>2018</v>
      </c>
      <c r="AF223" s="7">
        <f t="shared" si="458"/>
        <v>2026.0833333333333</v>
      </c>
      <c r="AG223" s="7">
        <f t="shared" si="459"/>
        <v>2017</v>
      </c>
      <c r="AH223" s="7">
        <f t="shared" si="460"/>
        <v>-8.3333333333333329E-2</v>
      </c>
      <c r="AJ223" s="144">
        <f t="shared" si="438"/>
        <v>0</v>
      </c>
      <c r="AL223" s="144">
        <f t="shared" si="439"/>
        <v>2142</v>
      </c>
      <c r="AN223" s="144">
        <f t="shared" si="440"/>
        <v>0</v>
      </c>
      <c r="AP223" s="144">
        <f t="shared" si="441"/>
        <v>0</v>
      </c>
      <c r="AR223" s="144">
        <f t="shared" si="442"/>
        <v>18385.49999999984</v>
      </c>
    </row>
    <row r="224" spans="1:44">
      <c r="A224" s="1" t="s">
        <v>342</v>
      </c>
      <c r="C224" s="1">
        <f>30</f>
        <v>30</v>
      </c>
      <c r="D224" s="29" t="s">
        <v>314</v>
      </c>
      <c r="E224" s="3">
        <v>2016</v>
      </c>
      <c r="F224" s="4">
        <v>2</v>
      </c>
      <c r="G224" s="30">
        <v>0</v>
      </c>
      <c r="H224" s="7"/>
      <c r="I224" s="14" t="s">
        <v>86</v>
      </c>
      <c r="J224" s="5">
        <v>10</v>
      </c>
      <c r="K224" s="13">
        <f t="shared" ref="K224:K228" si="480">E224+J224</f>
        <v>2026</v>
      </c>
      <c r="N224" s="55">
        <f>11000+2200</f>
        <v>13200</v>
      </c>
      <c r="P224" s="7">
        <f t="shared" si="470"/>
        <v>13200</v>
      </c>
      <c r="Q224" s="7">
        <f t="shared" si="471"/>
        <v>110</v>
      </c>
      <c r="R224" s="7">
        <f t="shared" si="472"/>
        <v>1320</v>
      </c>
      <c r="T224" s="7">
        <f t="shared" si="473"/>
        <v>1320</v>
      </c>
      <c r="U224" s="7">
        <v>1</v>
      </c>
      <c r="V224" s="7">
        <f t="shared" si="474"/>
        <v>1320</v>
      </c>
      <c r="W224" s="7"/>
      <c r="X224" s="7">
        <f t="shared" si="475"/>
        <v>1210.0000000001</v>
      </c>
      <c r="Y224" s="7">
        <f t="shared" si="476"/>
        <v>1210.0000000001</v>
      </c>
      <c r="Z224" s="7">
        <v>1</v>
      </c>
      <c r="AA224" s="7">
        <f t="shared" si="477"/>
        <v>1210.0000000001</v>
      </c>
      <c r="AB224" s="7">
        <f t="shared" si="478"/>
        <v>2530.0000000001</v>
      </c>
      <c r="AC224" s="7">
        <f t="shared" si="479"/>
        <v>11329.9999999999</v>
      </c>
      <c r="AD224" s="7">
        <f t="shared" si="456"/>
        <v>2016.0833333333333</v>
      </c>
      <c r="AE224" s="7">
        <f t="shared" si="457"/>
        <v>2018</v>
      </c>
      <c r="AF224" s="7">
        <f t="shared" si="458"/>
        <v>2026.0833333333333</v>
      </c>
      <c r="AG224" s="7">
        <f t="shared" si="459"/>
        <v>2017</v>
      </c>
      <c r="AH224" s="7">
        <f t="shared" si="460"/>
        <v>-8.3333333333333329E-2</v>
      </c>
      <c r="AJ224" s="144">
        <f t="shared" si="438"/>
        <v>0</v>
      </c>
      <c r="AL224" s="144">
        <f t="shared" si="439"/>
        <v>1320</v>
      </c>
      <c r="AN224" s="144">
        <f t="shared" si="440"/>
        <v>0</v>
      </c>
      <c r="AP224" s="144">
        <f t="shared" si="441"/>
        <v>0</v>
      </c>
      <c r="AR224" s="144">
        <f t="shared" si="442"/>
        <v>11329.9999999999</v>
      </c>
    </row>
    <row r="225" spans="1:44">
      <c r="A225" s="1">
        <v>131775</v>
      </c>
      <c r="C225" s="1">
        <v>5</v>
      </c>
      <c r="D225" s="29" t="s">
        <v>343</v>
      </c>
      <c r="E225" s="3">
        <v>2016</v>
      </c>
      <c r="F225" s="4">
        <v>2</v>
      </c>
      <c r="G225" s="30">
        <v>0</v>
      </c>
      <c r="H225" s="7"/>
      <c r="I225" s="14" t="s">
        <v>86</v>
      </c>
      <c r="J225" s="5">
        <v>10</v>
      </c>
      <c r="K225" s="13">
        <f t="shared" si="480"/>
        <v>2026</v>
      </c>
      <c r="N225" s="55">
        <v>2025</v>
      </c>
      <c r="P225" s="7">
        <f t="shared" si="470"/>
        <v>2025</v>
      </c>
      <c r="Q225" s="7">
        <f t="shared" si="471"/>
        <v>16.875</v>
      </c>
      <c r="R225" s="7">
        <f t="shared" si="472"/>
        <v>202.5</v>
      </c>
      <c r="T225" s="7">
        <f t="shared" si="473"/>
        <v>202.5</v>
      </c>
      <c r="U225" s="7">
        <v>1</v>
      </c>
      <c r="V225" s="7">
        <f t="shared" si="474"/>
        <v>202.5</v>
      </c>
      <c r="W225" s="7"/>
      <c r="X225" s="7">
        <f t="shared" si="475"/>
        <v>185.62500000001535</v>
      </c>
      <c r="Y225" s="7">
        <f t="shared" si="476"/>
        <v>185.62500000001535</v>
      </c>
      <c r="Z225" s="7">
        <v>1</v>
      </c>
      <c r="AA225" s="7">
        <f t="shared" si="477"/>
        <v>185.62500000001535</v>
      </c>
      <c r="AB225" s="7">
        <f t="shared" si="478"/>
        <v>388.12500000001535</v>
      </c>
      <c r="AC225" s="7">
        <f t="shared" si="479"/>
        <v>1738.1249999999845</v>
      </c>
      <c r="AD225" s="7">
        <f t="shared" si="456"/>
        <v>2016.0833333333333</v>
      </c>
      <c r="AE225" s="7">
        <f t="shared" si="457"/>
        <v>2018</v>
      </c>
      <c r="AF225" s="7">
        <f t="shared" si="458"/>
        <v>2026.0833333333333</v>
      </c>
      <c r="AG225" s="7">
        <f t="shared" si="459"/>
        <v>2017</v>
      </c>
      <c r="AH225" s="7">
        <f t="shared" si="460"/>
        <v>-8.3333333333333329E-2</v>
      </c>
      <c r="AJ225" s="144">
        <f t="shared" si="438"/>
        <v>0</v>
      </c>
      <c r="AL225" s="144">
        <f t="shared" si="439"/>
        <v>202.5</v>
      </c>
      <c r="AN225" s="144">
        <f t="shared" si="440"/>
        <v>0</v>
      </c>
      <c r="AP225" s="144">
        <f t="shared" si="441"/>
        <v>0</v>
      </c>
      <c r="AR225" s="144">
        <f t="shared" si="442"/>
        <v>1738.1249999999845</v>
      </c>
    </row>
    <row r="226" spans="1:44" s="109" customFormat="1">
      <c r="A226" s="109">
        <v>177913</v>
      </c>
      <c r="C226" s="109">
        <v>40</v>
      </c>
      <c r="D226" s="112" t="s">
        <v>381</v>
      </c>
      <c r="E226" s="113">
        <v>2017</v>
      </c>
      <c r="F226" s="110">
        <v>3</v>
      </c>
      <c r="G226" s="114">
        <v>0</v>
      </c>
      <c r="H226" s="115"/>
      <c r="I226" s="116" t="s">
        <v>86</v>
      </c>
      <c r="J226" s="117">
        <v>12</v>
      </c>
      <c r="K226" s="118">
        <f t="shared" si="480"/>
        <v>2029</v>
      </c>
      <c r="N226" s="131">
        <v>19880</v>
      </c>
      <c r="P226" s="115">
        <f t="shared" si="470"/>
        <v>19880</v>
      </c>
      <c r="Q226" s="115">
        <f t="shared" si="471"/>
        <v>138.05555555555557</v>
      </c>
      <c r="R226" s="115">
        <f t="shared" ref="R226" si="481">IF(O226&gt;0,0,IF(OR(AD226&gt;AE226,AF226&lt;AG226),0,IF(AND(AF226&gt;=AG226,AF226&lt;=AE226),Q226*((AF226-AG226)*12),IF(AND(AG226&lt;=AD226,AE226&gt;=AD226),((AE226-AD226)*12)*Q226,IF(AF226&gt;AE226,12*Q226,0)))))</f>
        <v>1380.5555555554301</v>
      </c>
      <c r="T226" s="115">
        <f t="shared" ref="T226" si="482">IF(S226&gt;0,S226,R226)</f>
        <v>1380.5555555554301</v>
      </c>
      <c r="U226" s="115">
        <v>1</v>
      </c>
      <c r="V226" s="115">
        <f t="shared" ref="V226" si="483">U226*SUM(R226:S226)</f>
        <v>1380.5555555554301</v>
      </c>
      <c r="W226" s="115"/>
      <c r="X226" s="115">
        <f t="shared" ref="X226" si="484">IF(AD226&gt;AE226,0,IF(AF226&lt;AG226,P226,IF(AND(AF226&gt;=AG226,AF226&lt;=AE226),(P226-T226),IF(AND(AG226&lt;=AD226,AE226&gt;=AD226),0,IF(AF226&gt;AE226,((AG226-AD226)*12)*Q226,0)))))</f>
        <v>0</v>
      </c>
      <c r="Y226" s="115">
        <f t="shared" ref="Y226" si="485">X226*U226</f>
        <v>0</v>
      </c>
      <c r="Z226" s="115">
        <v>1</v>
      </c>
      <c r="AA226" s="115">
        <f t="shared" ref="AA226" si="486">Y226*Z226</f>
        <v>0</v>
      </c>
      <c r="AB226" s="115">
        <f t="shared" ref="AB226" si="487">IF(O226&gt;0,0,AA226+V226*Z226)*Z226</f>
        <v>1380.5555555554301</v>
      </c>
      <c r="AC226" s="115">
        <f t="shared" ref="AC226" si="488">IF(O226&gt;0,(N226-AA226)/2,IF(AD226&gt;=AG226,(((N226*U226)*Z226)-AB226)/2,((((N226*U226)*Z226)-AA226)+(((N226*U226)*Z226)-AB226))/2))</f>
        <v>9249.7222222222845</v>
      </c>
      <c r="AD226" s="115">
        <f t="shared" si="456"/>
        <v>2017.1666666666667</v>
      </c>
      <c r="AE226" s="115">
        <f t="shared" si="457"/>
        <v>2018</v>
      </c>
      <c r="AF226" s="115">
        <f t="shared" si="458"/>
        <v>2029.1666666666667</v>
      </c>
      <c r="AG226" s="115">
        <f t="shared" si="459"/>
        <v>2017</v>
      </c>
      <c r="AH226" s="115">
        <f t="shared" si="460"/>
        <v>-8.3333333333333329E-2</v>
      </c>
      <c r="AJ226" s="144">
        <f t="shared" si="438"/>
        <v>0</v>
      </c>
      <c r="AK226" s="144"/>
      <c r="AL226" s="144">
        <f t="shared" si="439"/>
        <v>1380.5555555554301</v>
      </c>
      <c r="AM226" s="144"/>
      <c r="AN226" s="144">
        <f t="shared" si="440"/>
        <v>0</v>
      </c>
      <c r="AO226" s="144"/>
      <c r="AP226" s="144">
        <f t="shared" si="441"/>
        <v>0</v>
      </c>
      <c r="AQ226" s="144"/>
      <c r="AR226" s="144">
        <f t="shared" si="442"/>
        <v>9249.7222222222845</v>
      </c>
    </row>
    <row r="227" spans="1:44" s="109" customFormat="1">
      <c r="A227" s="109">
        <v>177912</v>
      </c>
      <c r="C227" s="109">
        <v>5</v>
      </c>
      <c r="D227" s="112" t="s">
        <v>382</v>
      </c>
      <c r="E227" s="113">
        <v>2017</v>
      </c>
      <c r="F227" s="110">
        <v>3</v>
      </c>
      <c r="G227" s="114">
        <v>0</v>
      </c>
      <c r="H227" s="115"/>
      <c r="I227" s="116" t="s">
        <v>86</v>
      </c>
      <c r="J227" s="117">
        <v>12</v>
      </c>
      <c r="K227" s="118">
        <f t="shared" si="480"/>
        <v>2029</v>
      </c>
      <c r="N227" s="131">
        <v>2240</v>
      </c>
      <c r="P227" s="115">
        <f t="shared" si="470"/>
        <v>2240</v>
      </c>
      <c r="Q227" s="115">
        <f t="shared" si="471"/>
        <v>15.555555555555555</v>
      </c>
      <c r="R227" s="115">
        <f t="shared" ref="R227" si="489">IF(O227&gt;0,0,IF(OR(AD227&gt;AE227,AF227&lt;AG227),0,IF(AND(AF227&gt;=AG227,AF227&lt;=AE227),Q227*((AF227-AG227)*12),IF(AND(AG227&lt;=AD227,AE227&gt;=AD227),((AE227-AD227)*12)*Q227,IF(AF227&gt;AE227,12*Q227,0)))))</f>
        <v>155.55555555554142</v>
      </c>
      <c r="T227" s="115">
        <f t="shared" ref="T227" si="490">IF(S227&gt;0,S227,R227)</f>
        <v>155.55555555554142</v>
      </c>
      <c r="U227" s="115">
        <v>1</v>
      </c>
      <c r="V227" s="115">
        <f t="shared" ref="V227" si="491">U227*SUM(R227:S227)</f>
        <v>155.55555555554142</v>
      </c>
      <c r="W227" s="115"/>
      <c r="X227" s="115">
        <f t="shared" ref="X227" si="492">IF(AD227&gt;AE227,0,IF(AF227&lt;AG227,P227,IF(AND(AF227&gt;=AG227,AF227&lt;=AE227),(P227-T227),IF(AND(AG227&lt;=AD227,AE227&gt;=AD227),0,IF(AF227&gt;AE227,((AG227-AD227)*12)*Q227,0)))))</f>
        <v>0</v>
      </c>
      <c r="Y227" s="115">
        <f t="shared" ref="Y227" si="493">X227*U227</f>
        <v>0</v>
      </c>
      <c r="Z227" s="115">
        <v>1</v>
      </c>
      <c r="AA227" s="115">
        <f t="shared" ref="AA227" si="494">Y227*Z227</f>
        <v>0</v>
      </c>
      <c r="AB227" s="115">
        <f t="shared" ref="AB227" si="495">IF(O227&gt;0,0,AA227+V227*Z227)*Z227</f>
        <v>155.55555555554142</v>
      </c>
      <c r="AC227" s="115">
        <f t="shared" ref="AC227" si="496">IF(O227&gt;0,(N227-AA227)/2,IF(AD227&gt;=AG227,(((N227*U227)*Z227)-AB227)/2,((((N227*U227)*Z227)-AA227)+(((N227*U227)*Z227)-AB227))/2))</f>
        <v>1042.2222222222292</v>
      </c>
      <c r="AD227" s="115">
        <f t="shared" si="456"/>
        <v>2017.1666666666667</v>
      </c>
      <c r="AE227" s="115">
        <f t="shared" si="457"/>
        <v>2018</v>
      </c>
      <c r="AF227" s="115">
        <f t="shared" si="458"/>
        <v>2029.1666666666667</v>
      </c>
      <c r="AG227" s="115">
        <f t="shared" si="459"/>
        <v>2017</v>
      </c>
      <c r="AH227" s="115">
        <f t="shared" si="460"/>
        <v>-8.3333333333333329E-2</v>
      </c>
      <c r="AJ227" s="144">
        <f t="shared" si="438"/>
        <v>0</v>
      </c>
      <c r="AK227" s="144"/>
      <c r="AL227" s="144">
        <f t="shared" si="439"/>
        <v>155.55555555554142</v>
      </c>
      <c r="AM227" s="144"/>
      <c r="AN227" s="144">
        <f t="shared" si="440"/>
        <v>0</v>
      </c>
      <c r="AO227" s="144"/>
      <c r="AP227" s="144">
        <f t="shared" si="441"/>
        <v>0</v>
      </c>
      <c r="AQ227" s="144"/>
      <c r="AR227" s="144">
        <f t="shared" si="442"/>
        <v>1042.2222222222292</v>
      </c>
    </row>
    <row r="228" spans="1:44" s="109" customFormat="1">
      <c r="A228" s="109">
        <v>177911</v>
      </c>
      <c r="C228" s="109">
        <v>36</v>
      </c>
      <c r="D228" s="112" t="s">
        <v>383</v>
      </c>
      <c r="E228" s="113">
        <v>2017</v>
      </c>
      <c r="F228" s="110">
        <v>3</v>
      </c>
      <c r="G228" s="114">
        <v>0</v>
      </c>
      <c r="H228" s="115"/>
      <c r="I228" s="116" t="s">
        <v>86</v>
      </c>
      <c r="J228" s="117">
        <v>12</v>
      </c>
      <c r="K228" s="118">
        <f t="shared" si="480"/>
        <v>2029</v>
      </c>
      <c r="N228" s="131">
        <v>16560</v>
      </c>
      <c r="P228" s="115">
        <f t="shared" si="470"/>
        <v>16560</v>
      </c>
      <c r="Q228" s="115">
        <f t="shared" si="471"/>
        <v>115</v>
      </c>
      <c r="R228" s="115">
        <f t="shared" ref="R228" si="497">IF(O228&gt;0,0,IF(OR(AD228&gt;AE228,AF228&lt;AG228),0,IF(AND(AF228&gt;=AG228,AF228&lt;=AE228),Q228*((AF228-AG228)*12),IF(AND(AG228&lt;=AD228,AE228&gt;=AD228),((AE228-AD228)*12)*Q228,IF(AF228&gt;AE228,12*Q228,0)))))</f>
        <v>1149.9999999998954</v>
      </c>
      <c r="T228" s="115">
        <f t="shared" ref="T228" si="498">IF(S228&gt;0,S228,R228)</f>
        <v>1149.9999999998954</v>
      </c>
      <c r="U228" s="115">
        <v>1</v>
      </c>
      <c r="V228" s="115">
        <f t="shared" ref="V228" si="499">U228*SUM(R228:S228)</f>
        <v>1149.9999999998954</v>
      </c>
      <c r="W228" s="115"/>
      <c r="X228" s="115">
        <f t="shared" ref="X228" si="500">IF(AD228&gt;AE228,0,IF(AF228&lt;AG228,P228,IF(AND(AF228&gt;=AG228,AF228&lt;=AE228),(P228-T228),IF(AND(AG228&lt;=AD228,AE228&gt;=AD228),0,IF(AF228&gt;AE228,((AG228-AD228)*12)*Q228,0)))))</f>
        <v>0</v>
      </c>
      <c r="Y228" s="115">
        <f t="shared" ref="Y228" si="501">X228*U228</f>
        <v>0</v>
      </c>
      <c r="Z228" s="115">
        <v>1</v>
      </c>
      <c r="AA228" s="115">
        <f t="shared" ref="AA228" si="502">Y228*Z228</f>
        <v>0</v>
      </c>
      <c r="AB228" s="115">
        <f t="shared" ref="AB228" si="503">IF(O228&gt;0,0,AA228+V228*Z228)*Z228</f>
        <v>1149.9999999998954</v>
      </c>
      <c r="AC228" s="115">
        <f t="shared" ref="AC228" si="504">IF(O228&gt;0,(N228-AA228)/2,IF(AD228&gt;=AG228,(((N228*U228)*Z228)-AB228)/2,((((N228*U228)*Z228)-AA228)+(((N228*U228)*Z228)-AB228))/2))</f>
        <v>7705.0000000000528</v>
      </c>
      <c r="AD228" s="115">
        <f t="shared" si="456"/>
        <v>2017.1666666666667</v>
      </c>
      <c r="AE228" s="115">
        <f t="shared" si="457"/>
        <v>2018</v>
      </c>
      <c r="AF228" s="115">
        <f t="shared" si="458"/>
        <v>2029.1666666666667</v>
      </c>
      <c r="AG228" s="115">
        <f t="shared" si="459"/>
        <v>2017</v>
      </c>
      <c r="AH228" s="115">
        <f t="shared" si="460"/>
        <v>-8.3333333333333329E-2</v>
      </c>
      <c r="AJ228" s="144">
        <f t="shared" si="438"/>
        <v>0</v>
      </c>
      <c r="AK228" s="144"/>
      <c r="AL228" s="144">
        <f t="shared" si="439"/>
        <v>1149.9999999998954</v>
      </c>
      <c r="AM228" s="144"/>
      <c r="AN228" s="144">
        <f t="shared" si="440"/>
        <v>0</v>
      </c>
      <c r="AO228" s="144"/>
      <c r="AP228" s="144">
        <f t="shared" si="441"/>
        <v>0</v>
      </c>
      <c r="AQ228" s="144"/>
      <c r="AR228" s="144">
        <f t="shared" si="442"/>
        <v>7705.0000000000528</v>
      </c>
    </row>
    <row r="229" spans="1:44">
      <c r="D229" s="29"/>
      <c r="G229" s="30"/>
      <c r="H229" s="7"/>
      <c r="I229" s="14"/>
      <c r="K229" s="13"/>
      <c r="N229" s="48"/>
      <c r="P229" s="7"/>
      <c r="Q229" s="7"/>
      <c r="R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:44" s="35" customFormat="1">
      <c r="D230" s="53" t="s">
        <v>173</v>
      </c>
      <c r="E230" s="41"/>
      <c r="F230" s="15"/>
      <c r="G230" s="15"/>
      <c r="H230" s="37"/>
      <c r="I230" s="36"/>
      <c r="J230" s="17"/>
      <c r="K230" s="12"/>
      <c r="N230" s="99">
        <f>SUM(N122:N229)</f>
        <v>777747.46957264957</v>
      </c>
      <c r="O230" s="107"/>
      <c r="P230" s="101">
        <f>SUM(P122:P229)</f>
        <v>777747.46957264957</v>
      </c>
      <c r="Q230" s="101">
        <f>SUM(Q122:Q229)</f>
        <v>6534.3266298331318</v>
      </c>
      <c r="R230" s="101">
        <f>SUM(R122:R229)</f>
        <v>24957.297335774743</v>
      </c>
      <c r="S230" s="101">
        <f>SUM(S122:S229)</f>
        <v>0</v>
      </c>
      <c r="T230" s="101">
        <f>SUM(T122:T229)</f>
        <v>24957.297335774743</v>
      </c>
      <c r="U230" s="101"/>
      <c r="V230" s="101">
        <f>SUM(V122:V229)</f>
        <v>24957.297335774743</v>
      </c>
      <c r="W230" s="101"/>
      <c r="X230" s="101">
        <f t="shared" ref="X230:AC230" si="505">SUM(X122:X229)</f>
        <v>610883.54910643096</v>
      </c>
      <c r="Y230" s="101">
        <f t="shared" si="505"/>
        <v>610883.54910643096</v>
      </c>
      <c r="Z230" s="101">
        <f t="shared" si="505"/>
        <v>98</v>
      </c>
      <c r="AA230" s="101">
        <f t="shared" si="505"/>
        <v>610883.54910643096</v>
      </c>
      <c r="AB230" s="101">
        <f t="shared" si="505"/>
        <v>635840.84644220571</v>
      </c>
      <c r="AC230" s="101">
        <f t="shared" si="505"/>
        <v>135045.27179833091</v>
      </c>
      <c r="AD230" s="101"/>
      <c r="AE230" s="101"/>
      <c r="AF230" s="101"/>
      <c r="AG230" s="101"/>
      <c r="AH230" s="101"/>
      <c r="AJ230" s="143">
        <f t="shared" ref="AJ230:AR230" si="506">SUM(AJ122:AJ229)</f>
        <v>0</v>
      </c>
      <c r="AK230" s="143">
        <f t="shared" si="506"/>
        <v>0</v>
      </c>
      <c r="AL230" s="143">
        <f t="shared" si="506"/>
        <v>24957.297335774743</v>
      </c>
      <c r="AM230" s="143">
        <f t="shared" si="506"/>
        <v>0</v>
      </c>
      <c r="AN230" s="143">
        <f t="shared" si="506"/>
        <v>0</v>
      </c>
      <c r="AO230" s="143">
        <f t="shared" si="506"/>
        <v>0</v>
      </c>
      <c r="AP230" s="143">
        <f t="shared" si="506"/>
        <v>0</v>
      </c>
      <c r="AQ230" s="143">
        <f t="shared" si="506"/>
        <v>0</v>
      </c>
      <c r="AR230" s="143">
        <f t="shared" si="506"/>
        <v>135045.27179833091</v>
      </c>
    </row>
    <row r="231" spans="1:44">
      <c r="H231" s="7"/>
      <c r="I231" s="14"/>
      <c r="K231" s="13"/>
      <c r="P231" s="7"/>
      <c r="Q231" s="7"/>
      <c r="R231" s="7"/>
      <c r="U231" s="7"/>
      <c r="V231" s="7"/>
      <c r="W231" s="7"/>
      <c r="X231" s="7">
        <f t="shared" ref="X231:X269" si="507">IF(AD231&gt;AE231,0,IF(AF231&lt;AG231,P231,IF(AND(AF231&gt;=AG231,AF231&lt;=AE231),(P231-T231),IF(AND(AG231&lt;=AD231,AE231&gt;=AD231),0,IF(AF231&gt;AE231,((AG231-AD231)*12)*Q231,0)))))</f>
        <v>0</v>
      </c>
      <c r="Y231" s="7">
        <f t="shared" ref="Y231:Y269" si="508">X231*U231</f>
        <v>0</v>
      </c>
      <c r="Z231" s="7">
        <v>1</v>
      </c>
      <c r="AA231" s="7"/>
      <c r="AB231" s="7"/>
      <c r="AC231" s="7"/>
      <c r="AD231" s="7"/>
      <c r="AE231" s="7"/>
      <c r="AF231" s="7"/>
      <c r="AG231" s="7"/>
      <c r="AH231" s="7"/>
    </row>
    <row r="232" spans="1:44">
      <c r="D232" s="53" t="s">
        <v>174</v>
      </c>
      <c r="H232" s="7"/>
      <c r="I232" s="14"/>
      <c r="K232" s="13"/>
      <c r="P232" s="7"/>
      <c r="Q232" s="7"/>
      <c r="R232" s="7"/>
      <c r="U232" s="7"/>
      <c r="V232" s="7"/>
      <c r="W232" s="7"/>
      <c r="X232" s="7">
        <f t="shared" si="507"/>
        <v>0</v>
      </c>
      <c r="Y232" s="7">
        <f t="shared" si="508"/>
        <v>0</v>
      </c>
      <c r="Z232" s="7">
        <v>1</v>
      </c>
      <c r="AA232" s="7"/>
      <c r="AB232" s="7"/>
      <c r="AC232" s="7"/>
      <c r="AD232" s="7"/>
      <c r="AE232" s="7"/>
      <c r="AF232" s="7"/>
      <c r="AG232" s="7"/>
      <c r="AH232" s="7"/>
    </row>
    <row r="233" spans="1:44">
      <c r="C233" s="1">
        <v>8</v>
      </c>
      <c r="D233" s="56" t="s">
        <v>176</v>
      </c>
      <c r="E233" s="3">
        <v>1990</v>
      </c>
      <c r="F233" s="4">
        <v>1</v>
      </c>
      <c r="G233" s="30">
        <v>0</v>
      </c>
      <c r="H233" s="7"/>
      <c r="I233" s="14" t="s">
        <v>86</v>
      </c>
      <c r="J233" s="5">
        <v>10</v>
      </c>
      <c r="K233" s="13">
        <f t="shared" ref="K233:K274" si="509">E233+J233</f>
        <v>2000</v>
      </c>
      <c r="N233" s="48">
        <v>26630</v>
      </c>
      <c r="P233" s="7">
        <f t="shared" ref="P233:P274" si="510">N233-N233*G233</f>
        <v>26630</v>
      </c>
      <c r="Q233" s="7">
        <f t="shared" ref="Q233:Q274" si="511">P233/J233/12</f>
        <v>221.91666666666666</v>
      </c>
      <c r="R233" s="7">
        <f t="shared" ref="R233:R269" si="512">IF(O233&gt;0,0,IF(OR(AD233&gt;AE233,AF233&lt;AG233),0,IF(AND(AF233&gt;=AG233,AF233&lt;=AE233),Q233*((AF233-AG233)*12),IF(AND(AG233&lt;=AD233,AE233&gt;=AD233),((AE233-AD233)*12)*Q233,IF(AF233&gt;AE233,12*Q233,0)))))</f>
        <v>0</v>
      </c>
      <c r="T233" s="7">
        <f t="shared" ref="T233:T269" si="513">IF(S233&gt;0,S233,R233)</f>
        <v>0</v>
      </c>
      <c r="U233" s="7">
        <v>1</v>
      </c>
      <c r="V233" s="7">
        <f t="shared" ref="V233:V269" si="514">U233*SUM(R233:S233)</f>
        <v>0</v>
      </c>
      <c r="W233" s="7"/>
      <c r="X233" s="7">
        <f t="shared" si="507"/>
        <v>26630</v>
      </c>
      <c r="Y233" s="7">
        <f t="shared" si="508"/>
        <v>26630</v>
      </c>
      <c r="Z233" s="7">
        <v>1</v>
      </c>
      <c r="AA233" s="7">
        <f t="shared" ref="AA233:AA269" si="515">Y233*Z233</f>
        <v>26630</v>
      </c>
      <c r="AB233" s="7">
        <f t="shared" ref="AB233:AB269" si="516">IF(O233&gt;0,0,AA233+V233*Z233)*Z233</f>
        <v>26630</v>
      </c>
      <c r="AC233" s="7">
        <f t="shared" ref="AC233:AC269" si="517">IF(O233&gt;0,(N233-AA233)/2,IF(AD233&gt;=AG233,(((N233*U233)*Z233)-AB233)/2,((((N233*U233)*Z233)-AA233)+(((N233*U233)*Z233)-AB233))/2))</f>
        <v>0</v>
      </c>
      <c r="AD233" s="7">
        <f t="shared" ref="AD233:AD274" si="518">$E233+(($F233-1)/12)</f>
        <v>1990</v>
      </c>
      <c r="AE233" s="7">
        <f t="shared" ref="AE233:AE531" si="519">($P$5+1)-($P$2/12)</f>
        <v>2018</v>
      </c>
      <c r="AF233" s="7">
        <f t="shared" ref="AF233:AF274" si="520">$K233+(($F233-1)/12)</f>
        <v>2000</v>
      </c>
      <c r="AG233" s="7">
        <f t="shared" ref="AG233:AG531" si="521">$P$4+($P$3/12)</f>
        <v>2017</v>
      </c>
      <c r="AH233" s="7">
        <f t="shared" ref="AH233:AH274" si="522">$L233+(($M233-1)/12)</f>
        <v>-8.3333333333333329E-2</v>
      </c>
      <c r="AJ233" s="144">
        <f t="shared" ref="AJ233:AJ276" si="523">+IF((AF233-AG233)&gt;3,((N233-P233)/(AF233-AG233)),(N233-P233)/3)</f>
        <v>0</v>
      </c>
      <c r="AL233" s="144">
        <f t="shared" ref="AL233:AL276" si="524">+AJ233+R233</f>
        <v>0</v>
      </c>
      <c r="AN233" s="144">
        <f t="shared" ref="AN233:AN276" si="525">+IF(AF233&lt;AG233,-AC233,0)</f>
        <v>0</v>
      </c>
      <c r="AP233" s="144">
        <f t="shared" ref="AP233:AP276" si="526">+IF(AF233&gt;AG233,IF(AJ233&gt;0,IF(O233&gt;0,(N233-AA233)/2,IF(AD233&gt;=AG233,(((N233*U233)*Z233)-(AB233+AJ233))/2,((((N233*U233)*Z233)-AA233)+(((N233*U233)*Z233)-(AB233+AJ233)))/2)),0),0)</f>
        <v>0</v>
      </c>
      <c r="AR233" s="144">
        <f t="shared" ref="AR233:AR276" si="527">+AC233+AN233+(IF(AP233&gt;0,(AP233-AC233),0))</f>
        <v>0</v>
      </c>
    </row>
    <row r="234" spans="1:44">
      <c r="C234" s="1">
        <v>1</v>
      </c>
      <c r="D234" s="56" t="s">
        <v>177</v>
      </c>
      <c r="E234" s="3">
        <v>1990</v>
      </c>
      <c r="F234" s="4">
        <v>3</v>
      </c>
      <c r="G234" s="30">
        <v>0</v>
      </c>
      <c r="H234" s="7"/>
      <c r="I234" s="14" t="s">
        <v>86</v>
      </c>
      <c r="J234" s="5">
        <v>10</v>
      </c>
      <c r="K234" s="13">
        <f t="shared" si="509"/>
        <v>2000</v>
      </c>
      <c r="N234" s="48">
        <v>3356</v>
      </c>
      <c r="P234" s="7">
        <f t="shared" si="510"/>
        <v>3356</v>
      </c>
      <c r="Q234" s="7">
        <f t="shared" si="511"/>
        <v>27.966666666666669</v>
      </c>
      <c r="R234" s="7">
        <f t="shared" si="512"/>
        <v>0</v>
      </c>
      <c r="T234" s="7">
        <f t="shared" si="513"/>
        <v>0</v>
      </c>
      <c r="U234" s="7">
        <v>1</v>
      </c>
      <c r="V234" s="7">
        <f t="shared" si="514"/>
        <v>0</v>
      </c>
      <c r="W234" s="7"/>
      <c r="X234" s="7">
        <f t="shared" si="507"/>
        <v>3356</v>
      </c>
      <c r="Y234" s="7">
        <f t="shared" si="508"/>
        <v>3356</v>
      </c>
      <c r="Z234" s="7">
        <v>1</v>
      </c>
      <c r="AA234" s="7">
        <f t="shared" si="515"/>
        <v>3356</v>
      </c>
      <c r="AB234" s="7">
        <f t="shared" si="516"/>
        <v>3356</v>
      </c>
      <c r="AC234" s="7">
        <f t="shared" si="517"/>
        <v>0</v>
      </c>
      <c r="AD234" s="7">
        <f t="shared" si="518"/>
        <v>1990.1666666666667</v>
      </c>
      <c r="AE234" s="7">
        <f t="shared" si="519"/>
        <v>2018</v>
      </c>
      <c r="AF234" s="7">
        <f t="shared" si="520"/>
        <v>2000.1666666666667</v>
      </c>
      <c r="AG234" s="7">
        <f t="shared" si="521"/>
        <v>2017</v>
      </c>
      <c r="AH234" s="7">
        <f t="shared" si="522"/>
        <v>-8.3333333333333329E-2</v>
      </c>
      <c r="AJ234" s="144">
        <f t="shared" si="523"/>
        <v>0</v>
      </c>
      <c r="AL234" s="144">
        <f t="shared" si="524"/>
        <v>0</v>
      </c>
      <c r="AN234" s="144">
        <f t="shared" si="525"/>
        <v>0</v>
      </c>
      <c r="AP234" s="144">
        <f t="shared" si="526"/>
        <v>0</v>
      </c>
      <c r="AR234" s="144">
        <f t="shared" si="527"/>
        <v>0</v>
      </c>
    </row>
    <row r="235" spans="1:44">
      <c r="C235" s="1">
        <v>2</v>
      </c>
      <c r="D235" s="56" t="s">
        <v>175</v>
      </c>
      <c r="E235" s="3">
        <v>1995</v>
      </c>
      <c r="F235" s="4">
        <v>5</v>
      </c>
      <c r="G235" s="30">
        <v>0</v>
      </c>
      <c r="H235" s="7"/>
      <c r="I235" s="14" t="s">
        <v>86</v>
      </c>
      <c r="J235" s="5">
        <v>10</v>
      </c>
      <c r="K235" s="13">
        <f t="shared" si="509"/>
        <v>2005</v>
      </c>
      <c r="N235" s="48">
        <v>6050</v>
      </c>
      <c r="P235" s="7">
        <f t="shared" si="510"/>
        <v>6050</v>
      </c>
      <c r="Q235" s="7">
        <f t="shared" si="511"/>
        <v>50.416666666666664</v>
      </c>
      <c r="R235" s="7">
        <f t="shared" si="512"/>
        <v>0</v>
      </c>
      <c r="T235" s="7">
        <f t="shared" si="513"/>
        <v>0</v>
      </c>
      <c r="U235" s="7">
        <v>1</v>
      </c>
      <c r="V235" s="7">
        <f t="shared" si="514"/>
        <v>0</v>
      </c>
      <c r="W235" s="7"/>
      <c r="X235" s="7">
        <f t="shared" si="507"/>
        <v>6050</v>
      </c>
      <c r="Y235" s="7">
        <f t="shared" si="508"/>
        <v>6050</v>
      </c>
      <c r="Z235" s="7">
        <v>1</v>
      </c>
      <c r="AA235" s="7">
        <f t="shared" si="515"/>
        <v>6050</v>
      </c>
      <c r="AB235" s="7">
        <f t="shared" si="516"/>
        <v>6050</v>
      </c>
      <c r="AC235" s="7">
        <f t="shared" si="517"/>
        <v>0</v>
      </c>
      <c r="AD235" s="7">
        <f t="shared" si="518"/>
        <v>1995.3333333333333</v>
      </c>
      <c r="AE235" s="7">
        <f t="shared" si="519"/>
        <v>2018</v>
      </c>
      <c r="AF235" s="7">
        <f t="shared" si="520"/>
        <v>2005.3333333333333</v>
      </c>
      <c r="AG235" s="7">
        <f t="shared" si="521"/>
        <v>2017</v>
      </c>
      <c r="AH235" s="7">
        <f t="shared" si="522"/>
        <v>-8.3333333333333329E-2</v>
      </c>
      <c r="AJ235" s="144">
        <f t="shared" si="523"/>
        <v>0</v>
      </c>
      <c r="AL235" s="144">
        <f t="shared" si="524"/>
        <v>0</v>
      </c>
      <c r="AN235" s="144">
        <f t="shared" si="525"/>
        <v>0</v>
      </c>
      <c r="AP235" s="144">
        <f t="shared" si="526"/>
        <v>0</v>
      </c>
      <c r="AR235" s="144">
        <f t="shared" si="527"/>
        <v>0</v>
      </c>
    </row>
    <row r="236" spans="1:44">
      <c r="C236" s="1">
        <v>2</v>
      </c>
      <c r="D236" s="56" t="s">
        <v>178</v>
      </c>
      <c r="E236" s="3">
        <v>1996</v>
      </c>
      <c r="F236" s="4">
        <v>6</v>
      </c>
      <c r="G236" s="30">
        <v>0</v>
      </c>
      <c r="H236" s="7"/>
      <c r="I236" s="14" t="s">
        <v>86</v>
      </c>
      <c r="J236" s="5">
        <v>10</v>
      </c>
      <c r="K236" s="13">
        <f t="shared" ref="K236:K237" si="528">E236+J236</f>
        <v>2006</v>
      </c>
      <c r="N236" s="48">
        <v>1700</v>
      </c>
      <c r="P236" s="7">
        <f t="shared" si="510"/>
        <v>1700</v>
      </c>
      <c r="Q236" s="7">
        <f t="shared" si="511"/>
        <v>14.166666666666666</v>
      </c>
      <c r="R236" s="7">
        <f t="shared" si="512"/>
        <v>0</v>
      </c>
      <c r="T236" s="7">
        <f t="shared" si="513"/>
        <v>0</v>
      </c>
      <c r="U236" s="7">
        <v>1</v>
      </c>
      <c r="V236" s="7">
        <f t="shared" si="514"/>
        <v>0</v>
      </c>
      <c r="W236" s="7"/>
      <c r="X236" s="7">
        <f t="shared" si="507"/>
        <v>1700</v>
      </c>
      <c r="Y236" s="7">
        <f t="shared" si="508"/>
        <v>1700</v>
      </c>
      <c r="Z236" s="7">
        <v>1</v>
      </c>
      <c r="AA236" s="7">
        <f t="shared" si="515"/>
        <v>1700</v>
      </c>
      <c r="AB236" s="7">
        <f t="shared" si="516"/>
        <v>1700</v>
      </c>
      <c r="AC236" s="7">
        <f t="shared" si="517"/>
        <v>0</v>
      </c>
      <c r="AD236" s="7">
        <f t="shared" si="518"/>
        <v>1996.4166666666667</v>
      </c>
      <c r="AE236" s="7">
        <f t="shared" si="519"/>
        <v>2018</v>
      </c>
      <c r="AF236" s="7">
        <f t="shared" si="520"/>
        <v>2006.4166666666667</v>
      </c>
      <c r="AG236" s="7">
        <f t="shared" si="521"/>
        <v>2017</v>
      </c>
      <c r="AH236" s="7">
        <f t="shared" si="522"/>
        <v>-8.3333333333333329E-2</v>
      </c>
      <c r="AJ236" s="144">
        <f t="shared" si="523"/>
        <v>0</v>
      </c>
      <c r="AL236" s="144">
        <f t="shared" si="524"/>
        <v>0</v>
      </c>
      <c r="AN236" s="144">
        <f t="shared" si="525"/>
        <v>0</v>
      </c>
      <c r="AP236" s="144">
        <f t="shared" si="526"/>
        <v>0</v>
      </c>
      <c r="AR236" s="144">
        <f t="shared" si="527"/>
        <v>0</v>
      </c>
    </row>
    <row r="237" spans="1:44">
      <c r="A237" s="1">
        <v>90984</v>
      </c>
      <c r="C237" s="1">
        <v>2</v>
      </c>
      <c r="D237" s="56" t="s">
        <v>178</v>
      </c>
      <c r="E237" s="3">
        <v>1998</v>
      </c>
      <c r="F237" s="4">
        <v>9</v>
      </c>
      <c r="G237" s="30">
        <v>0</v>
      </c>
      <c r="H237" s="7"/>
      <c r="I237" s="14" t="s">
        <v>86</v>
      </c>
      <c r="J237" s="5">
        <v>10</v>
      </c>
      <c r="K237" s="13">
        <f t="shared" si="528"/>
        <v>2008</v>
      </c>
      <c r="N237" s="48">
        <v>800</v>
      </c>
      <c r="P237" s="7">
        <f t="shared" si="510"/>
        <v>800</v>
      </c>
      <c r="Q237" s="7">
        <f t="shared" si="511"/>
        <v>6.666666666666667</v>
      </c>
      <c r="R237" s="7">
        <f t="shared" ref="R237" si="529">IF(O237&gt;0,0,IF(OR(AD237&gt;AE237,AF237&lt;AG237),0,IF(AND(AF237&gt;=AG237,AF237&lt;=AE237),Q237*((AF237-AG237)*12),IF(AND(AG237&lt;=AD237,AE237&gt;=AD237),((AE237-AD237)*12)*Q237,IF(AF237&gt;AE237,12*Q237,0)))))</f>
        <v>0</v>
      </c>
      <c r="T237" s="7">
        <f t="shared" ref="T237" si="530">IF(S237&gt;0,S237,R237)</f>
        <v>0</v>
      </c>
      <c r="U237" s="7">
        <v>1</v>
      </c>
      <c r="V237" s="7">
        <f t="shared" ref="V237" si="531">U237*SUM(R237:S237)</f>
        <v>0</v>
      </c>
      <c r="W237" s="7"/>
      <c r="X237" s="7">
        <f t="shared" ref="X237" si="532">IF(AD237&gt;AE237,0,IF(AF237&lt;AG237,P237,IF(AND(AF237&gt;=AG237,AF237&lt;=AE237),(P237-T237),IF(AND(AG237&lt;=AD237,AE237&gt;=AD237),0,IF(AF237&gt;AE237,((AG237-AD237)*12)*Q237,0)))))</f>
        <v>800</v>
      </c>
      <c r="Y237" s="7">
        <f t="shared" ref="Y237" si="533">X237*U237</f>
        <v>800</v>
      </c>
      <c r="Z237" s="7">
        <v>1</v>
      </c>
      <c r="AA237" s="7">
        <f t="shared" ref="AA237" si="534">Y237*Z237</f>
        <v>800</v>
      </c>
      <c r="AB237" s="7">
        <f t="shared" ref="AB237" si="535">IF(O237&gt;0,0,AA237+V237*Z237)*Z237</f>
        <v>800</v>
      </c>
      <c r="AC237" s="7">
        <f t="shared" ref="AC237" si="536">IF(O237&gt;0,(N237-AA237)/2,IF(AD237&gt;=AG237,(((N237*U237)*Z237)-AB237)/2,((((N237*U237)*Z237)-AA237)+(((N237*U237)*Z237)-AB237))/2))</f>
        <v>0</v>
      </c>
      <c r="AD237" s="7">
        <f t="shared" si="518"/>
        <v>1998.6666666666667</v>
      </c>
      <c r="AE237" s="7">
        <f t="shared" si="519"/>
        <v>2018</v>
      </c>
      <c r="AF237" s="7">
        <f t="shared" si="520"/>
        <v>2008.6666666666667</v>
      </c>
      <c r="AG237" s="7">
        <f t="shared" si="521"/>
        <v>2017</v>
      </c>
      <c r="AH237" s="7">
        <f t="shared" si="522"/>
        <v>-8.3333333333333329E-2</v>
      </c>
      <c r="AJ237" s="144">
        <f t="shared" si="523"/>
        <v>0</v>
      </c>
      <c r="AL237" s="144">
        <f t="shared" si="524"/>
        <v>0</v>
      </c>
      <c r="AN237" s="144">
        <f t="shared" si="525"/>
        <v>0</v>
      </c>
      <c r="AP237" s="144">
        <f t="shared" si="526"/>
        <v>0</v>
      </c>
      <c r="AR237" s="144">
        <f t="shared" si="527"/>
        <v>0</v>
      </c>
    </row>
    <row r="238" spans="1:44">
      <c r="C238" s="1">
        <v>3</v>
      </c>
      <c r="D238" s="56" t="s">
        <v>179</v>
      </c>
      <c r="E238" s="3">
        <v>2000</v>
      </c>
      <c r="F238" s="4">
        <v>6</v>
      </c>
      <c r="G238" s="30">
        <v>0</v>
      </c>
      <c r="H238" s="7"/>
      <c r="I238" s="14" t="s">
        <v>86</v>
      </c>
      <c r="J238" s="5">
        <v>10</v>
      </c>
      <c r="K238" s="13">
        <f t="shared" si="509"/>
        <v>2010</v>
      </c>
      <c r="N238" s="48">
        <v>9584</v>
      </c>
      <c r="P238" s="7">
        <f t="shared" si="510"/>
        <v>9584</v>
      </c>
      <c r="Q238" s="7">
        <f t="shared" si="511"/>
        <v>79.86666666666666</v>
      </c>
      <c r="R238" s="7">
        <f t="shared" si="512"/>
        <v>0</v>
      </c>
      <c r="T238" s="7">
        <f t="shared" si="513"/>
        <v>0</v>
      </c>
      <c r="U238" s="7">
        <v>1</v>
      </c>
      <c r="V238" s="7">
        <f t="shared" si="514"/>
        <v>0</v>
      </c>
      <c r="W238" s="7"/>
      <c r="X238" s="7">
        <f t="shared" si="507"/>
        <v>9584</v>
      </c>
      <c r="Y238" s="7">
        <f t="shared" si="508"/>
        <v>9584</v>
      </c>
      <c r="Z238" s="7">
        <v>1</v>
      </c>
      <c r="AA238" s="7">
        <f t="shared" si="515"/>
        <v>9584</v>
      </c>
      <c r="AB238" s="7">
        <f t="shared" si="516"/>
        <v>9584</v>
      </c>
      <c r="AC238" s="7">
        <f t="shared" si="517"/>
        <v>0</v>
      </c>
      <c r="AD238" s="7">
        <f t="shared" si="518"/>
        <v>2000.4166666666667</v>
      </c>
      <c r="AE238" s="7">
        <f t="shared" si="519"/>
        <v>2018</v>
      </c>
      <c r="AF238" s="7">
        <f t="shared" si="520"/>
        <v>2010.4166666666667</v>
      </c>
      <c r="AG238" s="7">
        <f t="shared" si="521"/>
        <v>2017</v>
      </c>
      <c r="AH238" s="7">
        <f t="shared" si="522"/>
        <v>-8.3333333333333329E-2</v>
      </c>
      <c r="AJ238" s="144">
        <f t="shared" si="523"/>
        <v>0</v>
      </c>
      <c r="AL238" s="144">
        <f t="shared" si="524"/>
        <v>0</v>
      </c>
      <c r="AN238" s="144">
        <f t="shared" si="525"/>
        <v>0</v>
      </c>
      <c r="AP238" s="144">
        <f t="shared" si="526"/>
        <v>0</v>
      </c>
      <c r="AR238" s="144">
        <f t="shared" si="527"/>
        <v>0</v>
      </c>
    </row>
    <row r="239" spans="1:44">
      <c r="C239" s="1">
        <v>3</v>
      </c>
      <c r="D239" s="56" t="s">
        <v>179</v>
      </c>
      <c r="E239" s="3">
        <v>2002</v>
      </c>
      <c r="F239" s="4">
        <v>12</v>
      </c>
      <c r="G239" s="30">
        <v>0</v>
      </c>
      <c r="H239" s="7"/>
      <c r="I239" s="14" t="s">
        <v>86</v>
      </c>
      <c r="J239" s="5">
        <v>10</v>
      </c>
      <c r="K239" s="13">
        <f t="shared" si="509"/>
        <v>2012</v>
      </c>
      <c r="N239" s="48">
        <v>7624</v>
      </c>
      <c r="P239" s="7">
        <f t="shared" si="510"/>
        <v>7624</v>
      </c>
      <c r="Q239" s="7">
        <f t="shared" si="511"/>
        <v>63.533333333333331</v>
      </c>
      <c r="R239" s="7">
        <f t="shared" si="512"/>
        <v>0</v>
      </c>
      <c r="T239" s="7">
        <f t="shared" si="513"/>
        <v>0</v>
      </c>
      <c r="U239" s="7">
        <v>1</v>
      </c>
      <c r="V239" s="7">
        <f t="shared" si="514"/>
        <v>0</v>
      </c>
      <c r="W239" s="7"/>
      <c r="X239" s="7">
        <f t="shared" si="507"/>
        <v>7624</v>
      </c>
      <c r="Y239" s="7">
        <f t="shared" si="508"/>
        <v>7624</v>
      </c>
      <c r="Z239" s="7">
        <v>1</v>
      </c>
      <c r="AA239" s="7">
        <f t="shared" si="515"/>
        <v>7624</v>
      </c>
      <c r="AB239" s="7">
        <f t="shared" si="516"/>
        <v>7624</v>
      </c>
      <c r="AC239" s="7">
        <f t="shared" si="517"/>
        <v>0</v>
      </c>
      <c r="AD239" s="7">
        <f t="shared" si="518"/>
        <v>2002.9166666666667</v>
      </c>
      <c r="AE239" s="7">
        <f t="shared" si="519"/>
        <v>2018</v>
      </c>
      <c r="AF239" s="7">
        <f t="shared" si="520"/>
        <v>2012.9166666666667</v>
      </c>
      <c r="AG239" s="7">
        <f t="shared" si="521"/>
        <v>2017</v>
      </c>
      <c r="AH239" s="7">
        <f t="shared" si="522"/>
        <v>-8.3333333333333329E-2</v>
      </c>
      <c r="AJ239" s="144">
        <f t="shared" si="523"/>
        <v>0</v>
      </c>
      <c r="AL239" s="144">
        <f t="shared" si="524"/>
        <v>0</v>
      </c>
      <c r="AN239" s="144">
        <f t="shared" si="525"/>
        <v>0</v>
      </c>
      <c r="AP239" s="144">
        <f t="shared" si="526"/>
        <v>0</v>
      </c>
      <c r="AR239" s="144">
        <f t="shared" si="527"/>
        <v>0</v>
      </c>
    </row>
    <row r="240" spans="1:44">
      <c r="C240" s="1">
        <v>3</v>
      </c>
      <c r="D240" s="56" t="s">
        <v>179</v>
      </c>
      <c r="E240" s="3">
        <v>2002</v>
      </c>
      <c r="F240" s="4">
        <v>12</v>
      </c>
      <c r="G240" s="30">
        <v>0</v>
      </c>
      <c r="H240" s="7"/>
      <c r="I240" s="14" t="s">
        <v>86</v>
      </c>
      <c r="J240" s="5">
        <v>10</v>
      </c>
      <c r="K240" s="13">
        <f t="shared" si="509"/>
        <v>2012</v>
      </c>
      <c r="N240" s="48">
        <v>8598</v>
      </c>
      <c r="P240" s="7">
        <f t="shared" si="510"/>
        <v>8598</v>
      </c>
      <c r="Q240" s="7">
        <f t="shared" si="511"/>
        <v>71.649999999999991</v>
      </c>
      <c r="R240" s="7">
        <f t="shared" si="512"/>
        <v>0</v>
      </c>
      <c r="T240" s="7">
        <f t="shared" si="513"/>
        <v>0</v>
      </c>
      <c r="U240" s="7">
        <v>1</v>
      </c>
      <c r="V240" s="7">
        <f t="shared" si="514"/>
        <v>0</v>
      </c>
      <c r="W240" s="7"/>
      <c r="X240" s="7">
        <f t="shared" si="507"/>
        <v>8598</v>
      </c>
      <c r="Y240" s="7">
        <f t="shared" si="508"/>
        <v>8598</v>
      </c>
      <c r="Z240" s="7">
        <v>1</v>
      </c>
      <c r="AA240" s="7">
        <f t="shared" si="515"/>
        <v>8598</v>
      </c>
      <c r="AB240" s="7">
        <f t="shared" si="516"/>
        <v>8598</v>
      </c>
      <c r="AC240" s="7">
        <f t="shared" si="517"/>
        <v>0</v>
      </c>
      <c r="AD240" s="7">
        <f t="shared" si="518"/>
        <v>2002.9166666666667</v>
      </c>
      <c r="AE240" s="7">
        <f t="shared" si="519"/>
        <v>2018</v>
      </c>
      <c r="AF240" s="7">
        <f t="shared" si="520"/>
        <v>2012.9166666666667</v>
      </c>
      <c r="AG240" s="7">
        <f t="shared" si="521"/>
        <v>2017</v>
      </c>
      <c r="AH240" s="7">
        <f t="shared" si="522"/>
        <v>-8.3333333333333329E-2</v>
      </c>
      <c r="AJ240" s="144">
        <f t="shared" si="523"/>
        <v>0</v>
      </c>
      <c r="AL240" s="144">
        <f t="shared" si="524"/>
        <v>0</v>
      </c>
      <c r="AN240" s="144">
        <f t="shared" si="525"/>
        <v>0</v>
      </c>
      <c r="AP240" s="144">
        <f t="shared" si="526"/>
        <v>0</v>
      </c>
      <c r="AR240" s="144">
        <f t="shared" si="527"/>
        <v>0</v>
      </c>
    </row>
    <row r="241" spans="3:44">
      <c r="C241" s="1">
        <v>1</v>
      </c>
      <c r="D241" s="56" t="s">
        <v>180</v>
      </c>
      <c r="E241" s="3">
        <v>2002</v>
      </c>
      <c r="F241" s="4">
        <v>12</v>
      </c>
      <c r="G241" s="30">
        <v>0</v>
      </c>
      <c r="H241" s="7"/>
      <c r="I241" s="14" t="s">
        <v>86</v>
      </c>
      <c r="J241" s="5">
        <v>10</v>
      </c>
      <c r="K241" s="13">
        <f t="shared" si="509"/>
        <v>2012</v>
      </c>
      <c r="N241" s="48">
        <v>4409</v>
      </c>
      <c r="P241" s="7">
        <f t="shared" si="510"/>
        <v>4409</v>
      </c>
      <c r="Q241" s="7">
        <f t="shared" si="511"/>
        <v>36.741666666666667</v>
      </c>
      <c r="R241" s="7">
        <f t="shared" si="512"/>
        <v>0</v>
      </c>
      <c r="T241" s="7">
        <f t="shared" si="513"/>
        <v>0</v>
      </c>
      <c r="U241" s="7">
        <v>1</v>
      </c>
      <c r="V241" s="7">
        <f t="shared" si="514"/>
        <v>0</v>
      </c>
      <c r="W241" s="7"/>
      <c r="X241" s="7">
        <f t="shared" si="507"/>
        <v>4409</v>
      </c>
      <c r="Y241" s="7">
        <f t="shared" si="508"/>
        <v>4409</v>
      </c>
      <c r="Z241" s="7">
        <v>1</v>
      </c>
      <c r="AA241" s="7">
        <f t="shared" si="515"/>
        <v>4409</v>
      </c>
      <c r="AB241" s="7">
        <f t="shared" si="516"/>
        <v>4409</v>
      </c>
      <c r="AC241" s="7">
        <f t="shared" si="517"/>
        <v>0</v>
      </c>
      <c r="AD241" s="7">
        <f t="shared" si="518"/>
        <v>2002.9166666666667</v>
      </c>
      <c r="AE241" s="7">
        <f t="shared" si="519"/>
        <v>2018</v>
      </c>
      <c r="AF241" s="7">
        <f t="shared" si="520"/>
        <v>2012.9166666666667</v>
      </c>
      <c r="AG241" s="7">
        <f t="shared" si="521"/>
        <v>2017</v>
      </c>
      <c r="AH241" s="7">
        <f t="shared" si="522"/>
        <v>-8.3333333333333329E-2</v>
      </c>
      <c r="AJ241" s="144">
        <f t="shared" si="523"/>
        <v>0</v>
      </c>
      <c r="AL241" s="144">
        <f t="shared" si="524"/>
        <v>0</v>
      </c>
      <c r="AN241" s="144">
        <f t="shared" si="525"/>
        <v>0</v>
      </c>
      <c r="AP241" s="144">
        <f t="shared" si="526"/>
        <v>0</v>
      </c>
      <c r="AR241" s="144">
        <f t="shared" si="527"/>
        <v>0</v>
      </c>
    </row>
    <row r="242" spans="3:44">
      <c r="C242" s="1">
        <v>7</v>
      </c>
      <c r="D242" s="56" t="s">
        <v>181</v>
      </c>
      <c r="E242" s="3">
        <v>2002</v>
      </c>
      <c r="F242" s="4">
        <v>12</v>
      </c>
      <c r="G242" s="30">
        <v>0</v>
      </c>
      <c r="H242" s="7"/>
      <c r="I242" s="14" t="s">
        <v>86</v>
      </c>
      <c r="J242" s="5">
        <v>10</v>
      </c>
      <c r="K242" s="13">
        <f t="shared" si="509"/>
        <v>2012</v>
      </c>
      <c r="N242" s="48">
        <v>12478</v>
      </c>
      <c r="P242" s="7">
        <f t="shared" si="510"/>
        <v>12478</v>
      </c>
      <c r="Q242" s="7">
        <f t="shared" si="511"/>
        <v>103.98333333333333</v>
      </c>
      <c r="R242" s="7">
        <f t="shared" si="512"/>
        <v>0</v>
      </c>
      <c r="T242" s="7">
        <f t="shared" si="513"/>
        <v>0</v>
      </c>
      <c r="U242" s="7">
        <v>1</v>
      </c>
      <c r="V242" s="7">
        <f t="shared" si="514"/>
        <v>0</v>
      </c>
      <c r="W242" s="7"/>
      <c r="X242" s="7">
        <f t="shared" si="507"/>
        <v>12478</v>
      </c>
      <c r="Y242" s="7">
        <f t="shared" si="508"/>
        <v>12478</v>
      </c>
      <c r="Z242" s="7">
        <v>1</v>
      </c>
      <c r="AA242" s="7">
        <f t="shared" si="515"/>
        <v>12478</v>
      </c>
      <c r="AB242" s="7">
        <f t="shared" si="516"/>
        <v>12478</v>
      </c>
      <c r="AC242" s="7">
        <f t="shared" si="517"/>
        <v>0</v>
      </c>
      <c r="AD242" s="7">
        <f t="shared" si="518"/>
        <v>2002.9166666666667</v>
      </c>
      <c r="AE242" s="7">
        <f t="shared" si="519"/>
        <v>2018</v>
      </c>
      <c r="AF242" s="7">
        <f t="shared" si="520"/>
        <v>2012.9166666666667</v>
      </c>
      <c r="AG242" s="7">
        <f t="shared" si="521"/>
        <v>2017</v>
      </c>
      <c r="AH242" s="7">
        <f t="shared" si="522"/>
        <v>-8.3333333333333329E-2</v>
      </c>
      <c r="AJ242" s="144">
        <f t="shared" si="523"/>
        <v>0</v>
      </c>
      <c r="AL242" s="144">
        <f t="shared" si="524"/>
        <v>0</v>
      </c>
      <c r="AN242" s="144">
        <f t="shared" si="525"/>
        <v>0</v>
      </c>
      <c r="AP242" s="144">
        <f t="shared" si="526"/>
        <v>0</v>
      </c>
      <c r="AR242" s="144">
        <f t="shared" si="527"/>
        <v>0</v>
      </c>
    </row>
    <row r="243" spans="3:44">
      <c r="C243" s="1">
        <v>5</v>
      </c>
      <c r="D243" s="56" t="s">
        <v>182</v>
      </c>
      <c r="E243" s="3">
        <v>2002</v>
      </c>
      <c r="F243" s="4">
        <v>12</v>
      </c>
      <c r="G243" s="30">
        <v>0</v>
      </c>
      <c r="H243" s="7"/>
      <c r="I243" s="14" t="s">
        <v>86</v>
      </c>
      <c r="J243" s="5">
        <v>10</v>
      </c>
      <c r="K243" s="13">
        <f t="shared" si="509"/>
        <v>2012</v>
      </c>
      <c r="N243" s="48">
        <f>16328/2</f>
        <v>8164</v>
      </c>
      <c r="P243" s="7">
        <f t="shared" si="510"/>
        <v>8164</v>
      </c>
      <c r="Q243" s="7">
        <f t="shared" si="511"/>
        <v>68.033333333333331</v>
      </c>
      <c r="R243" s="7">
        <f t="shared" si="512"/>
        <v>0</v>
      </c>
      <c r="T243" s="7">
        <f t="shared" si="513"/>
        <v>0</v>
      </c>
      <c r="U243" s="7">
        <v>1</v>
      </c>
      <c r="V243" s="7">
        <f t="shared" si="514"/>
        <v>0</v>
      </c>
      <c r="W243" s="7"/>
      <c r="X243" s="7">
        <f t="shared" si="507"/>
        <v>8164</v>
      </c>
      <c r="Y243" s="7">
        <f t="shared" si="508"/>
        <v>8164</v>
      </c>
      <c r="Z243" s="7">
        <v>1</v>
      </c>
      <c r="AA243" s="7">
        <f t="shared" si="515"/>
        <v>8164</v>
      </c>
      <c r="AB243" s="7">
        <f t="shared" si="516"/>
        <v>8164</v>
      </c>
      <c r="AC243" s="7">
        <f t="shared" si="517"/>
        <v>0</v>
      </c>
      <c r="AD243" s="7">
        <f t="shared" si="518"/>
        <v>2002.9166666666667</v>
      </c>
      <c r="AE243" s="7">
        <f t="shared" si="519"/>
        <v>2018</v>
      </c>
      <c r="AF243" s="7">
        <f t="shared" si="520"/>
        <v>2012.9166666666667</v>
      </c>
      <c r="AG243" s="7">
        <f t="shared" si="521"/>
        <v>2017</v>
      </c>
      <c r="AH243" s="7">
        <f t="shared" si="522"/>
        <v>-8.3333333333333329E-2</v>
      </c>
      <c r="AJ243" s="144">
        <f t="shared" si="523"/>
        <v>0</v>
      </c>
      <c r="AL243" s="144">
        <f t="shared" si="524"/>
        <v>0</v>
      </c>
      <c r="AN243" s="144">
        <f t="shared" si="525"/>
        <v>0</v>
      </c>
      <c r="AP243" s="144">
        <f t="shared" si="526"/>
        <v>0</v>
      </c>
      <c r="AR243" s="144">
        <f t="shared" si="527"/>
        <v>0</v>
      </c>
    </row>
    <row r="244" spans="3:44">
      <c r="C244" s="1">
        <v>2</v>
      </c>
      <c r="D244" s="56" t="s">
        <v>183</v>
      </c>
      <c r="E244" s="3">
        <v>2002</v>
      </c>
      <c r="F244" s="4">
        <v>12</v>
      </c>
      <c r="G244" s="30">
        <v>0</v>
      </c>
      <c r="H244" s="7"/>
      <c r="I244" s="14" t="s">
        <v>86</v>
      </c>
      <c r="J244" s="5">
        <v>10</v>
      </c>
      <c r="K244" s="13">
        <f t="shared" si="509"/>
        <v>2012</v>
      </c>
      <c r="N244" s="48">
        <v>5827</v>
      </c>
      <c r="P244" s="7">
        <f t="shared" si="510"/>
        <v>5827</v>
      </c>
      <c r="Q244" s="7">
        <f t="shared" si="511"/>
        <v>48.558333333333337</v>
      </c>
      <c r="R244" s="7">
        <f t="shared" si="512"/>
        <v>0</v>
      </c>
      <c r="T244" s="7">
        <f t="shared" si="513"/>
        <v>0</v>
      </c>
      <c r="U244" s="7">
        <v>1</v>
      </c>
      <c r="V244" s="7">
        <f t="shared" si="514"/>
        <v>0</v>
      </c>
      <c r="W244" s="7"/>
      <c r="X244" s="7">
        <f t="shared" si="507"/>
        <v>5827</v>
      </c>
      <c r="Y244" s="7">
        <f t="shared" si="508"/>
        <v>5827</v>
      </c>
      <c r="Z244" s="7">
        <v>1</v>
      </c>
      <c r="AA244" s="7">
        <f t="shared" si="515"/>
        <v>5827</v>
      </c>
      <c r="AB244" s="7">
        <f t="shared" si="516"/>
        <v>5827</v>
      </c>
      <c r="AC244" s="7">
        <f t="shared" si="517"/>
        <v>0</v>
      </c>
      <c r="AD244" s="7">
        <f t="shared" si="518"/>
        <v>2002.9166666666667</v>
      </c>
      <c r="AE244" s="7">
        <f t="shared" si="519"/>
        <v>2018</v>
      </c>
      <c r="AF244" s="7">
        <f t="shared" si="520"/>
        <v>2012.9166666666667</v>
      </c>
      <c r="AG244" s="7">
        <f t="shared" si="521"/>
        <v>2017</v>
      </c>
      <c r="AH244" s="7">
        <f t="shared" si="522"/>
        <v>-8.3333333333333329E-2</v>
      </c>
      <c r="AJ244" s="144">
        <f t="shared" si="523"/>
        <v>0</v>
      </c>
      <c r="AL244" s="144">
        <f t="shared" si="524"/>
        <v>0</v>
      </c>
      <c r="AN244" s="144">
        <f t="shared" si="525"/>
        <v>0</v>
      </c>
      <c r="AP244" s="144">
        <f t="shared" si="526"/>
        <v>0</v>
      </c>
      <c r="AR244" s="144">
        <f t="shared" si="527"/>
        <v>0</v>
      </c>
    </row>
    <row r="245" spans="3:44">
      <c r="D245" s="56" t="s">
        <v>184</v>
      </c>
      <c r="E245" s="3">
        <v>2002</v>
      </c>
      <c r="F245" s="4">
        <v>12</v>
      </c>
      <c r="G245" s="30">
        <v>0</v>
      </c>
      <c r="H245" s="7"/>
      <c r="I245" s="14" t="s">
        <v>86</v>
      </c>
      <c r="J245" s="5">
        <v>10</v>
      </c>
      <c r="K245" s="13">
        <f t="shared" si="509"/>
        <v>2012</v>
      </c>
      <c r="N245" s="48">
        <v>1690</v>
      </c>
      <c r="P245" s="7">
        <f t="shared" si="510"/>
        <v>1690</v>
      </c>
      <c r="Q245" s="7">
        <f t="shared" si="511"/>
        <v>14.083333333333334</v>
      </c>
      <c r="R245" s="7">
        <f t="shared" si="512"/>
        <v>0</v>
      </c>
      <c r="T245" s="7">
        <f t="shared" si="513"/>
        <v>0</v>
      </c>
      <c r="U245" s="7">
        <v>1</v>
      </c>
      <c r="V245" s="7">
        <f t="shared" si="514"/>
        <v>0</v>
      </c>
      <c r="W245" s="7"/>
      <c r="X245" s="7">
        <f t="shared" si="507"/>
        <v>1690</v>
      </c>
      <c r="Y245" s="7">
        <f t="shared" si="508"/>
        <v>1690</v>
      </c>
      <c r="Z245" s="7">
        <v>1</v>
      </c>
      <c r="AA245" s="7">
        <f t="shared" si="515"/>
        <v>1690</v>
      </c>
      <c r="AB245" s="7">
        <f t="shared" si="516"/>
        <v>1690</v>
      </c>
      <c r="AC245" s="7">
        <f t="shared" si="517"/>
        <v>0</v>
      </c>
      <c r="AD245" s="7">
        <f t="shared" si="518"/>
        <v>2002.9166666666667</v>
      </c>
      <c r="AE245" s="7">
        <f t="shared" si="519"/>
        <v>2018</v>
      </c>
      <c r="AF245" s="7">
        <f t="shared" si="520"/>
        <v>2012.9166666666667</v>
      </c>
      <c r="AG245" s="7">
        <f t="shared" si="521"/>
        <v>2017</v>
      </c>
      <c r="AH245" s="7">
        <f t="shared" si="522"/>
        <v>-8.3333333333333329E-2</v>
      </c>
      <c r="AJ245" s="144">
        <f t="shared" si="523"/>
        <v>0</v>
      </c>
      <c r="AL245" s="144">
        <f t="shared" si="524"/>
        <v>0</v>
      </c>
      <c r="AN245" s="144">
        <f t="shared" si="525"/>
        <v>0</v>
      </c>
      <c r="AP245" s="144">
        <f t="shared" si="526"/>
        <v>0</v>
      </c>
      <c r="AR245" s="144">
        <f t="shared" si="527"/>
        <v>0</v>
      </c>
    </row>
    <row r="246" spans="3:44">
      <c r="C246" s="1">
        <v>4</v>
      </c>
      <c r="D246" s="56" t="s">
        <v>180</v>
      </c>
      <c r="E246" s="3">
        <v>2003</v>
      </c>
      <c r="F246" s="4">
        <v>12</v>
      </c>
      <c r="G246" s="30">
        <v>0</v>
      </c>
      <c r="H246" s="7"/>
      <c r="I246" s="14" t="s">
        <v>86</v>
      </c>
      <c r="J246" s="5">
        <v>10</v>
      </c>
      <c r="K246" s="13">
        <f t="shared" si="509"/>
        <v>2013</v>
      </c>
      <c r="N246" s="48">
        <v>16842</v>
      </c>
      <c r="P246" s="7">
        <f t="shared" si="510"/>
        <v>16842</v>
      </c>
      <c r="Q246" s="7">
        <f t="shared" si="511"/>
        <v>140.35</v>
      </c>
      <c r="R246" s="7">
        <f t="shared" si="512"/>
        <v>0</v>
      </c>
      <c r="T246" s="7">
        <f t="shared" si="513"/>
        <v>0</v>
      </c>
      <c r="U246" s="7">
        <v>1</v>
      </c>
      <c r="V246" s="7">
        <f t="shared" si="514"/>
        <v>0</v>
      </c>
      <c r="W246" s="7"/>
      <c r="X246" s="7">
        <f t="shared" si="507"/>
        <v>16842</v>
      </c>
      <c r="Y246" s="7">
        <f t="shared" si="508"/>
        <v>16842</v>
      </c>
      <c r="Z246" s="7">
        <v>1</v>
      </c>
      <c r="AA246" s="7">
        <f t="shared" si="515"/>
        <v>16842</v>
      </c>
      <c r="AB246" s="7">
        <f t="shared" si="516"/>
        <v>16842</v>
      </c>
      <c r="AC246" s="7">
        <f t="shared" si="517"/>
        <v>0</v>
      </c>
      <c r="AD246" s="7">
        <f t="shared" si="518"/>
        <v>2003.9166666666667</v>
      </c>
      <c r="AE246" s="7">
        <f t="shared" si="519"/>
        <v>2018</v>
      </c>
      <c r="AF246" s="7">
        <f t="shared" si="520"/>
        <v>2013.9166666666667</v>
      </c>
      <c r="AG246" s="7">
        <f t="shared" si="521"/>
        <v>2017</v>
      </c>
      <c r="AH246" s="7">
        <f t="shared" si="522"/>
        <v>-8.3333333333333329E-2</v>
      </c>
      <c r="AJ246" s="144">
        <f t="shared" si="523"/>
        <v>0</v>
      </c>
      <c r="AL246" s="144">
        <f t="shared" si="524"/>
        <v>0</v>
      </c>
      <c r="AN246" s="144">
        <f t="shared" si="525"/>
        <v>0</v>
      </c>
      <c r="AP246" s="144">
        <f t="shared" si="526"/>
        <v>0</v>
      </c>
      <c r="AR246" s="144">
        <f t="shared" si="527"/>
        <v>0</v>
      </c>
    </row>
    <row r="247" spans="3:44">
      <c r="C247" s="1">
        <v>4</v>
      </c>
      <c r="D247" s="56" t="s">
        <v>185</v>
      </c>
      <c r="E247" s="3">
        <v>2003</v>
      </c>
      <c r="F247" s="4">
        <v>12</v>
      </c>
      <c r="G247" s="30">
        <v>0</v>
      </c>
      <c r="H247" s="7"/>
      <c r="I247" s="14" t="s">
        <v>86</v>
      </c>
      <c r="J247" s="5">
        <v>10</v>
      </c>
      <c r="K247" s="13">
        <f t="shared" si="509"/>
        <v>2013</v>
      </c>
      <c r="N247" s="48">
        <v>10000</v>
      </c>
      <c r="P247" s="7">
        <f t="shared" si="510"/>
        <v>10000</v>
      </c>
      <c r="Q247" s="7">
        <f t="shared" si="511"/>
        <v>83.333333333333329</v>
      </c>
      <c r="R247" s="7">
        <f t="shared" si="512"/>
        <v>0</v>
      </c>
      <c r="T247" s="7">
        <f t="shared" si="513"/>
        <v>0</v>
      </c>
      <c r="U247" s="7">
        <v>1</v>
      </c>
      <c r="V247" s="7">
        <f t="shared" si="514"/>
        <v>0</v>
      </c>
      <c r="W247" s="7"/>
      <c r="X247" s="7">
        <f t="shared" si="507"/>
        <v>10000</v>
      </c>
      <c r="Y247" s="7">
        <f t="shared" si="508"/>
        <v>10000</v>
      </c>
      <c r="Z247" s="7">
        <v>1</v>
      </c>
      <c r="AA247" s="7">
        <f t="shared" si="515"/>
        <v>10000</v>
      </c>
      <c r="AB247" s="7">
        <f t="shared" si="516"/>
        <v>10000</v>
      </c>
      <c r="AC247" s="7">
        <f t="shared" si="517"/>
        <v>0</v>
      </c>
      <c r="AD247" s="7">
        <f t="shared" si="518"/>
        <v>2003.9166666666667</v>
      </c>
      <c r="AE247" s="7">
        <f t="shared" si="519"/>
        <v>2018</v>
      </c>
      <c r="AF247" s="7">
        <f t="shared" si="520"/>
        <v>2013.9166666666667</v>
      </c>
      <c r="AG247" s="7">
        <f t="shared" si="521"/>
        <v>2017</v>
      </c>
      <c r="AH247" s="7">
        <f t="shared" si="522"/>
        <v>-8.3333333333333329E-2</v>
      </c>
      <c r="AJ247" s="144">
        <f t="shared" si="523"/>
        <v>0</v>
      </c>
      <c r="AL247" s="144">
        <f t="shared" si="524"/>
        <v>0</v>
      </c>
      <c r="AN247" s="144">
        <f t="shared" si="525"/>
        <v>0</v>
      </c>
      <c r="AP247" s="144">
        <f t="shared" si="526"/>
        <v>0</v>
      </c>
      <c r="AR247" s="144">
        <f t="shared" si="527"/>
        <v>0</v>
      </c>
    </row>
    <row r="248" spans="3:44">
      <c r="D248" s="56" t="s">
        <v>186</v>
      </c>
      <c r="E248" s="3">
        <v>2004</v>
      </c>
      <c r="F248" s="4">
        <v>3</v>
      </c>
      <c r="G248" s="30">
        <v>0</v>
      </c>
      <c r="H248" s="7"/>
      <c r="I248" s="14" t="s">
        <v>86</v>
      </c>
      <c r="J248" s="5">
        <v>10</v>
      </c>
      <c r="K248" s="13">
        <f t="shared" si="509"/>
        <v>2014</v>
      </c>
      <c r="N248" s="48">
        <v>16336</v>
      </c>
      <c r="P248" s="7">
        <f t="shared" si="510"/>
        <v>16336</v>
      </c>
      <c r="Q248" s="7">
        <f t="shared" si="511"/>
        <v>136.13333333333333</v>
      </c>
      <c r="R248" s="7">
        <f t="shared" si="512"/>
        <v>0</v>
      </c>
      <c r="T248" s="7">
        <f t="shared" si="513"/>
        <v>0</v>
      </c>
      <c r="U248" s="7">
        <v>1</v>
      </c>
      <c r="V248" s="7">
        <f t="shared" si="514"/>
        <v>0</v>
      </c>
      <c r="W248" s="7"/>
      <c r="X248" s="7">
        <f t="shared" si="507"/>
        <v>16336</v>
      </c>
      <c r="Y248" s="7">
        <f t="shared" si="508"/>
        <v>16336</v>
      </c>
      <c r="Z248" s="7">
        <v>1</v>
      </c>
      <c r="AA248" s="7">
        <f t="shared" si="515"/>
        <v>16336</v>
      </c>
      <c r="AB248" s="7">
        <f t="shared" si="516"/>
        <v>16336</v>
      </c>
      <c r="AC248" s="7">
        <f t="shared" si="517"/>
        <v>0</v>
      </c>
      <c r="AD248" s="7">
        <f t="shared" si="518"/>
        <v>2004.1666666666667</v>
      </c>
      <c r="AE248" s="7">
        <f t="shared" si="519"/>
        <v>2018</v>
      </c>
      <c r="AF248" s="7">
        <f t="shared" si="520"/>
        <v>2014.1666666666667</v>
      </c>
      <c r="AG248" s="7">
        <f t="shared" si="521"/>
        <v>2017</v>
      </c>
      <c r="AH248" s="7">
        <f t="shared" si="522"/>
        <v>-8.3333333333333329E-2</v>
      </c>
      <c r="AJ248" s="144">
        <f t="shared" si="523"/>
        <v>0</v>
      </c>
      <c r="AL248" s="144">
        <f t="shared" si="524"/>
        <v>0</v>
      </c>
      <c r="AN248" s="144">
        <f t="shared" si="525"/>
        <v>0</v>
      </c>
      <c r="AP248" s="144">
        <f t="shared" si="526"/>
        <v>0</v>
      </c>
      <c r="AR248" s="144">
        <f t="shared" si="527"/>
        <v>0</v>
      </c>
    </row>
    <row r="249" spans="3:44">
      <c r="C249" s="1">
        <v>1</v>
      </c>
      <c r="D249" s="56" t="s">
        <v>187</v>
      </c>
      <c r="E249" s="3">
        <v>2004</v>
      </c>
      <c r="F249" s="4">
        <v>10</v>
      </c>
      <c r="G249" s="30">
        <v>0</v>
      </c>
      <c r="H249" s="7"/>
      <c r="I249" s="14" t="s">
        <v>86</v>
      </c>
      <c r="J249" s="5">
        <v>10</v>
      </c>
      <c r="K249" s="13">
        <f t="shared" si="509"/>
        <v>2014</v>
      </c>
      <c r="N249" s="48">
        <v>3562</v>
      </c>
      <c r="P249" s="7">
        <f t="shared" si="510"/>
        <v>3562</v>
      </c>
      <c r="Q249" s="7">
        <f t="shared" si="511"/>
        <v>29.683333333333334</v>
      </c>
      <c r="R249" s="7">
        <f t="shared" si="512"/>
        <v>0</v>
      </c>
      <c r="T249" s="7">
        <f t="shared" si="513"/>
        <v>0</v>
      </c>
      <c r="U249" s="7">
        <v>1</v>
      </c>
      <c r="V249" s="7">
        <f t="shared" si="514"/>
        <v>0</v>
      </c>
      <c r="W249" s="7"/>
      <c r="X249" s="7">
        <f t="shared" si="507"/>
        <v>3562</v>
      </c>
      <c r="Y249" s="7">
        <f t="shared" si="508"/>
        <v>3562</v>
      </c>
      <c r="Z249" s="7">
        <v>1</v>
      </c>
      <c r="AA249" s="7">
        <f t="shared" si="515"/>
        <v>3562</v>
      </c>
      <c r="AB249" s="7">
        <f t="shared" si="516"/>
        <v>3562</v>
      </c>
      <c r="AC249" s="7">
        <f t="shared" si="517"/>
        <v>0</v>
      </c>
      <c r="AD249" s="7">
        <f t="shared" si="518"/>
        <v>2004.75</v>
      </c>
      <c r="AE249" s="7">
        <f t="shared" si="519"/>
        <v>2018</v>
      </c>
      <c r="AF249" s="7">
        <f t="shared" si="520"/>
        <v>2014.75</v>
      </c>
      <c r="AG249" s="7">
        <f t="shared" si="521"/>
        <v>2017</v>
      </c>
      <c r="AH249" s="7">
        <f t="shared" si="522"/>
        <v>-8.3333333333333329E-2</v>
      </c>
      <c r="AJ249" s="144">
        <f t="shared" si="523"/>
        <v>0</v>
      </c>
      <c r="AL249" s="144">
        <f t="shared" si="524"/>
        <v>0</v>
      </c>
      <c r="AN249" s="144">
        <f t="shared" si="525"/>
        <v>0</v>
      </c>
      <c r="AP249" s="144">
        <f t="shared" si="526"/>
        <v>0</v>
      </c>
      <c r="AR249" s="144">
        <f t="shared" si="527"/>
        <v>0</v>
      </c>
    </row>
    <row r="250" spans="3:44">
      <c r="C250" s="1">
        <v>4</v>
      </c>
      <c r="D250" s="56" t="s">
        <v>185</v>
      </c>
      <c r="E250" s="3">
        <v>2005</v>
      </c>
      <c r="F250" s="4">
        <v>6</v>
      </c>
      <c r="G250" s="30">
        <v>0</v>
      </c>
      <c r="H250" s="7"/>
      <c r="I250" s="14" t="s">
        <v>86</v>
      </c>
      <c r="J250" s="5">
        <v>10</v>
      </c>
      <c r="K250" s="13">
        <f t="shared" si="509"/>
        <v>2015</v>
      </c>
      <c r="N250" s="48">
        <v>14877</v>
      </c>
      <c r="P250" s="7">
        <f t="shared" si="510"/>
        <v>14877</v>
      </c>
      <c r="Q250" s="7">
        <f t="shared" si="511"/>
        <v>123.97500000000001</v>
      </c>
      <c r="R250" s="7">
        <f t="shared" si="512"/>
        <v>0</v>
      </c>
      <c r="T250" s="7">
        <f t="shared" si="513"/>
        <v>0</v>
      </c>
      <c r="U250" s="7">
        <v>1</v>
      </c>
      <c r="V250" s="7">
        <f t="shared" si="514"/>
        <v>0</v>
      </c>
      <c r="W250" s="7"/>
      <c r="X250" s="7">
        <f t="shared" si="507"/>
        <v>14877</v>
      </c>
      <c r="Y250" s="7">
        <f t="shared" si="508"/>
        <v>14877</v>
      </c>
      <c r="Z250" s="7">
        <v>1</v>
      </c>
      <c r="AA250" s="7">
        <f t="shared" si="515"/>
        <v>14877</v>
      </c>
      <c r="AB250" s="7">
        <f t="shared" si="516"/>
        <v>14877</v>
      </c>
      <c r="AC250" s="7">
        <f t="shared" si="517"/>
        <v>0</v>
      </c>
      <c r="AD250" s="7">
        <f t="shared" si="518"/>
        <v>2005.4166666666667</v>
      </c>
      <c r="AE250" s="7">
        <f t="shared" si="519"/>
        <v>2018</v>
      </c>
      <c r="AF250" s="7">
        <f t="shared" si="520"/>
        <v>2015.4166666666667</v>
      </c>
      <c r="AG250" s="7">
        <f t="shared" si="521"/>
        <v>2017</v>
      </c>
      <c r="AH250" s="7">
        <f t="shared" si="522"/>
        <v>-8.3333333333333329E-2</v>
      </c>
      <c r="AJ250" s="144">
        <f t="shared" si="523"/>
        <v>0</v>
      </c>
      <c r="AL250" s="144">
        <f t="shared" si="524"/>
        <v>0</v>
      </c>
      <c r="AN250" s="144">
        <f t="shared" si="525"/>
        <v>0</v>
      </c>
      <c r="AP250" s="144">
        <f t="shared" si="526"/>
        <v>0</v>
      </c>
      <c r="AR250" s="144">
        <f t="shared" si="527"/>
        <v>0</v>
      </c>
    </row>
    <row r="251" spans="3:44">
      <c r="C251" s="1">
        <v>8</v>
      </c>
      <c r="D251" s="56" t="s">
        <v>185</v>
      </c>
      <c r="E251" s="3">
        <v>2006</v>
      </c>
      <c r="F251" s="4">
        <v>4</v>
      </c>
      <c r="G251" s="30">
        <v>0</v>
      </c>
      <c r="H251" s="7"/>
      <c r="I251" s="14" t="s">
        <v>86</v>
      </c>
      <c r="J251" s="5">
        <v>10</v>
      </c>
      <c r="K251" s="13">
        <f t="shared" si="509"/>
        <v>2016</v>
      </c>
      <c r="N251" s="48">
        <v>28560</v>
      </c>
      <c r="P251" s="7">
        <f t="shared" si="510"/>
        <v>28560</v>
      </c>
      <c r="Q251" s="7">
        <f t="shared" si="511"/>
        <v>238</v>
      </c>
      <c r="R251" s="7">
        <f t="shared" si="512"/>
        <v>0</v>
      </c>
      <c r="T251" s="7">
        <f t="shared" si="513"/>
        <v>0</v>
      </c>
      <c r="U251" s="7">
        <v>1</v>
      </c>
      <c r="V251" s="7">
        <f t="shared" si="514"/>
        <v>0</v>
      </c>
      <c r="W251" s="7"/>
      <c r="X251" s="7">
        <f t="shared" si="507"/>
        <v>28560</v>
      </c>
      <c r="Y251" s="7">
        <f t="shared" si="508"/>
        <v>28560</v>
      </c>
      <c r="Z251" s="7">
        <v>1</v>
      </c>
      <c r="AA251" s="7">
        <f t="shared" si="515"/>
        <v>28560</v>
      </c>
      <c r="AB251" s="7">
        <f t="shared" si="516"/>
        <v>28560</v>
      </c>
      <c r="AC251" s="7">
        <f t="shared" si="517"/>
        <v>0</v>
      </c>
      <c r="AD251" s="7">
        <f t="shared" si="518"/>
        <v>2006.25</v>
      </c>
      <c r="AE251" s="7">
        <f t="shared" si="519"/>
        <v>2018</v>
      </c>
      <c r="AF251" s="7">
        <f t="shared" si="520"/>
        <v>2016.25</v>
      </c>
      <c r="AG251" s="7">
        <f t="shared" si="521"/>
        <v>2017</v>
      </c>
      <c r="AH251" s="7">
        <f t="shared" si="522"/>
        <v>-8.3333333333333329E-2</v>
      </c>
      <c r="AJ251" s="144">
        <f t="shared" si="523"/>
        <v>0</v>
      </c>
      <c r="AL251" s="144">
        <f t="shared" si="524"/>
        <v>0</v>
      </c>
      <c r="AN251" s="144">
        <f t="shared" si="525"/>
        <v>0</v>
      </c>
      <c r="AP251" s="144">
        <f t="shared" si="526"/>
        <v>0</v>
      </c>
      <c r="AR251" s="144">
        <f t="shared" si="527"/>
        <v>0</v>
      </c>
    </row>
    <row r="252" spans="3:44">
      <c r="C252" s="1">
        <v>2</v>
      </c>
      <c r="D252" s="56" t="s">
        <v>188</v>
      </c>
      <c r="E252" s="3">
        <v>2006</v>
      </c>
      <c r="F252" s="4">
        <v>4</v>
      </c>
      <c r="G252" s="30">
        <v>0</v>
      </c>
      <c r="H252" s="7"/>
      <c r="I252" s="14" t="s">
        <v>86</v>
      </c>
      <c r="J252" s="5">
        <v>10</v>
      </c>
      <c r="K252" s="13">
        <f t="shared" si="509"/>
        <v>2016</v>
      </c>
      <c r="N252" s="48">
        <f>4300+4300</f>
        <v>8600</v>
      </c>
      <c r="P252" s="7">
        <f t="shared" si="510"/>
        <v>8600</v>
      </c>
      <c r="Q252" s="7">
        <f t="shared" si="511"/>
        <v>71.666666666666671</v>
      </c>
      <c r="R252" s="7">
        <f t="shared" si="512"/>
        <v>0</v>
      </c>
      <c r="T252" s="7">
        <f t="shared" si="513"/>
        <v>0</v>
      </c>
      <c r="U252" s="7">
        <v>1</v>
      </c>
      <c r="V252" s="7">
        <f t="shared" si="514"/>
        <v>0</v>
      </c>
      <c r="W252" s="7"/>
      <c r="X252" s="7">
        <f t="shared" si="507"/>
        <v>8600</v>
      </c>
      <c r="Y252" s="7">
        <f t="shared" si="508"/>
        <v>8600</v>
      </c>
      <c r="Z252" s="7">
        <v>1</v>
      </c>
      <c r="AA252" s="7">
        <f t="shared" si="515"/>
        <v>8600</v>
      </c>
      <c r="AB252" s="7">
        <f t="shared" si="516"/>
        <v>8600</v>
      </c>
      <c r="AC252" s="7">
        <f t="shared" si="517"/>
        <v>0</v>
      </c>
      <c r="AD252" s="7">
        <f t="shared" si="518"/>
        <v>2006.25</v>
      </c>
      <c r="AE252" s="7">
        <f t="shared" si="519"/>
        <v>2018</v>
      </c>
      <c r="AF252" s="7">
        <f t="shared" si="520"/>
        <v>2016.25</v>
      </c>
      <c r="AG252" s="7">
        <f t="shared" si="521"/>
        <v>2017</v>
      </c>
      <c r="AH252" s="7">
        <f t="shared" si="522"/>
        <v>-8.3333333333333329E-2</v>
      </c>
      <c r="AJ252" s="144">
        <f t="shared" si="523"/>
        <v>0</v>
      </c>
      <c r="AL252" s="144">
        <f t="shared" si="524"/>
        <v>0</v>
      </c>
      <c r="AN252" s="144">
        <f t="shared" si="525"/>
        <v>0</v>
      </c>
      <c r="AP252" s="144">
        <f t="shared" si="526"/>
        <v>0</v>
      </c>
      <c r="AR252" s="144">
        <f t="shared" si="527"/>
        <v>0</v>
      </c>
    </row>
    <row r="253" spans="3:44">
      <c r="C253" s="1">
        <v>2</v>
      </c>
      <c r="D253" s="56" t="s">
        <v>189</v>
      </c>
      <c r="E253" s="3">
        <v>2006</v>
      </c>
      <c r="F253" s="4">
        <v>4</v>
      </c>
      <c r="G253" s="30">
        <v>0</v>
      </c>
      <c r="H253" s="7"/>
      <c r="I253" s="14" t="s">
        <v>86</v>
      </c>
      <c r="J253" s="5">
        <v>10</v>
      </c>
      <c r="K253" s="13">
        <f t="shared" si="509"/>
        <v>2016</v>
      </c>
      <c r="N253" s="48">
        <f>4350+4350</f>
        <v>8700</v>
      </c>
      <c r="P253" s="7">
        <f t="shared" si="510"/>
        <v>8700</v>
      </c>
      <c r="Q253" s="7">
        <f t="shared" si="511"/>
        <v>72.5</v>
      </c>
      <c r="R253" s="7">
        <f t="shared" si="512"/>
        <v>0</v>
      </c>
      <c r="T253" s="7">
        <f t="shared" si="513"/>
        <v>0</v>
      </c>
      <c r="U253" s="7">
        <v>1</v>
      </c>
      <c r="V253" s="7">
        <f t="shared" si="514"/>
        <v>0</v>
      </c>
      <c r="W253" s="7"/>
      <c r="X253" s="7">
        <f t="shared" si="507"/>
        <v>8700</v>
      </c>
      <c r="Y253" s="7">
        <f t="shared" si="508"/>
        <v>8700</v>
      </c>
      <c r="Z253" s="7">
        <v>1</v>
      </c>
      <c r="AA253" s="7">
        <f t="shared" si="515"/>
        <v>8700</v>
      </c>
      <c r="AB253" s="7">
        <f t="shared" si="516"/>
        <v>8700</v>
      </c>
      <c r="AC253" s="7">
        <f t="shared" si="517"/>
        <v>0</v>
      </c>
      <c r="AD253" s="7">
        <f t="shared" si="518"/>
        <v>2006.25</v>
      </c>
      <c r="AE253" s="7">
        <f t="shared" si="519"/>
        <v>2018</v>
      </c>
      <c r="AF253" s="7">
        <f t="shared" si="520"/>
        <v>2016.25</v>
      </c>
      <c r="AG253" s="7">
        <f t="shared" si="521"/>
        <v>2017</v>
      </c>
      <c r="AH253" s="7">
        <f t="shared" si="522"/>
        <v>-8.3333333333333329E-2</v>
      </c>
      <c r="AJ253" s="144">
        <f t="shared" si="523"/>
        <v>0</v>
      </c>
      <c r="AL253" s="144">
        <f t="shared" si="524"/>
        <v>0</v>
      </c>
      <c r="AN253" s="144">
        <f t="shared" si="525"/>
        <v>0</v>
      </c>
      <c r="AP253" s="144">
        <f t="shared" si="526"/>
        <v>0</v>
      </c>
      <c r="AR253" s="144">
        <f t="shared" si="527"/>
        <v>0</v>
      </c>
    </row>
    <row r="254" spans="3:44">
      <c r="C254" s="1">
        <v>1</v>
      </c>
      <c r="D254" s="56" t="s">
        <v>190</v>
      </c>
      <c r="E254" s="3">
        <v>2006</v>
      </c>
      <c r="F254" s="4">
        <v>6</v>
      </c>
      <c r="G254" s="30">
        <v>0</v>
      </c>
      <c r="H254" s="7"/>
      <c r="I254" s="14" t="s">
        <v>86</v>
      </c>
      <c r="J254" s="5">
        <v>10</v>
      </c>
      <c r="K254" s="13">
        <f t="shared" si="509"/>
        <v>2016</v>
      </c>
      <c r="N254" s="48">
        <v>2650</v>
      </c>
      <c r="P254" s="7">
        <f t="shared" si="510"/>
        <v>2650</v>
      </c>
      <c r="Q254" s="7">
        <f t="shared" si="511"/>
        <v>22.083333333333332</v>
      </c>
      <c r="R254" s="7">
        <f t="shared" si="512"/>
        <v>0</v>
      </c>
      <c r="T254" s="7">
        <f t="shared" si="513"/>
        <v>0</v>
      </c>
      <c r="U254" s="7">
        <v>1</v>
      </c>
      <c r="V254" s="7">
        <f t="shared" si="514"/>
        <v>0</v>
      </c>
      <c r="W254" s="7"/>
      <c r="X254" s="7">
        <f t="shared" si="507"/>
        <v>2650</v>
      </c>
      <c r="Y254" s="7">
        <f t="shared" si="508"/>
        <v>2650</v>
      </c>
      <c r="Z254" s="7">
        <v>1</v>
      </c>
      <c r="AA254" s="7">
        <f t="shared" si="515"/>
        <v>2650</v>
      </c>
      <c r="AB254" s="7">
        <f t="shared" si="516"/>
        <v>2650</v>
      </c>
      <c r="AC254" s="7">
        <f t="shared" si="517"/>
        <v>0</v>
      </c>
      <c r="AD254" s="7">
        <f t="shared" si="518"/>
        <v>2006.4166666666667</v>
      </c>
      <c r="AE254" s="7">
        <f t="shared" si="519"/>
        <v>2018</v>
      </c>
      <c r="AF254" s="7">
        <f t="shared" si="520"/>
        <v>2016.4166666666667</v>
      </c>
      <c r="AG254" s="7">
        <f t="shared" si="521"/>
        <v>2017</v>
      </c>
      <c r="AH254" s="7">
        <f t="shared" si="522"/>
        <v>-8.3333333333333329E-2</v>
      </c>
      <c r="AJ254" s="144">
        <f t="shared" si="523"/>
        <v>0</v>
      </c>
      <c r="AL254" s="144">
        <f t="shared" si="524"/>
        <v>0</v>
      </c>
      <c r="AN254" s="144">
        <f t="shared" si="525"/>
        <v>0</v>
      </c>
      <c r="AP254" s="144">
        <f t="shared" si="526"/>
        <v>0</v>
      </c>
      <c r="AR254" s="144">
        <f t="shared" si="527"/>
        <v>0</v>
      </c>
    </row>
    <row r="255" spans="3:44">
      <c r="C255" s="1">
        <v>4</v>
      </c>
      <c r="D255" s="56" t="s">
        <v>191</v>
      </c>
      <c r="E255" s="3">
        <v>2006</v>
      </c>
      <c r="F255" s="4">
        <v>6</v>
      </c>
      <c r="G255" s="30">
        <v>0</v>
      </c>
      <c r="H255" s="7"/>
      <c r="I255" s="14" t="s">
        <v>86</v>
      </c>
      <c r="J255" s="5">
        <v>10</v>
      </c>
      <c r="K255" s="13">
        <f t="shared" si="509"/>
        <v>2016</v>
      </c>
      <c r="N255" s="48">
        <v>21480</v>
      </c>
      <c r="P255" s="7">
        <f t="shared" si="510"/>
        <v>21480</v>
      </c>
      <c r="Q255" s="7">
        <f t="shared" si="511"/>
        <v>179</v>
      </c>
      <c r="R255" s="7">
        <f t="shared" si="512"/>
        <v>0</v>
      </c>
      <c r="T255" s="7">
        <f t="shared" si="513"/>
        <v>0</v>
      </c>
      <c r="U255" s="7">
        <v>1</v>
      </c>
      <c r="V255" s="7">
        <f t="shared" si="514"/>
        <v>0</v>
      </c>
      <c r="W255" s="7"/>
      <c r="X255" s="7">
        <f t="shared" si="507"/>
        <v>21480</v>
      </c>
      <c r="Y255" s="7">
        <f t="shared" si="508"/>
        <v>21480</v>
      </c>
      <c r="Z255" s="7">
        <v>1</v>
      </c>
      <c r="AA255" s="7">
        <f t="shared" si="515"/>
        <v>21480</v>
      </c>
      <c r="AB255" s="7">
        <f t="shared" si="516"/>
        <v>21480</v>
      </c>
      <c r="AC255" s="7">
        <f t="shared" si="517"/>
        <v>0</v>
      </c>
      <c r="AD255" s="7">
        <f t="shared" si="518"/>
        <v>2006.4166666666667</v>
      </c>
      <c r="AE255" s="7">
        <f t="shared" si="519"/>
        <v>2018</v>
      </c>
      <c r="AF255" s="7">
        <f t="shared" si="520"/>
        <v>2016.4166666666667</v>
      </c>
      <c r="AG255" s="7">
        <f t="shared" si="521"/>
        <v>2017</v>
      </c>
      <c r="AH255" s="7">
        <f t="shared" si="522"/>
        <v>-8.3333333333333329E-2</v>
      </c>
      <c r="AJ255" s="144">
        <f t="shared" si="523"/>
        <v>0</v>
      </c>
      <c r="AL255" s="144">
        <f t="shared" si="524"/>
        <v>0</v>
      </c>
      <c r="AN255" s="144">
        <f t="shared" si="525"/>
        <v>0</v>
      </c>
      <c r="AP255" s="144">
        <f t="shared" si="526"/>
        <v>0</v>
      </c>
      <c r="AR255" s="144">
        <f t="shared" si="527"/>
        <v>0</v>
      </c>
    </row>
    <row r="256" spans="3:44">
      <c r="C256" s="1">
        <v>1</v>
      </c>
      <c r="D256" s="56" t="s">
        <v>193</v>
      </c>
      <c r="E256" s="3">
        <v>2006</v>
      </c>
      <c r="F256" s="4">
        <v>6</v>
      </c>
      <c r="G256" s="30">
        <v>0</v>
      </c>
      <c r="H256" s="7"/>
      <c r="I256" s="14" t="s">
        <v>86</v>
      </c>
      <c r="J256" s="5">
        <v>10</v>
      </c>
      <c r="K256" s="13">
        <f t="shared" si="509"/>
        <v>2016</v>
      </c>
      <c r="N256" s="48">
        <v>4350</v>
      </c>
      <c r="P256" s="7">
        <f t="shared" si="510"/>
        <v>4350</v>
      </c>
      <c r="Q256" s="7">
        <f t="shared" si="511"/>
        <v>36.25</v>
      </c>
      <c r="R256" s="7">
        <f t="shared" si="512"/>
        <v>0</v>
      </c>
      <c r="T256" s="7">
        <f t="shared" si="513"/>
        <v>0</v>
      </c>
      <c r="U256" s="7">
        <v>1</v>
      </c>
      <c r="V256" s="7">
        <f t="shared" si="514"/>
        <v>0</v>
      </c>
      <c r="W256" s="7"/>
      <c r="X256" s="7">
        <f t="shared" si="507"/>
        <v>4350</v>
      </c>
      <c r="Y256" s="7">
        <f t="shared" si="508"/>
        <v>4350</v>
      </c>
      <c r="Z256" s="7">
        <v>1</v>
      </c>
      <c r="AA256" s="7">
        <f t="shared" si="515"/>
        <v>4350</v>
      </c>
      <c r="AB256" s="7">
        <f t="shared" si="516"/>
        <v>4350</v>
      </c>
      <c r="AC256" s="7">
        <f t="shared" si="517"/>
        <v>0</v>
      </c>
      <c r="AD256" s="7">
        <f t="shared" si="518"/>
        <v>2006.4166666666667</v>
      </c>
      <c r="AE256" s="7">
        <f t="shared" si="519"/>
        <v>2018</v>
      </c>
      <c r="AF256" s="7">
        <f t="shared" si="520"/>
        <v>2016.4166666666667</v>
      </c>
      <c r="AG256" s="7">
        <f t="shared" si="521"/>
        <v>2017</v>
      </c>
      <c r="AH256" s="7">
        <f t="shared" si="522"/>
        <v>-8.3333333333333329E-2</v>
      </c>
      <c r="AJ256" s="144">
        <f t="shared" si="523"/>
        <v>0</v>
      </c>
      <c r="AL256" s="144">
        <f t="shared" si="524"/>
        <v>0</v>
      </c>
      <c r="AN256" s="144">
        <f t="shared" si="525"/>
        <v>0</v>
      </c>
      <c r="AP256" s="144">
        <f t="shared" si="526"/>
        <v>0</v>
      </c>
      <c r="AR256" s="144">
        <f t="shared" si="527"/>
        <v>0</v>
      </c>
    </row>
    <row r="257" spans="1:44">
      <c r="C257" s="1">
        <v>1</v>
      </c>
      <c r="D257" s="56" t="s">
        <v>194</v>
      </c>
      <c r="E257" s="3">
        <v>2006</v>
      </c>
      <c r="F257" s="4">
        <v>6</v>
      </c>
      <c r="G257" s="30">
        <v>0</v>
      </c>
      <c r="H257" s="7"/>
      <c r="I257" s="14" t="s">
        <v>86</v>
      </c>
      <c r="J257" s="5">
        <v>10</v>
      </c>
      <c r="K257" s="13">
        <f t="shared" si="509"/>
        <v>2016</v>
      </c>
      <c r="N257" s="48">
        <v>4300</v>
      </c>
      <c r="P257" s="7">
        <f t="shared" si="510"/>
        <v>4300</v>
      </c>
      <c r="Q257" s="7">
        <f t="shared" si="511"/>
        <v>35.833333333333336</v>
      </c>
      <c r="R257" s="7">
        <f t="shared" si="512"/>
        <v>0</v>
      </c>
      <c r="T257" s="7">
        <f t="shared" si="513"/>
        <v>0</v>
      </c>
      <c r="U257" s="7">
        <v>1</v>
      </c>
      <c r="V257" s="7">
        <f t="shared" si="514"/>
        <v>0</v>
      </c>
      <c r="W257" s="7"/>
      <c r="X257" s="7">
        <f t="shared" si="507"/>
        <v>4300</v>
      </c>
      <c r="Y257" s="7">
        <f t="shared" si="508"/>
        <v>4300</v>
      </c>
      <c r="Z257" s="7">
        <v>1</v>
      </c>
      <c r="AA257" s="7">
        <f t="shared" si="515"/>
        <v>4300</v>
      </c>
      <c r="AB257" s="7">
        <f t="shared" si="516"/>
        <v>4300</v>
      </c>
      <c r="AC257" s="7">
        <f t="shared" si="517"/>
        <v>0</v>
      </c>
      <c r="AD257" s="7">
        <f t="shared" si="518"/>
        <v>2006.4166666666667</v>
      </c>
      <c r="AE257" s="7">
        <f t="shared" si="519"/>
        <v>2018</v>
      </c>
      <c r="AF257" s="7">
        <f t="shared" si="520"/>
        <v>2016.4166666666667</v>
      </c>
      <c r="AG257" s="7">
        <f t="shared" si="521"/>
        <v>2017</v>
      </c>
      <c r="AH257" s="7">
        <f t="shared" si="522"/>
        <v>-8.3333333333333329E-2</v>
      </c>
      <c r="AJ257" s="144">
        <f t="shared" si="523"/>
        <v>0</v>
      </c>
      <c r="AL257" s="144">
        <f t="shared" si="524"/>
        <v>0</v>
      </c>
      <c r="AN257" s="144">
        <f t="shared" si="525"/>
        <v>0</v>
      </c>
      <c r="AP257" s="144">
        <f t="shared" si="526"/>
        <v>0</v>
      </c>
      <c r="AR257" s="144">
        <f t="shared" si="527"/>
        <v>0</v>
      </c>
    </row>
    <row r="258" spans="1:44">
      <c r="C258" s="1">
        <v>1</v>
      </c>
      <c r="D258" s="56" t="s">
        <v>195</v>
      </c>
      <c r="E258" s="3">
        <v>2006</v>
      </c>
      <c r="F258" s="4">
        <v>6</v>
      </c>
      <c r="G258" s="30">
        <v>0</v>
      </c>
      <c r="H258" s="7"/>
      <c r="I258" s="14" t="s">
        <v>86</v>
      </c>
      <c r="J258" s="5">
        <v>10</v>
      </c>
      <c r="K258" s="13">
        <f t="shared" si="509"/>
        <v>2016</v>
      </c>
      <c r="N258" s="48">
        <v>3570</v>
      </c>
      <c r="P258" s="7">
        <f t="shared" si="510"/>
        <v>3570</v>
      </c>
      <c r="Q258" s="7">
        <f t="shared" si="511"/>
        <v>29.75</v>
      </c>
      <c r="R258" s="7">
        <f t="shared" si="512"/>
        <v>0</v>
      </c>
      <c r="T258" s="7">
        <f t="shared" si="513"/>
        <v>0</v>
      </c>
      <c r="U258" s="7">
        <v>1</v>
      </c>
      <c r="V258" s="7">
        <f t="shared" si="514"/>
        <v>0</v>
      </c>
      <c r="W258" s="7"/>
      <c r="X258" s="7">
        <f t="shared" si="507"/>
        <v>3570</v>
      </c>
      <c r="Y258" s="7">
        <f t="shared" si="508"/>
        <v>3570</v>
      </c>
      <c r="Z258" s="7">
        <v>1</v>
      </c>
      <c r="AA258" s="7">
        <f t="shared" si="515"/>
        <v>3570</v>
      </c>
      <c r="AB258" s="7">
        <f t="shared" si="516"/>
        <v>3570</v>
      </c>
      <c r="AC258" s="7">
        <f t="shared" si="517"/>
        <v>0</v>
      </c>
      <c r="AD258" s="7">
        <f t="shared" si="518"/>
        <v>2006.4166666666667</v>
      </c>
      <c r="AE258" s="7">
        <f t="shared" si="519"/>
        <v>2018</v>
      </c>
      <c r="AF258" s="7">
        <f t="shared" si="520"/>
        <v>2016.4166666666667</v>
      </c>
      <c r="AG258" s="7">
        <f t="shared" si="521"/>
        <v>2017</v>
      </c>
      <c r="AH258" s="7">
        <f t="shared" si="522"/>
        <v>-8.3333333333333329E-2</v>
      </c>
      <c r="AJ258" s="144">
        <f t="shared" si="523"/>
        <v>0</v>
      </c>
      <c r="AL258" s="144">
        <f t="shared" si="524"/>
        <v>0</v>
      </c>
      <c r="AN258" s="144">
        <f t="shared" si="525"/>
        <v>0</v>
      </c>
      <c r="AP258" s="144">
        <f t="shared" si="526"/>
        <v>0</v>
      </c>
      <c r="AR258" s="144">
        <f t="shared" si="527"/>
        <v>0</v>
      </c>
    </row>
    <row r="259" spans="1:44">
      <c r="C259" s="1">
        <v>4</v>
      </c>
      <c r="D259" s="56" t="s">
        <v>195</v>
      </c>
      <c r="E259" s="3">
        <v>2006</v>
      </c>
      <c r="F259" s="4">
        <v>8</v>
      </c>
      <c r="G259" s="30">
        <v>0</v>
      </c>
      <c r="H259" s="7"/>
      <c r="I259" s="14" t="s">
        <v>86</v>
      </c>
      <c r="J259" s="5">
        <v>10</v>
      </c>
      <c r="K259" s="13">
        <f t="shared" si="509"/>
        <v>2016</v>
      </c>
      <c r="N259" s="48">
        <v>14280</v>
      </c>
      <c r="P259" s="7">
        <f t="shared" si="510"/>
        <v>14280</v>
      </c>
      <c r="Q259" s="7">
        <f t="shared" si="511"/>
        <v>119</v>
      </c>
      <c r="R259" s="7">
        <f t="shared" si="512"/>
        <v>0</v>
      </c>
      <c r="T259" s="7">
        <f t="shared" si="513"/>
        <v>0</v>
      </c>
      <c r="U259" s="7">
        <v>1</v>
      </c>
      <c r="V259" s="7">
        <f t="shared" si="514"/>
        <v>0</v>
      </c>
      <c r="W259" s="7"/>
      <c r="X259" s="7">
        <f t="shared" si="507"/>
        <v>14280</v>
      </c>
      <c r="Y259" s="7">
        <f t="shared" si="508"/>
        <v>14280</v>
      </c>
      <c r="Z259" s="7">
        <v>1</v>
      </c>
      <c r="AA259" s="7">
        <f t="shared" si="515"/>
        <v>14280</v>
      </c>
      <c r="AB259" s="7">
        <f t="shared" si="516"/>
        <v>14280</v>
      </c>
      <c r="AC259" s="7">
        <f t="shared" si="517"/>
        <v>0</v>
      </c>
      <c r="AD259" s="7">
        <f t="shared" si="518"/>
        <v>2006.5833333333333</v>
      </c>
      <c r="AE259" s="7">
        <f t="shared" si="519"/>
        <v>2018</v>
      </c>
      <c r="AF259" s="7">
        <f t="shared" si="520"/>
        <v>2016.5833333333333</v>
      </c>
      <c r="AG259" s="7">
        <f t="shared" si="521"/>
        <v>2017</v>
      </c>
      <c r="AH259" s="7">
        <f t="shared" si="522"/>
        <v>-8.3333333333333329E-2</v>
      </c>
      <c r="AJ259" s="144">
        <f t="shared" si="523"/>
        <v>0</v>
      </c>
      <c r="AL259" s="144">
        <f t="shared" si="524"/>
        <v>0</v>
      </c>
      <c r="AN259" s="144">
        <f t="shared" si="525"/>
        <v>0</v>
      </c>
      <c r="AP259" s="144">
        <f t="shared" si="526"/>
        <v>0</v>
      </c>
      <c r="AR259" s="144">
        <f t="shared" si="527"/>
        <v>0</v>
      </c>
    </row>
    <row r="260" spans="1:44">
      <c r="C260" s="1">
        <v>6</v>
      </c>
      <c r="D260" s="56" t="s">
        <v>195</v>
      </c>
      <c r="E260" s="3">
        <v>2006</v>
      </c>
      <c r="F260" s="4">
        <v>11</v>
      </c>
      <c r="G260" s="30">
        <v>0</v>
      </c>
      <c r="H260" s="7"/>
      <c r="I260" s="14" t="s">
        <v>86</v>
      </c>
      <c r="J260" s="5">
        <v>10</v>
      </c>
      <c r="K260" s="13">
        <f t="shared" si="509"/>
        <v>2016</v>
      </c>
      <c r="N260" s="48">
        <v>21594</v>
      </c>
      <c r="P260" s="7">
        <f t="shared" si="510"/>
        <v>21594</v>
      </c>
      <c r="Q260" s="7">
        <f t="shared" si="511"/>
        <v>179.95000000000002</v>
      </c>
      <c r="R260" s="7">
        <f t="shared" si="512"/>
        <v>0</v>
      </c>
      <c r="T260" s="7">
        <f t="shared" si="513"/>
        <v>0</v>
      </c>
      <c r="U260" s="7">
        <v>1</v>
      </c>
      <c r="V260" s="7">
        <f t="shared" si="514"/>
        <v>0</v>
      </c>
      <c r="W260" s="7"/>
      <c r="X260" s="7">
        <f t="shared" si="507"/>
        <v>21594</v>
      </c>
      <c r="Y260" s="7">
        <f t="shared" si="508"/>
        <v>21594</v>
      </c>
      <c r="Z260" s="7">
        <v>1</v>
      </c>
      <c r="AA260" s="7">
        <f t="shared" si="515"/>
        <v>21594</v>
      </c>
      <c r="AB260" s="7">
        <f t="shared" si="516"/>
        <v>21594</v>
      </c>
      <c r="AC260" s="7">
        <f t="shared" si="517"/>
        <v>0</v>
      </c>
      <c r="AD260" s="7">
        <f t="shared" si="518"/>
        <v>2006.8333333333333</v>
      </c>
      <c r="AE260" s="7">
        <f t="shared" si="519"/>
        <v>2018</v>
      </c>
      <c r="AF260" s="7">
        <f t="shared" si="520"/>
        <v>2016.8333333333333</v>
      </c>
      <c r="AG260" s="7">
        <f t="shared" si="521"/>
        <v>2017</v>
      </c>
      <c r="AH260" s="7">
        <f t="shared" si="522"/>
        <v>-8.3333333333333329E-2</v>
      </c>
      <c r="AJ260" s="144">
        <f t="shared" si="523"/>
        <v>0</v>
      </c>
      <c r="AL260" s="144">
        <f t="shared" si="524"/>
        <v>0</v>
      </c>
      <c r="AN260" s="144">
        <f t="shared" si="525"/>
        <v>0</v>
      </c>
      <c r="AP260" s="144">
        <f t="shared" si="526"/>
        <v>0</v>
      </c>
      <c r="AR260" s="144">
        <f t="shared" si="527"/>
        <v>0</v>
      </c>
    </row>
    <row r="261" spans="1:44">
      <c r="C261" s="1">
        <v>4</v>
      </c>
      <c r="D261" s="56" t="s">
        <v>196</v>
      </c>
      <c r="E261" s="3">
        <v>2007</v>
      </c>
      <c r="F261" s="4">
        <v>4</v>
      </c>
      <c r="G261" s="30">
        <v>0</v>
      </c>
      <c r="H261" s="7"/>
      <c r="I261" s="14" t="s">
        <v>86</v>
      </c>
      <c r="J261" s="5">
        <v>10</v>
      </c>
      <c r="K261" s="13">
        <f t="shared" si="509"/>
        <v>2017</v>
      </c>
      <c r="N261" s="48">
        <f>5270*4</f>
        <v>21080</v>
      </c>
      <c r="P261" s="7">
        <f t="shared" si="510"/>
        <v>21080</v>
      </c>
      <c r="Q261" s="7">
        <f t="shared" si="511"/>
        <v>175.66666666666666</v>
      </c>
      <c r="R261" s="7">
        <f t="shared" si="512"/>
        <v>527</v>
      </c>
      <c r="T261" s="7">
        <f t="shared" si="513"/>
        <v>527</v>
      </c>
      <c r="U261" s="7">
        <v>1</v>
      </c>
      <c r="V261" s="7">
        <f t="shared" si="514"/>
        <v>527</v>
      </c>
      <c r="W261" s="7"/>
      <c r="X261" s="7">
        <f t="shared" si="507"/>
        <v>20553</v>
      </c>
      <c r="Y261" s="7">
        <f t="shared" si="508"/>
        <v>20553</v>
      </c>
      <c r="Z261" s="7">
        <v>1</v>
      </c>
      <c r="AA261" s="7">
        <f t="shared" si="515"/>
        <v>20553</v>
      </c>
      <c r="AB261" s="7">
        <f t="shared" si="516"/>
        <v>21080</v>
      </c>
      <c r="AC261" s="7">
        <f t="shared" si="517"/>
        <v>263.5</v>
      </c>
      <c r="AD261" s="7">
        <f t="shared" si="518"/>
        <v>2007.25</v>
      </c>
      <c r="AE261" s="7">
        <f t="shared" si="519"/>
        <v>2018</v>
      </c>
      <c r="AF261" s="7">
        <f t="shared" si="520"/>
        <v>2017.25</v>
      </c>
      <c r="AG261" s="7">
        <f t="shared" si="521"/>
        <v>2017</v>
      </c>
      <c r="AH261" s="7">
        <f t="shared" si="522"/>
        <v>-8.3333333333333329E-2</v>
      </c>
      <c r="AJ261" s="144">
        <f t="shared" si="523"/>
        <v>0</v>
      </c>
      <c r="AL261" s="144">
        <f t="shared" si="524"/>
        <v>527</v>
      </c>
      <c r="AN261" s="144">
        <f t="shared" si="525"/>
        <v>0</v>
      </c>
      <c r="AP261" s="144">
        <f t="shared" si="526"/>
        <v>0</v>
      </c>
      <c r="AR261" s="144">
        <f t="shared" si="527"/>
        <v>263.5</v>
      </c>
    </row>
    <row r="262" spans="1:44">
      <c r="C262" s="1">
        <v>4</v>
      </c>
      <c r="D262" s="56" t="s">
        <v>197</v>
      </c>
      <c r="E262" s="3">
        <v>2007</v>
      </c>
      <c r="F262" s="4">
        <v>5</v>
      </c>
      <c r="G262" s="30">
        <v>0</v>
      </c>
      <c r="H262" s="7"/>
      <c r="I262" s="14" t="s">
        <v>86</v>
      </c>
      <c r="J262" s="5">
        <v>10</v>
      </c>
      <c r="K262" s="13">
        <f t="shared" si="509"/>
        <v>2017</v>
      </c>
      <c r="N262" s="48">
        <v>17400</v>
      </c>
      <c r="P262" s="7">
        <f t="shared" si="510"/>
        <v>17400</v>
      </c>
      <c r="Q262" s="7">
        <f t="shared" si="511"/>
        <v>145</v>
      </c>
      <c r="R262" s="7">
        <f t="shared" si="512"/>
        <v>579.99999999986812</v>
      </c>
      <c r="T262" s="7">
        <f t="shared" si="513"/>
        <v>579.99999999986812</v>
      </c>
      <c r="U262" s="7">
        <v>1</v>
      </c>
      <c r="V262" s="7">
        <f t="shared" si="514"/>
        <v>579.99999999986812</v>
      </c>
      <c r="W262" s="7"/>
      <c r="X262" s="7">
        <f t="shared" si="507"/>
        <v>16820.000000000131</v>
      </c>
      <c r="Y262" s="7">
        <f t="shared" si="508"/>
        <v>16820.000000000131</v>
      </c>
      <c r="Z262" s="7">
        <v>1</v>
      </c>
      <c r="AA262" s="7">
        <f t="shared" si="515"/>
        <v>16820.000000000131</v>
      </c>
      <c r="AB262" s="7">
        <f t="shared" si="516"/>
        <v>17400</v>
      </c>
      <c r="AC262" s="7">
        <f t="shared" si="517"/>
        <v>289.99999999993452</v>
      </c>
      <c r="AD262" s="7">
        <f t="shared" si="518"/>
        <v>2007.3333333333333</v>
      </c>
      <c r="AE262" s="7">
        <f t="shared" si="519"/>
        <v>2018</v>
      </c>
      <c r="AF262" s="7">
        <f t="shared" si="520"/>
        <v>2017.3333333333333</v>
      </c>
      <c r="AG262" s="7">
        <f t="shared" si="521"/>
        <v>2017</v>
      </c>
      <c r="AH262" s="7">
        <f t="shared" si="522"/>
        <v>-8.3333333333333329E-2</v>
      </c>
      <c r="AJ262" s="144">
        <f t="shared" si="523"/>
        <v>0</v>
      </c>
      <c r="AL262" s="144">
        <f t="shared" si="524"/>
        <v>579.99999999986812</v>
      </c>
      <c r="AN262" s="144">
        <f t="shared" si="525"/>
        <v>0</v>
      </c>
      <c r="AP262" s="144">
        <f t="shared" si="526"/>
        <v>0</v>
      </c>
      <c r="AR262" s="144">
        <f t="shared" si="527"/>
        <v>289.99999999993452</v>
      </c>
    </row>
    <row r="263" spans="1:44">
      <c r="C263" s="1">
        <v>6</v>
      </c>
      <c r="D263" s="56" t="s">
        <v>198</v>
      </c>
      <c r="E263" s="3">
        <v>2007</v>
      </c>
      <c r="F263" s="4">
        <v>5</v>
      </c>
      <c r="G263" s="30">
        <v>0</v>
      </c>
      <c r="H263" s="7"/>
      <c r="I263" s="14" t="s">
        <v>86</v>
      </c>
      <c r="J263" s="5">
        <v>10</v>
      </c>
      <c r="K263" s="13">
        <f t="shared" si="509"/>
        <v>2017</v>
      </c>
      <c r="N263" s="48">
        <v>20940</v>
      </c>
      <c r="P263" s="7">
        <f t="shared" si="510"/>
        <v>20940</v>
      </c>
      <c r="Q263" s="7">
        <f t="shared" si="511"/>
        <v>174.5</v>
      </c>
      <c r="R263" s="7">
        <f t="shared" si="512"/>
        <v>697.99999999984129</v>
      </c>
      <c r="T263" s="7">
        <f t="shared" si="513"/>
        <v>697.99999999984129</v>
      </c>
      <c r="U263" s="7">
        <v>1</v>
      </c>
      <c r="V263" s="7">
        <f t="shared" si="514"/>
        <v>697.99999999984129</v>
      </c>
      <c r="W263" s="7"/>
      <c r="X263" s="7">
        <f t="shared" si="507"/>
        <v>20242.00000000016</v>
      </c>
      <c r="Y263" s="7">
        <f t="shared" si="508"/>
        <v>20242.00000000016</v>
      </c>
      <c r="Z263" s="7">
        <v>1</v>
      </c>
      <c r="AA263" s="7">
        <f t="shared" si="515"/>
        <v>20242.00000000016</v>
      </c>
      <c r="AB263" s="7">
        <f t="shared" si="516"/>
        <v>20940</v>
      </c>
      <c r="AC263" s="7">
        <f t="shared" si="517"/>
        <v>348.99999999991996</v>
      </c>
      <c r="AD263" s="7">
        <f t="shared" si="518"/>
        <v>2007.3333333333333</v>
      </c>
      <c r="AE263" s="7">
        <f t="shared" si="519"/>
        <v>2018</v>
      </c>
      <c r="AF263" s="7">
        <f t="shared" si="520"/>
        <v>2017.3333333333333</v>
      </c>
      <c r="AG263" s="7">
        <f t="shared" si="521"/>
        <v>2017</v>
      </c>
      <c r="AH263" s="7">
        <f t="shared" si="522"/>
        <v>-8.3333333333333329E-2</v>
      </c>
      <c r="AJ263" s="144">
        <f t="shared" si="523"/>
        <v>0</v>
      </c>
      <c r="AL263" s="144">
        <f t="shared" si="524"/>
        <v>697.99999999984129</v>
      </c>
      <c r="AN263" s="144">
        <f t="shared" si="525"/>
        <v>0</v>
      </c>
      <c r="AP263" s="144">
        <f t="shared" si="526"/>
        <v>0</v>
      </c>
      <c r="AR263" s="144">
        <f t="shared" si="527"/>
        <v>348.99999999991996</v>
      </c>
    </row>
    <row r="264" spans="1:44">
      <c r="C264" s="1">
        <v>3</v>
      </c>
      <c r="D264" s="56" t="s">
        <v>199</v>
      </c>
      <c r="E264" s="3">
        <v>2008</v>
      </c>
      <c r="F264" s="4">
        <v>3</v>
      </c>
      <c r="G264" s="30">
        <v>0</v>
      </c>
      <c r="H264" s="7"/>
      <c r="I264" s="14" t="s">
        <v>86</v>
      </c>
      <c r="J264" s="5">
        <v>10</v>
      </c>
      <c r="K264" s="13">
        <f t="shared" si="509"/>
        <v>2018</v>
      </c>
      <c r="N264" s="48">
        <v>13735</v>
      </c>
      <c r="P264" s="7">
        <f t="shared" si="510"/>
        <v>13735</v>
      </c>
      <c r="Q264" s="7">
        <f t="shared" si="511"/>
        <v>114.45833333333333</v>
      </c>
      <c r="R264" s="7">
        <f t="shared" si="512"/>
        <v>1373.5</v>
      </c>
      <c r="T264" s="7">
        <f t="shared" si="513"/>
        <v>1373.5</v>
      </c>
      <c r="U264" s="7">
        <v>1</v>
      </c>
      <c r="V264" s="7">
        <f t="shared" si="514"/>
        <v>1373.5</v>
      </c>
      <c r="W264" s="7"/>
      <c r="X264" s="7">
        <f t="shared" si="507"/>
        <v>12132.583333333228</v>
      </c>
      <c r="Y264" s="7">
        <f t="shared" si="508"/>
        <v>12132.583333333228</v>
      </c>
      <c r="Z264" s="7">
        <v>1</v>
      </c>
      <c r="AA264" s="7">
        <f t="shared" si="515"/>
        <v>12132.583333333228</v>
      </c>
      <c r="AB264" s="7">
        <f t="shared" si="516"/>
        <v>13506.083333333228</v>
      </c>
      <c r="AC264" s="7">
        <f t="shared" si="517"/>
        <v>915.66666666677156</v>
      </c>
      <c r="AD264" s="7">
        <f t="shared" si="518"/>
        <v>2008.1666666666667</v>
      </c>
      <c r="AE264" s="7">
        <f t="shared" si="519"/>
        <v>2018</v>
      </c>
      <c r="AF264" s="7">
        <f t="shared" si="520"/>
        <v>2018.1666666666667</v>
      </c>
      <c r="AG264" s="7">
        <f t="shared" si="521"/>
        <v>2017</v>
      </c>
      <c r="AH264" s="7">
        <f t="shared" si="522"/>
        <v>-8.3333333333333329E-2</v>
      </c>
      <c r="AJ264" s="144">
        <f t="shared" si="523"/>
        <v>0</v>
      </c>
      <c r="AL264" s="144">
        <f t="shared" si="524"/>
        <v>1373.5</v>
      </c>
      <c r="AN264" s="144">
        <f t="shared" si="525"/>
        <v>0</v>
      </c>
      <c r="AP264" s="144">
        <f t="shared" si="526"/>
        <v>0</v>
      </c>
      <c r="AR264" s="144">
        <f t="shared" si="527"/>
        <v>915.66666666677156</v>
      </c>
    </row>
    <row r="265" spans="1:44">
      <c r="C265" s="1">
        <v>1</v>
      </c>
      <c r="D265" s="56" t="s">
        <v>199</v>
      </c>
      <c r="E265" s="3">
        <v>2009</v>
      </c>
      <c r="F265" s="4">
        <v>12</v>
      </c>
      <c r="G265" s="30">
        <v>0</v>
      </c>
      <c r="H265" s="7"/>
      <c r="I265" s="14" t="s">
        <v>86</v>
      </c>
      <c r="J265" s="5">
        <v>10</v>
      </c>
      <c r="K265" s="13">
        <f t="shared" si="509"/>
        <v>2019</v>
      </c>
      <c r="N265" s="48">
        <v>5181</v>
      </c>
      <c r="P265" s="7">
        <f t="shared" si="510"/>
        <v>5181</v>
      </c>
      <c r="Q265" s="7">
        <f t="shared" si="511"/>
        <v>43.175000000000004</v>
      </c>
      <c r="R265" s="7">
        <f t="shared" si="512"/>
        <v>518.1</v>
      </c>
      <c r="T265" s="7">
        <f t="shared" si="513"/>
        <v>518.1</v>
      </c>
      <c r="U265" s="7">
        <v>1</v>
      </c>
      <c r="V265" s="7">
        <f t="shared" si="514"/>
        <v>518.1</v>
      </c>
      <c r="W265" s="7"/>
      <c r="X265" s="7">
        <f t="shared" si="507"/>
        <v>3669.8749999999609</v>
      </c>
      <c r="Y265" s="7">
        <f t="shared" si="508"/>
        <v>3669.8749999999609</v>
      </c>
      <c r="Z265" s="7">
        <v>1</v>
      </c>
      <c r="AA265" s="7">
        <f t="shared" si="515"/>
        <v>3669.8749999999609</v>
      </c>
      <c r="AB265" s="7">
        <f t="shared" si="516"/>
        <v>4187.9749999999613</v>
      </c>
      <c r="AC265" s="7">
        <f t="shared" si="517"/>
        <v>1252.0750000000389</v>
      </c>
      <c r="AD265" s="7">
        <f t="shared" si="518"/>
        <v>2009.9166666666667</v>
      </c>
      <c r="AE265" s="7">
        <f t="shared" si="519"/>
        <v>2018</v>
      </c>
      <c r="AF265" s="7">
        <f t="shared" si="520"/>
        <v>2019.9166666666667</v>
      </c>
      <c r="AG265" s="7">
        <f t="shared" si="521"/>
        <v>2017</v>
      </c>
      <c r="AH265" s="7">
        <f t="shared" si="522"/>
        <v>-8.3333333333333329E-2</v>
      </c>
      <c r="AJ265" s="144">
        <f t="shared" si="523"/>
        <v>0</v>
      </c>
      <c r="AL265" s="144">
        <f t="shared" si="524"/>
        <v>518.1</v>
      </c>
      <c r="AN265" s="144">
        <f t="shared" si="525"/>
        <v>0</v>
      </c>
      <c r="AP265" s="144">
        <f t="shared" si="526"/>
        <v>0</v>
      </c>
      <c r="AR265" s="144">
        <f t="shared" si="527"/>
        <v>1252.0750000000389</v>
      </c>
    </row>
    <row r="266" spans="1:44">
      <c r="C266" s="57">
        <v>2</v>
      </c>
      <c r="D266" s="58" t="s">
        <v>200</v>
      </c>
      <c r="E266" s="3">
        <v>2010</v>
      </c>
      <c r="F266" s="4">
        <v>10</v>
      </c>
      <c r="G266" s="30">
        <v>0</v>
      </c>
      <c r="H266" s="7"/>
      <c r="I266" s="14" t="s">
        <v>86</v>
      </c>
      <c r="J266" s="5">
        <v>10</v>
      </c>
      <c r="K266" s="13">
        <f t="shared" si="509"/>
        <v>2020</v>
      </c>
      <c r="N266" s="48">
        <v>7321.45</v>
      </c>
      <c r="P266" s="7">
        <f t="shared" si="510"/>
        <v>7321.45</v>
      </c>
      <c r="Q266" s="7">
        <f t="shared" si="511"/>
        <v>61.012083333333329</v>
      </c>
      <c r="R266" s="7">
        <f t="shared" si="512"/>
        <v>732.14499999999998</v>
      </c>
      <c r="T266" s="7">
        <f t="shared" si="513"/>
        <v>732.14499999999998</v>
      </c>
      <c r="U266" s="7">
        <v>1</v>
      </c>
      <c r="V266" s="7">
        <f t="shared" si="514"/>
        <v>732.14499999999998</v>
      </c>
      <c r="W266" s="7"/>
      <c r="X266" s="7">
        <f t="shared" si="507"/>
        <v>4575.90625</v>
      </c>
      <c r="Y266" s="7">
        <f t="shared" si="508"/>
        <v>4575.90625</v>
      </c>
      <c r="Z266" s="7">
        <v>1</v>
      </c>
      <c r="AA266" s="7">
        <f t="shared" si="515"/>
        <v>4575.90625</v>
      </c>
      <c r="AB266" s="7">
        <f t="shared" si="516"/>
        <v>5308.0512500000004</v>
      </c>
      <c r="AC266" s="7">
        <f t="shared" si="517"/>
        <v>2379.4712499999996</v>
      </c>
      <c r="AD266" s="7">
        <f t="shared" si="518"/>
        <v>2010.75</v>
      </c>
      <c r="AE266" s="7">
        <f t="shared" si="519"/>
        <v>2018</v>
      </c>
      <c r="AF266" s="7">
        <f t="shared" si="520"/>
        <v>2020.75</v>
      </c>
      <c r="AG266" s="7">
        <f t="shared" si="521"/>
        <v>2017</v>
      </c>
      <c r="AH266" s="7">
        <f t="shared" si="522"/>
        <v>-8.3333333333333329E-2</v>
      </c>
      <c r="AJ266" s="144">
        <f t="shared" si="523"/>
        <v>0</v>
      </c>
      <c r="AL266" s="144">
        <f t="shared" si="524"/>
        <v>732.14499999999998</v>
      </c>
      <c r="AN266" s="144">
        <f t="shared" si="525"/>
        <v>0</v>
      </c>
      <c r="AP266" s="144">
        <f t="shared" si="526"/>
        <v>0</v>
      </c>
      <c r="AR266" s="144">
        <f t="shared" si="527"/>
        <v>2379.4712499999996</v>
      </c>
    </row>
    <row r="267" spans="1:44">
      <c r="C267" s="1">
        <v>3</v>
      </c>
      <c r="D267" s="56" t="s">
        <v>201</v>
      </c>
      <c r="E267" s="3">
        <v>2011</v>
      </c>
      <c r="F267" s="4">
        <v>5</v>
      </c>
      <c r="G267" s="30">
        <v>0</v>
      </c>
      <c r="H267" s="7"/>
      <c r="I267" s="14" t="s">
        <v>86</v>
      </c>
      <c r="J267" s="5">
        <v>10</v>
      </c>
      <c r="K267" s="13">
        <f t="shared" si="509"/>
        <v>2021</v>
      </c>
      <c r="N267" s="48">
        <v>16462</v>
      </c>
      <c r="P267" s="7">
        <f t="shared" si="510"/>
        <v>16462</v>
      </c>
      <c r="Q267" s="7">
        <f t="shared" si="511"/>
        <v>137.18333333333334</v>
      </c>
      <c r="R267" s="7">
        <f t="shared" si="512"/>
        <v>1646.2</v>
      </c>
      <c r="T267" s="7">
        <f t="shared" si="513"/>
        <v>1646.2</v>
      </c>
      <c r="U267" s="7">
        <v>1</v>
      </c>
      <c r="V267" s="7">
        <f t="shared" si="514"/>
        <v>1646.2</v>
      </c>
      <c r="W267" s="7"/>
      <c r="X267" s="7">
        <f t="shared" si="507"/>
        <v>9328.4666666667908</v>
      </c>
      <c r="Y267" s="7">
        <f t="shared" si="508"/>
        <v>9328.4666666667908</v>
      </c>
      <c r="Z267" s="7">
        <v>1</v>
      </c>
      <c r="AA267" s="7">
        <f t="shared" si="515"/>
        <v>9328.4666666667908</v>
      </c>
      <c r="AB267" s="7">
        <f t="shared" si="516"/>
        <v>10974.666666666792</v>
      </c>
      <c r="AC267" s="7">
        <f t="shared" si="517"/>
        <v>6310.4333333332088</v>
      </c>
      <c r="AD267" s="7">
        <f t="shared" si="518"/>
        <v>2011.3333333333333</v>
      </c>
      <c r="AE267" s="7">
        <f t="shared" si="519"/>
        <v>2018</v>
      </c>
      <c r="AF267" s="7">
        <f t="shared" si="520"/>
        <v>2021.3333333333333</v>
      </c>
      <c r="AG267" s="7">
        <f t="shared" si="521"/>
        <v>2017</v>
      </c>
      <c r="AH267" s="7">
        <f t="shared" si="522"/>
        <v>-8.3333333333333329E-2</v>
      </c>
      <c r="AJ267" s="144">
        <f t="shared" si="523"/>
        <v>0</v>
      </c>
      <c r="AL267" s="144">
        <f t="shared" si="524"/>
        <v>1646.2</v>
      </c>
      <c r="AN267" s="144">
        <f t="shared" si="525"/>
        <v>0</v>
      </c>
      <c r="AP267" s="144">
        <f t="shared" si="526"/>
        <v>0</v>
      </c>
      <c r="AR267" s="144">
        <f t="shared" si="527"/>
        <v>6310.4333333332088</v>
      </c>
    </row>
    <row r="268" spans="1:44">
      <c r="A268" s="1">
        <v>91082</v>
      </c>
      <c r="C268" s="1">
        <v>2</v>
      </c>
      <c r="D268" s="56" t="s">
        <v>202</v>
      </c>
      <c r="E268" s="3">
        <v>2012</v>
      </c>
      <c r="F268" s="4">
        <v>2</v>
      </c>
      <c r="G268" s="30">
        <v>0</v>
      </c>
      <c r="H268" s="7"/>
      <c r="I268" s="14" t="s">
        <v>86</v>
      </c>
      <c r="J268" s="5">
        <v>10</v>
      </c>
      <c r="K268" s="13">
        <f t="shared" si="509"/>
        <v>2022</v>
      </c>
      <c r="N268" s="48">
        <v>3772.11</v>
      </c>
      <c r="P268" s="7">
        <f t="shared" si="510"/>
        <v>3772.11</v>
      </c>
      <c r="Q268" s="7">
        <f t="shared" si="511"/>
        <v>31.434250000000002</v>
      </c>
      <c r="R268" s="7">
        <f t="shared" si="512"/>
        <v>377.21100000000001</v>
      </c>
      <c r="T268" s="7">
        <f t="shared" si="513"/>
        <v>377.21100000000001</v>
      </c>
      <c r="U268" s="7">
        <v>1</v>
      </c>
      <c r="V268" s="7">
        <f t="shared" si="514"/>
        <v>377.21100000000001</v>
      </c>
      <c r="W268" s="7"/>
      <c r="X268" s="7">
        <f t="shared" si="507"/>
        <v>1854.6207500000287</v>
      </c>
      <c r="Y268" s="7">
        <f t="shared" si="508"/>
        <v>1854.6207500000287</v>
      </c>
      <c r="Z268" s="7">
        <v>1</v>
      </c>
      <c r="AA268" s="7">
        <f t="shared" si="515"/>
        <v>1854.6207500000287</v>
      </c>
      <c r="AB268" s="7">
        <f t="shared" si="516"/>
        <v>2231.8317500000285</v>
      </c>
      <c r="AC268" s="7">
        <f t="shared" si="517"/>
        <v>1728.8837499999715</v>
      </c>
      <c r="AD268" s="7">
        <f t="shared" si="518"/>
        <v>2012.0833333333333</v>
      </c>
      <c r="AE268" s="7">
        <f t="shared" si="519"/>
        <v>2018</v>
      </c>
      <c r="AF268" s="7">
        <f t="shared" si="520"/>
        <v>2022.0833333333333</v>
      </c>
      <c r="AG268" s="7">
        <f t="shared" si="521"/>
        <v>2017</v>
      </c>
      <c r="AH268" s="7">
        <f t="shared" si="522"/>
        <v>-8.3333333333333329E-2</v>
      </c>
      <c r="AJ268" s="144">
        <f t="shared" si="523"/>
        <v>0</v>
      </c>
      <c r="AL268" s="144">
        <f t="shared" si="524"/>
        <v>377.21100000000001</v>
      </c>
      <c r="AN268" s="144">
        <f t="shared" si="525"/>
        <v>0</v>
      </c>
      <c r="AP268" s="144">
        <f t="shared" si="526"/>
        <v>0</v>
      </c>
      <c r="AR268" s="144">
        <f t="shared" si="527"/>
        <v>1728.8837499999715</v>
      </c>
    </row>
    <row r="269" spans="1:44">
      <c r="A269" s="1">
        <v>94620</v>
      </c>
      <c r="C269" s="1">
        <v>2</v>
      </c>
      <c r="D269" s="56" t="s">
        <v>203</v>
      </c>
      <c r="E269" s="3">
        <v>2012</v>
      </c>
      <c r="F269" s="4">
        <v>2</v>
      </c>
      <c r="G269" s="30">
        <v>0</v>
      </c>
      <c r="H269" s="7"/>
      <c r="I269" s="14" t="s">
        <v>86</v>
      </c>
      <c r="J269" s="5">
        <v>10</v>
      </c>
      <c r="K269" s="13">
        <f t="shared" si="509"/>
        <v>2022</v>
      </c>
      <c r="N269" s="48">
        <v>2180.86</v>
      </c>
      <c r="P269" s="7">
        <f t="shared" si="510"/>
        <v>2180.86</v>
      </c>
      <c r="Q269" s="7">
        <f t="shared" si="511"/>
        <v>18.173833333333334</v>
      </c>
      <c r="R269" s="7">
        <f t="shared" si="512"/>
        <v>218.08600000000001</v>
      </c>
      <c r="T269" s="7">
        <f t="shared" si="513"/>
        <v>218.08600000000001</v>
      </c>
      <c r="U269" s="7">
        <v>1</v>
      </c>
      <c r="V269" s="7">
        <f t="shared" si="514"/>
        <v>218.08600000000001</v>
      </c>
      <c r="W269" s="7"/>
      <c r="X269" s="7">
        <f t="shared" si="507"/>
        <v>1072.2561666666832</v>
      </c>
      <c r="Y269" s="7">
        <f t="shared" si="508"/>
        <v>1072.2561666666832</v>
      </c>
      <c r="Z269" s="7">
        <v>1</v>
      </c>
      <c r="AA269" s="7">
        <f t="shared" si="515"/>
        <v>1072.2561666666832</v>
      </c>
      <c r="AB269" s="7">
        <f t="shared" si="516"/>
        <v>1290.3421666666832</v>
      </c>
      <c r="AC269" s="7">
        <f t="shared" si="517"/>
        <v>999.56083333331696</v>
      </c>
      <c r="AD269" s="7">
        <f t="shared" si="518"/>
        <v>2012.0833333333333</v>
      </c>
      <c r="AE269" s="7">
        <f t="shared" si="519"/>
        <v>2018</v>
      </c>
      <c r="AF269" s="7">
        <f t="shared" si="520"/>
        <v>2022.0833333333333</v>
      </c>
      <c r="AG269" s="7">
        <f t="shared" si="521"/>
        <v>2017</v>
      </c>
      <c r="AH269" s="7">
        <f t="shared" si="522"/>
        <v>-8.3333333333333329E-2</v>
      </c>
      <c r="AJ269" s="144">
        <f t="shared" si="523"/>
        <v>0</v>
      </c>
      <c r="AL269" s="144">
        <f t="shared" si="524"/>
        <v>218.08600000000001</v>
      </c>
      <c r="AN269" s="144">
        <f t="shared" si="525"/>
        <v>0</v>
      </c>
      <c r="AP269" s="144">
        <f t="shared" si="526"/>
        <v>0</v>
      </c>
      <c r="AR269" s="144">
        <f t="shared" si="527"/>
        <v>999.56083333331696</v>
      </c>
    </row>
    <row r="270" spans="1:44">
      <c r="A270" s="1">
        <v>103242</v>
      </c>
      <c r="B270" s="4" t="s">
        <v>111</v>
      </c>
      <c r="C270" s="32">
        <v>4</v>
      </c>
      <c r="D270" s="29" t="s">
        <v>295</v>
      </c>
      <c r="E270" s="3">
        <v>2013</v>
      </c>
      <c r="F270" s="4">
        <v>3</v>
      </c>
      <c r="G270" s="30">
        <v>0</v>
      </c>
      <c r="H270" s="7"/>
      <c r="I270" s="14" t="s">
        <v>86</v>
      </c>
      <c r="J270" s="5">
        <v>10</v>
      </c>
      <c r="K270" s="13">
        <f t="shared" si="509"/>
        <v>2023</v>
      </c>
      <c r="N270" s="6">
        <v>5263.3</v>
      </c>
      <c r="O270" s="31"/>
      <c r="P270" s="7">
        <f t="shared" si="510"/>
        <v>5263.3</v>
      </c>
      <c r="Q270" s="7">
        <f t="shared" si="511"/>
        <v>43.860833333333339</v>
      </c>
      <c r="R270" s="7">
        <f t="shared" ref="R270" si="537">IF(O270&gt;0,0,IF(OR(AD270&gt;AE270,AF270&lt;AG270),0,IF(AND(AF270&gt;=AG270,AF270&lt;=AE270),Q270*((AF270-AG270)*12),IF(AND(AG270&lt;=AD270,AE270&gt;=AD270),((AE270-AD270)*12)*Q270,IF(AF270&gt;AE270,12*Q270,0)))))</f>
        <v>526.33000000000004</v>
      </c>
      <c r="T270" s="7">
        <f t="shared" ref="T270" si="538">IF(S270&gt;0,S270,R270)</f>
        <v>526.33000000000004</v>
      </c>
      <c r="U270" s="7">
        <v>1</v>
      </c>
      <c r="V270" s="7">
        <f t="shared" ref="V270" si="539">U270*SUM(R270:S270)</f>
        <v>526.33000000000004</v>
      </c>
      <c r="W270" s="7"/>
      <c r="X270" s="7">
        <f t="shared" ref="X270" si="540">IF(AD270&gt;AE270,0,IF(AF270&lt;AG270,P270,IF(AND(AF270&gt;=AG270,AF270&lt;=AE270),(P270-T270),IF(AND(AG270&lt;=AD270,AE270&gt;=AD270),0,IF(AF270&gt;AE270,((AG270-AD270)*12)*Q270,0)))))</f>
        <v>2017.5983333332938</v>
      </c>
      <c r="Y270" s="7">
        <f t="shared" ref="Y270" si="541">X270*U270</f>
        <v>2017.5983333332938</v>
      </c>
      <c r="Z270" s="7">
        <v>1</v>
      </c>
      <c r="AA270" s="7">
        <f t="shared" ref="AA270" si="542">Y270*Z270</f>
        <v>2017.5983333332938</v>
      </c>
      <c r="AB270" s="7">
        <f t="shared" ref="AB270" si="543">IF(O270&gt;0,0,AA270+V270*Z270)*Z270</f>
        <v>2543.9283333332937</v>
      </c>
      <c r="AC270" s="7">
        <f t="shared" ref="AC270" si="544">IF(O270&gt;0,(N270-AA270)/2,IF(AD270&gt;=AG270,(((N270*U270)*Z270)-AB270)/2,((((N270*U270)*Z270)-AA270)+(((N270*U270)*Z270)-AB270))/2))</f>
        <v>2982.5366666667064</v>
      </c>
      <c r="AD270" s="7">
        <f t="shared" si="518"/>
        <v>2013.1666666666667</v>
      </c>
      <c r="AE270" s="7">
        <f t="shared" si="519"/>
        <v>2018</v>
      </c>
      <c r="AF270" s="7">
        <f t="shared" si="520"/>
        <v>2023.1666666666667</v>
      </c>
      <c r="AG270" s="7">
        <f t="shared" si="521"/>
        <v>2017</v>
      </c>
      <c r="AH270" s="7">
        <f t="shared" si="522"/>
        <v>-8.3333333333333329E-2</v>
      </c>
      <c r="AJ270" s="144">
        <f t="shared" si="523"/>
        <v>0</v>
      </c>
      <c r="AL270" s="144">
        <f t="shared" si="524"/>
        <v>526.33000000000004</v>
      </c>
      <c r="AN270" s="144">
        <f t="shared" si="525"/>
        <v>0</v>
      </c>
      <c r="AP270" s="144">
        <f t="shared" si="526"/>
        <v>0</v>
      </c>
      <c r="AR270" s="144">
        <f t="shared" si="527"/>
        <v>2982.5366666667064</v>
      </c>
    </row>
    <row r="271" spans="1:44">
      <c r="A271" s="1">
        <v>107054</v>
      </c>
      <c r="B271" s="4"/>
      <c r="C271" s="32">
        <v>3</v>
      </c>
      <c r="D271" s="29" t="s">
        <v>298</v>
      </c>
      <c r="E271" s="3">
        <v>2013</v>
      </c>
      <c r="F271" s="4">
        <v>8</v>
      </c>
      <c r="G271" s="30">
        <v>0</v>
      </c>
      <c r="H271" s="7"/>
      <c r="I271" s="14" t="s">
        <v>86</v>
      </c>
      <c r="J271" s="5">
        <v>10</v>
      </c>
      <c r="K271" s="13">
        <f t="shared" si="509"/>
        <v>2023</v>
      </c>
      <c r="N271" s="6">
        <v>9676</v>
      </c>
      <c r="O271" s="31"/>
      <c r="P271" s="7">
        <f t="shared" si="510"/>
        <v>9676</v>
      </c>
      <c r="Q271" s="7">
        <f t="shared" si="511"/>
        <v>80.63333333333334</v>
      </c>
      <c r="R271" s="7">
        <f t="shared" ref="R271" si="545">IF(O271&gt;0,0,IF(OR(AD271&gt;AE271,AF271&lt;AG271),0,IF(AND(AF271&gt;=AG271,AF271&lt;=AE271),Q271*((AF271-AG271)*12),IF(AND(AG271&lt;=AD271,AE271&gt;=AD271),((AE271-AD271)*12)*Q271,IF(AF271&gt;AE271,12*Q271,0)))))</f>
        <v>967.60000000000014</v>
      </c>
      <c r="T271" s="7">
        <f t="shared" ref="T271" si="546">IF(S271&gt;0,S271,R271)</f>
        <v>967.60000000000014</v>
      </c>
      <c r="U271" s="7">
        <v>1</v>
      </c>
      <c r="V271" s="7">
        <f t="shared" ref="V271" si="547">U271*SUM(R271:S271)</f>
        <v>967.60000000000014</v>
      </c>
      <c r="W271" s="7"/>
      <c r="X271" s="7">
        <f t="shared" ref="X271" si="548">IF(AD271&gt;AE271,0,IF(AF271&lt;AG271,P271,IF(AND(AF271&gt;=AG271,AF271&lt;=AE271),(P271-T271),IF(AND(AG271&lt;=AD271,AE271&gt;=AD271),0,IF(AF271&gt;AE271,((AG271-AD271)*12)*Q271,0)))))</f>
        <v>3305.9666666667404</v>
      </c>
      <c r="Y271" s="7">
        <f t="shared" ref="Y271" si="549">X271*U271</f>
        <v>3305.9666666667404</v>
      </c>
      <c r="Z271" s="7">
        <v>1</v>
      </c>
      <c r="AA271" s="7">
        <f t="shared" ref="AA271" si="550">Y271*Z271</f>
        <v>3305.9666666667404</v>
      </c>
      <c r="AB271" s="7">
        <f t="shared" ref="AB271" si="551">IF(O271&gt;0,0,AA271+V271*Z271)*Z271</f>
        <v>4273.5666666667403</v>
      </c>
      <c r="AC271" s="7">
        <f t="shared" ref="AC271" si="552">IF(O271&gt;0,(N271-AA271)/2,IF(AD271&gt;=AG271,(((N271*U271)*Z271)-AB271)/2,((((N271*U271)*Z271)-AA271)+(((N271*U271)*Z271)-AB271))/2))</f>
        <v>5886.2333333332599</v>
      </c>
      <c r="AD271" s="7">
        <f t="shared" si="518"/>
        <v>2013.5833333333333</v>
      </c>
      <c r="AE271" s="7">
        <f t="shared" si="519"/>
        <v>2018</v>
      </c>
      <c r="AF271" s="7">
        <f t="shared" si="520"/>
        <v>2023.5833333333333</v>
      </c>
      <c r="AG271" s="7">
        <f t="shared" si="521"/>
        <v>2017</v>
      </c>
      <c r="AH271" s="7">
        <f t="shared" si="522"/>
        <v>-8.3333333333333329E-2</v>
      </c>
      <c r="AJ271" s="144">
        <f t="shared" si="523"/>
        <v>0</v>
      </c>
      <c r="AL271" s="144">
        <f t="shared" si="524"/>
        <v>967.60000000000014</v>
      </c>
      <c r="AN271" s="144">
        <f t="shared" si="525"/>
        <v>0</v>
      </c>
      <c r="AP271" s="144">
        <f t="shared" si="526"/>
        <v>0</v>
      </c>
      <c r="AR271" s="144">
        <f t="shared" si="527"/>
        <v>5886.2333333332599</v>
      </c>
    </row>
    <row r="272" spans="1:44">
      <c r="A272" s="1">
        <v>109995</v>
      </c>
      <c r="B272" s="4"/>
      <c r="C272" s="32">
        <v>4</v>
      </c>
      <c r="D272" s="29" t="s">
        <v>311</v>
      </c>
      <c r="E272" s="3">
        <v>2013</v>
      </c>
      <c r="F272" s="4">
        <v>12</v>
      </c>
      <c r="G272" s="30">
        <v>0</v>
      </c>
      <c r="H272" s="7"/>
      <c r="I272" s="14" t="s">
        <v>86</v>
      </c>
      <c r="J272" s="5">
        <v>10</v>
      </c>
      <c r="K272" s="13">
        <f t="shared" si="509"/>
        <v>2023</v>
      </c>
      <c r="N272" s="6">
        <v>24400</v>
      </c>
      <c r="O272" s="31"/>
      <c r="P272" s="7">
        <f t="shared" si="510"/>
        <v>24400</v>
      </c>
      <c r="Q272" s="7">
        <f t="shared" si="511"/>
        <v>203.33333333333334</v>
      </c>
      <c r="R272" s="7">
        <f t="shared" ref="R272" si="553">IF(O272&gt;0,0,IF(OR(AD272&gt;AE272,AF272&lt;AG272),0,IF(AND(AF272&gt;=AG272,AF272&lt;=AE272),Q272*((AF272-AG272)*12),IF(AND(AG272&lt;=AD272,AE272&gt;=AD272),((AE272-AD272)*12)*Q272,IF(AF272&gt;AE272,12*Q272,0)))))</f>
        <v>2440</v>
      </c>
      <c r="T272" s="7">
        <f t="shared" ref="T272" si="554">IF(S272&gt;0,S272,R272)</f>
        <v>2440</v>
      </c>
      <c r="U272" s="7">
        <v>1</v>
      </c>
      <c r="V272" s="7">
        <f t="shared" ref="V272" si="555">U272*SUM(R272:S272)</f>
        <v>2440</v>
      </c>
      <c r="W272" s="7"/>
      <c r="X272" s="7">
        <f t="shared" ref="X272" si="556">IF(AD272&gt;AE272,0,IF(AF272&lt;AG272,P272,IF(AND(AF272&gt;=AG272,AF272&lt;=AE272),(P272-T272),IF(AND(AG272&lt;=AD272,AE272&gt;=AD272),0,IF(AF272&gt;AE272,((AG272-AD272)*12)*Q272,0)))))</f>
        <v>7523.3333333331484</v>
      </c>
      <c r="Y272" s="7">
        <f t="shared" ref="Y272" si="557">X272*U272</f>
        <v>7523.3333333331484</v>
      </c>
      <c r="Z272" s="7">
        <v>1</v>
      </c>
      <c r="AA272" s="7">
        <f t="shared" ref="AA272" si="558">Y272*Z272</f>
        <v>7523.3333333331484</v>
      </c>
      <c r="AB272" s="7">
        <f t="shared" ref="AB272" si="559">IF(O272&gt;0,0,AA272+V272*Z272)*Z272</f>
        <v>9963.3333333331484</v>
      </c>
      <c r="AC272" s="7">
        <f t="shared" ref="AC272" si="560">IF(O272&gt;0,(N272-AA272)/2,IF(AD272&gt;=AG272,(((N272*U272)*Z272)-AB272)/2,((((N272*U272)*Z272)-AA272)+(((N272*U272)*Z272)-AB272))/2))</f>
        <v>15656.666666666853</v>
      </c>
      <c r="AD272" s="7">
        <f t="shared" si="518"/>
        <v>2013.9166666666667</v>
      </c>
      <c r="AE272" s="7">
        <f t="shared" si="519"/>
        <v>2018</v>
      </c>
      <c r="AF272" s="7">
        <f t="shared" si="520"/>
        <v>2023.9166666666667</v>
      </c>
      <c r="AG272" s="7">
        <f t="shared" si="521"/>
        <v>2017</v>
      </c>
      <c r="AH272" s="7">
        <f t="shared" si="522"/>
        <v>-8.3333333333333329E-2</v>
      </c>
      <c r="AJ272" s="144">
        <f t="shared" si="523"/>
        <v>0</v>
      </c>
      <c r="AL272" s="144">
        <f t="shared" si="524"/>
        <v>2440</v>
      </c>
      <c r="AN272" s="144">
        <f t="shared" si="525"/>
        <v>0</v>
      </c>
      <c r="AP272" s="144">
        <f t="shared" si="526"/>
        <v>0</v>
      </c>
      <c r="AR272" s="144">
        <f t="shared" si="527"/>
        <v>15656.666666666853</v>
      </c>
    </row>
    <row r="273" spans="1:44">
      <c r="A273" s="1">
        <v>118137</v>
      </c>
      <c r="B273" s="4"/>
      <c r="C273" s="32">
        <v>60</v>
      </c>
      <c r="D273" s="29" t="s">
        <v>320</v>
      </c>
      <c r="E273" s="3">
        <v>2014</v>
      </c>
      <c r="F273" s="4">
        <v>12</v>
      </c>
      <c r="G273" s="30">
        <v>0</v>
      </c>
      <c r="H273" s="7"/>
      <c r="I273" s="14" t="s">
        <v>86</v>
      </c>
      <c r="J273" s="5">
        <v>5</v>
      </c>
      <c r="K273" s="13">
        <f t="shared" si="509"/>
        <v>2019</v>
      </c>
      <c r="N273" s="6">
        <v>12580.08</v>
      </c>
      <c r="O273" s="31"/>
      <c r="P273" s="7">
        <f t="shared" si="510"/>
        <v>12580.08</v>
      </c>
      <c r="Q273" s="7">
        <f t="shared" si="511"/>
        <v>209.66800000000001</v>
      </c>
      <c r="R273" s="7">
        <f t="shared" ref="R273" si="561">IF(O273&gt;0,0,IF(OR(AD273&gt;AE273,AF273&lt;AG273),0,IF(AND(AF273&gt;=AG273,AF273&lt;=AE273),Q273*((AF273-AG273)*12),IF(AND(AG273&lt;=AD273,AE273&gt;=AD273),((AE273-AD273)*12)*Q273,IF(AF273&gt;AE273,12*Q273,0)))))</f>
        <v>2516.0160000000001</v>
      </c>
      <c r="T273" s="7">
        <f t="shared" ref="T273" si="562">IF(S273&gt;0,S273,R273)</f>
        <v>2516.0160000000001</v>
      </c>
      <c r="U273" s="7">
        <v>1</v>
      </c>
      <c r="V273" s="7">
        <f t="shared" ref="V273" si="563">U273*SUM(R273:S273)</f>
        <v>2516.0160000000001</v>
      </c>
      <c r="W273" s="7"/>
      <c r="X273" s="7">
        <f t="shared" ref="X273" si="564">IF(AD273&gt;AE273,0,IF(AF273&lt;AG273,P273,IF(AND(AF273&gt;=AG273,AF273&lt;=AE273),(P273-T273),IF(AND(AG273&lt;=AD273,AE273&gt;=AD273),0,IF(AF273&gt;AE273,((AG273-AD273)*12)*Q273,0)))))</f>
        <v>5241.6999999998097</v>
      </c>
      <c r="Y273" s="7">
        <f t="shared" ref="Y273" si="565">X273*U273</f>
        <v>5241.6999999998097</v>
      </c>
      <c r="Z273" s="7">
        <v>1</v>
      </c>
      <c r="AA273" s="7">
        <f t="shared" ref="AA273" si="566">Y273*Z273</f>
        <v>5241.6999999998097</v>
      </c>
      <c r="AB273" s="7">
        <f t="shared" ref="AB273" si="567">IF(O273&gt;0,0,AA273+V273*Z273)*Z273</f>
        <v>7757.7159999998094</v>
      </c>
      <c r="AC273" s="7">
        <f t="shared" ref="AC273" si="568">IF(O273&gt;0,(N273-AA273)/2,IF(AD273&gt;=AG273,(((N273*U273)*Z273)-AB273)/2,((((N273*U273)*Z273)-AA273)+(((N273*U273)*Z273)-AB273))/2))</f>
        <v>6080.3720000001904</v>
      </c>
      <c r="AD273" s="7">
        <f t="shared" si="518"/>
        <v>2014.9166666666667</v>
      </c>
      <c r="AE273" s="7">
        <f t="shared" si="519"/>
        <v>2018</v>
      </c>
      <c r="AF273" s="7">
        <f t="shared" si="520"/>
        <v>2019.9166666666667</v>
      </c>
      <c r="AG273" s="7">
        <f t="shared" si="521"/>
        <v>2017</v>
      </c>
      <c r="AH273" s="7">
        <f t="shared" si="522"/>
        <v>-8.3333333333333329E-2</v>
      </c>
      <c r="AJ273" s="144">
        <f t="shared" si="523"/>
        <v>0</v>
      </c>
      <c r="AL273" s="144">
        <f t="shared" si="524"/>
        <v>2516.0160000000001</v>
      </c>
      <c r="AN273" s="144">
        <f t="shared" si="525"/>
        <v>0</v>
      </c>
      <c r="AP273" s="144">
        <f t="shared" si="526"/>
        <v>0</v>
      </c>
      <c r="AR273" s="144">
        <f t="shared" si="527"/>
        <v>6080.3720000001904</v>
      </c>
    </row>
    <row r="274" spans="1:44">
      <c r="A274" s="1">
        <v>132888</v>
      </c>
      <c r="B274" s="4"/>
      <c r="C274" s="32">
        <v>1</v>
      </c>
      <c r="D274" s="29" t="s">
        <v>344</v>
      </c>
      <c r="E274" s="3">
        <v>2016</v>
      </c>
      <c r="F274" s="4">
        <v>4</v>
      </c>
      <c r="G274" s="30">
        <v>0</v>
      </c>
      <c r="H274" s="7"/>
      <c r="I274" s="14" t="s">
        <v>86</v>
      </c>
      <c r="J274" s="5">
        <v>10</v>
      </c>
      <c r="K274" s="13">
        <f t="shared" si="509"/>
        <v>2026</v>
      </c>
      <c r="N274" s="6">
        <v>5420</v>
      </c>
      <c r="O274" s="31"/>
      <c r="P274" s="7">
        <f t="shared" si="510"/>
        <v>5420</v>
      </c>
      <c r="Q274" s="7">
        <f t="shared" si="511"/>
        <v>45.166666666666664</v>
      </c>
      <c r="R274" s="7">
        <f t="shared" ref="R274" si="569">IF(O274&gt;0,0,IF(OR(AD274&gt;AE274,AF274&lt;AG274),0,IF(AND(AF274&gt;=AG274,AF274&lt;=AE274),Q274*((AF274-AG274)*12),IF(AND(AG274&lt;=AD274,AE274&gt;=AD274),((AE274-AD274)*12)*Q274,IF(AF274&gt;AE274,12*Q274,0)))))</f>
        <v>542</v>
      </c>
      <c r="T274" s="7">
        <f t="shared" ref="T274" si="570">IF(S274&gt;0,S274,R274)</f>
        <v>542</v>
      </c>
      <c r="U274" s="7">
        <v>1</v>
      </c>
      <c r="V274" s="7">
        <f t="shared" ref="V274" si="571">U274*SUM(R274:S274)</f>
        <v>542</v>
      </c>
      <c r="W274" s="7"/>
      <c r="X274" s="7">
        <f t="shared" ref="X274" si="572">IF(AD274&gt;AE274,0,IF(AF274&lt;AG274,P274,IF(AND(AF274&gt;=AG274,AF274&lt;=AE274),(P274-T274),IF(AND(AG274&lt;=AD274,AE274&gt;=AD274),0,IF(AF274&gt;AE274,((AG274-AD274)*12)*Q274,0)))))</f>
        <v>406.5</v>
      </c>
      <c r="Y274" s="7">
        <f t="shared" ref="Y274" si="573">X274*U274</f>
        <v>406.5</v>
      </c>
      <c r="Z274" s="7">
        <v>1</v>
      </c>
      <c r="AA274" s="7">
        <f t="shared" ref="AA274" si="574">Y274*Z274</f>
        <v>406.5</v>
      </c>
      <c r="AB274" s="7">
        <f t="shared" ref="AB274" si="575">IF(O274&gt;0,0,AA274+V274*Z274)*Z274</f>
        <v>948.5</v>
      </c>
      <c r="AC274" s="7">
        <f t="shared" ref="AC274" si="576">IF(O274&gt;0,(N274-AA274)/2,IF(AD274&gt;=AG274,(((N274*U274)*Z274)-AB274)/2,((((N274*U274)*Z274)-AA274)+(((N274*U274)*Z274)-AB274))/2))</f>
        <v>4742.5</v>
      </c>
      <c r="AD274" s="7">
        <f t="shared" si="518"/>
        <v>2016.25</v>
      </c>
      <c r="AE274" s="7">
        <f t="shared" si="519"/>
        <v>2018</v>
      </c>
      <c r="AF274" s="7">
        <f t="shared" si="520"/>
        <v>2026.25</v>
      </c>
      <c r="AG274" s="7">
        <f t="shared" si="521"/>
        <v>2017</v>
      </c>
      <c r="AH274" s="7">
        <f t="shared" si="522"/>
        <v>-8.3333333333333329E-2</v>
      </c>
      <c r="AJ274" s="144">
        <f t="shared" si="523"/>
        <v>0</v>
      </c>
      <c r="AL274" s="144">
        <f t="shared" si="524"/>
        <v>542</v>
      </c>
      <c r="AN274" s="144">
        <f t="shared" si="525"/>
        <v>0</v>
      </c>
      <c r="AP274" s="144">
        <f t="shared" si="526"/>
        <v>0</v>
      </c>
      <c r="AR274" s="144">
        <f t="shared" si="527"/>
        <v>4742.5</v>
      </c>
    </row>
    <row r="275" spans="1:44" s="109" customFormat="1">
      <c r="A275" s="109">
        <v>172664</v>
      </c>
      <c r="B275" s="110"/>
      <c r="C275" s="111">
        <v>4</v>
      </c>
      <c r="D275" s="112" t="s">
        <v>385</v>
      </c>
      <c r="E275" s="113">
        <v>2017</v>
      </c>
      <c r="F275" s="110">
        <v>1</v>
      </c>
      <c r="G275" s="114">
        <v>0</v>
      </c>
      <c r="H275" s="115"/>
      <c r="I275" s="116" t="s">
        <v>86</v>
      </c>
      <c r="J275" s="117">
        <v>12</v>
      </c>
      <c r="K275" s="118">
        <f>E275+J275</f>
        <v>2029</v>
      </c>
      <c r="N275" s="119">
        <v>23420</v>
      </c>
      <c r="O275" s="120"/>
      <c r="P275" s="115">
        <f>N275-N275*G275</f>
        <v>23420</v>
      </c>
      <c r="Q275" s="115">
        <f>P275/J275/12</f>
        <v>162.63888888888889</v>
      </c>
      <c r="R275" s="115">
        <f t="shared" ref="R275" si="577">IF(O275&gt;0,0,IF(OR(AD275&gt;AE275,AF275&lt;AG275),0,IF(AND(AF275&gt;=AG275,AF275&lt;=AE275),Q275*((AF275-AG275)*12),IF(AND(AG275&lt;=AD275,AE275&gt;=AD275),((AE275-AD275)*12)*Q275,IF(AF275&gt;AE275,12*Q275,0)))))</f>
        <v>1951.6666666666665</v>
      </c>
      <c r="T275" s="115">
        <f t="shared" ref="T275" si="578">IF(S275&gt;0,S275,R275)</f>
        <v>1951.6666666666665</v>
      </c>
      <c r="U275" s="115">
        <v>1</v>
      </c>
      <c r="V275" s="115">
        <f t="shared" ref="V275" si="579">U275*SUM(R275:S275)</f>
        <v>1951.6666666666665</v>
      </c>
      <c r="W275" s="115"/>
      <c r="X275" s="115">
        <f t="shared" ref="X275" si="580">IF(AD275&gt;AE275,0,IF(AF275&lt;AG275,P275,IF(AND(AF275&gt;=AG275,AF275&lt;=AE275),(P275-T275),IF(AND(AG275&lt;=AD275,AE275&gt;=AD275),0,IF(AF275&gt;AE275,((AG275-AD275)*12)*Q275,0)))))</f>
        <v>0</v>
      </c>
      <c r="Y275" s="115">
        <f t="shared" ref="Y275" si="581">X275*U275</f>
        <v>0</v>
      </c>
      <c r="Z275" s="115">
        <v>1</v>
      </c>
      <c r="AA275" s="115">
        <f t="shared" ref="AA275" si="582">Y275*Z275</f>
        <v>0</v>
      </c>
      <c r="AB275" s="115">
        <f t="shared" ref="AB275" si="583">IF(O275&gt;0,0,AA275+V275*Z275)*Z275</f>
        <v>1951.6666666666665</v>
      </c>
      <c r="AC275" s="115">
        <f t="shared" ref="AC275" si="584">IF(O275&gt;0,(N275-AA275)/2,IF(AD275&gt;=AG275,(((N275*U275)*Z275)-AB275)/2,((((N275*U275)*Z275)-AA275)+(((N275*U275)*Z275)-AB275))/2))</f>
        <v>10734.166666666666</v>
      </c>
      <c r="AD275" s="115">
        <f>$E275+(($F275-1)/12)</f>
        <v>2017</v>
      </c>
      <c r="AE275" s="115">
        <f t="shared" si="519"/>
        <v>2018</v>
      </c>
      <c r="AF275" s="115">
        <f>$K275+(($F275-1)/12)</f>
        <v>2029</v>
      </c>
      <c r="AG275" s="115">
        <f t="shared" si="521"/>
        <v>2017</v>
      </c>
      <c r="AH275" s="115">
        <f>$L275+(($M275-1)/12)</f>
        <v>-8.3333333333333329E-2</v>
      </c>
      <c r="AJ275" s="144">
        <f t="shared" si="523"/>
        <v>0</v>
      </c>
      <c r="AK275" s="144"/>
      <c r="AL275" s="144">
        <f t="shared" si="524"/>
        <v>1951.6666666666665</v>
      </c>
      <c r="AM275" s="144"/>
      <c r="AN275" s="144">
        <f t="shared" si="525"/>
        <v>0</v>
      </c>
      <c r="AO275" s="144"/>
      <c r="AP275" s="144">
        <f t="shared" si="526"/>
        <v>0</v>
      </c>
      <c r="AQ275" s="144"/>
      <c r="AR275" s="144">
        <f t="shared" si="527"/>
        <v>10734.166666666666</v>
      </c>
    </row>
    <row r="276" spans="1:44" s="109" customFormat="1">
      <c r="A276" s="109">
        <v>172663</v>
      </c>
      <c r="B276" s="110"/>
      <c r="C276" s="111">
        <v>4</v>
      </c>
      <c r="D276" s="112" t="s">
        <v>386</v>
      </c>
      <c r="E276" s="113">
        <v>2017</v>
      </c>
      <c r="F276" s="110">
        <v>1</v>
      </c>
      <c r="G276" s="114">
        <v>0</v>
      </c>
      <c r="H276" s="115"/>
      <c r="I276" s="116" t="s">
        <v>86</v>
      </c>
      <c r="J276" s="117">
        <v>12</v>
      </c>
      <c r="K276" s="118">
        <f>E276+J276</f>
        <v>2029</v>
      </c>
      <c r="N276" s="119">
        <v>27792</v>
      </c>
      <c r="O276" s="120"/>
      <c r="P276" s="115">
        <f>N276-N276*G276</f>
        <v>27792</v>
      </c>
      <c r="Q276" s="115">
        <f>P276/J276/12</f>
        <v>193</v>
      </c>
      <c r="R276" s="115">
        <f t="shared" ref="R276" si="585">IF(O276&gt;0,0,IF(OR(AD276&gt;AE276,AF276&lt;AG276),0,IF(AND(AF276&gt;=AG276,AF276&lt;=AE276),Q276*((AF276-AG276)*12),IF(AND(AG276&lt;=AD276,AE276&gt;=AD276),((AE276-AD276)*12)*Q276,IF(AF276&gt;AE276,12*Q276,0)))))</f>
        <v>2316</v>
      </c>
      <c r="T276" s="115">
        <f t="shared" ref="T276" si="586">IF(S276&gt;0,S276,R276)</f>
        <v>2316</v>
      </c>
      <c r="U276" s="115">
        <v>1</v>
      </c>
      <c r="V276" s="115">
        <f t="shared" ref="V276" si="587">U276*SUM(R276:S276)</f>
        <v>2316</v>
      </c>
      <c r="W276" s="115"/>
      <c r="X276" s="115">
        <f t="shared" ref="X276" si="588">IF(AD276&gt;AE276,0,IF(AF276&lt;AG276,P276,IF(AND(AF276&gt;=AG276,AF276&lt;=AE276),(P276-T276),IF(AND(AG276&lt;=AD276,AE276&gt;=AD276),0,IF(AF276&gt;AE276,((AG276-AD276)*12)*Q276,0)))))</f>
        <v>0</v>
      </c>
      <c r="Y276" s="115">
        <f t="shared" ref="Y276" si="589">X276*U276</f>
        <v>0</v>
      </c>
      <c r="Z276" s="115">
        <v>1</v>
      </c>
      <c r="AA276" s="115">
        <f t="shared" ref="AA276" si="590">Y276*Z276</f>
        <v>0</v>
      </c>
      <c r="AB276" s="115">
        <f t="shared" ref="AB276" si="591">IF(O276&gt;0,0,AA276+V276*Z276)*Z276</f>
        <v>2316</v>
      </c>
      <c r="AC276" s="115">
        <f t="shared" ref="AC276" si="592">IF(O276&gt;0,(N276-AA276)/2,IF(AD276&gt;=AG276,(((N276*U276)*Z276)-AB276)/2,((((N276*U276)*Z276)-AA276)+(((N276*U276)*Z276)-AB276))/2))</f>
        <v>12738</v>
      </c>
      <c r="AD276" s="115">
        <f>$E276+(($F276-1)/12)</f>
        <v>2017</v>
      </c>
      <c r="AE276" s="115">
        <f t="shared" si="519"/>
        <v>2018</v>
      </c>
      <c r="AF276" s="115">
        <f>$K276+(($F276-1)/12)</f>
        <v>2029</v>
      </c>
      <c r="AG276" s="115">
        <f t="shared" si="521"/>
        <v>2017</v>
      </c>
      <c r="AH276" s="115">
        <f>$L276+(($M276-1)/12)</f>
        <v>-8.3333333333333329E-2</v>
      </c>
      <c r="AJ276" s="144">
        <f t="shared" si="523"/>
        <v>0</v>
      </c>
      <c r="AK276" s="144"/>
      <c r="AL276" s="144">
        <f t="shared" si="524"/>
        <v>2316</v>
      </c>
      <c r="AM276" s="144"/>
      <c r="AN276" s="144">
        <f t="shared" si="525"/>
        <v>0</v>
      </c>
      <c r="AO276" s="144"/>
      <c r="AP276" s="144">
        <f t="shared" si="526"/>
        <v>0</v>
      </c>
      <c r="AQ276" s="144"/>
      <c r="AR276" s="144">
        <f t="shared" si="527"/>
        <v>12738</v>
      </c>
    </row>
    <row r="277" spans="1:44">
      <c r="D277" s="56"/>
      <c r="H277" s="7"/>
      <c r="I277" s="14"/>
      <c r="K277" s="13"/>
      <c r="N277" s="48"/>
      <c r="P277" s="7"/>
      <c r="Q277" s="7"/>
      <c r="R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</row>
    <row r="278" spans="1:44">
      <c r="C278" s="35">
        <f>SUM(C233:C277)</f>
        <v>189</v>
      </c>
      <c r="D278" s="53" t="s">
        <v>204</v>
      </c>
      <c r="H278" s="7"/>
      <c r="I278" s="14"/>
      <c r="K278" s="13"/>
      <c r="N278" s="108">
        <f>SUM(N233:N277)</f>
        <v>493234.8</v>
      </c>
      <c r="O278" s="106"/>
      <c r="P278" s="100">
        <f>SUM(P233:P277)</f>
        <v>493234.8</v>
      </c>
      <c r="Q278" s="100">
        <f>SUM(Q233:Q277)</f>
        <v>4143.9962222222221</v>
      </c>
      <c r="R278" s="100">
        <f>SUM(R233:R277)</f>
        <v>17929.854666666375</v>
      </c>
      <c r="S278" s="100">
        <f>SUM(S233:S277)</f>
        <v>0</v>
      </c>
      <c r="T278" s="100">
        <f>SUM(T233:T277)</f>
        <v>17929.854666666375</v>
      </c>
      <c r="U278" s="100"/>
      <c r="V278" s="100">
        <f>SUM(V233:V277)</f>
        <v>17929.854666666375</v>
      </c>
      <c r="W278" s="100"/>
      <c r="X278" s="100">
        <f t="shared" ref="X278:AC278" si="593">SUM(X233:X277)</f>
        <v>385354.80649999995</v>
      </c>
      <c r="Y278" s="100">
        <f t="shared" si="593"/>
        <v>385354.80649999995</v>
      </c>
      <c r="Z278" s="100">
        <f t="shared" si="593"/>
        <v>44</v>
      </c>
      <c r="AA278" s="100">
        <f t="shared" si="593"/>
        <v>385354.80649999995</v>
      </c>
      <c r="AB278" s="100">
        <f t="shared" si="593"/>
        <v>403284.66116666642</v>
      </c>
      <c r="AC278" s="100">
        <f t="shared" si="593"/>
        <v>73309.066166666831</v>
      </c>
      <c r="AD278" s="105"/>
      <c r="AE278" s="105"/>
      <c r="AF278" s="105"/>
      <c r="AG278" s="105"/>
      <c r="AH278" s="105"/>
      <c r="AJ278" s="140">
        <f t="shared" ref="AJ278:AR278" si="594">SUM(AJ233:AJ277)</f>
        <v>0</v>
      </c>
      <c r="AK278" s="140">
        <f t="shared" si="594"/>
        <v>0</v>
      </c>
      <c r="AL278" s="140">
        <f t="shared" si="594"/>
        <v>17929.854666666375</v>
      </c>
      <c r="AM278" s="140">
        <f t="shared" si="594"/>
        <v>0</v>
      </c>
      <c r="AN278" s="140">
        <f t="shared" si="594"/>
        <v>0</v>
      </c>
      <c r="AO278" s="140">
        <f t="shared" si="594"/>
        <v>0</v>
      </c>
      <c r="AP278" s="140">
        <f t="shared" si="594"/>
        <v>0</v>
      </c>
      <c r="AQ278" s="140">
        <f t="shared" si="594"/>
        <v>0</v>
      </c>
      <c r="AR278" s="140">
        <f t="shared" si="594"/>
        <v>73309.066166666831</v>
      </c>
    </row>
    <row r="279" spans="1:44">
      <c r="C279" s="35"/>
      <c r="D279" s="53"/>
      <c r="H279" s="7"/>
      <c r="I279" s="14"/>
      <c r="K279" s="13"/>
      <c r="N279" s="59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7"/>
      <c r="AE279" s="7"/>
      <c r="AF279" s="7"/>
      <c r="AG279" s="7"/>
      <c r="AH279" s="7"/>
    </row>
    <row r="280" spans="1:44">
      <c r="C280" s="35"/>
      <c r="D280" s="53" t="s">
        <v>205</v>
      </c>
      <c r="H280" s="7"/>
      <c r="I280" s="14"/>
      <c r="K280" s="13"/>
      <c r="N280" s="59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7"/>
      <c r="AE280" s="7"/>
      <c r="AF280" s="7"/>
      <c r="AG280" s="7"/>
      <c r="AH280" s="7"/>
    </row>
    <row r="281" spans="1:44">
      <c r="C281" s="1">
        <v>2000</v>
      </c>
      <c r="D281" s="54" t="s">
        <v>206</v>
      </c>
      <c r="E281" s="3">
        <v>2007</v>
      </c>
      <c r="F281" s="4">
        <v>9</v>
      </c>
      <c r="G281" s="30">
        <v>0</v>
      </c>
      <c r="H281" s="7"/>
      <c r="I281" s="14" t="s">
        <v>86</v>
      </c>
      <c r="J281" s="5">
        <v>7</v>
      </c>
      <c r="K281" s="13">
        <f t="shared" ref="K281:K297" si="595">E281+J281</f>
        <v>2014</v>
      </c>
      <c r="N281" s="48">
        <f>(32.5*2000)+3530+5893.58</f>
        <v>74423.58</v>
      </c>
      <c r="P281" s="7">
        <f t="shared" ref="P281:P302" si="596">N281-N281*G281</f>
        <v>74423.58</v>
      </c>
      <c r="Q281" s="7">
        <f t="shared" ref="Q281:Q302" si="597">P281/J281/12</f>
        <v>885.995</v>
      </c>
      <c r="R281" s="7">
        <f t="shared" ref="R281:R296" si="598">IF(O281&gt;0,0,IF(OR(AD281&gt;AE281,AF281&lt;AG281),0,IF(AND(AF281&gt;=AG281,AF281&lt;=AE281),Q281*((AF281-AG281)*12),IF(AND(AG281&lt;=AD281,AE281&gt;=AD281),((AE281-AD281)*12)*Q281,IF(AF281&gt;AE281,12*Q281,0)))))</f>
        <v>0</v>
      </c>
      <c r="T281" s="7">
        <f t="shared" ref="T281:T296" si="599">IF(S281&gt;0,S281,R281)</f>
        <v>0</v>
      </c>
      <c r="U281" s="7">
        <v>1</v>
      </c>
      <c r="V281" s="7">
        <f t="shared" ref="V281:V296" si="600">U281*SUM(R281:S281)</f>
        <v>0</v>
      </c>
      <c r="W281" s="7"/>
      <c r="X281" s="7">
        <f t="shared" ref="X281:X296" si="601">IF(AD281&gt;AE281,0,IF(AF281&lt;AG281,P281,IF(AND(AF281&gt;=AG281,AF281&lt;=AE281),(P281-T281),IF(AND(AG281&lt;=AD281,AE281&gt;=AD281),0,IF(AF281&gt;AE281,((AG281-AD281)*12)*Q281,0)))))</f>
        <v>74423.58</v>
      </c>
      <c r="Y281" s="7">
        <f t="shared" ref="Y281:Y296" si="602">X281*U281</f>
        <v>74423.58</v>
      </c>
      <c r="Z281" s="7">
        <v>1</v>
      </c>
      <c r="AA281" s="7">
        <f t="shared" ref="AA281:AA296" si="603">Y281*Z281</f>
        <v>74423.58</v>
      </c>
      <c r="AB281" s="7">
        <f t="shared" ref="AB281:AB296" si="604">IF(O281&gt;0,0,AA281+V281*Z281)*Z281</f>
        <v>74423.58</v>
      </c>
      <c r="AC281" s="7">
        <f t="shared" ref="AC281:AC296" si="605">IF(O281&gt;0,(N281-AA281)/2,IF(AD281&gt;=AG281,(((N281*U281)*Z281)-AB281)/2,((((N281*U281)*Z281)-AA281)+(((N281*U281)*Z281)-AB281))/2))</f>
        <v>0</v>
      </c>
      <c r="AD281" s="7">
        <f t="shared" ref="AD281:AD321" si="606">$E281+(($F281-1)/12)</f>
        <v>2007.6666666666667</v>
      </c>
      <c r="AE281" s="7">
        <f t="shared" ref="AE281:AE321" si="607">($P$5+1)-($P$2/12)</f>
        <v>2018</v>
      </c>
      <c r="AF281" s="7">
        <f t="shared" ref="AF281:AF321" si="608">$K281+(($F281-1)/12)</f>
        <v>2014.6666666666667</v>
      </c>
      <c r="AG281" s="7">
        <f t="shared" ref="AG281:AG321" si="609">$P$4+($P$3/12)</f>
        <v>2017</v>
      </c>
      <c r="AH281" s="7">
        <f t="shared" ref="AH281:AH321" si="610">$L281+(($M281-1)/12)</f>
        <v>-8.3333333333333329E-2</v>
      </c>
      <c r="AJ281" s="144">
        <f t="shared" ref="AJ281:AJ322" si="611">+IF((AF281-AG281)&gt;3,((N281-P281)/(AF281-AG281)),(N281-P281)/3)</f>
        <v>0</v>
      </c>
      <c r="AL281" s="144">
        <f t="shared" ref="AL281:AL322" si="612">+AJ281+R281</f>
        <v>0</v>
      </c>
      <c r="AN281" s="144">
        <f t="shared" ref="AN281:AN322" si="613">+IF(AF281&lt;AG281,-AC281,0)</f>
        <v>0</v>
      </c>
      <c r="AP281" s="144">
        <f t="shared" ref="AP281:AP322" si="614">+IF(AF281&gt;AG281,IF(AJ281&gt;0,IF(O281&gt;0,(N281-AA281)/2,IF(AD281&gt;=AG281,(((N281*U281)*Z281)-(AB281+AJ281))/2,((((N281*U281)*Z281)-AA281)+(((N281*U281)*Z281)-(AB281+AJ281)))/2)),0),0)</f>
        <v>0</v>
      </c>
      <c r="AR281" s="144">
        <f t="shared" ref="AR281:AR322" si="615">+AC281+AN281+(IF(AP281&gt;0,(AP281-AC281),0))</f>
        <v>0</v>
      </c>
    </row>
    <row r="282" spans="1:44">
      <c r="C282" s="1">
        <v>360</v>
      </c>
      <c r="D282" s="54" t="s">
        <v>207</v>
      </c>
      <c r="E282" s="3">
        <v>2007</v>
      </c>
      <c r="F282" s="4">
        <v>10</v>
      </c>
      <c r="G282" s="30">
        <v>0</v>
      </c>
      <c r="H282" s="7"/>
      <c r="I282" s="14" t="s">
        <v>86</v>
      </c>
      <c r="J282" s="5">
        <v>7</v>
      </c>
      <c r="K282" s="13">
        <f t="shared" si="595"/>
        <v>2014</v>
      </c>
      <c r="N282" s="48">
        <v>18692.580000000002</v>
      </c>
      <c r="P282" s="7">
        <f t="shared" si="596"/>
        <v>18692.580000000002</v>
      </c>
      <c r="Q282" s="7">
        <f t="shared" si="597"/>
        <v>222.53071428571431</v>
      </c>
      <c r="R282" s="7">
        <f t="shared" si="598"/>
        <v>0</v>
      </c>
      <c r="T282" s="7">
        <f t="shared" si="599"/>
        <v>0</v>
      </c>
      <c r="U282" s="7">
        <v>1</v>
      </c>
      <c r="V282" s="7">
        <f t="shared" si="600"/>
        <v>0</v>
      </c>
      <c r="W282" s="7"/>
      <c r="X282" s="7">
        <f t="shared" si="601"/>
        <v>18692.580000000002</v>
      </c>
      <c r="Y282" s="7">
        <f t="shared" si="602"/>
        <v>18692.580000000002</v>
      </c>
      <c r="Z282" s="7">
        <v>1</v>
      </c>
      <c r="AA282" s="7">
        <f t="shared" si="603"/>
        <v>18692.580000000002</v>
      </c>
      <c r="AB282" s="7">
        <f t="shared" si="604"/>
        <v>18692.580000000002</v>
      </c>
      <c r="AC282" s="7">
        <f t="shared" si="605"/>
        <v>0</v>
      </c>
      <c r="AD282" s="7">
        <f t="shared" si="606"/>
        <v>2007.75</v>
      </c>
      <c r="AE282" s="7">
        <f t="shared" si="607"/>
        <v>2018</v>
      </c>
      <c r="AF282" s="7">
        <f t="shared" si="608"/>
        <v>2014.75</v>
      </c>
      <c r="AG282" s="7">
        <f t="shared" si="609"/>
        <v>2017</v>
      </c>
      <c r="AH282" s="7">
        <f t="shared" si="610"/>
        <v>-8.3333333333333329E-2</v>
      </c>
      <c r="AJ282" s="144">
        <f t="shared" si="611"/>
        <v>0</v>
      </c>
      <c r="AL282" s="144">
        <f t="shared" si="612"/>
        <v>0</v>
      </c>
      <c r="AN282" s="144">
        <f t="shared" si="613"/>
        <v>0</v>
      </c>
      <c r="AP282" s="144">
        <f t="shared" si="614"/>
        <v>0</v>
      </c>
      <c r="AR282" s="144">
        <f t="shared" si="615"/>
        <v>0</v>
      </c>
    </row>
    <row r="283" spans="1:44">
      <c r="C283" s="1">
        <v>528</v>
      </c>
      <c r="D283" s="54" t="s">
        <v>208</v>
      </c>
      <c r="E283" s="3">
        <v>2007</v>
      </c>
      <c r="F283" s="4">
        <v>10</v>
      </c>
      <c r="G283" s="30">
        <v>0</v>
      </c>
      <c r="H283" s="7"/>
      <c r="I283" s="14" t="s">
        <v>86</v>
      </c>
      <c r="J283" s="5">
        <v>7</v>
      </c>
      <c r="K283" s="13">
        <f t="shared" si="595"/>
        <v>2014</v>
      </c>
      <c r="N283" s="48">
        <f>(35190+3103.37+2200)/828*528</f>
        <v>25821.859130434783</v>
      </c>
      <c r="P283" s="7">
        <f t="shared" si="596"/>
        <v>25821.859130434783</v>
      </c>
      <c r="Q283" s="7">
        <f t="shared" si="597"/>
        <v>307.4030848861284</v>
      </c>
      <c r="R283" s="7">
        <f t="shared" si="598"/>
        <v>0</v>
      </c>
      <c r="T283" s="7">
        <f t="shared" si="599"/>
        <v>0</v>
      </c>
      <c r="U283" s="7">
        <v>1</v>
      </c>
      <c r="V283" s="7">
        <f t="shared" si="600"/>
        <v>0</v>
      </c>
      <c r="W283" s="7"/>
      <c r="X283" s="7">
        <f t="shared" si="601"/>
        <v>25821.859130434783</v>
      </c>
      <c r="Y283" s="7">
        <f t="shared" si="602"/>
        <v>25821.859130434783</v>
      </c>
      <c r="Z283" s="7">
        <v>1</v>
      </c>
      <c r="AA283" s="7">
        <f t="shared" si="603"/>
        <v>25821.859130434783</v>
      </c>
      <c r="AB283" s="7">
        <f t="shared" si="604"/>
        <v>25821.859130434783</v>
      </c>
      <c r="AC283" s="7">
        <f t="shared" si="605"/>
        <v>0</v>
      </c>
      <c r="AD283" s="7">
        <f t="shared" si="606"/>
        <v>2007.75</v>
      </c>
      <c r="AE283" s="7">
        <f t="shared" si="607"/>
        <v>2018</v>
      </c>
      <c r="AF283" s="7">
        <f t="shared" si="608"/>
        <v>2014.75</v>
      </c>
      <c r="AG283" s="7">
        <f t="shared" si="609"/>
        <v>2017</v>
      </c>
      <c r="AH283" s="7">
        <f t="shared" si="610"/>
        <v>-8.3333333333333329E-2</v>
      </c>
      <c r="AJ283" s="144">
        <f t="shared" si="611"/>
        <v>0</v>
      </c>
      <c r="AL283" s="144">
        <f t="shared" si="612"/>
        <v>0</v>
      </c>
      <c r="AN283" s="144">
        <f t="shared" si="613"/>
        <v>0</v>
      </c>
      <c r="AP283" s="144">
        <f t="shared" si="614"/>
        <v>0</v>
      </c>
      <c r="AR283" s="144">
        <f t="shared" si="615"/>
        <v>0</v>
      </c>
    </row>
    <row r="284" spans="1:44">
      <c r="C284" s="1">
        <v>100</v>
      </c>
      <c r="D284" s="54" t="s">
        <v>209</v>
      </c>
      <c r="E284" s="3">
        <v>2007</v>
      </c>
      <c r="F284" s="4">
        <v>10</v>
      </c>
      <c r="G284" s="30">
        <v>0</v>
      </c>
      <c r="H284" s="7"/>
      <c r="I284" s="14" t="s">
        <v>86</v>
      </c>
      <c r="J284" s="5">
        <v>7</v>
      </c>
      <c r="K284" s="13">
        <f t="shared" si="595"/>
        <v>2014</v>
      </c>
      <c r="N284" s="48">
        <f>4950+410.85</f>
        <v>5360.85</v>
      </c>
      <c r="P284" s="7">
        <f t="shared" si="596"/>
        <v>5360.85</v>
      </c>
      <c r="Q284" s="7">
        <f t="shared" si="597"/>
        <v>63.81964285714286</v>
      </c>
      <c r="R284" s="7">
        <f t="shared" si="598"/>
        <v>0</v>
      </c>
      <c r="T284" s="7">
        <f t="shared" si="599"/>
        <v>0</v>
      </c>
      <c r="U284" s="7">
        <v>1</v>
      </c>
      <c r="V284" s="7">
        <f t="shared" si="600"/>
        <v>0</v>
      </c>
      <c r="W284" s="7"/>
      <c r="X284" s="7">
        <f t="shared" si="601"/>
        <v>5360.85</v>
      </c>
      <c r="Y284" s="7">
        <f t="shared" si="602"/>
        <v>5360.85</v>
      </c>
      <c r="Z284" s="7">
        <v>1</v>
      </c>
      <c r="AA284" s="7">
        <f t="shared" si="603"/>
        <v>5360.85</v>
      </c>
      <c r="AB284" s="7">
        <f t="shared" si="604"/>
        <v>5360.85</v>
      </c>
      <c r="AC284" s="7">
        <f t="shared" si="605"/>
        <v>0</v>
      </c>
      <c r="AD284" s="7">
        <f t="shared" si="606"/>
        <v>2007.75</v>
      </c>
      <c r="AE284" s="7">
        <f t="shared" si="607"/>
        <v>2018</v>
      </c>
      <c r="AF284" s="7">
        <f t="shared" si="608"/>
        <v>2014.75</v>
      </c>
      <c r="AG284" s="7">
        <f t="shared" si="609"/>
        <v>2017</v>
      </c>
      <c r="AH284" s="7">
        <f t="shared" si="610"/>
        <v>-8.3333333333333329E-2</v>
      </c>
      <c r="AJ284" s="144">
        <f t="shared" si="611"/>
        <v>0</v>
      </c>
      <c r="AL284" s="144">
        <f t="shared" si="612"/>
        <v>0</v>
      </c>
      <c r="AN284" s="144">
        <f t="shared" si="613"/>
        <v>0</v>
      </c>
      <c r="AP284" s="144">
        <f t="shared" si="614"/>
        <v>0</v>
      </c>
      <c r="AR284" s="144">
        <f t="shared" si="615"/>
        <v>0</v>
      </c>
    </row>
    <row r="285" spans="1:44">
      <c r="C285" s="1">
        <v>100</v>
      </c>
      <c r="D285" s="54" t="s">
        <v>209</v>
      </c>
      <c r="E285" s="3">
        <v>2008</v>
      </c>
      <c r="F285" s="4">
        <v>6</v>
      </c>
      <c r="G285" s="30">
        <v>0</v>
      </c>
      <c r="H285" s="7"/>
      <c r="I285" s="14" t="s">
        <v>86</v>
      </c>
      <c r="J285" s="5">
        <v>7</v>
      </c>
      <c r="K285" s="13">
        <f t="shared" si="595"/>
        <v>2015</v>
      </c>
      <c r="N285" s="48">
        <v>6720.8</v>
      </c>
      <c r="P285" s="7">
        <f t="shared" si="596"/>
        <v>6720.8</v>
      </c>
      <c r="Q285" s="7">
        <f t="shared" si="597"/>
        <v>80.009523809523813</v>
      </c>
      <c r="R285" s="7">
        <f t="shared" si="598"/>
        <v>0</v>
      </c>
      <c r="T285" s="7">
        <f t="shared" si="599"/>
        <v>0</v>
      </c>
      <c r="U285" s="7">
        <v>1</v>
      </c>
      <c r="V285" s="7">
        <f t="shared" si="600"/>
        <v>0</v>
      </c>
      <c r="W285" s="7"/>
      <c r="X285" s="7">
        <f t="shared" si="601"/>
        <v>6720.8</v>
      </c>
      <c r="Y285" s="7">
        <f t="shared" si="602"/>
        <v>6720.8</v>
      </c>
      <c r="Z285" s="7">
        <v>1</v>
      </c>
      <c r="AA285" s="7">
        <f t="shared" si="603"/>
        <v>6720.8</v>
      </c>
      <c r="AB285" s="7">
        <f t="shared" si="604"/>
        <v>6720.8</v>
      </c>
      <c r="AC285" s="7">
        <f t="shared" si="605"/>
        <v>0</v>
      </c>
      <c r="AD285" s="7">
        <f t="shared" si="606"/>
        <v>2008.4166666666667</v>
      </c>
      <c r="AE285" s="7">
        <f t="shared" si="607"/>
        <v>2018</v>
      </c>
      <c r="AF285" s="7">
        <f t="shared" si="608"/>
        <v>2015.4166666666667</v>
      </c>
      <c r="AG285" s="7">
        <f t="shared" si="609"/>
        <v>2017</v>
      </c>
      <c r="AH285" s="7">
        <f t="shared" si="610"/>
        <v>-8.3333333333333329E-2</v>
      </c>
      <c r="AJ285" s="144">
        <f t="shared" si="611"/>
        <v>0</v>
      </c>
      <c r="AL285" s="144">
        <f t="shared" si="612"/>
        <v>0</v>
      </c>
      <c r="AN285" s="144">
        <f t="shared" si="613"/>
        <v>0</v>
      </c>
      <c r="AP285" s="144">
        <f t="shared" si="614"/>
        <v>0</v>
      </c>
      <c r="AR285" s="144">
        <f t="shared" si="615"/>
        <v>0</v>
      </c>
    </row>
    <row r="286" spans="1:44">
      <c r="C286" s="1">
        <v>100</v>
      </c>
      <c r="D286" s="54" t="s">
        <v>207</v>
      </c>
      <c r="E286" s="3">
        <v>2008</v>
      </c>
      <c r="F286" s="4">
        <v>6</v>
      </c>
      <c r="G286" s="30">
        <v>0</v>
      </c>
      <c r="H286" s="7"/>
      <c r="I286" s="14" t="s">
        <v>86</v>
      </c>
      <c r="J286" s="5">
        <v>7</v>
      </c>
      <c r="K286" s="13">
        <f t="shared" si="595"/>
        <v>2015</v>
      </c>
      <c r="N286" s="48">
        <v>6102.92</v>
      </c>
      <c r="P286" s="7">
        <f t="shared" si="596"/>
        <v>6102.92</v>
      </c>
      <c r="Q286" s="7">
        <f t="shared" si="597"/>
        <v>72.653809523809528</v>
      </c>
      <c r="R286" s="7">
        <f t="shared" si="598"/>
        <v>0</v>
      </c>
      <c r="T286" s="7">
        <f t="shared" si="599"/>
        <v>0</v>
      </c>
      <c r="U286" s="7">
        <v>1</v>
      </c>
      <c r="V286" s="7">
        <f t="shared" si="600"/>
        <v>0</v>
      </c>
      <c r="W286" s="7"/>
      <c r="X286" s="7">
        <f t="shared" si="601"/>
        <v>6102.92</v>
      </c>
      <c r="Y286" s="7">
        <f t="shared" si="602"/>
        <v>6102.92</v>
      </c>
      <c r="Z286" s="7">
        <v>1</v>
      </c>
      <c r="AA286" s="7">
        <f t="shared" si="603"/>
        <v>6102.92</v>
      </c>
      <c r="AB286" s="7">
        <f t="shared" si="604"/>
        <v>6102.92</v>
      </c>
      <c r="AC286" s="7">
        <f t="shared" si="605"/>
        <v>0</v>
      </c>
      <c r="AD286" s="7">
        <f t="shared" si="606"/>
        <v>2008.4166666666667</v>
      </c>
      <c r="AE286" s="7">
        <f t="shared" si="607"/>
        <v>2018</v>
      </c>
      <c r="AF286" s="7">
        <f t="shared" si="608"/>
        <v>2015.4166666666667</v>
      </c>
      <c r="AG286" s="7">
        <f t="shared" si="609"/>
        <v>2017</v>
      </c>
      <c r="AH286" s="7">
        <f t="shared" si="610"/>
        <v>-8.3333333333333329E-2</v>
      </c>
      <c r="AJ286" s="144">
        <f t="shared" si="611"/>
        <v>0</v>
      </c>
      <c r="AL286" s="144">
        <f t="shared" si="612"/>
        <v>0</v>
      </c>
      <c r="AN286" s="144">
        <f t="shared" si="613"/>
        <v>0</v>
      </c>
      <c r="AP286" s="144">
        <f t="shared" si="614"/>
        <v>0</v>
      </c>
      <c r="AR286" s="144">
        <f t="shared" si="615"/>
        <v>0</v>
      </c>
    </row>
    <row r="287" spans="1:44">
      <c r="C287" s="1">
        <v>100</v>
      </c>
      <c r="D287" s="54" t="s">
        <v>206</v>
      </c>
      <c r="E287" s="3">
        <v>2008</v>
      </c>
      <c r="F287" s="4">
        <v>7</v>
      </c>
      <c r="G287" s="30">
        <v>0</v>
      </c>
      <c r="H287" s="7"/>
      <c r="I287" s="14" t="s">
        <v>86</v>
      </c>
      <c r="J287" s="5">
        <v>7</v>
      </c>
      <c r="K287" s="13">
        <f t="shared" si="595"/>
        <v>2015</v>
      </c>
      <c r="N287" s="48">
        <f>3350+732.5+334.77</f>
        <v>4417.2700000000004</v>
      </c>
      <c r="P287" s="7">
        <f t="shared" si="596"/>
        <v>4417.2700000000004</v>
      </c>
      <c r="Q287" s="7">
        <f t="shared" si="597"/>
        <v>52.586547619047622</v>
      </c>
      <c r="R287" s="7">
        <f t="shared" si="598"/>
        <v>0</v>
      </c>
      <c r="T287" s="7">
        <f t="shared" si="599"/>
        <v>0</v>
      </c>
      <c r="U287" s="7">
        <v>1</v>
      </c>
      <c r="V287" s="7">
        <f t="shared" si="600"/>
        <v>0</v>
      </c>
      <c r="W287" s="7"/>
      <c r="X287" s="7">
        <f t="shared" si="601"/>
        <v>4417.2700000000004</v>
      </c>
      <c r="Y287" s="7">
        <f t="shared" si="602"/>
        <v>4417.2700000000004</v>
      </c>
      <c r="Z287" s="7">
        <v>1</v>
      </c>
      <c r="AA287" s="7">
        <f t="shared" si="603"/>
        <v>4417.2700000000004</v>
      </c>
      <c r="AB287" s="7">
        <f t="shared" si="604"/>
        <v>4417.2700000000004</v>
      </c>
      <c r="AC287" s="7">
        <f t="shared" si="605"/>
        <v>0</v>
      </c>
      <c r="AD287" s="7">
        <f t="shared" si="606"/>
        <v>2008.5</v>
      </c>
      <c r="AE287" s="7">
        <f t="shared" si="607"/>
        <v>2018</v>
      </c>
      <c r="AF287" s="7">
        <f t="shared" si="608"/>
        <v>2015.5</v>
      </c>
      <c r="AG287" s="7">
        <f t="shared" si="609"/>
        <v>2017</v>
      </c>
      <c r="AH287" s="7">
        <f t="shared" si="610"/>
        <v>-8.3333333333333329E-2</v>
      </c>
      <c r="AJ287" s="144">
        <f t="shared" si="611"/>
        <v>0</v>
      </c>
      <c r="AL287" s="144">
        <f t="shared" si="612"/>
        <v>0</v>
      </c>
      <c r="AN287" s="144">
        <f t="shared" si="613"/>
        <v>0</v>
      </c>
      <c r="AP287" s="144">
        <f t="shared" si="614"/>
        <v>0</v>
      </c>
      <c r="AR287" s="144">
        <f t="shared" si="615"/>
        <v>0</v>
      </c>
    </row>
    <row r="288" spans="1:44">
      <c r="C288" s="1">
        <v>100</v>
      </c>
      <c r="D288" s="54" t="s">
        <v>206</v>
      </c>
      <c r="E288" s="3">
        <v>2008</v>
      </c>
      <c r="F288" s="4">
        <v>7</v>
      </c>
      <c r="G288" s="30">
        <v>0</v>
      </c>
      <c r="H288" s="7"/>
      <c r="I288" s="14" t="s">
        <v>86</v>
      </c>
      <c r="J288" s="5">
        <v>7</v>
      </c>
      <c r="K288" s="13">
        <f t="shared" si="595"/>
        <v>2015</v>
      </c>
      <c r="N288" s="48">
        <v>4363.8999999999996</v>
      </c>
      <c r="P288" s="7">
        <f t="shared" si="596"/>
        <v>4363.8999999999996</v>
      </c>
      <c r="Q288" s="7">
        <f t="shared" si="597"/>
        <v>51.951190476190476</v>
      </c>
      <c r="R288" s="7">
        <f t="shared" si="598"/>
        <v>0</v>
      </c>
      <c r="T288" s="7">
        <f t="shared" si="599"/>
        <v>0</v>
      </c>
      <c r="U288" s="7">
        <v>1</v>
      </c>
      <c r="V288" s="7">
        <f t="shared" si="600"/>
        <v>0</v>
      </c>
      <c r="W288" s="7"/>
      <c r="X288" s="7">
        <f t="shared" si="601"/>
        <v>4363.8999999999996</v>
      </c>
      <c r="Y288" s="7">
        <f t="shared" si="602"/>
        <v>4363.8999999999996</v>
      </c>
      <c r="Z288" s="7">
        <v>1</v>
      </c>
      <c r="AA288" s="7">
        <f t="shared" si="603"/>
        <v>4363.8999999999996</v>
      </c>
      <c r="AB288" s="7">
        <f t="shared" si="604"/>
        <v>4363.8999999999996</v>
      </c>
      <c r="AC288" s="7">
        <f t="shared" si="605"/>
        <v>0</v>
      </c>
      <c r="AD288" s="7">
        <f t="shared" si="606"/>
        <v>2008.5</v>
      </c>
      <c r="AE288" s="7">
        <f t="shared" si="607"/>
        <v>2018</v>
      </c>
      <c r="AF288" s="7">
        <f t="shared" si="608"/>
        <v>2015.5</v>
      </c>
      <c r="AG288" s="7">
        <f t="shared" si="609"/>
        <v>2017</v>
      </c>
      <c r="AH288" s="7">
        <f t="shared" si="610"/>
        <v>-8.3333333333333329E-2</v>
      </c>
      <c r="AJ288" s="144">
        <f t="shared" si="611"/>
        <v>0</v>
      </c>
      <c r="AL288" s="144">
        <f t="shared" si="612"/>
        <v>0</v>
      </c>
      <c r="AN288" s="144">
        <f t="shared" si="613"/>
        <v>0</v>
      </c>
      <c r="AP288" s="144">
        <f t="shared" si="614"/>
        <v>0</v>
      </c>
      <c r="AR288" s="144">
        <f t="shared" si="615"/>
        <v>0</v>
      </c>
    </row>
    <row r="289" spans="1:44">
      <c r="C289" s="1">
        <v>100</v>
      </c>
      <c r="D289" s="54" t="s">
        <v>207</v>
      </c>
      <c r="E289" s="3">
        <v>2008</v>
      </c>
      <c r="F289" s="4">
        <v>7</v>
      </c>
      <c r="G289" s="30">
        <v>0</v>
      </c>
      <c r="H289" s="7"/>
      <c r="I289" s="14" t="s">
        <v>86</v>
      </c>
      <c r="J289" s="5">
        <v>7</v>
      </c>
      <c r="K289" s="13">
        <f t="shared" si="595"/>
        <v>2015</v>
      </c>
      <c r="N289" s="48">
        <v>9680.1200000000008</v>
      </c>
      <c r="P289" s="7">
        <f t="shared" si="596"/>
        <v>9680.1200000000008</v>
      </c>
      <c r="Q289" s="7">
        <f t="shared" si="597"/>
        <v>115.23952380952382</v>
      </c>
      <c r="R289" s="7">
        <f t="shared" si="598"/>
        <v>0</v>
      </c>
      <c r="T289" s="7">
        <f t="shared" si="599"/>
        <v>0</v>
      </c>
      <c r="U289" s="7">
        <v>1</v>
      </c>
      <c r="V289" s="7">
        <f t="shared" si="600"/>
        <v>0</v>
      </c>
      <c r="W289" s="7"/>
      <c r="X289" s="7">
        <f t="shared" si="601"/>
        <v>9680.1200000000008</v>
      </c>
      <c r="Y289" s="7">
        <f t="shared" si="602"/>
        <v>9680.1200000000008</v>
      </c>
      <c r="Z289" s="7">
        <v>1</v>
      </c>
      <c r="AA289" s="7">
        <f t="shared" si="603"/>
        <v>9680.1200000000008</v>
      </c>
      <c r="AB289" s="7">
        <f t="shared" si="604"/>
        <v>9680.1200000000008</v>
      </c>
      <c r="AC289" s="7">
        <f t="shared" si="605"/>
        <v>0</v>
      </c>
      <c r="AD289" s="7">
        <f t="shared" si="606"/>
        <v>2008.5</v>
      </c>
      <c r="AE289" s="7">
        <f t="shared" si="607"/>
        <v>2018</v>
      </c>
      <c r="AF289" s="7">
        <f t="shared" si="608"/>
        <v>2015.5</v>
      </c>
      <c r="AG289" s="7">
        <f t="shared" si="609"/>
        <v>2017</v>
      </c>
      <c r="AH289" s="7">
        <f t="shared" si="610"/>
        <v>-8.3333333333333329E-2</v>
      </c>
      <c r="AJ289" s="144">
        <f t="shared" si="611"/>
        <v>0</v>
      </c>
      <c r="AL289" s="144">
        <f t="shared" si="612"/>
        <v>0</v>
      </c>
      <c r="AN289" s="144">
        <f t="shared" si="613"/>
        <v>0</v>
      </c>
      <c r="AP289" s="144">
        <f t="shared" si="614"/>
        <v>0</v>
      </c>
      <c r="AR289" s="144">
        <f t="shared" si="615"/>
        <v>0</v>
      </c>
    </row>
    <row r="290" spans="1:44">
      <c r="C290" s="1">
        <v>100</v>
      </c>
      <c r="D290" s="54" t="s">
        <v>208</v>
      </c>
      <c r="E290" s="3">
        <v>2008</v>
      </c>
      <c r="F290" s="4">
        <v>8</v>
      </c>
      <c r="G290" s="30">
        <v>0</v>
      </c>
      <c r="H290" s="7"/>
      <c r="I290" s="14" t="s">
        <v>86</v>
      </c>
      <c r="J290" s="5">
        <v>7</v>
      </c>
      <c r="K290" s="13">
        <f t="shared" si="595"/>
        <v>2015</v>
      </c>
      <c r="N290" s="48">
        <f>4465+1150+471.66+5</f>
        <v>6091.66</v>
      </c>
      <c r="P290" s="7">
        <f t="shared" si="596"/>
        <v>6091.66</v>
      </c>
      <c r="Q290" s="7">
        <f t="shared" si="597"/>
        <v>72.519761904761907</v>
      </c>
      <c r="R290" s="7">
        <f t="shared" si="598"/>
        <v>0</v>
      </c>
      <c r="T290" s="7">
        <f t="shared" si="599"/>
        <v>0</v>
      </c>
      <c r="U290" s="7">
        <v>1</v>
      </c>
      <c r="V290" s="7">
        <f t="shared" si="600"/>
        <v>0</v>
      </c>
      <c r="W290" s="7"/>
      <c r="X290" s="7">
        <f t="shared" si="601"/>
        <v>6091.66</v>
      </c>
      <c r="Y290" s="7">
        <f t="shared" si="602"/>
        <v>6091.66</v>
      </c>
      <c r="Z290" s="7">
        <v>1</v>
      </c>
      <c r="AA290" s="7">
        <f t="shared" si="603"/>
        <v>6091.66</v>
      </c>
      <c r="AB290" s="7">
        <f t="shared" si="604"/>
        <v>6091.66</v>
      </c>
      <c r="AC290" s="7">
        <f t="shared" si="605"/>
        <v>0</v>
      </c>
      <c r="AD290" s="7">
        <f t="shared" si="606"/>
        <v>2008.5833333333333</v>
      </c>
      <c r="AE290" s="7">
        <f t="shared" si="607"/>
        <v>2018</v>
      </c>
      <c r="AF290" s="7">
        <f t="shared" si="608"/>
        <v>2015.5833333333333</v>
      </c>
      <c r="AG290" s="7">
        <f t="shared" si="609"/>
        <v>2017</v>
      </c>
      <c r="AH290" s="7">
        <f t="shared" si="610"/>
        <v>-8.3333333333333329E-2</v>
      </c>
      <c r="AJ290" s="144">
        <f t="shared" si="611"/>
        <v>0</v>
      </c>
      <c r="AL290" s="144">
        <f t="shared" si="612"/>
        <v>0</v>
      </c>
      <c r="AN290" s="144">
        <f t="shared" si="613"/>
        <v>0</v>
      </c>
      <c r="AP290" s="144">
        <f t="shared" si="614"/>
        <v>0</v>
      </c>
      <c r="AR290" s="144">
        <f t="shared" si="615"/>
        <v>0</v>
      </c>
    </row>
    <row r="291" spans="1:44">
      <c r="C291" s="1">
        <v>100</v>
      </c>
      <c r="D291" s="54" t="s">
        <v>207</v>
      </c>
      <c r="E291" s="3">
        <v>2010</v>
      </c>
      <c r="F291" s="4">
        <v>8</v>
      </c>
      <c r="G291" s="30">
        <v>0</v>
      </c>
      <c r="H291" s="7"/>
      <c r="I291" s="14" t="s">
        <v>86</v>
      </c>
      <c r="J291" s="5">
        <v>7</v>
      </c>
      <c r="K291" s="13">
        <f t="shared" si="595"/>
        <v>2017</v>
      </c>
      <c r="N291" s="48">
        <v>5138.5</v>
      </c>
      <c r="P291" s="7">
        <f t="shared" si="596"/>
        <v>5138.5</v>
      </c>
      <c r="Q291" s="7">
        <f t="shared" si="597"/>
        <v>61.172619047619044</v>
      </c>
      <c r="R291" s="7">
        <f t="shared" si="598"/>
        <v>428.20833333327766</v>
      </c>
      <c r="T291" s="7">
        <f t="shared" si="599"/>
        <v>428.20833333327766</v>
      </c>
      <c r="U291" s="7">
        <v>1</v>
      </c>
      <c r="V291" s="7">
        <f t="shared" si="600"/>
        <v>428.20833333327766</v>
      </c>
      <c r="W291" s="7"/>
      <c r="X291" s="7">
        <f t="shared" si="601"/>
        <v>4710.2916666667224</v>
      </c>
      <c r="Y291" s="7">
        <f t="shared" si="602"/>
        <v>4710.2916666667224</v>
      </c>
      <c r="Z291" s="7">
        <v>1</v>
      </c>
      <c r="AA291" s="7">
        <f t="shared" si="603"/>
        <v>4710.2916666667224</v>
      </c>
      <c r="AB291" s="7">
        <f t="shared" si="604"/>
        <v>5138.5</v>
      </c>
      <c r="AC291" s="7">
        <f t="shared" si="605"/>
        <v>214.10416666663878</v>
      </c>
      <c r="AD291" s="7">
        <f t="shared" si="606"/>
        <v>2010.5833333333333</v>
      </c>
      <c r="AE291" s="7">
        <f t="shared" si="607"/>
        <v>2018</v>
      </c>
      <c r="AF291" s="7">
        <f t="shared" si="608"/>
        <v>2017.5833333333333</v>
      </c>
      <c r="AG291" s="7">
        <f t="shared" si="609"/>
        <v>2017</v>
      </c>
      <c r="AH291" s="7">
        <f t="shared" si="610"/>
        <v>-8.3333333333333329E-2</v>
      </c>
      <c r="AJ291" s="144">
        <f t="shared" si="611"/>
        <v>0</v>
      </c>
      <c r="AL291" s="144">
        <f t="shared" si="612"/>
        <v>428.20833333327766</v>
      </c>
      <c r="AN291" s="144">
        <f t="shared" si="613"/>
        <v>0</v>
      </c>
      <c r="AP291" s="144">
        <f t="shared" si="614"/>
        <v>0</v>
      </c>
      <c r="AR291" s="144">
        <f t="shared" si="615"/>
        <v>214.10416666663878</v>
      </c>
    </row>
    <row r="292" spans="1:44">
      <c r="C292" s="1">
        <v>100</v>
      </c>
      <c r="D292" s="54" t="s">
        <v>210</v>
      </c>
      <c r="E292" s="3">
        <v>2012</v>
      </c>
      <c r="F292" s="4">
        <v>1</v>
      </c>
      <c r="G292" s="30">
        <v>0</v>
      </c>
      <c r="H292" s="7"/>
      <c r="I292" s="14" t="s">
        <v>86</v>
      </c>
      <c r="J292" s="5">
        <v>7</v>
      </c>
      <c r="K292" s="13">
        <f t="shared" si="595"/>
        <v>2019</v>
      </c>
      <c r="N292" s="48">
        <f>1805+265.44</f>
        <v>2070.44</v>
      </c>
      <c r="P292" s="7">
        <f t="shared" si="596"/>
        <v>2070.44</v>
      </c>
      <c r="Q292" s="7">
        <f t="shared" si="597"/>
        <v>24.648095238095237</v>
      </c>
      <c r="R292" s="7">
        <f t="shared" si="598"/>
        <v>295.77714285714285</v>
      </c>
      <c r="T292" s="7">
        <f t="shared" si="599"/>
        <v>295.77714285714285</v>
      </c>
      <c r="U292" s="7">
        <v>1</v>
      </c>
      <c r="V292" s="7">
        <f t="shared" si="600"/>
        <v>295.77714285714285</v>
      </c>
      <c r="W292" s="7"/>
      <c r="X292" s="7">
        <f t="shared" si="601"/>
        <v>1478.8857142857141</v>
      </c>
      <c r="Y292" s="7">
        <f t="shared" si="602"/>
        <v>1478.8857142857141</v>
      </c>
      <c r="Z292" s="7">
        <v>1</v>
      </c>
      <c r="AA292" s="7">
        <f t="shared" si="603"/>
        <v>1478.8857142857141</v>
      </c>
      <c r="AB292" s="7">
        <f t="shared" si="604"/>
        <v>1774.6628571428569</v>
      </c>
      <c r="AC292" s="7">
        <f t="shared" si="605"/>
        <v>443.66571428571456</v>
      </c>
      <c r="AD292" s="7">
        <f t="shared" si="606"/>
        <v>2012</v>
      </c>
      <c r="AE292" s="7">
        <f t="shared" si="607"/>
        <v>2018</v>
      </c>
      <c r="AF292" s="7">
        <f t="shared" si="608"/>
        <v>2019</v>
      </c>
      <c r="AG292" s="7">
        <f t="shared" si="609"/>
        <v>2017</v>
      </c>
      <c r="AH292" s="7">
        <f t="shared" si="610"/>
        <v>-8.3333333333333329E-2</v>
      </c>
      <c r="AJ292" s="144">
        <f t="shared" si="611"/>
        <v>0</v>
      </c>
      <c r="AL292" s="144">
        <f t="shared" si="612"/>
        <v>295.77714285714285</v>
      </c>
      <c r="AN292" s="144">
        <f t="shared" si="613"/>
        <v>0</v>
      </c>
      <c r="AP292" s="144">
        <f t="shared" si="614"/>
        <v>0</v>
      </c>
      <c r="AR292" s="144">
        <f t="shared" si="615"/>
        <v>443.66571428571456</v>
      </c>
    </row>
    <row r="293" spans="1:44">
      <c r="C293" s="1">
        <v>100</v>
      </c>
      <c r="D293" s="54" t="s">
        <v>211</v>
      </c>
      <c r="E293" s="3">
        <v>2012</v>
      </c>
      <c r="F293" s="4">
        <v>1</v>
      </c>
      <c r="G293" s="30">
        <v>0</v>
      </c>
      <c r="H293" s="7"/>
      <c r="I293" s="14" t="s">
        <v>86</v>
      </c>
      <c r="J293" s="5">
        <v>7</v>
      </c>
      <c r="K293" s="13">
        <f t="shared" si="595"/>
        <v>2019</v>
      </c>
      <c r="N293" s="48">
        <f>1805+265.44</f>
        <v>2070.44</v>
      </c>
      <c r="P293" s="7">
        <f t="shared" si="596"/>
        <v>2070.44</v>
      </c>
      <c r="Q293" s="7">
        <f t="shared" si="597"/>
        <v>24.648095238095237</v>
      </c>
      <c r="R293" s="7">
        <f t="shared" si="598"/>
        <v>295.77714285714285</v>
      </c>
      <c r="T293" s="7">
        <f t="shared" si="599"/>
        <v>295.77714285714285</v>
      </c>
      <c r="U293" s="7">
        <v>1</v>
      </c>
      <c r="V293" s="7">
        <f t="shared" si="600"/>
        <v>295.77714285714285</v>
      </c>
      <c r="W293" s="7"/>
      <c r="X293" s="7">
        <f t="shared" si="601"/>
        <v>1478.8857142857141</v>
      </c>
      <c r="Y293" s="7">
        <f t="shared" si="602"/>
        <v>1478.8857142857141</v>
      </c>
      <c r="Z293" s="7">
        <v>1</v>
      </c>
      <c r="AA293" s="7">
        <f t="shared" si="603"/>
        <v>1478.8857142857141</v>
      </c>
      <c r="AB293" s="7">
        <f t="shared" si="604"/>
        <v>1774.6628571428569</v>
      </c>
      <c r="AC293" s="7">
        <f t="shared" si="605"/>
        <v>443.66571428571456</v>
      </c>
      <c r="AD293" s="7">
        <f t="shared" si="606"/>
        <v>2012</v>
      </c>
      <c r="AE293" s="7">
        <f t="shared" si="607"/>
        <v>2018</v>
      </c>
      <c r="AF293" s="7">
        <f t="shared" si="608"/>
        <v>2019</v>
      </c>
      <c r="AG293" s="7">
        <f t="shared" si="609"/>
        <v>2017</v>
      </c>
      <c r="AH293" s="7">
        <f t="shared" si="610"/>
        <v>-8.3333333333333329E-2</v>
      </c>
      <c r="AJ293" s="144">
        <f t="shared" si="611"/>
        <v>0</v>
      </c>
      <c r="AL293" s="144">
        <f t="shared" si="612"/>
        <v>295.77714285714285</v>
      </c>
      <c r="AN293" s="144">
        <f t="shared" si="613"/>
        <v>0</v>
      </c>
      <c r="AP293" s="144">
        <f t="shared" si="614"/>
        <v>0</v>
      </c>
      <c r="AR293" s="144">
        <f t="shared" si="615"/>
        <v>443.66571428571456</v>
      </c>
    </row>
    <row r="294" spans="1:44">
      <c r="A294" s="1">
        <v>93745</v>
      </c>
      <c r="C294" s="1">
        <v>100</v>
      </c>
      <c r="D294" s="54" t="s">
        <v>212</v>
      </c>
      <c r="E294" s="3">
        <v>2012</v>
      </c>
      <c r="F294" s="4">
        <v>5</v>
      </c>
      <c r="G294" s="30">
        <v>0</v>
      </c>
      <c r="H294" s="7"/>
      <c r="I294" s="14" t="s">
        <v>86</v>
      </c>
      <c r="J294" s="5">
        <v>7</v>
      </c>
      <c r="K294" s="13">
        <f t="shared" si="595"/>
        <v>2019</v>
      </c>
      <c r="N294" s="48">
        <v>5555.5</v>
      </c>
      <c r="P294" s="7">
        <f t="shared" si="596"/>
        <v>5555.5</v>
      </c>
      <c r="Q294" s="7">
        <f t="shared" si="597"/>
        <v>66.136904761904759</v>
      </c>
      <c r="R294" s="7">
        <f t="shared" si="598"/>
        <v>793.64285714285711</v>
      </c>
      <c r="T294" s="7">
        <f t="shared" si="599"/>
        <v>793.64285714285711</v>
      </c>
      <c r="U294" s="7">
        <v>1</v>
      </c>
      <c r="V294" s="7">
        <f t="shared" si="600"/>
        <v>793.64285714285711</v>
      </c>
      <c r="W294" s="7"/>
      <c r="X294" s="7">
        <f t="shared" si="601"/>
        <v>3703.6666666667265</v>
      </c>
      <c r="Y294" s="7">
        <f t="shared" si="602"/>
        <v>3703.6666666667265</v>
      </c>
      <c r="Z294" s="7">
        <v>1</v>
      </c>
      <c r="AA294" s="7">
        <f t="shared" si="603"/>
        <v>3703.6666666667265</v>
      </c>
      <c r="AB294" s="7">
        <f t="shared" si="604"/>
        <v>4497.3095238095839</v>
      </c>
      <c r="AC294" s="7">
        <f t="shared" si="605"/>
        <v>1455.0119047618448</v>
      </c>
      <c r="AD294" s="7">
        <f t="shared" si="606"/>
        <v>2012.3333333333333</v>
      </c>
      <c r="AE294" s="7">
        <f t="shared" si="607"/>
        <v>2018</v>
      </c>
      <c r="AF294" s="7">
        <f t="shared" si="608"/>
        <v>2019.3333333333333</v>
      </c>
      <c r="AG294" s="7">
        <f t="shared" si="609"/>
        <v>2017</v>
      </c>
      <c r="AH294" s="7">
        <f t="shared" si="610"/>
        <v>-8.3333333333333329E-2</v>
      </c>
      <c r="AJ294" s="144">
        <f t="shared" si="611"/>
        <v>0</v>
      </c>
      <c r="AL294" s="144">
        <f t="shared" si="612"/>
        <v>793.64285714285711</v>
      </c>
      <c r="AN294" s="144">
        <f t="shared" si="613"/>
        <v>0</v>
      </c>
      <c r="AP294" s="144">
        <f t="shared" si="614"/>
        <v>0</v>
      </c>
      <c r="AR294" s="144">
        <f t="shared" si="615"/>
        <v>1455.0119047618448</v>
      </c>
    </row>
    <row r="295" spans="1:44">
      <c r="A295" s="1">
        <v>94098</v>
      </c>
      <c r="C295" s="1">
        <v>300</v>
      </c>
      <c r="D295" s="54" t="s">
        <v>213</v>
      </c>
      <c r="E295" s="3">
        <v>2012</v>
      </c>
      <c r="F295" s="4">
        <v>5</v>
      </c>
      <c r="G295" s="30">
        <v>0</v>
      </c>
      <c r="H295" s="7"/>
      <c r="I295" s="14" t="s">
        <v>86</v>
      </c>
      <c r="J295" s="5">
        <v>7</v>
      </c>
      <c r="K295" s="13">
        <f t="shared" si="595"/>
        <v>2019</v>
      </c>
      <c r="N295" s="48">
        <v>11143.49</v>
      </c>
      <c r="P295" s="7">
        <f t="shared" si="596"/>
        <v>11143.49</v>
      </c>
      <c r="Q295" s="7">
        <f t="shared" si="597"/>
        <v>132.66059523809523</v>
      </c>
      <c r="R295" s="7">
        <f t="shared" si="598"/>
        <v>1591.9271428571428</v>
      </c>
      <c r="T295" s="7">
        <f t="shared" si="599"/>
        <v>1591.9271428571428</v>
      </c>
      <c r="U295" s="7">
        <v>1</v>
      </c>
      <c r="V295" s="7">
        <f t="shared" si="600"/>
        <v>1591.9271428571428</v>
      </c>
      <c r="W295" s="7"/>
      <c r="X295" s="7">
        <f t="shared" si="601"/>
        <v>7428.9933333334529</v>
      </c>
      <c r="Y295" s="7">
        <f t="shared" si="602"/>
        <v>7428.9933333334529</v>
      </c>
      <c r="Z295" s="7">
        <v>1</v>
      </c>
      <c r="AA295" s="7">
        <f t="shared" si="603"/>
        <v>7428.9933333334529</v>
      </c>
      <c r="AB295" s="7">
        <f t="shared" si="604"/>
        <v>9020.9204761905967</v>
      </c>
      <c r="AC295" s="7">
        <f t="shared" si="605"/>
        <v>2918.533095237975</v>
      </c>
      <c r="AD295" s="7">
        <f t="shared" si="606"/>
        <v>2012.3333333333333</v>
      </c>
      <c r="AE295" s="7">
        <f t="shared" si="607"/>
        <v>2018</v>
      </c>
      <c r="AF295" s="7">
        <f t="shared" si="608"/>
        <v>2019.3333333333333</v>
      </c>
      <c r="AG295" s="7">
        <f t="shared" si="609"/>
        <v>2017</v>
      </c>
      <c r="AH295" s="7">
        <f t="shared" si="610"/>
        <v>-8.3333333333333329E-2</v>
      </c>
      <c r="AJ295" s="144">
        <f t="shared" si="611"/>
        <v>0</v>
      </c>
      <c r="AL295" s="144">
        <f t="shared" si="612"/>
        <v>1591.9271428571428</v>
      </c>
      <c r="AN295" s="144">
        <f t="shared" si="613"/>
        <v>0</v>
      </c>
      <c r="AP295" s="144">
        <f t="shared" si="614"/>
        <v>0</v>
      </c>
      <c r="AR295" s="144">
        <f t="shared" si="615"/>
        <v>2918.533095237975</v>
      </c>
    </row>
    <row r="296" spans="1:44">
      <c r="A296" s="1">
        <v>94099</v>
      </c>
      <c r="C296" s="1">
        <v>12</v>
      </c>
      <c r="D296" s="54" t="s">
        <v>288</v>
      </c>
      <c r="E296" s="3">
        <v>2012</v>
      </c>
      <c r="F296" s="4">
        <v>5</v>
      </c>
      <c r="G296" s="30">
        <v>0</v>
      </c>
      <c r="H296" s="7"/>
      <c r="I296" s="14" t="s">
        <v>86</v>
      </c>
      <c r="J296" s="5">
        <v>7</v>
      </c>
      <c r="K296" s="13">
        <f t="shared" si="595"/>
        <v>2019</v>
      </c>
      <c r="N296" s="48">
        <v>432.98</v>
      </c>
      <c r="P296" s="7">
        <f t="shared" si="596"/>
        <v>432.98</v>
      </c>
      <c r="Q296" s="7">
        <f t="shared" si="597"/>
        <v>5.15452380952381</v>
      </c>
      <c r="R296" s="7">
        <f t="shared" si="598"/>
        <v>61.854285714285723</v>
      </c>
      <c r="T296" s="7">
        <f t="shared" si="599"/>
        <v>61.854285714285723</v>
      </c>
      <c r="U296" s="7">
        <v>1</v>
      </c>
      <c r="V296" s="7">
        <f t="shared" si="600"/>
        <v>61.854285714285723</v>
      </c>
      <c r="W296" s="7"/>
      <c r="X296" s="7">
        <f t="shared" si="601"/>
        <v>288.65333333333803</v>
      </c>
      <c r="Y296" s="7">
        <f t="shared" si="602"/>
        <v>288.65333333333803</v>
      </c>
      <c r="Z296" s="7">
        <v>1</v>
      </c>
      <c r="AA296" s="7">
        <f t="shared" si="603"/>
        <v>288.65333333333803</v>
      </c>
      <c r="AB296" s="7">
        <f t="shared" si="604"/>
        <v>350.50761904762373</v>
      </c>
      <c r="AC296" s="7">
        <f t="shared" si="605"/>
        <v>113.39952380951914</v>
      </c>
      <c r="AD296" s="7">
        <f t="shared" si="606"/>
        <v>2012.3333333333333</v>
      </c>
      <c r="AE296" s="7">
        <f t="shared" si="607"/>
        <v>2018</v>
      </c>
      <c r="AF296" s="7">
        <f t="shared" si="608"/>
        <v>2019.3333333333333</v>
      </c>
      <c r="AG296" s="7">
        <f t="shared" si="609"/>
        <v>2017</v>
      </c>
      <c r="AH296" s="7">
        <f t="shared" si="610"/>
        <v>-8.3333333333333329E-2</v>
      </c>
      <c r="AJ296" s="144">
        <f t="shared" si="611"/>
        <v>0</v>
      </c>
      <c r="AL296" s="144">
        <f t="shared" si="612"/>
        <v>61.854285714285723</v>
      </c>
      <c r="AN296" s="144">
        <f t="shared" si="613"/>
        <v>0</v>
      </c>
      <c r="AP296" s="144">
        <f t="shared" si="614"/>
        <v>0</v>
      </c>
      <c r="AR296" s="144">
        <f t="shared" si="615"/>
        <v>113.39952380951914</v>
      </c>
    </row>
    <row r="297" spans="1:44">
      <c r="A297" s="1">
        <v>105015</v>
      </c>
      <c r="C297" s="1">
        <v>100</v>
      </c>
      <c r="D297" s="54" t="s">
        <v>297</v>
      </c>
      <c r="E297" s="3">
        <v>2013</v>
      </c>
      <c r="F297" s="4">
        <v>6</v>
      </c>
      <c r="G297" s="30">
        <v>0</v>
      </c>
      <c r="H297" s="7"/>
      <c r="I297" s="14" t="s">
        <v>86</v>
      </c>
      <c r="J297" s="5">
        <v>7</v>
      </c>
      <c r="K297" s="13">
        <f t="shared" si="595"/>
        <v>2020</v>
      </c>
      <c r="N297" s="48">
        <v>7094.89</v>
      </c>
      <c r="P297" s="7">
        <f t="shared" si="596"/>
        <v>7094.89</v>
      </c>
      <c r="Q297" s="7">
        <f t="shared" si="597"/>
        <v>84.462976190476198</v>
      </c>
      <c r="R297" s="7">
        <f t="shared" ref="R297" si="616">IF(O297&gt;0,0,IF(OR(AD297&gt;AE297,AF297&lt;AG297),0,IF(AND(AF297&gt;=AG297,AF297&lt;=AE297),Q297*((AF297-AG297)*12),IF(AND(AG297&lt;=AD297,AE297&gt;=AD297),((AE297-AD297)*12)*Q297,IF(AF297&gt;AE297,12*Q297,0)))))</f>
        <v>1013.5557142857144</v>
      </c>
      <c r="T297" s="7">
        <f t="shared" ref="T297" si="617">IF(S297&gt;0,S297,R297)</f>
        <v>1013.5557142857144</v>
      </c>
      <c r="U297" s="7">
        <v>1</v>
      </c>
      <c r="V297" s="7">
        <f t="shared" ref="V297" si="618">U297*SUM(R297:S297)</f>
        <v>1013.5557142857144</v>
      </c>
      <c r="W297" s="7"/>
      <c r="X297" s="7">
        <f t="shared" ref="X297" si="619">IF(AD297&gt;AE297,0,IF(AF297&lt;AG297,P297,IF(AND(AF297&gt;=AG297,AF297&lt;=AE297),(P297-T297),IF(AND(AG297&lt;=AD297,AE297&gt;=AD297),0,IF(AF297&gt;AE297,((AG297-AD297)*12)*Q297,0)))))</f>
        <v>3631.9079761903995</v>
      </c>
      <c r="Y297" s="7">
        <f t="shared" ref="Y297" si="620">X297*U297</f>
        <v>3631.9079761903995</v>
      </c>
      <c r="Z297" s="7">
        <v>1</v>
      </c>
      <c r="AA297" s="7">
        <f t="shared" ref="AA297" si="621">Y297*Z297</f>
        <v>3631.9079761903995</v>
      </c>
      <c r="AB297" s="7">
        <f t="shared" ref="AB297" si="622">IF(O297&gt;0,0,AA297+V297*Z297)*Z297</f>
        <v>4645.4636904761137</v>
      </c>
      <c r="AC297" s="7">
        <f t="shared" ref="AC297" si="623">IF(O297&gt;0,(N297-AA297)/2,IF(AD297&gt;=AG297,(((N297*U297)*Z297)-AB297)/2,((((N297*U297)*Z297)-AA297)+(((N297*U297)*Z297)-AB297))/2))</f>
        <v>2956.2041666667437</v>
      </c>
      <c r="AD297" s="7">
        <f t="shared" si="606"/>
        <v>2013.4166666666667</v>
      </c>
      <c r="AE297" s="7">
        <f t="shared" si="607"/>
        <v>2018</v>
      </c>
      <c r="AF297" s="7">
        <f t="shared" si="608"/>
        <v>2020.4166666666667</v>
      </c>
      <c r="AG297" s="7">
        <f t="shared" si="609"/>
        <v>2017</v>
      </c>
      <c r="AH297" s="7">
        <f t="shared" si="610"/>
        <v>-8.3333333333333329E-2</v>
      </c>
      <c r="AJ297" s="144">
        <f t="shared" si="611"/>
        <v>0</v>
      </c>
      <c r="AL297" s="144">
        <f t="shared" si="612"/>
        <v>1013.5557142857144</v>
      </c>
      <c r="AN297" s="144">
        <f t="shared" si="613"/>
        <v>0</v>
      </c>
      <c r="AP297" s="144">
        <f t="shared" si="614"/>
        <v>0</v>
      </c>
      <c r="AR297" s="144">
        <f t="shared" si="615"/>
        <v>2956.2041666667437</v>
      </c>
    </row>
    <row r="298" spans="1:44">
      <c r="A298" s="1">
        <v>109631</v>
      </c>
      <c r="C298" s="1">
        <v>30</v>
      </c>
      <c r="D298" s="54" t="s">
        <v>308</v>
      </c>
      <c r="E298" s="3">
        <v>2013</v>
      </c>
      <c r="F298" s="4">
        <v>6</v>
      </c>
      <c r="G298" s="30">
        <v>0</v>
      </c>
      <c r="H298" s="7"/>
      <c r="I298" s="14" t="s">
        <v>86</v>
      </c>
      <c r="J298" s="5">
        <v>7</v>
      </c>
      <c r="K298" s="13">
        <f t="shared" ref="K298:K299" si="624">E298+J298</f>
        <v>2020</v>
      </c>
      <c r="N298" s="48">
        <v>1416.9</v>
      </c>
      <c r="P298" s="7">
        <f t="shared" si="596"/>
        <v>1416.9</v>
      </c>
      <c r="Q298" s="7">
        <f t="shared" si="597"/>
        <v>16.867857142857144</v>
      </c>
      <c r="R298" s="7">
        <f t="shared" ref="R298:R302" si="625">IF(O298&gt;0,0,IF(OR(AD298&gt;AE298,AF298&lt;AG298),0,IF(AND(AF298&gt;=AG298,AF298&lt;=AE298),Q298*((AF298-AG298)*12),IF(AND(AG298&lt;=AD298,AE298&gt;=AD298),((AE298-AD298)*12)*Q298,IF(AF298&gt;AE298,12*Q298,0)))))</f>
        <v>202.41428571428571</v>
      </c>
      <c r="T298" s="7">
        <f t="shared" ref="T298:T299" si="626">IF(S298&gt;0,S298,R298)</f>
        <v>202.41428571428571</v>
      </c>
      <c r="U298" s="7">
        <v>1</v>
      </c>
      <c r="V298" s="7">
        <f t="shared" ref="V298:V299" si="627">U298*SUM(R298:S298)</f>
        <v>202.41428571428571</v>
      </c>
      <c r="W298" s="7"/>
      <c r="X298" s="7">
        <f t="shared" ref="X298:X299" si="628">IF(AD298&gt;AE298,0,IF(AF298&lt;AG298,P298,IF(AND(AF298&gt;=AG298,AF298&lt;=AE298),(P298-T298),IF(AND(AG298&lt;=AD298,AE298&gt;=AD298),0,IF(AF298&gt;AE298,((AG298-AD298)*12)*Q298,0)))))</f>
        <v>725.31785714284183</v>
      </c>
      <c r="Y298" s="7">
        <f t="shared" ref="Y298:Y299" si="629">X298*U298</f>
        <v>725.31785714284183</v>
      </c>
      <c r="Z298" s="7">
        <v>1</v>
      </c>
      <c r="AA298" s="7">
        <f t="shared" ref="AA298:AA299" si="630">Y298*Z298</f>
        <v>725.31785714284183</v>
      </c>
      <c r="AB298" s="7">
        <f t="shared" ref="AB298:AB299" si="631">IF(O298&gt;0,0,AA298+V298*Z298)*Z298</f>
        <v>927.73214285712754</v>
      </c>
      <c r="AC298" s="7">
        <f t="shared" ref="AC298:AC299" si="632">IF(O298&gt;0,(N298-AA298)/2,IF(AD298&gt;=AG298,(((N298*U298)*Z298)-AB298)/2,((((N298*U298)*Z298)-AA298)+(((N298*U298)*Z298)-AB298))/2))</f>
        <v>590.37500000001546</v>
      </c>
      <c r="AD298" s="7">
        <f t="shared" si="606"/>
        <v>2013.4166666666667</v>
      </c>
      <c r="AE298" s="7">
        <f t="shared" si="607"/>
        <v>2018</v>
      </c>
      <c r="AF298" s="7">
        <f t="shared" si="608"/>
        <v>2020.4166666666667</v>
      </c>
      <c r="AG298" s="7">
        <f t="shared" si="609"/>
        <v>2017</v>
      </c>
      <c r="AH298" s="7">
        <f t="shared" si="610"/>
        <v>-8.3333333333333329E-2</v>
      </c>
      <c r="AJ298" s="144">
        <f t="shared" si="611"/>
        <v>0</v>
      </c>
      <c r="AL298" s="144">
        <f t="shared" si="612"/>
        <v>202.41428571428571</v>
      </c>
      <c r="AN298" s="144">
        <f t="shared" si="613"/>
        <v>0</v>
      </c>
      <c r="AP298" s="144">
        <f t="shared" si="614"/>
        <v>0</v>
      </c>
      <c r="AR298" s="144">
        <f t="shared" si="615"/>
        <v>590.37500000001546</v>
      </c>
    </row>
    <row r="299" spans="1:44">
      <c r="A299" s="1">
        <v>109629</v>
      </c>
      <c r="C299" s="1">
        <v>100</v>
      </c>
      <c r="D299" s="54" t="s">
        <v>309</v>
      </c>
      <c r="E299" s="3">
        <v>2013</v>
      </c>
      <c r="F299" s="4">
        <v>6</v>
      </c>
      <c r="G299" s="30">
        <v>0</v>
      </c>
      <c r="H299" s="7"/>
      <c r="I299" s="14" t="s">
        <v>86</v>
      </c>
      <c r="J299" s="5">
        <v>7</v>
      </c>
      <c r="K299" s="13">
        <f t="shared" si="624"/>
        <v>2020</v>
      </c>
      <c r="N299" s="48">
        <v>3273.45</v>
      </c>
      <c r="P299" s="7">
        <f t="shared" si="596"/>
        <v>3273.45</v>
      </c>
      <c r="Q299" s="7">
        <f t="shared" si="597"/>
        <v>38.969642857142851</v>
      </c>
      <c r="R299" s="7">
        <f t="shared" si="625"/>
        <v>467.63571428571424</v>
      </c>
      <c r="T299" s="7">
        <f t="shared" si="626"/>
        <v>467.63571428571424</v>
      </c>
      <c r="U299" s="7">
        <v>1</v>
      </c>
      <c r="V299" s="7">
        <f t="shared" si="627"/>
        <v>467.63571428571424</v>
      </c>
      <c r="W299" s="7"/>
      <c r="X299" s="7">
        <f t="shared" si="628"/>
        <v>1675.6946428571071</v>
      </c>
      <c r="Y299" s="7">
        <f t="shared" si="629"/>
        <v>1675.6946428571071</v>
      </c>
      <c r="Z299" s="7">
        <v>1</v>
      </c>
      <c r="AA299" s="7">
        <f t="shared" si="630"/>
        <v>1675.6946428571071</v>
      </c>
      <c r="AB299" s="7">
        <f t="shared" si="631"/>
        <v>2143.3303571428214</v>
      </c>
      <c r="AC299" s="7">
        <f t="shared" si="632"/>
        <v>1363.9375000000355</v>
      </c>
      <c r="AD299" s="7">
        <f t="shared" si="606"/>
        <v>2013.4166666666667</v>
      </c>
      <c r="AE299" s="7">
        <f t="shared" si="607"/>
        <v>2018</v>
      </c>
      <c r="AF299" s="7">
        <f t="shared" si="608"/>
        <v>2020.4166666666667</v>
      </c>
      <c r="AG299" s="7">
        <f t="shared" si="609"/>
        <v>2017</v>
      </c>
      <c r="AH299" s="7">
        <f t="shared" si="610"/>
        <v>-8.3333333333333329E-2</v>
      </c>
      <c r="AJ299" s="144">
        <f t="shared" si="611"/>
        <v>0</v>
      </c>
      <c r="AL299" s="144">
        <f t="shared" si="612"/>
        <v>467.63571428571424</v>
      </c>
      <c r="AN299" s="144">
        <f t="shared" si="613"/>
        <v>0</v>
      </c>
      <c r="AP299" s="144">
        <f t="shared" si="614"/>
        <v>0</v>
      </c>
      <c r="AR299" s="144">
        <f t="shared" si="615"/>
        <v>1363.9375000000355</v>
      </c>
    </row>
    <row r="300" spans="1:44">
      <c r="A300" s="1">
        <v>113496</v>
      </c>
      <c r="C300" s="1">
        <v>100</v>
      </c>
      <c r="D300" s="54" t="s">
        <v>207</v>
      </c>
      <c r="E300" s="3">
        <v>2014</v>
      </c>
      <c r="F300" s="4">
        <v>6</v>
      </c>
      <c r="G300" s="30">
        <v>0</v>
      </c>
      <c r="H300" s="7"/>
      <c r="I300" s="14" t="s">
        <v>86</v>
      </c>
      <c r="J300" s="5">
        <v>7</v>
      </c>
      <c r="K300" s="13">
        <f t="shared" ref="K300:K304" si="633">E300+J300</f>
        <v>2021</v>
      </c>
      <c r="N300" s="48">
        <v>6630.44</v>
      </c>
      <c r="P300" s="7">
        <f t="shared" si="596"/>
        <v>6630.44</v>
      </c>
      <c r="Q300" s="7">
        <f t="shared" si="597"/>
        <v>78.933809523809515</v>
      </c>
      <c r="R300" s="7">
        <f t="shared" si="625"/>
        <v>947.20571428571418</v>
      </c>
      <c r="T300" s="7">
        <f t="shared" ref="T300:T301" si="634">IF(S300&gt;0,S300,R300)</f>
        <v>947.20571428571418</v>
      </c>
      <c r="U300" s="7">
        <v>1</v>
      </c>
      <c r="V300" s="7">
        <f t="shared" ref="V300:V301" si="635">U300*SUM(R300:S300)</f>
        <v>947.20571428571418</v>
      </c>
      <c r="W300" s="7"/>
      <c r="X300" s="7">
        <f t="shared" ref="X300:X301" si="636">IF(AD300&gt;AE300,0,IF(AF300&lt;AG300,P300,IF(AND(AF300&gt;=AG300,AF300&lt;=AE300),(P300-T300),IF(AND(AG300&lt;=AD300,AE300&gt;=AD300),0,IF(AF300&gt;AE300,((AG300-AD300)*12)*Q300,0)))))</f>
        <v>2446.9480952380231</v>
      </c>
      <c r="Y300" s="7">
        <f t="shared" ref="Y300:Y301" si="637">X300*U300</f>
        <v>2446.9480952380231</v>
      </c>
      <c r="Z300" s="7">
        <v>1</v>
      </c>
      <c r="AA300" s="7">
        <f t="shared" ref="AA300:AA301" si="638">Y300*Z300</f>
        <v>2446.9480952380231</v>
      </c>
      <c r="AB300" s="7">
        <f t="shared" ref="AB300:AB301" si="639">IF(O300&gt;0,0,AA300+V300*Z300)*Z300</f>
        <v>3394.1538095237374</v>
      </c>
      <c r="AC300" s="7">
        <f t="shared" ref="AC300:AC301" si="640">IF(O300&gt;0,(N300-AA300)/2,IF(AD300&gt;=AG300,(((N300*U300)*Z300)-AB300)/2,((((N300*U300)*Z300)-AA300)+(((N300*U300)*Z300)-AB300))/2))</f>
        <v>3709.8890476191195</v>
      </c>
      <c r="AD300" s="7">
        <f t="shared" si="606"/>
        <v>2014.4166666666667</v>
      </c>
      <c r="AE300" s="7">
        <f t="shared" si="607"/>
        <v>2018</v>
      </c>
      <c r="AF300" s="7">
        <f t="shared" si="608"/>
        <v>2021.4166666666667</v>
      </c>
      <c r="AG300" s="7">
        <f t="shared" si="609"/>
        <v>2017</v>
      </c>
      <c r="AH300" s="7">
        <f t="shared" si="610"/>
        <v>-8.3333333333333329E-2</v>
      </c>
      <c r="AJ300" s="144">
        <f t="shared" si="611"/>
        <v>0</v>
      </c>
      <c r="AL300" s="144">
        <f t="shared" si="612"/>
        <v>947.20571428571418</v>
      </c>
      <c r="AN300" s="144">
        <f t="shared" si="613"/>
        <v>0</v>
      </c>
      <c r="AP300" s="144">
        <f t="shared" si="614"/>
        <v>0</v>
      </c>
      <c r="AR300" s="144">
        <f t="shared" si="615"/>
        <v>3709.8890476191195</v>
      </c>
    </row>
    <row r="301" spans="1:44">
      <c r="A301" s="1">
        <v>113495</v>
      </c>
      <c r="C301" s="1">
        <v>350</v>
      </c>
      <c r="D301" s="54" t="s">
        <v>206</v>
      </c>
      <c r="E301" s="3">
        <v>2014</v>
      </c>
      <c r="F301" s="4">
        <v>5</v>
      </c>
      <c r="G301" s="30">
        <v>0</v>
      </c>
      <c r="H301" s="7"/>
      <c r="I301" s="14" t="s">
        <v>86</v>
      </c>
      <c r="J301" s="5">
        <v>7</v>
      </c>
      <c r="K301" s="13">
        <f t="shared" si="633"/>
        <v>2021</v>
      </c>
      <c r="N301" s="48">
        <v>14838.46</v>
      </c>
      <c r="P301" s="7">
        <f t="shared" si="596"/>
        <v>14838.46</v>
      </c>
      <c r="Q301" s="7">
        <f t="shared" si="597"/>
        <v>176.64833333333331</v>
      </c>
      <c r="R301" s="7">
        <f t="shared" si="625"/>
        <v>2119.7799999999997</v>
      </c>
      <c r="T301" s="7">
        <f t="shared" si="634"/>
        <v>2119.7799999999997</v>
      </c>
      <c r="U301" s="7">
        <v>1</v>
      </c>
      <c r="V301" s="7">
        <f t="shared" si="635"/>
        <v>2119.7799999999997</v>
      </c>
      <c r="W301" s="7"/>
      <c r="X301" s="7">
        <f t="shared" si="636"/>
        <v>5652.746666666827</v>
      </c>
      <c r="Y301" s="7">
        <f t="shared" si="637"/>
        <v>5652.746666666827</v>
      </c>
      <c r="Z301" s="7">
        <v>1</v>
      </c>
      <c r="AA301" s="7">
        <f t="shared" si="638"/>
        <v>5652.746666666827</v>
      </c>
      <c r="AB301" s="7">
        <f t="shared" si="639"/>
        <v>7772.5266666668267</v>
      </c>
      <c r="AC301" s="7">
        <f t="shared" si="640"/>
        <v>8125.8233333331727</v>
      </c>
      <c r="AD301" s="7">
        <f t="shared" si="606"/>
        <v>2014.3333333333333</v>
      </c>
      <c r="AE301" s="7">
        <f t="shared" si="607"/>
        <v>2018</v>
      </c>
      <c r="AF301" s="7">
        <f t="shared" si="608"/>
        <v>2021.3333333333333</v>
      </c>
      <c r="AG301" s="7">
        <f t="shared" si="609"/>
        <v>2017</v>
      </c>
      <c r="AH301" s="7">
        <f t="shared" si="610"/>
        <v>-8.3333333333333329E-2</v>
      </c>
      <c r="AJ301" s="144">
        <f t="shared" si="611"/>
        <v>0</v>
      </c>
      <c r="AL301" s="144">
        <f t="shared" si="612"/>
        <v>2119.7799999999997</v>
      </c>
      <c r="AN301" s="144">
        <f t="shared" si="613"/>
        <v>0</v>
      </c>
      <c r="AP301" s="144">
        <f t="shared" si="614"/>
        <v>0</v>
      </c>
      <c r="AR301" s="144">
        <f t="shared" si="615"/>
        <v>8125.8233333331727</v>
      </c>
    </row>
    <row r="302" spans="1:44">
      <c r="A302" s="1">
        <v>121038</v>
      </c>
      <c r="C302" s="1">
        <v>300</v>
      </c>
      <c r="D302" s="54" t="s">
        <v>207</v>
      </c>
      <c r="E302" s="3">
        <v>2015</v>
      </c>
      <c r="F302" s="4">
        <v>3</v>
      </c>
      <c r="G302" s="30">
        <v>0</v>
      </c>
      <c r="H302" s="7"/>
      <c r="I302" s="14" t="s">
        <v>86</v>
      </c>
      <c r="J302" s="5">
        <v>7</v>
      </c>
      <c r="K302" s="13">
        <f t="shared" si="633"/>
        <v>2022</v>
      </c>
      <c r="N302" s="48">
        <v>14206.55</v>
      </c>
      <c r="P302" s="7">
        <f t="shared" si="596"/>
        <v>14206.55</v>
      </c>
      <c r="Q302" s="7">
        <f t="shared" si="597"/>
        <v>169.12559523809523</v>
      </c>
      <c r="R302" s="7">
        <f t="shared" si="625"/>
        <v>2029.5071428571428</v>
      </c>
      <c r="T302" s="7">
        <f t="shared" ref="T302" si="641">IF(S302&gt;0,S302,R302)</f>
        <v>2029.5071428571428</v>
      </c>
      <c r="U302" s="7">
        <v>1</v>
      </c>
      <c r="V302" s="7">
        <f t="shared" ref="V302" si="642">U302*SUM(R302:S302)</f>
        <v>2029.5071428571428</v>
      </c>
      <c r="W302" s="7"/>
      <c r="X302" s="7">
        <f t="shared" ref="X302" si="643">IF(AD302&gt;AE302,0,IF(AF302&lt;AG302,P302,IF(AND(AF302&gt;=AG302,AF302&lt;=AE302),(P302-T302),IF(AND(AG302&lt;=AD302,AE302&gt;=AD302),0,IF(AF302&gt;AE302,((AG302-AD302)*12)*Q302,0)))))</f>
        <v>3720.7630952379413</v>
      </c>
      <c r="Y302" s="7">
        <f t="shared" ref="Y302" si="644">X302*U302</f>
        <v>3720.7630952379413</v>
      </c>
      <c r="Z302" s="7">
        <v>1</v>
      </c>
      <c r="AA302" s="7">
        <f t="shared" ref="AA302" si="645">Y302*Z302</f>
        <v>3720.7630952379413</v>
      </c>
      <c r="AB302" s="7">
        <f t="shared" ref="AB302" si="646">IF(O302&gt;0,0,AA302+V302*Z302)*Z302</f>
        <v>5750.2702380950841</v>
      </c>
      <c r="AC302" s="7">
        <f t="shared" ref="AC302" si="647">IF(O302&gt;0,(N302-AA302)/2,IF(AD302&gt;=AG302,(((N302*U302)*Z302)-AB302)/2,((((N302*U302)*Z302)-AA302)+(((N302*U302)*Z302)-AB302))/2))</f>
        <v>9471.0333333334875</v>
      </c>
      <c r="AD302" s="7">
        <f t="shared" si="606"/>
        <v>2015.1666666666667</v>
      </c>
      <c r="AE302" s="7">
        <f t="shared" si="607"/>
        <v>2018</v>
      </c>
      <c r="AF302" s="7">
        <f t="shared" si="608"/>
        <v>2022.1666666666667</v>
      </c>
      <c r="AG302" s="7">
        <f t="shared" si="609"/>
        <v>2017</v>
      </c>
      <c r="AH302" s="7">
        <f t="shared" si="610"/>
        <v>-8.3333333333333329E-2</v>
      </c>
      <c r="AJ302" s="144">
        <f t="shared" si="611"/>
        <v>0</v>
      </c>
      <c r="AL302" s="144">
        <f t="shared" si="612"/>
        <v>2029.5071428571428</v>
      </c>
      <c r="AN302" s="144">
        <f t="shared" si="613"/>
        <v>0</v>
      </c>
      <c r="AP302" s="144">
        <f t="shared" si="614"/>
        <v>0</v>
      </c>
      <c r="AR302" s="144">
        <f t="shared" si="615"/>
        <v>9471.0333333334875</v>
      </c>
    </row>
    <row r="303" spans="1:44">
      <c r="A303" s="1" t="s">
        <v>327</v>
      </c>
      <c r="C303" s="1">
        <f>760+840</f>
        <v>1600</v>
      </c>
      <c r="D303" s="54" t="s">
        <v>206</v>
      </c>
      <c r="E303" s="3">
        <v>2015</v>
      </c>
      <c r="F303" s="4">
        <v>6</v>
      </c>
      <c r="G303" s="30">
        <v>0</v>
      </c>
      <c r="H303" s="7"/>
      <c r="I303" s="14" t="s">
        <v>86</v>
      </c>
      <c r="J303" s="5">
        <v>7</v>
      </c>
      <c r="K303" s="13">
        <f t="shared" si="633"/>
        <v>2022</v>
      </c>
      <c r="N303" s="48">
        <f>30987.6+28036.4</f>
        <v>59024</v>
      </c>
      <c r="P303" s="7">
        <f t="shared" ref="P303:P311" si="648">N303-N303*G303</f>
        <v>59024</v>
      </c>
      <c r="Q303" s="7">
        <f t="shared" ref="Q303:Q311" si="649">P303/J303/12</f>
        <v>702.66666666666663</v>
      </c>
      <c r="R303" s="7">
        <f t="shared" ref="R303:R306" si="650">IF(O303&gt;0,0,IF(OR(AD303&gt;AE303,AF303&lt;AG303),0,IF(AND(AF303&gt;=AG303,AF303&lt;=AE303),Q303*((AF303-AG303)*12),IF(AND(AG303&lt;=AD303,AE303&gt;=AD303),((AE303-AD303)*12)*Q303,IF(AF303&gt;AE303,12*Q303,0)))))</f>
        <v>8432</v>
      </c>
      <c r="T303" s="7">
        <f t="shared" ref="T303:T306" si="651">IF(S303&gt;0,S303,R303)</f>
        <v>8432</v>
      </c>
      <c r="U303" s="7">
        <v>1</v>
      </c>
      <c r="V303" s="7">
        <f t="shared" ref="V303:V306" si="652">U303*SUM(R303:S303)</f>
        <v>8432</v>
      </c>
      <c r="W303" s="7"/>
      <c r="X303" s="7">
        <f t="shared" ref="X303:X306" si="653">IF(AD303&gt;AE303,0,IF(AF303&lt;AG303,P303,IF(AND(AF303&gt;=AG303,AF303&lt;=AE303),(P303-T303),IF(AND(AG303&lt;=AD303,AE303&gt;=AD303),0,IF(AF303&gt;AE303,((AG303-AD303)*12)*Q303,0)))))</f>
        <v>13350.666666666028</v>
      </c>
      <c r="Y303" s="7">
        <f t="shared" ref="Y303:Y306" si="654">X303*U303</f>
        <v>13350.666666666028</v>
      </c>
      <c r="Z303" s="7">
        <v>1</v>
      </c>
      <c r="AA303" s="7">
        <f t="shared" ref="AA303:AA306" si="655">Y303*Z303</f>
        <v>13350.666666666028</v>
      </c>
      <c r="AB303" s="7">
        <f t="shared" ref="AB303:AB306" si="656">IF(O303&gt;0,0,AA303+V303*Z303)*Z303</f>
        <v>21782.666666666028</v>
      </c>
      <c r="AC303" s="7">
        <f t="shared" ref="AC303:AC306" si="657">IF(O303&gt;0,(N303-AA303)/2,IF(AD303&gt;=AG303,(((N303*U303)*Z303)-AB303)/2,((((N303*U303)*Z303)-AA303)+(((N303*U303)*Z303)-AB303))/2))</f>
        <v>41457.333333333969</v>
      </c>
      <c r="AD303" s="7">
        <f t="shared" si="606"/>
        <v>2015.4166666666667</v>
      </c>
      <c r="AE303" s="7">
        <f t="shared" si="607"/>
        <v>2018</v>
      </c>
      <c r="AF303" s="7">
        <f t="shared" si="608"/>
        <v>2022.4166666666667</v>
      </c>
      <c r="AG303" s="7">
        <f t="shared" si="609"/>
        <v>2017</v>
      </c>
      <c r="AH303" s="7">
        <f t="shared" si="610"/>
        <v>-8.3333333333333329E-2</v>
      </c>
      <c r="AJ303" s="144">
        <f t="shared" si="611"/>
        <v>0</v>
      </c>
      <c r="AL303" s="144">
        <f t="shared" si="612"/>
        <v>8432</v>
      </c>
      <c r="AN303" s="144">
        <f t="shared" si="613"/>
        <v>0</v>
      </c>
      <c r="AP303" s="144">
        <f t="shared" si="614"/>
        <v>0</v>
      </c>
      <c r="AR303" s="144">
        <f t="shared" si="615"/>
        <v>41457.333333333969</v>
      </c>
    </row>
    <row r="304" spans="1:44">
      <c r="A304" s="1">
        <v>123451</v>
      </c>
      <c r="C304" s="1">
        <v>40</v>
      </c>
      <c r="D304" s="54" t="s">
        <v>209</v>
      </c>
      <c r="E304" s="3">
        <v>2015</v>
      </c>
      <c r="F304" s="4">
        <v>6</v>
      </c>
      <c r="G304" s="30">
        <v>0</v>
      </c>
      <c r="H304" s="7"/>
      <c r="I304" s="14" t="s">
        <v>86</v>
      </c>
      <c r="J304" s="5">
        <v>7</v>
      </c>
      <c r="K304" s="13">
        <f t="shared" si="633"/>
        <v>2022</v>
      </c>
      <c r="N304" s="48">
        <v>2781.94</v>
      </c>
      <c r="P304" s="7">
        <f t="shared" si="648"/>
        <v>2781.94</v>
      </c>
      <c r="Q304" s="7">
        <f t="shared" si="649"/>
        <v>33.118333333333332</v>
      </c>
      <c r="R304" s="7">
        <f t="shared" si="650"/>
        <v>397.41999999999996</v>
      </c>
      <c r="T304" s="7">
        <f t="shared" si="651"/>
        <v>397.41999999999996</v>
      </c>
      <c r="U304" s="7">
        <v>1</v>
      </c>
      <c r="V304" s="7">
        <f t="shared" si="652"/>
        <v>397.41999999999996</v>
      </c>
      <c r="W304" s="7"/>
      <c r="X304" s="7">
        <f t="shared" si="653"/>
        <v>629.24833333330321</v>
      </c>
      <c r="Y304" s="7">
        <f t="shared" si="654"/>
        <v>629.24833333330321</v>
      </c>
      <c r="Z304" s="7">
        <v>1</v>
      </c>
      <c r="AA304" s="7">
        <f t="shared" si="655"/>
        <v>629.24833333330321</v>
      </c>
      <c r="AB304" s="7">
        <f t="shared" si="656"/>
        <v>1026.6683333333031</v>
      </c>
      <c r="AC304" s="7">
        <f t="shared" si="657"/>
        <v>1953.9816666666968</v>
      </c>
      <c r="AD304" s="7">
        <f t="shared" si="606"/>
        <v>2015.4166666666667</v>
      </c>
      <c r="AE304" s="7">
        <f t="shared" si="607"/>
        <v>2018</v>
      </c>
      <c r="AF304" s="7">
        <f t="shared" si="608"/>
        <v>2022.4166666666667</v>
      </c>
      <c r="AG304" s="7">
        <f t="shared" si="609"/>
        <v>2017</v>
      </c>
      <c r="AH304" s="7">
        <f t="shared" si="610"/>
        <v>-8.3333333333333329E-2</v>
      </c>
      <c r="AJ304" s="144">
        <f t="shared" si="611"/>
        <v>0</v>
      </c>
      <c r="AL304" s="144">
        <f t="shared" si="612"/>
        <v>397.41999999999996</v>
      </c>
      <c r="AN304" s="144">
        <f t="shared" si="613"/>
        <v>0</v>
      </c>
      <c r="AP304" s="144">
        <f t="shared" si="614"/>
        <v>0</v>
      </c>
      <c r="AR304" s="144">
        <f t="shared" si="615"/>
        <v>1953.9816666666968</v>
      </c>
    </row>
    <row r="305" spans="1:44">
      <c r="A305" s="1">
        <v>123452</v>
      </c>
      <c r="C305" s="1">
        <v>200</v>
      </c>
      <c r="D305" s="54" t="s">
        <v>208</v>
      </c>
      <c r="E305" s="3">
        <v>2015</v>
      </c>
      <c r="F305" s="4">
        <v>6</v>
      </c>
      <c r="G305" s="30">
        <v>0</v>
      </c>
      <c r="H305" s="7"/>
      <c r="I305" s="14" t="s">
        <v>86</v>
      </c>
      <c r="J305" s="5">
        <v>7</v>
      </c>
      <c r="K305" s="13">
        <f t="shared" ref="K305:K306" si="658">E305+J305</f>
        <v>2022</v>
      </c>
      <c r="N305" s="48">
        <v>12716.2</v>
      </c>
      <c r="P305" s="7">
        <f t="shared" si="648"/>
        <v>12716.2</v>
      </c>
      <c r="Q305" s="7">
        <f t="shared" si="649"/>
        <v>151.38333333333335</v>
      </c>
      <c r="R305" s="7">
        <f t="shared" si="650"/>
        <v>1816.6000000000004</v>
      </c>
      <c r="T305" s="7">
        <f t="shared" si="651"/>
        <v>1816.6000000000004</v>
      </c>
      <c r="U305" s="7">
        <v>1</v>
      </c>
      <c r="V305" s="7">
        <f t="shared" si="652"/>
        <v>1816.6000000000004</v>
      </c>
      <c r="W305" s="7"/>
      <c r="X305" s="7">
        <f t="shared" si="653"/>
        <v>2876.283333333196</v>
      </c>
      <c r="Y305" s="7">
        <f t="shared" si="654"/>
        <v>2876.283333333196</v>
      </c>
      <c r="Z305" s="7">
        <v>1</v>
      </c>
      <c r="AA305" s="7">
        <f t="shared" si="655"/>
        <v>2876.283333333196</v>
      </c>
      <c r="AB305" s="7">
        <f t="shared" si="656"/>
        <v>4692.8833333331968</v>
      </c>
      <c r="AC305" s="7">
        <f t="shared" si="657"/>
        <v>8931.6166666668032</v>
      </c>
      <c r="AD305" s="7">
        <f t="shared" si="606"/>
        <v>2015.4166666666667</v>
      </c>
      <c r="AE305" s="7">
        <f t="shared" si="607"/>
        <v>2018</v>
      </c>
      <c r="AF305" s="7">
        <f t="shared" si="608"/>
        <v>2022.4166666666667</v>
      </c>
      <c r="AG305" s="7">
        <f t="shared" si="609"/>
        <v>2017</v>
      </c>
      <c r="AH305" s="7">
        <f t="shared" si="610"/>
        <v>-8.3333333333333329E-2</v>
      </c>
      <c r="AJ305" s="144">
        <f t="shared" si="611"/>
        <v>0</v>
      </c>
      <c r="AL305" s="144">
        <f t="shared" si="612"/>
        <v>1816.6000000000004</v>
      </c>
      <c r="AN305" s="144">
        <f t="shared" si="613"/>
        <v>0</v>
      </c>
      <c r="AP305" s="144">
        <f t="shared" si="614"/>
        <v>0</v>
      </c>
      <c r="AR305" s="144">
        <f t="shared" si="615"/>
        <v>8931.6166666668032</v>
      </c>
    </row>
    <row r="306" spans="1:44">
      <c r="A306" s="1">
        <v>123453</v>
      </c>
      <c r="C306" s="1">
        <v>10</v>
      </c>
      <c r="D306" s="54" t="s">
        <v>328</v>
      </c>
      <c r="E306" s="3">
        <v>2015</v>
      </c>
      <c r="F306" s="4">
        <v>6</v>
      </c>
      <c r="G306" s="30">
        <v>0</v>
      </c>
      <c r="H306" s="7"/>
      <c r="I306" s="14" t="s">
        <v>86</v>
      </c>
      <c r="J306" s="5">
        <v>7</v>
      </c>
      <c r="K306" s="13">
        <f t="shared" si="658"/>
        <v>2022</v>
      </c>
      <c r="N306" s="48">
        <v>554.44000000000005</v>
      </c>
      <c r="P306" s="7">
        <f t="shared" si="648"/>
        <v>554.44000000000005</v>
      </c>
      <c r="Q306" s="7">
        <f t="shared" si="649"/>
        <v>6.6004761904761908</v>
      </c>
      <c r="R306" s="7">
        <f t="shared" si="650"/>
        <v>79.205714285714294</v>
      </c>
      <c r="T306" s="7">
        <f t="shared" si="651"/>
        <v>79.205714285714294</v>
      </c>
      <c r="U306" s="7">
        <v>1</v>
      </c>
      <c r="V306" s="7">
        <f t="shared" si="652"/>
        <v>79.205714285714294</v>
      </c>
      <c r="W306" s="7"/>
      <c r="X306" s="7">
        <f t="shared" si="653"/>
        <v>125.40904761904163</v>
      </c>
      <c r="Y306" s="7">
        <f t="shared" si="654"/>
        <v>125.40904761904163</v>
      </c>
      <c r="Z306" s="7">
        <v>1</v>
      </c>
      <c r="AA306" s="7">
        <f t="shared" si="655"/>
        <v>125.40904761904163</v>
      </c>
      <c r="AB306" s="7">
        <f t="shared" si="656"/>
        <v>204.61476190475594</v>
      </c>
      <c r="AC306" s="7">
        <f t="shared" si="657"/>
        <v>389.42809523810126</v>
      </c>
      <c r="AD306" s="7">
        <f t="shared" si="606"/>
        <v>2015.4166666666667</v>
      </c>
      <c r="AE306" s="7">
        <f t="shared" si="607"/>
        <v>2018</v>
      </c>
      <c r="AF306" s="7">
        <f t="shared" si="608"/>
        <v>2022.4166666666667</v>
      </c>
      <c r="AG306" s="7">
        <f t="shared" si="609"/>
        <v>2017</v>
      </c>
      <c r="AH306" s="7">
        <f t="shared" si="610"/>
        <v>-8.3333333333333329E-2</v>
      </c>
      <c r="AJ306" s="144">
        <f t="shared" si="611"/>
        <v>0</v>
      </c>
      <c r="AL306" s="144">
        <f t="shared" si="612"/>
        <v>79.205714285714294</v>
      </c>
      <c r="AN306" s="144">
        <f t="shared" si="613"/>
        <v>0</v>
      </c>
      <c r="AP306" s="144">
        <f t="shared" si="614"/>
        <v>0</v>
      </c>
      <c r="AR306" s="144">
        <f t="shared" si="615"/>
        <v>389.42809523810126</v>
      </c>
    </row>
    <row r="307" spans="1:44">
      <c r="A307" s="1">
        <v>132254</v>
      </c>
      <c r="C307" s="1">
        <v>325</v>
      </c>
      <c r="D307" s="54" t="s">
        <v>206</v>
      </c>
      <c r="E307" s="3">
        <v>2016</v>
      </c>
      <c r="F307" s="4">
        <v>1</v>
      </c>
      <c r="G307" s="30">
        <v>0</v>
      </c>
      <c r="H307" s="7"/>
      <c r="I307" s="14" t="s">
        <v>86</v>
      </c>
      <c r="J307" s="5">
        <v>7</v>
      </c>
      <c r="K307" s="13">
        <f t="shared" ref="K307:K308" si="659">E307+J307</f>
        <v>2023</v>
      </c>
      <c r="N307" s="55">
        <v>12825.47</v>
      </c>
      <c r="P307" s="7">
        <f t="shared" si="648"/>
        <v>12825.47</v>
      </c>
      <c r="Q307" s="7">
        <f t="shared" si="649"/>
        <v>152.68416666666664</v>
      </c>
      <c r="R307" s="7">
        <f t="shared" ref="R307:R308" si="660">IF(O307&gt;0,0,IF(OR(AD307&gt;AE307,AF307&lt;AG307),0,IF(AND(AF307&gt;=AG307,AF307&lt;=AE307),Q307*((AF307-AG307)*12),IF(AND(AG307&lt;=AD307,AE307&gt;=AD307),((AE307-AD307)*12)*Q307,IF(AF307&gt;AE307,12*Q307,0)))))</f>
        <v>1832.2099999999996</v>
      </c>
      <c r="T307" s="7">
        <f t="shared" ref="T307:T308" si="661">IF(S307&gt;0,S307,R307)</f>
        <v>1832.2099999999996</v>
      </c>
      <c r="U307" s="7">
        <v>1</v>
      </c>
      <c r="V307" s="7">
        <f t="shared" ref="V307:V308" si="662">U307*SUM(R307:S307)</f>
        <v>1832.2099999999996</v>
      </c>
      <c r="W307" s="7"/>
      <c r="X307" s="7">
        <f t="shared" ref="X307:X308" si="663">IF(AD307&gt;AE307,0,IF(AF307&lt;AG307,P307,IF(AND(AF307&gt;=AG307,AF307&lt;=AE307),(P307-T307),IF(AND(AG307&lt;=AD307,AE307&gt;=AD307),0,IF(AF307&gt;AE307,((AG307-AD307)*12)*Q307,0)))))</f>
        <v>1832.2099999999996</v>
      </c>
      <c r="Y307" s="7">
        <f t="shared" ref="Y307:Y308" si="664">X307*U307</f>
        <v>1832.2099999999996</v>
      </c>
      <c r="Z307" s="7">
        <v>1</v>
      </c>
      <c r="AA307" s="7">
        <f t="shared" ref="AA307:AA308" si="665">Y307*Z307</f>
        <v>1832.2099999999996</v>
      </c>
      <c r="AB307" s="7">
        <f t="shared" ref="AB307:AB308" si="666">IF(O307&gt;0,0,AA307+V307*Z307)*Z307</f>
        <v>3664.4199999999992</v>
      </c>
      <c r="AC307" s="7">
        <f t="shared" ref="AC307:AC308" si="667">IF(O307&gt;0,(N307-AA307)/2,IF(AD307&gt;=AG307,(((N307*U307)*Z307)-AB307)/2,((((N307*U307)*Z307)-AA307)+(((N307*U307)*Z307)-AB307))/2))</f>
        <v>10077.154999999999</v>
      </c>
      <c r="AD307" s="7">
        <f t="shared" si="606"/>
        <v>2016</v>
      </c>
      <c r="AE307" s="7">
        <f t="shared" si="607"/>
        <v>2018</v>
      </c>
      <c r="AF307" s="7">
        <f t="shared" si="608"/>
        <v>2023</v>
      </c>
      <c r="AG307" s="7">
        <f t="shared" si="609"/>
        <v>2017</v>
      </c>
      <c r="AH307" s="7">
        <f t="shared" si="610"/>
        <v>-8.3333333333333329E-2</v>
      </c>
      <c r="AJ307" s="144">
        <f t="shared" si="611"/>
        <v>0</v>
      </c>
      <c r="AL307" s="144">
        <f t="shared" si="612"/>
        <v>1832.2099999999996</v>
      </c>
      <c r="AN307" s="144">
        <f t="shared" si="613"/>
        <v>0</v>
      </c>
      <c r="AP307" s="144">
        <f t="shared" si="614"/>
        <v>0</v>
      </c>
      <c r="AR307" s="144">
        <f t="shared" si="615"/>
        <v>10077.154999999999</v>
      </c>
    </row>
    <row r="308" spans="1:44">
      <c r="A308" s="1">
        <v>132253</v>
      </c>
      <c r="C308" s="1">
        <v>94</v>
      </c>
      <c r="D308" s="54" t="s">
        <v>207</v>
      </c>
      <c r="E308" s="3">
        <v>2016</v>
      </c>
      <c r="F308" s="4">
        <v>1</v>
      </c>
      <c r="G308" s="30">
        <v>0</v>
      </c>
      <c r="H308" s="7"/>
      <c r="I308" s="14" t="s">
        <v>86</v>
      </c>
      <c r="J308" s="5">
        <v>7</v>
      </c>
      <c r="K308" s="13">
        <f t="shared" si="659"/>
        <v>2023</v>
      </c>
      <c r="N308" s="55">
        <v>4226.53</v>
      </c>
      <c r="P308" s="7">
        <f t="shared" si="648"/>
        <v>4226.53</v>
      </c>
      <c r="Q308" s="7">
        <f t="shared" si="649"/>
        <v>50.31583333333333</v>
      </c>
      <c r="R308" s="7">
        <f t="shared" si="660"/>
        <v>603.79</v>
      </c>
      <c r="T308" s="7">
        <f t="shared" si="661"/>
        <v>603.79</v>
      </c>
      <c r="U308" s="7">
        <v>1</v>
      </c>
      <c r="V308" s="7">
        <f t="shared" si="662"/>
        <v>603.79</v>
      </c>
      <c r="W308" s="7"/>
      <c r="X308" s="7">
        <f t="shared" si="663"/>
        <v>603.79</v>
      </c>
      <c r="Y308" s="7">
        <f t="shared" si="664"/>
        <v>603.79</v>
      </c>
      <c r="Z308" s="7">
        <v>1</v>
      </c>
      <c r="AA308" s="7">
        <f t="shared" si="665"/>
        <v>603.79</v>
      </c>
      <c r="AB308" s="7">
        <f t="shared" si="666"/>
        <v>1207.58</v>
      </c>
      <c r="AC308" s="7">
        <f t="shared" si="667"/>
        <v>3320.8449999999998</v>
      </c>
      <c r="AD308" s="7">
        <f t="shared" si="606"/>
        <v>2016</v>
      </c>
      <c r="AE308" s="7">
        <f t="shared" si="607"/>
        <v>2018</v>
      </c>
      <c r="AF308" s="7">
        <f t="shared" si="608"/>
        <v>2023</v>
      </c>
      <c r="AG308" s="7">
        <f t="shared" si="609"/>
        <v>2017</v>
      </c>
      <c r="AH308" s="7">
        <f t="shared" si="610"/>
        <v>-8.3333333333333329E-2</v>
      </c>
      <c r="AJ308" s="144">
        <f t="shared" si="611"/>
        <v>0</v>
      </c>
      <c r="AL308" s="144">
        <f t="shared" si="612"/>
        <v>603.79</v>
      </c>
      <c r="AN308" s="144">
        <f t="shared" si="613"/>
        <v>0</v>
      </c>
      <c r="AP308" s="144">
        <f t="shared" si="614"/>
        <v>0</v>
      </c>
      <c r="AR308" s="144">
        <f t="shared" si="615"/>
        <v>3320.8449999999998</v>
      </c>
    </row>
    <row r="309" spans="1:44">
      <c r="A309" s="1">
        <v>132252</v>
      </c>
      <c r="C309" s="1">
        <v>56</v>
      </c>
      <c r="D309" s="54" t="s">
        <v>207</v>
      </c>
      <c r="E309" s="3">
        <v>2016</v>
      </c>
      <c r="F309" s="4">
        <v>2</v>
      </c>
      <c r="G309" s="30">
        <v>0</v>
      </c>
      <c r="H309" s="7"/>
      <c r="I309" s="14" t="s">
        <v>86</v>
      </c>
      <c r="J309" s="5">
        <v>7</v>
      </c>
      <c r="K309" s="13">
        <f t="shared" ref="K309:K311" si="668">E309+J309</f>
        <v>2023</v>
      </c>
      <c r="N309" s="55">
        <v>2546.0500000000002</v>
      </c>
      <c r="P309" s="7">
        <f t="shared" si="648"/>
        <v>2546.0500000000002</v>
      </c>
      <c r="Q309" s="7">
        <f t="shared" si="649"/>
        <v>30.31011904761905</v>
      </c>
      <c r="R309" s="7">
        <f t="shared" ref="R309:R311" si="669">IF(O309&gt;0,0,IF(OR(AD309&gt;AE309,AF309&lt;AG309),0,IF(AND(AF309&gt;=AG309,AF309&lt;=AE309),Q309*((AF309-AG309)*12),IF(AND(AG309&lt;=AD309,AE309&gt;=AD309),((AE309-AD309)*12)*Q309,IF(AF309&gt;AE309,12*Q309,0)))))</f>
        <v>363.72142857142859</v>
      </c>
      <c r="T309" s="7">
        <f t="shared" ref="T309:T311" si="670">IF(S309&gt;0,S309,R309)</f>
        <v>363.72142857142859</v>
      </c>
      <c r="U309" s="7">
        <v>1</v>
      </c>
      <c r="V309" s="7">
        <f t="shared" ref="V309:V311" si="671">U309*SUM(R309:S309)</f>
        <v>363.72142857142859</v>
      </c>
      <c r="W309" s="7"/>
      <c r="X309" s="7">
        <f t="shared" ref="X309:X311" si="672">IF(AD309&gt;AE309,0,IF(AF309&lt;AG309,P309,IF(AND(AF309&gt;=AG309,AF309&lt;=AE309),(P309-T309),IF(AND(AG309&lt;=AD309,AE309&gt;=AD309),0,IF(AF309&gt;AE309,((AG309-AD309)*12)*Q309,0)))))</f>
        <v>333.41130952383713</v>
      </c>
      <c r="Y309" s="7">
        <f t="shared" ref="Y309:Y311" si="673">X309*U309</f>
        <v>333.41130952383713</v>
      </c>
      <c r="Z309" s="7">
        <v>1</v>
      </c>
      <c r="AA309" s="7">
        <f t="shared" ref="AA309:AA311" si="674">Y309*Z309</f>
        <v>333.41130952383713</v>
      </c>
      <c r="AB309" s="7">
        <f t="shared" ref="AB309:AB311" si="675">IF(O309&gt;0,0,AA309+V309*Z309)*Z309</f>
        <v>697.13273809526572</v>
      </c>
      <c r="AC309" s="7">
        <f t="shared" ref="AC309:AC311" si="676">IF(O309&gt;0,(N309-AA309)/2,IF(AD309&gt;=AG309,(((N309*U309)*Z309)-AB309)/2,((((N309*U309)*Z309)-AA309)+(((N309*U309)*Z309)-AB309))/2))</f>
        <v>2030.7779761904487</v>
      </c>
      <c r="AD309" s="7">
        <f t="shared" si="606"/>
        <v>2016.0833333333333</v>
      </c>
      <c r="AE309" s="7">
        <f t="shared" si="607"/>
        <v>2018</v>
      </c>
      <c r="AF309" s="7">
        <f t="shared" si="608"/>
        <v>2023.0833333333333</v>
      </c>
      <c r="AG309" s="7">
        <f t="shared" si="609"/>
        <v>2017</v>
      </c>
      <c r="AH309" s="7">
        <f t="shared" si="610"/>
        <v>-8.3333333333333329E-2</v>
      </c>
      <c r="AJ309" s="144">
        <f t="shared" si="611"/>
        <v>0</v>
      </c>
      <c r="AL309" s="144">
        <f t="shared" si="612"/>
        <v>363.72142857142859</v>
      </c>
      <c r="AN309" s="144">
        <f t="shared" si="613"/>
        <v>0</v>
      </c>
      <c r="AP309" s="144">
        <f t="shared" si="614"/>
        <v>0</v>
      </c>
      <c r="AR309" s="144">
        <f t="shared" si="615"/>
        <v>2030.7779761904487</v>
      </c>
    </row>
    <row r="310" spans="1:44">
      <c r="A310" s="1">
        <v>132251</v>
      </c>
      <c r="C310" s="1">
        <v>150</v>
      </c>
      <c r="D310" s="54" t="s">
        <v>208</v>
      </c>
      <c r="E310" s="3">
        <v>2016</v>
      </c>
      <c r="F310" s="4">
        <v>2</v>
      </c>
      <c r="G310" s="30">
        <v>0</v>
      </c>
      <c r="H310" s="7"/>
      <c r="I310" s="14" t="s">
        <v>86</v>
      </c>
      <c r="J310" s="5">
        <v>7</v>
      </c>
      <c r="K310" s="13">
        <f t="shared" si="668"/>
        <v>2023</v>
      </c>
      <c r="N310" s="55">
        <v>7138.2</v>
      </c>
      <c r="P310" s="7">
        <f t="shared" si="648"/>
        <v>7138.2</v>
      </c>
      <c r="Q310" s="7">
        <f t="shared" si="649"/>
        <v>84.978571428571428</v>
      </c>
      <c r="R310" s="7">
        <f t="shared" si="669"/>
        <v>1019.7428571428571</v>
      </c>
      <c r="T310" s="7">
        <f t="shared" si="670"/>
        <v>1019.7428571428571</v>
      </c>
      <c r="U310" s="7">
        <v>1</v>
      </c>
      <c r="V310" s="7">
        <f t="shared" si="671"/>
        <v>1019.7428571428571</v>
      </c>
      <c r="W310" s="7"/>
      <c r="X310" s="7">
        <f t="shared" si="672"/>
        <v>934.76428571436304</v>
      </c>
      <c r="Y310" s="7">
        <f t="shared" si="673"/>
        <v>934.76428571436304</v>
      </c>
      <c r="Z310" s="7">
        <v>1</v>
      </c>
      <c r="AA310" s="7">
        <f t="shared" si="674"/>
        <v>934.76428571436304</v>
      </c>
      <c r="AB310" s="7">
        <f t="shared" si="675"/>
        <v>1954.5071428572201</v>
      </c>
      <c r="AC310" s="7">
        <f t="shared" si="676"/>
        <v>5693.5642857142084</v>
      </c>
      <c r="AD310" s="7">
        <f t="shared" si="606"/>
        <v>2016.0833333333333</v>
      </c>
      <c r="AE310" s="7">
        <f t="shared" si="607"/>
        <v>2018</v>
      </c>
      <c r="AF310" s="7">
        <f t="shared" si="608"/>
        <v>2023.0833333333333</v>
      </c>
      <c r="AG310" s="7">
        <f t="shared" si="609"/>
        <v>2017</v>
      </c>
      <c r="AH310" s="7">
        <f t="shared" si="610"/>
        <v>-8.3333333333333329E-2</v>
      </c>
      <c r="AJ310" s="144">
        <f t="shared" si="611"/>
        <v>0</v>
      </c>
      <c r="AL310" s="144">
        <f t="shared" si="612"/>
        <v>1019.7428571428571</v>
      </c>
      <c r="AN310" s="144">
        <f t="shared" si="613"/>
        <v>0</v>
      </c>
      <c r="AP310" s="144">
        <f t="shared" si="614"/>
        <v>0</v>
      </c>
      <c r="AR310" s="144">
        <f t="shared" si="615"/>
        <v>5693.5642857142084</v>
      </c>
    </row>
    <row r="311" spans="1:44">
      <c r="A311" s="1">
        <v>132250</v>
      </c>
      <c r="C311" s="1">
        <v>150</v>
      </c>
      <c r="D311" s="54" t="s">
        <v>209</v>
      </c>
      <c r="E311" s="3">
        <v>2016</v>
      </c>
      <c r="F311" s="4">
        <v>2</v>
      </c>
      <c r="G311" s="30">
        <v>0</v>
      </c>
      <c r="H311" s="7"/>
      <c r="I311" s="14" t="s">
        <v>86</v>
      </c>
      <c r="J311" s="5">
        <v>7</v>
      </c>
      <c r="K311" s="13">
        <f t="shared" si="668"/>
        <v>2023</v>
      </c>
      <c r="N311" s="55">
        <v>8095.75</v>
      </c>
      <c r="P311" s="7">
        <f t="shared" si="648"/>
        <v>8095.75</v>
      </c>
      <c r="Q311" s="7">
        <f t="shared" si="649"/>
        <v>96.37797619047619</v>
      </c>
      <c r="R311" s="7">
        <f t="shared" si="669"/>
        <v>1156.5357142857142</v>
      </c>
      <c r="T311" s="7">
        <f t="shared" si="670"/>
        <v>1156.5357142857142</v>
      </c>
      <c r="U311" s="7">
        <v>1</v>
      </c>
      <c r="V311" s="7">
        <f t="shared" si="671"/>
        <v>1156.5357142857142</v>
      </c>
      <c r="W311" s="7"/>
      <c r="X311" s="7">
        <f t="shared" si="672"/>
        <v>1060.1577380953258</v>
      </c>
      <c r="Y311" s="7">
        <f t="shared" si="673"/>
        <v>1060.1577380953258</v>
      </c>
      <c r="Z311" s="7">
        <v>1</v>
      </c>
      <c r="AA311" s="7">
        <f t="shared" si="674"/>
        <v>1060.1577380953258</v>
      </c>
      <c r="AB311" s="7">
        <f t="shared" si="675"/>
        <v>2216.6934523810401</v>
      </c>
      <c r="AC311" s="7">
        <f t="shared" si="676"/>
        <v>6457.3244047618173</v>
      </c>
      <c r="AD311" s="7">
        <f t="shared" si="606"/>
        <v>2016.0833333333333</v>
      </c>
      <c r="AE311" s="7">
        <f t="shared" si="607"/>
        <v>2018</v>
      </c>
      <c r="AF311" s="7">
        <f t="shared" si="608"/>
        <v>2023.0833333333333</v>
      </c>
      <c r="AG311" s="7">
        <f t="shared" si="609"/>
        <v>2017</v>
      </c>
      <c r="AH311" s="7">
        <f t="shared" si="610"/>
        <v>-8.3333333333333329E-2</v>
      </c>
      <c r="AJ311" s="144">
        <f t="shared" si="611"/>
        <v>0</v>
      </c>
      <c r="AL311" s="144">
        <f t="shared" si="612"/>
        <v>1156.5357142857142</v>
      </c>
      <c r="AN311" s="144">
        <f t="shared" si="613"/>
        <v>0</v>
      </c>
      <c r="AP311" s="144">
        <f t="shared" si="614"/>
        <v>0</v>
      </c>
      <c r="AR311" s="144">
        <f t="shared" si="615"/>
        <v>6457.3244047618173</v>
      </c>
    </row>
    <row r="312" spans="1:44">
      <c r="A312" s="1">
        <v>169569</v>
      </c>
      <c r="C312" s="1">
        <v>377</v>
      </c>
      <c r="D312" s="54" t="s">
        <v>208</v>
      </c>
      <c r="E312" s="3">
        <v>2016</v>
      </c>
      <c r="F312" s="4">
        <v>11</v>
      </c>
      <c r="G312" s="30">
        <v>0</v>
      </c>
      <c r="H312" s="7"/>
      <c r="I312" s="14" t="s">
        <v>86</v>
      </c>
      <c r="J312" s="5">
        <v>7</v>
      </c>
      <c r="K312" s="13">
        <f t="shared" ref="K312" si="677">E312+J312</f>
        <v>2023</v>
      </c>
      <c r="N312" s="60">
        <v>17324.77</v>
      </c>
      <c r="P312" s="7">
        <f t="shared" ref="P312" si="678">N312-N312*G312</f>
        <v>17324.77</v>
      </c>
      <c r="Q312" s="7">
        <f t="shared" ref="Q312" si="679">P312/J312/12</f>
        <v>206.2472619047619</v>
      </c>
      <c r="R312" s="7">
        <f t="shared" ref="R312" si="680">IF(O312&gt;0,0,IF(OR(AD312&gt;AE312,AF312&lt;AG312),0,IF(AND(AF312&gt;=AG312,AF312&lt;=AE312),Q312*((AF312-AG312)*12),IF(AND(AG312&lt;=AD312,AE312&gt;=AD312),((AE312-AD312)*12)*Q312,IF(AF312&gt;AE312,12*Q312,0)))))</f>
        <v>2474.9671428571428</v>
      </c>
      <c r="T312" s="7">
        <f t="shared" ref="T312" si="681">IF(S312&gt;0,S312,R312)</f>
        <v>2474.9671428571428</v>
      </c>
      <c r="U312" s="7">
        <v>1</v>
      </c>
      <c r="V312" s="7">
        <f t="shared" ref="V312" si="682">U312*SUM(R312:S312)</f>
        <v>2474.9671428571428</v>
      </c>
      <c r="W312" s="7"/>
      <c r="X312" s="7">
        <f t="shared" ref="X312" si="683">IF(AD312&gt;AE312,0,IF(AF312&lt;AG312,P312,IF(AND(AF312&gt;=AG312,AF312&lt;=AE312),(P312-T312),IF(AND(AG312&lt;=AD312,AE312&gt;=AD312),0,IF(AF312&gt;AE312,((AG312-AD312)*12)*Q312,0)))))</f>
        <v>412.49452380971138</v>
      </c>
      <c r="Y312" s="7">
        <f t="shared" ref="Y312" si="684">X312*U312</f>
        <v>412.49452380971138</v>
      </c>
      <c r="Z312" s="7">
        <v>1</v>
      </c>
      <c r="AA312" s="7">
        <f t="shared" ref="AA312" si="685">Y312*Z312</f>
        <v>412.49452380971138</v>
      </c>
      <c r="AB312" s="7">
        <f t="shared" ref="AB312" si="686">IF(O312&gt;0,0,AA312+V312*Z312)*Z312</f>
        <v>2887.4616666668544</v>
      </c>
      <c r="AC312" s="7">
        <f t="shared" ref="AC312" si="687">IF(O312&gt;0,(N312-AA312)/2,IF(AD312&gt;=AG312,(((N312*U312)*Z312)-AB312)/2,((((N312*U312)*Z312)-AA312)+(((N312*U312)*Z312)-AB312))/2))</f>
        <v>15674.791904761718</v>
      </c>
      <c r="AD312" s="7">
        <f t="shared" si="606"/>
        <v>2016.8333333333333</v>
      </c>
      <c r="AE312" s="7">
        <f t="shared" si="607"/>
        <v>2018</v>
      </c>
      <c r="AF312" s="7">
        <f t="shared" si="608"/>
        <v>2023.8333333333333</v>
      </c>
      <c r="AG312" s="7">
        <f t="shared" si="609"/>
        <v>2017</v>
      </c>
      <c r="AH312" s="7">
        <f t="shared" si="610"/>
        <v>-8.3333333333333329E-2</v>
      </c>
      <c r="AJ312" s="144">
        <f t="shared" si="611"/>
        <v>0</v>
      </c>
      <c r="AL312" s="144">
        <f t="shared" si="612"/>
        <v>2474.9671428571428</v>
      </c>
      <c r="AN312" s="144">
        <f t="shared" si="613"/>
        <v>0</v>
      </c>
      <c r="AP312" s="144">
        <f t="shared" si="614"/>
        <v>0</v>
      </c>
      <c r="AR312" s="144">
        <f t="shared" si="615"/>
        <v>15674.791904761718</v>
      </c>
    </row>
    <row r="313" spans="1:44">
      <c r="A313" s="1">
        <v>169570</v>
      </c>
      <c r="C313" s="1">
        <v>100</v>
      </c>
      <c r="D313" s="54" t="s">
        <v>209</v>
      </c>
      <c r="E313" s="3">
        <v>2016</v>
      </c>
      <c r="F313" s="4">
        <v>11</v>
      </c>
      <c r="G313" s="30">
        <v>0</v>
      </c>
      <c r="H313" s="7"/>
      <c r="I313" s="14" t="s">
        <v>86</v>
      </c>
      <c r="J313" s="5">
        <v>7</v>
      </c>
      <c r="K313" s="13">
        <f t="shared" ref="K313" si="688">E313+J313</f>
        <v>2023</v>
      </c>
      <c r="N313" s="60">
        <v>5219.6400000000003</v>
      </c>
      <c r="P313" s="7">
        <f t="shared" ref="P313" si="689">N313-N313*G313</f>
        <v>5219.6400000000003</v>
      </c>
      <c r="Q313" s="7">
        <f t="shared" ref="Q313" si="690">P313/J313/12</f>
        <v>62.138571428571431</v>
      </c>
      <c r="R313" s="7">
        <f t="shared" ref="R313" si="691">IF(O313&gt;0,0,IF(OR(AD313&gt;AE313,AF313&lt;AG313),0,IF(AND(AF313&gt;=AG313,AF313&lt;=AE313),Q313*((AF313-AG313)*12),IF(AND(AG313&lt;=AD313,AE313&gt;=AD313),((AE313-AD313)*12)*Q313,IF(AF313&gt;AE313,12*Q313,0)))))</f>
        <v>745.66285714285721</v>
      </c>
      <c r="T313" s="7">
        <f t="shared" ref="T313" si="692">IF(S313&gt;0,S313,R313)</f>
        <v>745.66285714285721</v>
      </c>
      <c r="U313" s="7">
        <v>1</v>
      </c>
      <c r="V313" s="7">
        <f t="shared" ref="V313" si="693">U313*SUM(R313:S313)</f>
        <v>745.66285714285721</v>
      </c>
      <c r="W313" s="7"/>
      <c r="X313" s="7">
        <f t="shared" ref="X313" si="694">IF(AD313&gt;AE313,0,IF(AF313&lt;AG313,P313,IF(AND(AF313&gt;=AG313,AF313&lt;=AE313),(P313-T313),IF(AND(AG313&lt;=AD313,AE313&gt;=AD313),0,IF(AF313&gt;AE313,((AG313-AD313)*12)*Q313,0)))))</f>
        <v>124.27714285719938</v>
      </c>
      <c r="Y313" s="7">
        <f t="shared" ref="Y313" si="695">X313*U313</f>
        <v>124.27714285719938</v>
      </c>
      <c r="Z313" s="7">
        <v>1</v>
      </c>
      <c r="AA313" s="7">
        <f t="shared" ref="AA313" si="696">Y313*Z313</f>
        <v>124.27714285719938</v>
      </c>
      <c r="AB313" s="7">
        <f t="shared" ref="AB313" si="697">IF(O313&gt;0,0,AA313+V313*Z313)*Z313</f>
        <v>869.94000000005656</v>
      </c>
      <c r="AC313" s="7">
        <f t="shared" ref="AC313" si="698">IF(O313&gt;0,(N313-AA313)/2,IF(AD313&gt;=AG313,(((N313*U313)*Z313)-AB313)/2,((((N313*U313)*Z313)-AA313)+(((N313*U313)*Z313)-AB313))/2))</f>
        <v>4722.5314285713721</v>
      </c>
      <c r="AD313" s="7">
        <f t="shared" si="606"/>
        <v>2016.8333333333333</v>
      </c>
      <c r="AE313" s="7">
        <f t="shared" si="607"/>
        <v>2018</v>
      </c>
      <c r="AF313" s="7">
        <f t="shared" si="608"/>
        <v>2023.8333333333333</v>
      </c>
      <c r="AG313" s="7">
        <f t="shared" si="609"/>
        <v>2017</v>
      </c>
      <c r="AH313" s="7">
        <f t="shared" si="610"/>
        <v>-8.3333333333333329E-2</v>
      </c>
      <c r="AJ313" s="144">
        <f t="shared" si="611"/>
        <v>0</v>
      </c>
      <c r="AL313" s="144">
        <f t="shared" si="612"/>
        <v>745.66285714285721</v>
      </c>
      <c r="AN313" s="144">
        <f t="shared" si="613"/>
        <v>0</v>
      </c>
      <c r="AP313" s="144">
        <f t="shared" si="614"/>
        <v>0</v>
      </c>
      <c r="AR313" s="144">
        <f t="shared" si="615"/>
        <v>4722.5314285713721</v>
      </c>
    </row>
    <row r="314" spans="1:44">
      <c r="A314" s="1">
        <v>169571</v>
      </c>
      <c r="C314" s="1">
        <v>463</v>
      </c>
      <c r="D314" s="54" t="s">
        <v>207</v>
      </c>
      <c r="E314" s="3">
        <v>2016</v>
      </c>
      <c r="F314" s="4">
        <v>11</v>
      </c>
      <c r="G314" s="30">
        <v>0</v>
      </c>
      <c r="H314" s="7"/>
      <c r="I314" s="14" t="s">
        <v>86</v>
      </c>
      <c r="J314" s="5">
        <v>7</v>
      </c>
      <c r="K314" s="13">
        <f t="shared" ref="K314" si="699">E314+J314</f>
        <v>2023</v>
      </c>
      <c r="N314" s="60">
        <v>20560.86</v>
      </c>
      <c r="P314" s="7">
        <f t="shared" ref="P314" si="700">N314-N314*G314</f>
        <v>20560.86</v>
      </c>
      <c r="Q314" s="7">
        <f t="shared" ref="Q314" si="701">P314/J314/12</f>
        <v>244.77214285714285</v>
      </c>
      <c r="R314" s="7">
        <f t="shared" ref="R314" si="702">IF(O314&gt;0,0,IF(OR(AD314&gt;AE314,AF314&lt;AG314),0,IF(AND(AF314&gt;=AG314,AF314&lt;=AE314),Q314*((AF314-AG314)*12),IF(AND(AG314&lt;=AD314,AE314&gt;=AD314),((AE314-AD314)*12)*Q314,IF(AF314&gt;AE314,12*Q314,0)))))</f>
        <v>2937.2657142857142</v>
      </c>
      <c r="T314" s="7">
        <f t="shared" ref="T314" si="703">IF(S314&gt;0,S314,R314)</f>
        <v>2937.2657142857142</v>
      </c>
      <c r="U314" s="7">
        <v>1</v>
      </c>
      <c r="V314" s="7">
        <f t="shared" ref="V314" si="704">U314*SUM(R314:S314)</f>
        <v>2937.2657142857142</v>
      </c>
      <c r="W314" s="7"/>
      <c r="X314" s="7">
        <f t="shared" ref="X314" si="705">IF(AD314&gt;AE314,0,IF(AF314&lt;AG314,P314,IF(AND(AF314&gt;=AG314,AF314&lt;=AE314),(P314-T314),IF(AND(AG314&lt;=AD314,AE314&gt;=AD314),0,IF(AF314&gt;AE314,((AG314-AD314)*12)*Q314,0)))))</f>
        <v>489.54428571450831</v>
      </c>
      <c r="Y314" s="7">
        <f t="shared" ref="Y314" si="706">X314*U314</f>
        <v>489.54428571450831</v>
      </c>
      <c r="Z314" s="7">
        <v>1</v>
      </c>
      <c r="AA314" s="7">
        <f t="shared" ref="AA314" si="707">Y314*Z314</f>
        <v>489.54428571450831</v>
      </c>
      <c r="AB314" s="7">
        <f t="shared" ref="AB314" si="708">IF(O314&gt;0,0,AA314+V314*Z314)*Z314</f>
        <v>3426.8100000002223</v>
      </c>
      <c r="AC314" s="7">
        <f t="shared" ref="AC314" si="709">IF(O314&gt;0,(N314-AA314)/2,IF(AD314&gt;=AG314,(((N314*U314)*Z314)-AB314)/2,((((N314*U314)*Z314)-AA314)+(((N314*U314)*Z314)-AB314))/2))</f>
        <v>18602.682857142634</v>
      </c>
      <c r="AD314" s="7">
        <f t="shared" si="606"/>
        <v>2016.8333333333333</v>
      </c>
      <c r="AE314" s="7">
        <f t="shared" si="607"/>
        <v>2018</v>
      </c>
      <c r="AF314" s="7">
        <f t="shared" si="608"/>
        <v>2023.8333333333333</v>
      </c>
      <c r="AG314" s="7">
        <f t="shared" si="609"/>
        <v>2017</v>
      </c>
      <c r="AH314" s="7">
        <f t="shared" si="610"/>
        <v>-8.3333333333333329E-2</v>
      </c>
      <c r="AJ314" s="144">
        <f t="shared" si="611"/>
        <v>0</v>
      </c>
      <c r="AL314" s="144">
        <f t="shared" si="612"/>
        <v>2937.2657142857142</v>
      </c>
      <c r="AN314" s="144">
        <f t="shared" si="613"/>
        <v>0</v>
      </c>
      <c r="AP314" s="144">
        <f t="shared" si="614"/>
        <v>0</v>
      </c>
      <c r="AR314" s="144">
        <f t="shared" si="615"/>
        <v>18602.682857142634</v>
      </c>
    </row>
    <row r="315" spans="1:44">
      <c r="A315" s="1">
        <v>169572</v>
      </c>
      <c r="C315" s="1">
        <v>10</v>
      </c>
      <c r="D315" s="54" t="s">
        <v>350</v>
      </c>
      <c r="E315" s="3">
        <v>2016</v>
      </c>
      <c r="F315" s="4">
        <v>11</v>
      </c>
      <c r="G315" s="30">
        <v>0</v>
      </c>
      <c r="H315" s="7"/>
      <c r="I315" s="14" t="s">
        <v>86</v>
      </c>
      <c r="J315" s="5">
        <v>7</v>
      </c>
      <c r="K315" s="13">
        <f t="shared" ref="K315" si="710">E315+J315</f>
        <v>2023</v>
      </c>
      <c r="N315" s="60">
        <v>344.49</v>
      </c>
      <c r="P315" s="7">
        <f t="shared" ref="P315" si="711">N315-N315*G315</f>
        <v>344.49</v>
      </c>
      <c r="Q315" s="7">
        <f t="shared" ref="Q315" si="712">P315/J315/12</f>
        <v>4.1010714285714291</v>
      </c>
      <c r="R315" s="7">
        <f t="shared" ref="R315" si="713">IF(O315&gt;0,0,IF(OR(AD315&gt;AE315,AF315&lt;AG315),0,IF(AND(AF315&gt;=AG315,AF315&lt;=AE315),Q315*((AF315-AG315)*12),IF(AND(AG315&lt;=AD315,AE315&gt;=AD315),((AE315-AD315)*12)*Q315,IF(AF315&gt;AE315,12*Q315,0)))))</f>
        <v>49.212857142857146</v>
      </c>
      <c r="T315" s="7">
        <f t="shared" ref="T315" si="714">IF(S315&gt;0,S315,R315)</f>
        <v>49.212857142857146</v>
      </c>
      <c r="U315" s="7">
        <v>1</v>
      </c>
      <c r="V315" s="7">
        <f t="shared" ref="V315" si="715">U315*SUM(R315:S315)</f>
        <v>49.212857142857146</v>
      </c>
      <c r="W315" s="7"/>
      <c r="X315" s="7">
        <f t="shared" ref="X315" si="716">IF(AD315&gt;AE315,0,IF(AF315&lt;AG315,P315,IF(AND(AF315&gt;=AG315,AF315&lt;=AE315),(P315-T315),IF(AND(AG315&lt;=AD315,AE315&gt;=AD315),0,IF(AF315&gt;AE315,((AG315-AD315)*12)*Q315,0)))))</f>
        <v>8.2021428571465886</v>
      </c>
      <c r="Y315" s="7">
        <f t="shared" ref="Y315" si="717">X315*U315</f>
        <v>8.2021428571465886</v>
      </c>
      <c r="Z315" s="7">
        <v>1</v>
      </c>
      <c r="AA315" s="7">
        <f t="shared" ref="AA315" si="718">Y315*Z315</f>
        <v>8.2021428571465886</v>
      </c>
      <c r="AB315" s="7">
        <f t="shared" ref="AB315" si="719">IF(O315&gt;0,0,AA315+V315*Z315)*Z315</f>
        <v>57.415000000003737</v>
      </c>
      <c r="AC315" s="7">
        <f t="shared" ref="AC315" si="720">IF(O315&gt;0,(N315-AA315)/2,IF(AD315&gt;=AG315,(((N315*U315)*Z315)-AB315)/2,((((N315*U315)*Z315)-AA315)+(((N315*U315)*Z315)-AB315))/2))</f>
        <v>311.68142857142482</v>
      </c>
      <c r="AD315" s="7">
        <f t="shared" si="606"/>
        <v>2016.8333333333333</v>
      </c>
      <c r="AE315" s="7">
        <f t="shared" si="607"/>
        <v>2018</v>
      </c>
      <c r="AF315" s="7">
        <f t="shared" si="608"/>
        <v>2023.8333333333333</v>
      </c>
      <c r="AG315" s="7">
        <f t="shared" si="609"/>
        <v>2017</v>
      </c>
      <c r="AH315" s="7">
        <f t="shared" si="610"/>
        <v>-8.3333333333333329E-2</v>
      </c>
      <c r="AJ315" s="144">
        <f t="shared" si="611"/>
        <v>0</v>
      </c>
      <c r="AL315" s="144">
        <f t="shared" si="612"/>
        <v>49.212857142857146</v>
      </c>
      <c r="AN315" s="144">
        <f t="shared" si="613"/>
        <v>0</v>
      </c>
      <c r="AP315" s="144">
        <f t="shared" si="614"/>
        <v>0</v>
      </c>
      <c r="AR315" s="144">
        <f t="shared" si="615"/>
        <v>311.68142857142482</v>
      </c>
    </row>
    <row r="316" spans="1:44">
      <c r="A316" s="32" t="s">
        <v>351</v>
      </c>
      <c r="C316" s="1">
        <v>1500</v>
      </c>
      <c r="D316" s="54" t="s">
        <v>206</v>
      </c>
      <c r="E316" s="3">
        <v>2016</v>
      </c>
      <c r="F316" s="4">
        <v>11</v>
      </c>
      <c r="G316" s="30">
        <v>0</v>
      </c>
      <c r="H316" s="7"/>
      <c r="I316" s="14" t="s">
        <v>86</v>
      </c>
      <c r="J316" s="5">
        <v>7</v>
      </c>
      <c r="K316" s="13">
        <f t="shared" ref="K316:K321" si="721">E316+J316</f>
        <v>2023</v>
      </c>
      <c r="N316" s="60">
        <f>30402.24+28277.81</f>
        <v>58680.05</v>
      </c>
      <c r="P316" s="7">
        <f t="shared" ref="P316" si="722">N316-N316*G316</f>
        <v>58680.05</v>
      </c>
      <c r="Q316" s="7">
        <f t="shared" ref="Q316" si="723">P316/J316/12</f>
        <v>698.57202380952378</v>
      </c>
      <c r="R316" s="7">
        <f t="shared" ref="R316" si="724">IF(O316&gt;0,0,IF(OR(AD316&gt;AE316,AF316&lt;AG316),0,IF(AND(AF316&gt;=AG316,AF316&lt;=AE316),Q316*((AF316-AG316)*12),IF(AND(AG316&lt;=AD316,AE316&gt;=AD316),((AE316-AD316)*12)*Q316,IF(AF316&gt;AE316,12*Q316,0)))))</f>
        <v>8382.8642857142859</v>
      </c>
      <c r="T316" s="7">
        <f t="shared" ref="T316" si="725">IF(S316&gt;0,S316,R316)</f>
        <v>8382.8642857142859</v>
      </c>
      <c r="U316" s="7">
        <v>1</v>
      </c>
      <c r="V316" s="7">
        <f t="shared" ref="V316" si="726">U316*SUM(R316:S316)</f>
        <v>8382.8642857142859</v>
      </c>
      <c r="W316" s="7"/>
      <c r="X316" s="7">
        <f t="shared" ref="X316" si="727">IF(AD316&gt;AE316,0,IF(AF316&lt;AG316,P316,IF(AND(AF316&gt;=AG316,AF316&lt;=AE316),(P316-T316),IF(AND(AG316&lt;=AD316,AE316&gt;=AD316),0,IF(AF316&gt;AE316,((AG316-AD316)*12)*Q316,0)))))</f>
        <v>1397.1440476196829</v>
      </c>
      <c r="Y316" s="7">
        <f t="shared" ref="Y316" si="728">X316*U316</f>
        <v>1397.1440476196829</v>
      </c>
      <c r="Z316" s="7">
        <v>1</v>
      </c>
      <c r="AA316" s="7">
        <f t="shared" ref="AA316" si="729">Y316*Z316</f>
        <v>1397.1440476196829</v>
      </c>
      <c r="AB316" s="7">
        <f t="shared" ref="AB316" si="730">IF(O316&gt;0,0,AA316+V316*Z316)*Z316</f>
        <v>9780.008333333968</v>
      </c>
      <c r="AC316" s="7">
        <f t="shared" ref="AC316" si="731">IF(O316&gt;0,(N316-AA316)/2,IF(AD316&gt;=AG316,(((N316*U316)*Z316)-AB316)/2,((((N316*U316)*Z316)-AA316)+(((N316*U316)*Z316)-AB316))/2))</f>
        <v>53091.473809523173</v>
      </c>
      <c r="AD316" s="7">
        <f t="shared" si="606"/>
        <v>2016.8333333333333</v>
      </c>
      <c r="AE316" s="7">
        <f t="shared" si="607"/>
        <v>2018</v>
      </c>
      <c r="AF316" s="7">
        <f t="shared" si="608"/>
        <v>2023.8333333333333</v>
      </c>
      <c r="AG316" s="7">
        <f t="shared" si="609"/>
        <v>2017</v>
      </c>
      <c r="AH316" s="7">
        <f t="shared" si="610"/>
        <v>-8.3333333333333329E-2</v>
      </c>
      <c r="AJ316" s="144">
        <f t="shared" si="611"/>
        <v>0</v>
      </c>
      <c r="AL316" s="144">
        <f t="shared" si="612"/>
        <v>8382.8642857142859</v>
      </c>
      <c r="AN316" s="144">
        <f t="shared" si="613"/>
        <v>0</v>
      </c>
      <c r="AP316" s="144">
        <f t="shared" si="614"/>
        <v>0</v>
      </c>
      <c r="AR316" s="144">
        <f t="shared" si="615"/>
        <v>53091.473809523173</v>
      </c>
    </row>
    <row r="317" spans="1:44" s="109" customFormat="1">
      <c r="A317" s="111">
        <v>183382</v>
      </c>
      <c r="C317" s="109">
        <v>950</v>
      </c>
      <c r="D317" s="130" t="s">
        <v>375</v>
      </c>
      <c r="E317" s="113">
        <v>2017</v>
      </c>
      <c r="F317" s="110">
        <v>6</v>
      </c>
      <c r="G317" s="114">
        <v>0</v>
      </c>
      <c r="H317" s="115"/>
      <c r="I317" s="116" t="s">
        <v>86</v>
      </c>
      <c r="J317" s="117">
        <v>7</v>
      </c>
      <c r="K317" s="118">
        <f t="shared" si="721"/>
        <v>2024</v>
      </c>
      <c r="N317" s="131">
        <v>38121.81</v>
      </c>
      <c r="P317" s="115">
        <f t="shared" ref="P317:P321" si="732">N317-N317*G317</f>
        <v>38121.81</v>
      </c>
      <c r="Q317" s="115">
        <f t="shared" ref="Q317:Q321" si="733">P317/J317/12</f>
        <v>453.83107142857142</v>
      </c>
      <c r="R317" s="115">
        <f t="shared" ref="R317" si="734">IF(O317&gt;0,0,IF(OR(AD317&gt;AE317,AF317&lt;AG317),0,IF(AND(AF317&gt;=AG317,AF317&lt;=AE317),Q317*((AF317-AG317)*12),IF(AND(AG317&lt;=AD317,AE317&gt;=AD317),((AE317-AD317)*12)*Q317,IF(AF317&gt;AE317,12*Q317,0)))))</f>
        <v>3176.8174999995872</v>
      </c>
      <c r="T317" s="115">
        <f t="shared" ref="T317" si="735">IF(S317&gt;0,S317,R317)</f>
        <v>3176.8174999995872</v>
      </c>
      <c r="U317" s="115">
        <v>1</v>
      </c>
      <c r="V317" s="115">
        <f t="shared" ref="V317" si="736">U317*SUM(R317:S317)</f>
        <v>3176.8174999995872</v>
      </c>
      <c r="W317" s="115"/>
      <c r="X317" s="115">
        <f t="shared" ref="X317" si="737">IF(AD317&gt;AE317,0,IF(AF317&lt;AG317,P317,IF(AND(AF317&gt;=AG317,AF317&lt;=AE317),(P317-T317),IF(AND(AG317&lt;=AD317,AE317&gt;=AD317),0,IF(AF317&gt;AE317,((AG317-AD317)*12)*Q317,0)))))</f>
        <v>0</v>
      </c>
      <c r="Y317" s="115">
        <f t="shared" ref="Y317" si="738">X317*U317</f>
        <v>0</v>
      </c>
      <c r="Z317" s="115">
        <v>1</v>
      </c>
      <c r="AA317" s="115">
        <f t="shared" ref="AA317" si="739">Y317*Z317</f>
        <v>0</v>
      </c>
      <c r="AB317" s="115">
        <f t="shared" ref="AB317" si="740">IF(O317&gt;0,0,AA317+V317*Z317)*Z317</f>
        <v>3176.8174999995872</v>
      </c>
      <c r="AC317" s="115">
        <f t="shared" ref="AC317" si="741">IF(O317&gt;0,(N317-AA317)/2,IF(AD317&gt;=AG317,(((N317*U317)*Z317)-AB317)/2,((((N317*U317)*Z317)-AA317)+(((N317*U317)*Z317)-AB317))/2))</f>
        <v>17472.496250000204</v>
      </c>
      <c r="AD317" s="115">
        <f t="shared" si="606"/>
        <v>2017.4166666666667</v>
      </c>
      <c r="AE317" s="115">
        <f t="shared" si="607"/>
        <v>2018</v>
      </c>
      <c r="AF317" s="115">
        <f t="shared" si="608"/>
        <v>2024.4166666666667</v>
      </c>
      <c r="AG317" s="115">
        <f t="shared" si="609"/>
        <v>2017</v>
      </c>
      <c r="AH317" s="115">
        <f t="shared" si="610"/>
        <v>-8.3333333333333329E-2</v>
      </c>
      <c r="AJ317" s="144">
        <f t="shared" si="611"/>
        <v>0</v>
      </c>
      <c r="AK317" s="144"/>
      <c r="AL317" s="144">
        <f t="shared" si="612"/>
        <v>3176.8174999995872</v>
      </c>
      <c r="AM317" s="144"/>
      <c r="AN317" s="144">
        <f t="shared" si="613"/>
        <v>0</v>
      </c>
      <c r="AO317" s="144"/>
      <c r="AP317" s="144">
        <f t="shared" si="614"/>
        <v>0</v>
      </c>
      <c r="AQ317" s="144"/>
      <c r="AR317" s="144">
        <f t="shared" si="615"/>
        <v>17472.496250000204</v>
      </c>
    </row>
    <row r="318" spans="1:44" s="109" customFormat="1">
      <c r="A318" s="111">
        <v>182817</v>
      </c>
      <c r="C318" s="109">
        <v>783</v>
      </c>
      <c r="D318" s="130" t="s">
        <v>377</v>
      </c>
      <c r="E318" s="113">
        <v>2017</v>
      </c>
      <c r="F318" s="110">
        <v>6</v>
      </c>
      <c r="G318" s="114">
        <v>0</v>
      </c>
      <c r="H318" s="115"/>
      <c r="I318" s="116" t="s">
        <v>86</v>
      </c>
      <c r="J318" s="117">
        <v>7</v>
      </c>
      <c r="K318" s="118">
        <f t="shared" si="721"/>
        <v>2024</v>
      </c>
      <c r="N318" s="131">
        <v>33739.599999999999</v>
      </c>
      <c r="P318" s="115">
        <f t="shared" si="732"/>
        <v>33739.599999999999</v>
      </c>
      <c r="Q318" s="115">
        <f t="shared" si="733"/>
        <v>401.66190476190474</v>
      </c>
      <c r="R318" s="115">
        <f t="shared" ref="R318" si="742">IF(O318&gt;0,0,IF(OR(AD318&gt;AE318,AF318&lt;AG318),0,IF(AND(AF318&gt;=AG318,AF318&lt;=AE318),Q318*((AF318-AG318)*12),IF(AND(AG318&lt;=AD318,AE318&gt;=AD318),((AE318-AD318)*12)*Q318,IF(AF318&gt;AE318,12*Q318,0)))))</f>
        <v>2811.633333332968</v>
      </c>
      <c r="T318" s="115">
        <f t="shared" ref="T318" si="743">IF(S318&gt;0,S318,R318)</f>
        <v>2811.633333332968</v>
      </c>
      <c r="U318" s="115">
        <v>1</v>
      </c>
      <c r="V318" s="115">
        <f t="shared" ref="V318" si="744">U318*SUM(R318:S318)</f>
        <v>2811.633333332968</v>
      </c>
      <c r="W318" s="115"/>
      <c r="X318" s="115">
        <f t="shared" ref="X318" si="745">IF(AD318&gt;AE318,0,IF(AF318&lt;AG318,P318,IF(AND(AF318&gt;=AG318,AF318&lt;=AE318),(P318-T318),IF(AND(AG318&lt;=AD318,AE318&gt;=AD318),0,IF(AF318&gt;AE318,((AG318-AD318)*12)*Q318,0)))))</f>
        <v>0</v>
      </c>
      <c r="Y318" s="115">
        <f t="shared" ref="Y318" si="746">X318*U318</f>
        <v>0</v>
      </c>
      <c r="Z318" s="115">
        <v>1</v>
      </c>
      <c r="AA318" s="115">
        <f t="shared" ref="AA318" si="747">Y318*Z318</f>
        <v>0</v>
      </c>
      <c r="AB318" s="115">
        <f t="shared" ref="AB318" si="748">IF(O318&gt;0,0,AA318+V318*Z318)*Z318</f>
        <v>2811.633333332968</v>
      </c>
      <c r="AC318" s="115">
        <f t="shared" ref="AC318" si="749">IF(O318&gt;0,(N318-AA318)/2,IF(AD318&gt;=AG318,(((N318*U318)*Z318)-AB318)/2,((((N318*U318)*Z318)-AA318)+(((N318*U318)*Z318)-AB318))/2))</f>
        <v>15463.983333333515</v>
      </c>
      <c r="AD318" s="115">
        <f t="shared" si="606"/>
        <v>2017.4166666666667</v>
      </c>
      <c r="AE318" s="115">
        <f t="shared" si="607"/>
        <v>2018</v>
      </c>
      <c r="AF318" s="115">
        <f t="shared" si="608"/>
        <v>2024.4166666666667</v>
      </c>
      <c r="AG318" s="115">
        <f t="shared" si="609"/>
        <v>2017</v>
      </c>
      <c r="AH318" s="115">
        <f t="shared" si="610"/>
        <v>-8.3333333333333329E-2</v>
      </c>
      <c r="AJ318" s="144">
        <f t="shared" si="611"/>
        <v>0</v>
      </c>
      <c r="AK318" s="144"/>
      <c r="AL318" s="144">
        <f t="shared" si="612"/>
        <v>2811.633333332968</v>
      </c>
      <c r="AM318" s="144"/>
      <c r="AN318" s="144">
        <f t="shared" si="613"/>
        <v>0</v>
      </c>
      <c r="AO318" s="144"/>
      <c r="AP318" s="144">
        <f t="shared" si="614"/>
        <v>0</v>
      </c>
      <c r="AQ318" s="144"/>
      <c r="AR318" s="144">
        <f t="shared" si="615"/>
        <v>15463.983333333515</v>
      </c>
    </row>
    <row r="319" spans="1:44" s="109" customFormat="1">
      <c r="A319" s="111">
        <v>182816</v>
      </c>
      <c r="C319" s="109">
        <v>950</v>
      </c>
      <c r="D319" s="130" t="s">
        <v>375</v>
      </c>
      <c r="E319" s="113">
        <v>2017</v>
      </c>
      <c r="F319" s="110">
        <v>6</v>
      </c>
      <c r="G319" s="114">
        <v>0</v>
      </c>
      <c r="H319" s="115"/>
      <c r="I319" s="116" t="s">
        <v>86</v>
      </c>
      <c r="J319" s="117">
        <v>7</v>
      </c>
      <c r="K319" s="118">
        <f t="shared" si="721"/>
        <v>2024</v>
      </c>
      <c r="N319" s="131">
        <v>38121.81</v>
      </c>
      <c r="P319" s="115">
        <f t="shared" si="732"/>
        <v>38121.81</v>
      </c>
      <c r="Q319" s="115">
        <f t="shared" si="733"/>
        <v>453.83107142857142</v>
      </c>
      <c r="R319" s="115">
        <f t="shared" ref="R319" si="750">IF(O319&gt;0,0,IF(OR(AD319&gt;AE319,AF319&lt;AG319),0,IF(AND(AF319&gt;=AG319,AF319&lt;=AE319),Q319*((AF319-AG319)*12),IF(AND(AG319&lt;=AD319,AE319&gt;=AD319),((AE319-AD319)*12)*Q319,IF(AF319&gt;AE319,12*Q319,0)))))</f>
        <v>3176.8174999995872</v>
      </c>
      <c r="T319" s="115">
        <f t="shared" ref="T319" si="751">IF(S319&gt;0,S319,R319)</f>
        <v>3176.8174999995872</v>
      </c>
      <c r="U319" s="115">
        <v>1</v>
      </c>
      <c r="V319" s="115">
        <f t="shared" ref="V319" si="752">U319*SUM(R319:S319)</f>
        <v>3176.8174999995872</v>
      </c>
      <c r="W319" s="115"/>
      <c r="X319" s="115">
        <f t="shared" ref="X319" si="753">IF(AD319&gt;AE319,0,IF(AF319&lt;AG319,P319,IF(AND(AF319&gt;=AG319,AF319&lt;=AE319),(P319-T319),IF(AND(AG319&lt;=AD319,AE319&gt;=AD319),0,IF(AF319&gt;AE319,((AG319-AD319)*12)*Q319,0)))))</f>
        <v>0</v>
      </c>
      <c r="Y319" s="115">
        <f t="shared" ref="Y319" si="754">X319*U319</f>
        <v>0</v>
      </c>
      <c r="Z319" s="115">
        <v>1</v>
      </c>
      <c r="AA319" s="115">
        <f t="shared" ref="AA319" si="755">Y319*Z319</f>
        <v>0</v>
      </c>
      <c r="AB319" s="115">
        <f t="shared" ref="AB319" si="756">IF(O319&gt;0,0,AA319+V319*Z319)*Z319</f>
        <v>3176.8174999995872</v>
      </c>
      <c r="AC319" s="115">
        <f t="shared" ref="AC319" si="757">IF(O319&gt;0,(N319-AA319)/2,IF(AD319&gt;=AG319,(((N319*U319)*Z319)-AB319)/2,((((N319*U319)*Z319)-AA319)+(((N319*U319)*Z319)-AB319))/2))</f>
        <v>17472.496250000204</v>
      </c>
      <c r="AD319" s="115">
        <f t="shared" si="606"/>
        <v>2017.4166666666667</v>
      </c>
      <c r="AE319" s="115">
        <f t="shared" si="607"/>
        <v>2018</v>
      </c>
      <c r="AF319" s="115">
        <f t="shared" si="608"/>
        <v>2024.4166666666667</v>
      </c>
      <c r="AG319" s="115">
        <f t="shared" si="609"/>
        <v>2017</v>
      </c>
      <c r="AH319" s="115">
        <f t="shared" si="610"/>
        <v>-8.3333333333333329E-2</v>
      </c>
      <c r="AJ319" s="144">
        <f t="shared" si="611"/>
        <v>0</v>
      </c>
      <c r="AK319" s="144"/>
      <c r="AL319" s="144">
        <f t="shared" si="612"/>
        <v>3176.8174999995872</v>
      </c>
      <c r="AM319" s="144"/>
      <c r="AN319" s="144">
        <f t="shared" si="613"/>
        <v>0</v>
      </c>
      <c r="AO319" s="144"/>
      <c r="AP319" s="144">
        <f t="shared" si="614"/>
        <v>0</v>
      </c>
      <c r="AQ319" s="144"/>
      <c r="AR319" s="144">
        <f t="shared" si="615"/>
        <v>17472.496250000204</v>
      </c>
    </row>
    <row r="320" spans="1:44" s="109" customFormat="1">
      <c r="A320" s="111">
        <v>182596</v>
      </c>
      <c r="C320" s="109">
        <v>280</v>
      </c>
      <c r="D320" s="130" t="s">
        <v>378</v>
      </c>
      <c r="E320" s="113">
        <v>2017</v>
      </c>
      <c r="F320" s="110">
        <v>6</v>
      </c>
      <c r="G320" s="114">
        <v>0</v>
      </c>
      <c r="H320" s="115"/>
      <c r="I320" s="116" t="s">
        <v>86</v>
      </c>
      <c r="J320" s="117">
        <v>7</v>
      </c>
      <c r="K320" s="118">
        <f t="shared" si="721"/>
        <v>2024</v>
      </c>
      <c r="N320" s="131">
        <v>14281.93</v>
      </c>
      <c r="P320" s="115">
        <f t="shared" si="732"/>
        <v>14281.93</v>
      </c>
      <c r="Q320" s="115">
        <f t="shared" si="733"/>
        <v>170.02297619047619</v>
      </c>
      <c r="R320" s="115">
        <f t="shared" ref="R320" si="758">IF(O320&gt;0,0,IF(OR(AD320&gt;AE320,AF320&lt;AG320),0,IF(AND(AF320&gt;=AG320,AF320&lt;=AE320),Q320*((AF320-AG320)*12),IF(AND(AG320&lt;=AD320,AE320&gt;=AD320),((AE320-AD320)*12)*Q320,IF(AF320&gt;AE320,12*Q320,0)))))</f>
        <v>1190.1608333331787</v>
      </c>
      <c r="T320" s="115">
        <f t="shared" ref="T320" si="759">IF(S320&gt;0,S320,R320)</f>
        <v>1190.1608333331787</v>
      </c>
      <c r="U320" s="115">
        <v>1</v>
      </c>
      <c r="V320" s="115">
        <f t="shared" ref="V320" si="760">U320*SUM(R320:S320)</f>
        <v>1190.1608333331787</v>
      </c>
      <c r="W320" s="115"/>
      <c r="X320" s="115">
        <f t="shared" ref="X320" si="761">IF(AD320&gt;AE320,0,IF(AF320&lt;AG320,P320,IF(AND(AF320&gt;=AG320,AF320&lt;=AE320),(P320-T320),IF(AND(AG320&lt;=AD320,AE320&gt;=AD320),0,IF(AF320&gt;AE320,((AG320-AD320)*12)*Q320,0)))))</f>
        <v>0</v>
      </c>
      <c r="Y320" s="115">
        <f t="shared" ref="Y320" si="762">X320*U320</f>
        <v>0</v>
      </c>
      <c r="Z320" s="115">
        <v>1</v>
      </c>
      <c r="AA320" s="115">
        <f t="shared" ref="AA320" si="763">Y320*Z320</f>
        <v>0</v>
      </c>
      <c r="AB320" s="115">
        <f t="shared" ref="AB320" si="764">IF(O320&gt;0,0,AA320+V320*Z320)*Z320</f>
        <v>1190.1608333331787</v>
      </c>
      <c r="AC320" s="115">
        <f t="shared" ref="AC320" si="765">IF(O320&gt;0,(N320-AA320)/2,IF(AD320&gt;=AG320,(((N320*U320)*Z320)-AB320)/2,((((N320*U320)*Z320)-AA320)+(((N320*U320)*Z320)-AB320))/2))</f>
        <v>6545.8845833334108</v>
      </c>
      <c r="AD320" s="115">
        <f t="shared" si="606"/>
        <v>2017.4166666666667</v>
      </c>
      <c r="AE320" s="115">
        <f t="shared" si="607"/>
        <v>2018</v>
      </c>
      <c r="AF320" s="115">
        <f t="shared" si="608"/>
        <v>2024.4166666666667</v>
      </c>
      <c r="AG320" s="115">
        <f t="shared" si="609"/>
        <v>2017</v>
      </c>
      <c r="AH320" s="115">
        <f t="shared" si="610"/>
        <v>-8.3333333333333329E-2</v>
      </c>
      <c r="AJ320" s="144">
        <f t="shared" si="611"/>
        <v>0</v>
      </c>
      <c r="AK320" s="144"/>
      <c r="AL320" s="144">
        <f t="shared" si="612"/>
        <v>1190.1608333331787</v>
      </c>
      <c r="AM320" s="144"/>
      <c r="AN320" s="144">
        <f t="shared" si="613"/>
        <v>0</v>
      </c>
      <c r="AO320" s="144"/>
      <c r="AP320" s="144">
        <f t="shared" si="614"/>
        <v>0</v>
      </c>
      <c r="AQ320" s="144"/>
      <c r="AR320" s="144">
        <f t="shared" si="615"/>
        <v>6545.8845833334108</v>
      </c>
    </row>
    <row r="321" spans="1:44" s="109" customFormat="1">
      <c r="A321" s="111">
        <v>182595</v>
      </c>
      <c r="C321" s="109">
        <v>660</v>
      </c>
      <c r="D321" s="130" t="s">
        <v>379</v>
      </c>
      <c r="E321" s="113">
        <v>2017</v>
      </c>
      <c r="F321" s="110">
        <v>6</v>
      </c>
      <c r="G321" s="114">
        <v>0</v>
      </c>
      <c r="H321" s="115"/>
      <c r="I321" s="116" t="s">
        <v>86</v>
      </c>
      <c r="J321" s="117">
        <v>7</v>
      </c>
      <c r="K321" s="118">
        <f t="shared" si="721"/>
        <v>2024</v>
      </c>
      <c r="N321" s="131">
        <v>29188.93</v>
      </c>
      <c r="P321" s="115">
        <f t="shared" si="732"/>
        <v>29188.93</v>
      </c>
      <c r="Q321" s="115">
        <f t="shared" si="733"/>
        <v>347.48726190476191</v>
      </c>
      <c r="R321" s="115">
        <f t="shared" ref="R321" si="766">IF(O321&gt;0,0,IF(OR(AD321&gt;AE321,AF321&lt;AG321),0,IF(AND(AF321&gt;=AG321,AF321&lt;=AE321),Q321*((AF321-AG321)*12),IF(AND(AG321&lt;=AD321,AE321&gt;=AD321),((AE321-AD321)*12)*Q321,IF(AF321&gt;AE321,12*Q321,0)))))</f>
        <v>2432.4108333330173</v>
      </c>
      <c r="T321" s="115">
        <f t="shared" ref="T321" si="767">IF(S321&gt;0,S321,R321)</f>
        <v>2432.4108333330173</v>
      </c>
      <c r="U321" s="115">
        <v>1</v>
      </c>
      <c r="V321" s="115">
        <f t="shared" ref="V321" si="768">U321*SUM(R321:S321)</f>
        <v>2432.4108333330173</v>
      </c>
      <c r="W321" s="115"/>
      <c r="X321" s="115">
        <f t="shared" ref="X321" si="769">IF(AD321&gt;AE321,0,IF(AF321&lt;AG321,P321,IF(AND(AF321&gt;=AG321,AF321&lt;=AE321),(P321-T321),IF(AND(AG321&lt;=AD321,AE321&gt;=AD321),0,IF(AF321&gt;AE321,((AG321-AD321)*12)*Q321,0)))))</f>
        <v>0</v>
      </c>
      <c r="Y321" s="115">
        <f t="shared" ref="Y321" si="770">X321*U321</f>
        <v>0</v>
      </c>
      <c r="Z321" s="115">
        <v>1</v>
      </c>
      <c r="AA321" s="115">
        <f t="shared" ref="AA321" si="771">Y321*Z321</f>
        <v>0</v>
      </c>
      <c r="AB321" s="115">
        <f t="shared" ref="AB321" si="772">IF(O321&gt;0,0,AA321+V321*Z321)*Z321</f>
        <v>2432.4108333330173</v>
      </c>
      <c r="AC321" s="115">
        <f t="shared" ref="AC321" si="773">IF(O321&gt;0,(N321-AA321)/2,IF(AD321&gt;=AG321,(((N321*U321)*Z321)-AB321)/2,((((N321*U321)*Z321)-AA321)+(((N321*U321)*Z321)-AB321))/2))</f>
        <v>13378.259583333491</v>
      </c>
      <c r="AD321" s="115">
        <f t="shared" si="606"/>
        <v>2017.4166666666667</v>
      </c>
      <c r="AE321" s="115">
        <f t="shared" si="607"/>
        <v>2018</v>
      </c>
      <c r="AF321" s="115">
        <f t="shared" si="608"/>
        <v>2024.4166666666667</v>
      </c>
      <c r="AG321" s="115">
        <f t="shared" si="609"/>
        <v>2017</v>
      </c>
      <c r="AH321" s="115">
        <f t="shared" si="610"/>
        <v>-8.3333333333333329E-2</v>
      </c>
      <c r="AJ321" s="144">
        <f t="shared" si="611"/>
        <v>0</v>
      </c>
      <c r="AK321" s="144"/>
      <c r="AL321" s="144">
        <f t="shared" si="612"/>
        <v>2432.4108333330173</v>
      </c>
      <c r="AM321" s="144"/>
      <c r="AN321" s="144">
        <f t="shared" si="613"/>
        <v>0</v>
      </c>
      <c r="AO321" s="144"/>
      <c r="AP321" s="144">
        <f t="shared" si="614"/>
        <v>0</v>
      </c>
      <c r="AQ321" s="144"/>
      <c r="AR321" s="144">
        <f t="shared" si="615"/>
        <v>13378.259583333491</v>
      </c>
    </row>
    <row r="322" spans="1:44" s="109" customFormat="1">
      <c r="A322" s="109">
        <v>178887</v>
      </c>
      <c r="C322" s="109">
        <v>100</v>
      </c>
      <c r="D322" s="109" t="s">
        <v>380</v>
      </c>
      <c r="E322" s="113">
        <v>2017</v>
      </c>
      <c r="F322" s="110">
        <v>3</v>
      </c>
      <c r="G322" s="110">
        <v>0</v>
      </c>
      <c r="I322" s="110" t="s">
        <v>86</v>
      </c>
      <c r="J322" s="117">
        <v>7</v>
      </c>
      <c r="K322" s="113">
        <f>E322+J322</f>
        <v>2024</v>
      </c>
      <c r="N322" s="119">
        <v>5201</v>
      </c>
      <c r="P322" s="109">
        <f>N322-N322*G322</f>
        <v>5201</v>
      </c>
      <c r="Q322" s="115">
        <f t="shared" ref="Q322" si="774">P322/J322/12</f>
        <v>61.916666666666664</v>
      </c>
      <c r="R322" s="115">
        <f t="shared" ref="R322" si="775">IF(O322&gt;0,0,IF(OR(AD322&gt;AE322,AF322&lt;AG322),0,IF(AND(AF322&gt;=AG322,AF322&lt;=AE322),Q322*((AF322-AG322)*12),IF(AND(AG322&lt;=AD322,AE322&gt;=AD322),((AE322-AD322)*12)*Q322,IF(AF322&gt;AE322,12*Q322,0)))))</f>
        <v>619.16666666661035</v>
      </c>
      <c r="T322" s="115">
        <f t="shared" ref="T322" si="776">IF(S322&gt;0,S322,R322)</f>
        <v>619.16666666661035</v>
      </c>
      <c r="U322" s="115">
        <v>1</v>
      </c>
      <c r="V322" s="115">
        <f t="shared" ref="V322" si="777">U322*SUM(R322:S322)</f>
        <v>619.16666666661035</v>
      </c>
      <c r="W322" s="115"/>
      <c r="X322" s="115">
        <f t="shared" ref="X322" si="778">IF(AD322&gt;AE322,0,IF(AF322&lt;AG322,P322,IF(AND(AF322&gt;=AG322,AF322&lt;=AE322),(P322-T322),IF(AND(AG322&lt;=AD322,AE322&gt;=AD322),0,IF(AF322&gt;AE322,((AG322-AD322)*12)*Q322,0)))))</f>
        <v>0</v>
      </c>
      <c r="Y322" s="115">
        <f t="shared" ref="Y322" si="779">X322*U322</f>
        <v>0</v>
      </c>
      <c r="Z322" s="115">
        <v>1</v>
      </c>
      <c r="AA322" s="115">
        <f t="shared" ref="AA322" si="780">Y322*Z322</f>
        <v>0</v>
      </c>
      <c r="AB322" s="115">
        <f t="shared" ref="AB322" si="781">IF(O322&gt;0,0,AA322+V322*Z322)*Z322</f>
        <v>619.16666666661035</v>
      </c>
      <c r="AC322" s="115">
        <f t="shared" ref="AC322" si="782">IF(O322&gt;0,(N322-AA322)/2,IF(AD322&gt;=AG322,(((N322*U322)*Z322)-AB322)/2,((((N322*U322)*Z322)-AA322)+(((N322*U322)*Z322)-AB322))/2))</f>
        <v>2290.9166666666947</v>
      </c>
      <c r="AD322" s="115">
        <f>$E322+(($F322-1)/12)</f>
        <v>2017.1666666666667</v>
      </c>
      <c r="AE322" s="115">
        <f t="shared" ref="AE322:AE360" si="783">($P$5+1)-($P$2/12)</f>
        <v>2018</v>
      </c>
      <c r="AF322" s="115">
        <f>$K322+(($F322-1)/12)</f>
        <v>2024.1666666666667</v>
      </c>
      <c r="AG322" s="115">
        <f t="shared" ref="AG322:AG360" si="784">$P$4+($P$3/12)</f>
        <v>2017</v>
      </c>
      <c r="AH322" s="115">
        <f>$L322+(($M322-1)/12)</f>
        <v>-8.3333333333333329E-2</v>
      </c>
      <c r="AJ322" s="144">
        <f t="shared" si="611"/>
        <v>0</v>
      </c>
      <c r="AK322" s="144"/>
      <c r="AL322" s="144">
        <f t="shared" si="612"/>
        <v>619.16666666661035</v>
      </c>
      <c r="AM322" s="144"/>
      <c r="AN322" s="144">
        <f t="shared" si="613"/>
        <v>0</v>
      </c>
      <c r="AO322" s="144"/>
      <c r="AP322" s="144">
        <f t="shared" si="614"/>
        <v>0</v>
      </c>
      <c r="AQ322" s="144"/>
      <c r="AR322" s="144">
        <f t="shared" si="615"/>
        <v>2290.9166666666947</v>
      </c>
    </row>
    <row r="323" spans="1:44">
      <c r="D323" s="61"/>
      <c r="G323" s="30"/>
      <c r="H323" s="7"/>
      <c r="I323" s="14"/>
      <c r="K323" s="13"/>
      <c r="N323" s="48"/>
      <c r="P323" s="7"/>
      <c r="Q323" s="7"/>
      <c r="R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</row>
    <row r="324" spans="1:44">
      <c r="C324" s="35">
        <f>SUM(C281:C323)</f>
        <v>14078</v>
      </c>
      <c r="D324" s="53" t="s">
        <v>25</v>
      </c>
      <c r="H324" s="7"/>
      <c r="I324" s="14"/>
      <c r="K324" s="13"/>
      <c r="N324" s="108">
        <f>SUM(N281:N323)</f>
        <v>606241.04913043487</v>
      </c>
      <c r="O324" s="106"/>
      <c r="P324" s="100">
        <f>SUM(P281:P323)</f>
        <v>606241.04913043487</v>
      </c>
      <c r="Q324" s="100">
        <f>SUM(Q281:Q323)</f>
        <v>7217.1553467908916</v>
      </c>
      <c r="R324" s="100">
        <f>SUM(R281:R323)</f>
        <v>53945.490714283944</v>
      </c>
      <c r="S324" s="100"/>
      <c r="T324" s="100"/>
      <c r="U324" s="100"/>
      <c r="V324" s="100">
        <f>SUM(V281:V323)</f>
        <v>53945.490714283944</v>
      </c>
      <c r="W324" s="100"/>
      <c r="X324" s="100"/>
      <c r="Y324" s="100"/>
      <c r="Z324" s="100"/>
      <c r="AA324" s="100">
        <f>SUM(AA281:AA323)</f>
        <v>222795.89674948287</v>
      </c>
      <c r="AB324" s="100">
        <f>SUM(AB281:AB323)</f>
        <v>276741.38746376685</v>
      </c>
      <c r="AC324" s="100">
        <f>SUM(AC281:AC323)</f>
        <v>277144.86702380987</v>
      </c>
      <c r="AD324" s="105"/>
      <c r="AE324" s="105"/>
      <c r="AF324" s="105"/>
      <c r="AG324" s="105"/>
      <c r="AH324" s="105"/>
      <c r="AJ324" s="140">
        <f t="shared" ref="AJ324:AR324" si="785">SUM(AJ281:AJ323)</f>
        <v>0</v>
      </c>
      <c r="AK324" s="140">
        <f t="shared" si="785"/>
        <v>0</v>
      </c>
      <c r="AL324" s="140">
        <f t="shared" si="785"/>
        <v>53945.490714283944</v>
      </c>
      <c r="AM324" s="140">
        <f t="shared" si="785"/>
        <v>0</v>
      </c>
      <c r="AN324" s="140">
        <f t="shared" si="785"/>
        <v>0</v>
      </c>
      <c r="AO324" s="140">
        <f t="shared" si="785"/>
        <v>0</v>
      </c>
      <c r="AP324" s="140">
        <f t="shared" si="785"/>
        <v>0</v>
      </c>
      <c r="AQ324" s="140">
        <f t="shared" si="785"/>
        <v>0</v>
      </c>
      <c r="AR324" s="140">
        <f t="shared" si="785"/>
        <v>277144.86702380987</v>
      </c>
    </row>
    <row r="325" spans="1:44">
      <c r="C325" s="35"/>
      <c r="D325" s="53"/>
      <c r="H325" s="7"/>
      <c r="I325" s="14"/>
      <c r="K325" s="13"/>
      <c r="N325" s="59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7"/>
      <c r="AE325" s="7"/>
      <c r="AF325" s="7"/>
      <c r="AG325" s="7"/>
      <c r="AH325" s="7"/>
    </row>
    <row r="326" spans="1:44">
      <c r="C326" s="35"/>
      <c r="D326" s="53" t="s">
        <v>214</v>
      </c>
      <c r="H326" s="7"/>
      <c r="I326" s="14"/>
      <c r="K326" s="13"/>
      <c r="N326" s="59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7"/>
      <c r="AE326" s="7"/>
      <c r="AF326" s="7"/>
      <c r="AG326" s="7"/>
      <c r="AH326" s="7"/>
    </row>
    <row r="327" spans="1:44">
      <c r="C327" s="1">
        <v>300</v>
      </c>
      <c r="D327" s="54" t="s">
        <v>208</v>
      </c>
      <c r="E327" s="3">
        <v>2007</v>
      </c>
      <c r="F327" s="4">
        <v>10</v>
      </c>
      <c r="G327" s="30">
        <v>0</v>
      </c>
      <c r="H327" s="7"/>
      <c r="I327" s="14" t="s">
        <v>86</v>
      </c>
      <c r="J327" s="5">
        <v>7</v>
      </c>
      <c r="K327" s="13">
        <f t="shared" ref="K327:K335" si="786">E327+J327</f>
        <v>2014</v>
      </c>
      <c r="N327" s="48">
        <f>(35190+3103.37+2200)/828*300</f>
        <v>14671.510869565218</v>
      </c>
      <c r="P327" s="7">
        <f t="shared" ref="P327:P335" si="787">N327-N327*G327</f>
        <v>14671.510869565218</v>
      </c>
      <c r="Q327" s="7">
        <f t="shared" ref="Q327:Q335" si="788">P327/J327/12</f>
        <v>174.66084368530019</v>
      </c>
      <c r="R327" s="7">
        <f>IF(O327&gt;0,0,IF(OR(AD327&gt;AE327,AF327&lt;AG327),0,IF(AND(AF327&gt;=AG327,AF327&lt;=AE327),Q327*((AF327-AG327)*12),IF(AND(AG327&lt;=AD327,AE327&gt;=AD327),((AE327-AD327)*12)*Q327,IF(AF327&gt;AE327,12*Q327,0)))))</f>
        <v>0</v>
      </c>
      <c r="T327" s="7">
        <f t="shared" ref="T327:T334" si="789">IF(S327&gt;0,S327,R327)</f>
        <v>0</v>
      </c>
      <c r="U327" s="7">
        <v>1</v>
      </c>
      <c r="V327" s="7">
        <f t="shared" ref="V327:V334" si="790">U327*SUM(R327:S327)</f>
        <v>0</v>
      </c>
      <c r="W327" s="7"/>
      <c r="X327" s="7">
        <f t="shared" ref="X327:X334" si="791">IF(AD327&gt;AE327,0,IF(AF327&lt;AG327,P327,IF(AND(AF327&gt;=AG327,AF327&lt;=AE327),(P327-T327),IF(AND(AG327&lt;=AD327,AE327&gt;=AD327),0,IF(AF327&gt;AE327,((AG327-AD327)*12)*Q327,0)))))</f>
        <v>14671.510869565218</v>
      </c>
      <c r="Y327" s="7">
        <f t="shared" ref="Y327:Y334" si="792">X327*U327</f>
        <v>14671.510869565218</v>
      </c>
      <c r="Z327" s="7">
        <v>1</v>
      </c>
      <c r="AA327" s="7">
        <f t="shared" ref="AA327:AA334" si="793">Y327*Z327</f>
        <v>14671.510869565218</v>
      </c>
      <c r="AB327" s="7">
        <f t="shared" ref="AB327:AB334" si="794">IF(O327&gt;0,0,AA327+V327*Z327)*Z327</f>
        <v>14671.510869565218</v>
      </c>
      <c r="AC327" s="7">
        <f t="shared" ref="AC327:AC334" si="795">IF(O327&gt;0,(N327-AA327)/2,IF(AD327&gt;=AG327,(((N327*U327)*Z327)-AB327)/2,((((N327*U327)*Z327)-AA327)+(((N327*U327)*Z327)-AB327))/2))</f>
        <v>0</v>
      </c>
      <c r="AD327" s="7">
        <f t="shared" ref="AD327:AD336" si="796">$E327+(($F327-1)/12)</f>
        <v>2007.75</v>
      </c>
      <c r="AE327" s="7">
        <f t="shared" si="783"/>
        <v>2018</v>
      </c>
      <c r="AF327" s="7">
        <f t="shared" ref="AF327:AF336" si="797">$K327+(($F327-1)/12)</f>
        <v>2014.75</v>
      </c>
      <c r="AG327" s="7">
        <f t="shared" si="784"/>
        <v>2017</v>
      </c>
      <c r="AH327" s="7">
        <f t="shared" ref="AH327:AH336" si="798">$L327+(($M327-1)/12)</f>
        <v>-8.3333333333333329E-2</v>
      </c>
      <c r="AJ327" s="144">
        <f t="shared" ref="AJ327:AJ337" si="799">+IF((AF327-AG327)&gt;3,((N327-P327)/(AF327-AG327)),(N327-P327)/3)</f>
        <v>0</v>
      </c>
      <c r="AL327" s="144">
        <f t="shared" ref="AL327:AL337" si="800">+AJ327+R327</f>
        <v>0</v>
      </c>
      <c r="AN327" s="144">
        <f t="shared" ref="AN327:AN337" si="801">+IF(AF327&lt;AG327,-AC327,0)</f>
        <v>0</v>
      </c>
      <c r="AP327" s="144">
        <f t="shared" ref="AP327:AP337" si="802">+IF(AF327&gt;AG327,IF(AJ327&gt;0,IF(O327&gt;0,(N327-AA327)/2,IF(AD327&gt;=AG327,(((N327*U327)*Z327)-(AB327+AJ327))/2,((((N327*U327)*Z327)-AA327)+(((N327*U327)*Z327)-(AB327+AJ327)))/2)),0),0)</f>
        <v>0</v>
      </c>
      <c r="AR327" s="144">
        <f t="shared" ref="AR327:AR337" si="803">+AC327+AN327+(IF(AP327&gt;0,(AP327-AC327),0))</f>
        <v>0</v>
      </c>
    </row>
    <row r="328" spans="1:44">
      <c r="C328" s="1">
        <v>100</v>
      </c>
      <c r="D328" s="54" t="s">
        <v>208</v>
      </c>
      <c r="E328" s="3">
        <v>2008</v>
      </c>
      <c r="F328" s="4">
        <v>7</v>
      </c>
      <c r="G328" s="30">
        <v>0</v>
      </c>
      <c r="H328" s="7"/>
      <c r="I328" s="14" t="s">
        <v>86</v>
      </c>
      <c r="J328" s="5">
        <v>7</v>
      </c>
      <c r="K328" s="13">
        <f t="shared" si="786"/>
        <v>2015</v>
      </c>
      <c r="N328" s="48">
        <v>6087</v>
      </c>
      <c r="P328" s="7">
        <f t="shared" si="787"/>
        <v>6087</v>
      </c>
      <c r="Q328" s="7">
        <f t="shared" si="788"/>
        <v>72.464285714285708</v>
      </c>
      <c r="R328" s="7">
        <f>IF(O328&gt;0,0,IF(OR(AD328&gt;AE328,AF328&lt;AG328),0,IF(AND(AF328&gt;=AG328,AF328&lt;=AE328),Q328*((AF328-AG328)*12),IF(AND(AG328&lt;=AD328,AE328&gt;=AD328),((AE328-AD328)*12)*Q328,IF(AF328&gt;AE328,12*Q328,0)))))</f>
        <v>0</v>
      </c>
      <c r="T328" s="7">
        <f t="shared" si="789"/>
        <v>0</v>
      </c>
      <c r="U328" s="7">
        <v>1</v>
      </c>
      <c r="V328" s="7">
        <f t="shared" si="790"/>
        <v>0</v>
      </c>
      <c r="W328" s="7"/>
      <c r="X328" s="7">
        <f t="shared" si="791"/>
        <v>6087</v>
      </c>
      <c r="Y328" s="7">
        <f t="shared" si="792"/>
        <v>6087</v>
      </c>
      <c r="Z328" s="7">
        <v>1</v>
      </c>
      <c r="AA328" s="7">
        <f t="shared" si="793"/>
        <v>6087</v>
      </c>
      <c r="AB328" s="7">
        <f t="shared" si="794"/>
        <v>6087</v>
      </c>
      <c r="AC328" s="7">
        <f t="shared" si="795"/>
        <v>0</v>
      </c>
      <c r="AD328" s="7">
        <f t="shared" si="796"/>
        <v>2008.5</v>
      </c>
      <c r="AE328" s="7">
        <f t="shared" si="783"/>
        <v>2018</v>
      </c>
      <c r="AF328" s="7">
        <f t="shared" si="797"/>
        <v>2015.5</v>
      </c>
      <c r="AG328" s="7">
        <f t="shared" si="784"/>
        <v>2017</v>
      </c>
      <c r="AH328" s="7">
        <f t="shared" si="798"/>
        <v>-8.3333333333333329E-2</v>
      </c>
      <c r="AJ328" s="144">
        <f t="shared" si="799"/>
        <v>0</v>
      </c>
      <c r="AL328" s="144">
        <f t="shared" si="800"/>
        <v>0</v>
      </c>
      <c r="AN328" s="144">
        <f t="shared" si="801"/>
        <v>0</v>
      </c>
      <c r="AP328" s="144">
        <f t="shared" si="802"/>
        <v>0</v>
      </c>
      <c r="AR328" s="144">
        <f t="shared" si="803"/>
        <v>0</v>
      </c>
    </row>
    <row r="329" spans="1:44">
      <c r="C329" s="1">
        <v>10500</v>
      </c>
      <c r="D329" s="54" t="s">
        <v>209</v>
      </c>
      <c r="E329" s="3">
        <v>2009</v>
      </c>
      <c r="F329" s="4">
        <v>7</v>
      </c>
      <c r="G329" s="30">
        <v>0</v>
      </c>
      <c r="H329" s="7"/>
      <c r="I329" s="14" t="s">
        <v>86</v>
      </c>
      <c r="J329" s="5">
        <v>10</v>
      </c>
      <c r="K329" s="13">
        <f t="shared" si="786"/>
        <v>2019</v>
      </c>
      <c r="N329" s="48">
        <v>477576</v>
      </c>
      <c r="P329" s="7">
        <f t="shared" si="787"/>
        <v>477576</v>
      </c>
      <c r="Q329" s="7">
        <f t="shared" si="788"/>
        <v>3979.7999999999997</v>
      </c>
      <c r="R329" s="7">
        <f>IF(O329&gt;0,0,IF(OR(AD329&gt;AE329,AF329&lt;AG329),0,IF(AND(AF329&gt;=AG329,AF329&lt;=AE329),Q329*((AF329-AG329)*12),IF(AND(AG329&lt;=AD329,AE329&gt;=AD329),((AE329-AD329)*12)*Q329,IF(AF329&gt;AE329,12*Q329,0)))))</f>
        <v>47757.599999999999</v>
      </c>
      <c r="T329" s="7">
        <f t="shared" si="789"/>
        <v>47757.599999999999</v>
      </c>
      <c r="U329" s="7">
        <v>1</v>
      </c>
      <c r="V329" s="7">
        <f t="shared" si="790"/>
        <v>47757.599999999999</v>
      </c>
      <c r="W329" s="7"/>
      <c r="X329" s="7">
        <f t="shared" si="791"/>
        <v>358182</v>
      </c>
      <c r="Y329" s="7">
        <f t="shared" si="792"/>
        <v>358182</v>
      </c>
      <c r="Z329" s="7">
        <v>1</v>
      </c>
      <c r="AA329" s="7">
        <f t="shared" si="793"/>
        <v>358182</v>
      </c>
      <c r="AB329" s="7">
        <f t="shared" si="794"/>
        <v>405939.6</v>
      </c>
      <c r="AC329" s="7">
        <f t="shared" si="795"/>
        <v>95515.200000000012</v>
      </c>
      <c r="AD329" s="7">
        <f t="shared" si="796"/>
        <v>2009.5</v>
      </c>
      <c r="AE329" s="7">
        <f t="shared" si="783"/>
        <v>2018</v>
      </c>
      <c r="AF329" s="7">
        <f t="shared" si="797"/>
        <v>2019.5</v>
      </c>
      <c r="AG329" s="7">
        <f t="shared" si="784"/>
        <v>2017</v>
      </c>
      <c r="AH329" s="7">
        <f t="shared" si="798"/>
        <v>-8.3333333333333329E-2</v>
      </c>
      <c r="AJ329" s="144">
        <f t="shared" si="799"/>
        <v>0</v>
      </c>
      <c r="AL329" s="144">
        <f t="shared" si="800"/>
        <v>47757.599999999999</v>
      </c>
      <c r="AN329" s="144">
        <f t="shared" si="801"/>
        <v>0</v>
      </c>
      <c r="AP329" s="144">
        <f t="shared" si="802"/>
        <v>0</v>
      </c>
      <c r="AR329" s="144">
        <f t="shared" si="803"/>
        <v>95515.200000000012</v>
      </c>
    </row>
    <row r="330" spans="1:44">
      <c r="C330" s="1">
        <v>500</v>
      </c>
      <c r="D330" s="54" t="s">
        <v>215</v>
      </c>
      <c r="E330" s="3">
        <v>2009</v>
      </c>
      <c r="F330" s="4">
        <v>7</v>
      </c>
      <c r="G330" s="30">
        <v>0</v>
      </c>
      <c r="H330" s="7"/>
      <c r="I330" s="14" t="s">
        <v>86</v>
      </c>
      <c r="J330" s="5">
        <v>10</v>
      </c>
      <c r="K330" s="13">
        <f t="shared" si="786"/>
        <v>2019</v>
      </c>
      <c r="N330" s="48">
        <v>22742</v>
      </c>
      <c r="P330" s="7">
        <f t="shared" si="787"/>
        <v>22742</v>
      </c>
      <c r="Q330" s="7">
        <f t="shared" si="788"/>
        <v>189.51666666666665</v>
      </c>
      <c r="R330" s="7">
        <f>IF(O330&gt;0,0,IF(OR(AD330&gt;AE330,AF330&lt;AG330),0,IF(AND(AF330&gt;=AG330,AF330&lt;=AE330),Q330*((AF330-AG330)*12),IF(AND(AG330&lt;=AD330,AE330&gt;=AD330),((AE330-AD330)*12)*Q330,IF(AF330&gt;AE330,12*Q330,0)))))</f>
        <v>2274.1999999999998</v>
      </c>
      <c r="T330" s="7">
        <f t="shared" si="789"/>
        <v>2274.1999999999998</v>
      </c>
      <c r="U330" s="7">
        <v>1</v>
      </c>
      <c r="V330" s="7">
        <f t="shared" si="790"/>
        <v>2274.1999999999998</v>
      </c>
      <c r="W330" s="7"/>
      <c r="X330" s="7">
        <f t="shared" si="791"/>
        <v>17056.5</v>
      </c>
      <c r="Y330" s="7">
        <f t="shared" si="792"/>
        <v>17056.5</v>
      </c>
      <c r="Z330" s="7">
        <v>1</v>
      </c>
      <c r="AA330" s="7">
        <f t="shared" si="793"/>
        <v>17056.5</v>
      </c>
      <c r="AB330" s="7">
        <f t="shared" si="794"/>
        <v>19330.7</v>
      </c>
      <c r="AC330" s="7">
        <f t="shared" si="795"/>
        <v>4548.3999999999996</v>
      </c>
      <c r="AD330" s="7">
        <f t="shared" si="796"/>
        <v>2009.5</v>
      </c>
      <c r="AE330" s="7">
        <f t="shared" si="783"/>
        <v>2018</v>
      </c>
      <c r="AF330" s="7">
        <f t="shared" si="797"/>
        <v>2019.5</v>
      </c>
      <c r="AG330" s="7">
        <f t="shared" si="784"/>
        <v>2017</v>
      </c>
      <c r="AH330" s="7">
        <f t="shared" si="798"/>
        <v>-8.3333333333333329E-2</v>
      </c>
      <c r="AJ330" s="144">
        <f t="shared" si="799"/>
        <v>0</v>
      </c>
      <c r="AL330" s="144">
        <f t="shared" si="800"/>
        <v>2274.1999999999998</v>
      </c>
      <c r="AN330" s="144">
        <f t="shared" si="801"/>
        <v>0</v>
      </c>
      <c r="AP330" s="144">
        <f t="shared" si="802"/>
        <v>0</v>
      </c>
      <c r="AR330" s="144">
        <f t="shared" si="803"/>
        <v>4548.3999999999996</v>
      </c>
    </row>
    <row r="331" spans="1:44">
      <c r="A331" s="1">
        <v>109630</v>
      </c>
      <c r="C331" s="1">
        <v>100</v>
      </c>
      <c r="D331" s="54" t="s">
        <v>310</v>
      </c>
      <c r="E331" s="3">
        <v>2013</v>
      </c>
      <c r="F331" s="4">
        <v>6</v>
      </c>
      <c r="G331" s="30">
        <v>0</v>
      </c>
      <c r="H331" s="7"/>
      <c r="I331" s="14" t="s">
        <v>86</v>
      </c>
      <c r="J331" s="5">
        <v>10</v>
      </c>
      <c r="K331" s="13">
        <f t="shared" si="786"/>
        <v>2023</v>
      </c>
      <c r="N331" s="48">
        <v>7104.58</v>
      </c>
      <c r="P331" s="7">
        <f t="shared" si="787"/>
        <v>7104.58</v>
      </c>
      <c r="Q331" s="7">
        <f t="shared" si="788"/>
        <v>59.204833333333333</v>
      </c>
      <c r="R331" s="7">
        <f>IF(O331&gt;0,0,IF(OR(AD331&gt;AE331,AF331&lt;AG331),0,IF(AND(AF331&gt;=AG331,AF331&lt;=AE331),Q331*((AF331-AG331)*12),IF(AND(AG331&lt;=AD331,AE331&gt;=AD331),((AE331-AD331)*12)*Q331,IF(AF331&gt;AE331,12*Q331,0)))))</f>
        <v>710.45799999999997</v>
      </c>
      <c r="T331" s="7">
        <f t="shared" si="789"/>
        <v>710.45799999999997</v>
      </c>
      <c r="U331" s="7">
        <v>1</v>
      </c>
      <c r="V331" s="7">
        <f t="shared" si="790"/>
        <v>710.45799999999997</v>
      </c>
      <c r="W331" s="7"/>
      <c r="X331" s="7">
        <f t="shared" si="791"/>
        <v>2545.8078333332796</v>
      </c>
      <c r="Y331" s="7">
        <f t="shared" si="792"/>
        <v>2545.8078333332796</v>
      </c>
      <c r="Z331" s="7">
        <v>1</v>
      </c>
      <c r="AA331" s="7">
        <f t="shared" si="793"/>
        <v>2545.8078333332796</v>
      </c>
      <c r="AB331" s="7">
        <f t="shared" si="794"/>
        <v>3256.2658333332797</v>
      </c>
      <c r="AC331" s="7">
        <f t="shared" si="795"/>
        <v>4203.54316666672</v>
      </c>
      <c r="AD331" s="7">
        <f t="shared" si="796"/>
        <v>2013.4166666666667</v>
      </c>
      <c r="AE331" s="7">
        <f t="shared" si="783"/>
        <v>2018</v>
      </c>
      <c r="AF331" s="7">
        <f t="shared" si="797"/>
        <v>2023.4166666666667</v>
      </c>
      <c r="AG331" s="7">
        <f t="shared" si="784"/>
        <v>2017</v>
      </c>
      <c r="AH331" s="7">
        <f t="shared" si="798"/>
        <v>-8.3333333333333329E-2</v>
      </c>
      <c r="AJ331" s="144">
        <f t="shared" si="799"/>
        <v>0</v>
      </c>
      <c r="AL331" s="144">
        <f t="shared" si="800"/>
        <v>710.45799999999997</v>
      </c>
      <c r="AN331" s="144">
        <f t="shared" si="801"/>
        <v>0</v>
      </c>
      <c r="AP331" s="144">
        <f t="shared" si="802"/>
        <v>0</v>
      </c>
      <c r="AR331" s="144">
        <f t="shared" si="803"/>
        <v>4203.54316666672</v>
      </c>
    </row>
    <row r="332" spans="1:44">
      <c r="A332" s="1">
        <v>111169</v>
      </c>
      <c r="D332" s="54" t="s">
        <v>312</v>
      </c>
      <c r="E332" s="3">
        <v>2014</v>
      </c>
      <c r="F332" s="4">
        <v>1</v>
      </c>
      <c r="G332" s="30">
        <v>0</v>
      </c>
      <c r="H332" s="7"/>
      <c r="I332" s="14" t="s">
        <v>86</v>
      </c>
      <c r="J332" s="5">
        <v>10</v>
      </c>
      <c r="K332" s="13">
        <f t="shared" si="786"/>
        <v>2024</v>
      </c>
      <c r="N332" s="48">
        <v>2369.64</v>
      </c>
      <c r="P332" s="7">
        <f t="shared" si="787"/>
        <v>2369.64</v>
      </c>
      <c r="Q332" s="7">
        <f t="shared" si="788"/>
        <v>19.747</v>
      </c>
      <c r="R332" s="7">
        <f t="shared" ref="R332:R334" si="804">IF(O332&gt;0,0,IF(OR(AD332&gt;AE332,AF332&lt;AG332),0,IF(AND(AF332&gt;=AG332,AF332&lt;=AE332),Q332*((AF332-AG332)*12),IF(AND(AG332&lt;=AD332,AE332&gt;=AD332),((AE332-AD332)*12)*Q332,IF(AF332&gt;AE332,12*Q332,0)))))</f>
        <v>236.964</v>
      </c>
      <c r="T332" s="7">
        <f t="shared" si="789"/>
        <v>236.964</v>
      </c>
      <c r="U332" s="7">
        <v>1</v>
      </c>
      <c r="V332" s="7">
        <f t="shared" si="790"/>
        <v>236.964</v>
      </c>
      <c r="W332" s="7"/>
      <c r="X332" s="7">
        <f t="shared" si="791"/>
        <v>710.89200000000005</v>
      </c>
      <c r="Y332" s="7">
        <f t="shared" si="792"/>
        <v>710.89200000000005</v>
      </c>
      <c r="Z332" s="7">
        <v>1</v>
      </c>
      <c r="AA332" s="7">
        <f t="shared" si="793"/>
        <v>710.89200000000005</v>
      </c>
      <c r="AB332" s="7">
        <f t="shared" si="794"/>
        <v>947.85599999999999</v>
      </c>
      <c r="AC332" s="7">
        <f t="shared" si="795"/>
        <v>1540.2659999999998</v>
      </c>
      <c r="AD332" s="7">
        <f t="shared" si="796"/>
        <v>2014</v>
      </c>
      <c r="AE332" s="7">
        <f t="shared" si="783"/>
        <v>2018</v>
      </c>
      <c r="AF332" s="7">
        <f t="shared" si="797"/>
        <v>2024</v>
      </c>
      <c r="AG332" s="7">
        <f t="shared" si="784"/>
        <v>2017</v>
      </c>
      <c r="AH332" s="7">
        <f t="shared" si="798"/>
        <v>-8.3333333333333329E-2</v>
      </c>
      <c r="AJ332" s="144">
        <f t="shared" si="799"/>
        <v>0</v>
      </c>
      <c r="AL332" s="144">
        <f t="shared" si="800"/>
        <v>236.964</v>
      </c>
      <c r="AN332" s="144">
        <f t="shared" si="801"/>
        <v>0</v>
      </c>
      <c r="AP332" s="144">
        <f t="shared" si="802"/>
        <v>0</v>
      </c>
      <c r="AR332" s="144">
        <f t="shared" si="803"/>
        <v>1540.2659999999998</v>
      </c>
    </row>
    <row r="333" spans="1:44">
      <c r="A333" s="1">
        <v>111445</v>
      </c>
      <c r="C333" s="1">
        <v>624</v>
      </c>
      <c r="D333" s="54" t="s">
        <v>209</v>
      </c>
      <c r="E333" s="3">
        <v>2014</v>
      </c>
      <c r="F333" s="4">
        <v>3</v>
      </c>
      <c r="G333" s="30">
        <v>0</v>
      </c>
      <c r="H333" s="7"/>
      <c r="I333" s="14" t="s">
        <v>86</v>
      </c>
      <c r="J333" s="5">
        <v>10</v>
      </c>
      <c r="K333" s="13">
        <f t="shared" si="786"/>
        <v>2024</v>
      </c>
      <c r="N333" s="48">
        <v>36065.919999999998</v>
      </c>
      <c r="P333" s="7">
        <f t="shared" si="787"/>
        <v>36065.919999999998</v>
      </c>
      <c r="Q333" s="7">
        <f t="shared" si="788"/>
        <v>300.54933333333332</v>
      </c>
      <c r="R333" s="7">
        <f t="shared" si="804"/>
        <v>3606.5919999999996</v>
      </c>
      <c r="T333" s="7">
        <f t="shared" si="789"/>
        <v>3606.5919999999996</v>
      </c>
      <c r="U333" s="7">
        <v>1</v>
      </c>
      <c r="V333" s="7">
        <f t="shared" si="790"/>
        <v>3606.5919999999996</v>
      </c>
      <c r="W333" s="7"/>
      <c r="X333" s="7">
        <f t="shared" si="791"/>
        <v>10218.67733333306</v>
      </c>
      <c r="Y333" s="7">
        <f t="shared" si="792"/>
        <v>10218.67733333306</v>
      </c>
      <c r="Z333" s="7">
        <v>1</v>
      </c>
      <c r="AA333" s="7">
        <f t="shared" si="793"/>
        <v>10218.67733333306</v>
      </c>
      <c r="AB333" s="7">
        <f t="shared" si="794"/>
        <v>13825.269333333061</v>
      </c>
      <c r="AC333" s="7">
        <f t="shared" si="795"/>
        <v>24043.94666666694</v>
      </c>
      <c r="AD333" s="7">
        <f t="shared" si="796"/>
        <v>2014.1666666666667</v>
      </c>
      <c r="AE333" s="7">
        <f t="shared" si="783"/>
        <v>2018</v>
      </c>
      <c r="AF333" s="7">
        <f t="shared" si="797"/>
        <v>2024.1666666666667</v>
      </c>
      <c r="AG333" s="7">
        <f t="shared" si="784"/>
        <v>2017</v>
      </c>
      <c r="AH333" s="7">
        <f t="shared" si="798"/>
        <v>-8.3333333333333329E-2</v>
      </c>
      <c r="AJ333" s="144">
        <f t="shared" si="799"/>
        <v>0</v>
      </c>
      <c r="AL333" s="144">
        <f t="shared" si="800"/>
        <v>3606.5919999999996</v>
      </c>
      <c r="AN333" s="144">
        <f t="shared" si="801"/>
        <v>0</v>
      </c>
      <c r="AP333" s="144">
        <f t="shared" si="802"/>
        <v>0</v>
      </c>
      <c r="AR333" s="144">
        <f t="shared" si="803"/>
        <v>24043.94666666694</v>
      </c>
    </row>
    <row r="334" spans="1:44">
      <c r="A334" s="1">
        <v>121097</v>
      </c>
      <c r="C334" s="1">
        <v>420</v>
      </c>
      <c r="D334" s="54" t="s">
        <v>209</v>
      </c>
      <c r="E334" s="3">
        <v>2015</v>
      </c>
      <c r="F334" s="4">
        <v>3</v>
      </c>
      <c r="G334" s="30">
        <v>0</v>
      </c>
      <c r="H334" s="7"/>
      <c r="I334" s="14" t="s">
        <v>86</v>
      </c>
      <c r="J334" s="5">
        <v>10</v>
      </c>
      <c r="K334" s="13">
        <f t="shared" si="786"/>
        <v>2025</v>
      </c>
      <c r="N334" s="48">
        <v>22395.5</v>
      </c>
      <c r="P334" s="7">
        <f t="shared" si="787"/>
        <v>22395.5</v>
      </c>
      <c r="Q334" s="7">
        <f t="shared" si="788"/>
        <v>186.62916666666669</v>
      </c>
      <c r="R334" s="7">
        <f t="shared" si="804"/>
        <v>2239.5500000000002</v>
      </c>
      <c r="T334" s="7">
        <f t="shared" si="789"/>
        <v>2239.5500000000002</v>
      </c>
      <c r="U334" s="7">
        <v>1</v>
      </c>
      <c r="V334" s="7">
        <f t="shared" si="790"/>
        <v>2239.5500000000002</v>
      </c>
      <c r="W334" s="7"/>
      <c r="X334" s="7">
        <f t="shared" si="791"/>
        <v>4105.8416666664971</v>
      </c>
      <c r="Y334" s="7">
        <f t="shared" si="792"/>
        <v>4105.8416666664971</v>
      </c>
      <c r="Z334" s="7">
        <v>1</v>
      </c>
      <c r="AA334" s="7">
        <f t="shared" si="793"/>
        <v>4105.8416666664971</v>
      </c>
      <c r="AB334" s="7">
        <f t="shared" si="794"/>
        <v>6345.3916666664973</v>
      </c>
      <c r="AC334" s="7">
        <f t="shared" si="795"/>
        <v>17169.883333333502</v>
      </c>
      <c r="AD334" s="7">
        <f t="shared" si="796"/>
        <v>2015.1666666666667</v>
      </c>
      <c r="AE334" s="7">
        <f t="shared" si="783"/>
        <v>2018</v>
      </c>
      <c r="AF334" s="7">
        <f t="shared" si="797"/>
        <v>2025.1666666666667</v>
      </c>
      <c r="AG334" s="7">
        <f t="shared" si="784"/>
        <v>2017</v>
      </c>
      <c r="AH334" s="7">
        <f t="shared" si="798"/>
        <v>-8.3333333333333329E-2</v>
      </c>
      <c r="AJ334" s="144">
        <f t="shared" si="799"/>
        <v>0</v>
      </c>
      <c r="AL334" s="144">
        <f t="shared" si="800"/>
        <v>2239.5500000000002</v>
      </c>
      <c r="AN334" s="144">
        <f t="shared" si="801"/>
        <v>0</v>
      </c>
      <c r="AP334" s="144">
        <f t="shared" si="802"/>
        <v>0</v>
      </c>
      <c r="AR334" s="144">
        <f t="shared" si="803"/>
        <v>17169.883333333502</v>
      </c>
    </row>
    <row r="335" spans="1:44">
      <c r="A335" s="1">
        <v>131196</v>
      </c>
      <c r="C335" s="1">
        <v>624</v>
      </c>
      <c r="D335" s="54" t="s">
        <v>209</v>
      </c>
      <c r="E335" s="3">
        <v>2016</v>
      </c>
      <c r="F335" s="4">
        <v>2</v>
      </c>
      <c r="G335" s="30">
        <v>0</v>
      </c>
      <c r="H335" s="7"/>
      <c r="I335" s="14" t="s">
        <v>86</v>
      </c>
      <c r="J335" s="5">
        <v>10</v>
      </c>
      <c r="K335" s="13">
        <f t="shared" si="786"/>
        <v>2026</v>
      </c>
      <c r="N335" s="55">
        <v>35165.58</v>
      </c>
      <c r="P335" s="7">
        <f t="shared" si="787"/>
        <v>35165.58</v>
      </c>
      <c r="Q335" s="7">
        <f t="shared" si="788"/>
        <v>293.04649999999998</v>
      </c>
      <c r="R335" s="7">
        <f t="shared" ref="R335" si="805">IF(O335&gt;0,0,IF(OR(AD335&gt;AE335,AF335&lt;AG335),0,IF(AND(AF335&gt;=AG335,AF335&lt;=AE335),Q335*((AF335-AG335)*12),IF(AND(AG335&lt;=AD335,AE335&gt;=AD335),((AE335-AD335)*12)*Q335,IF(AF335&gt;AE335,12*Q335,0)))))</f>
        <v>3516.558</v>
      </c>
      <c r="T335" s="7">
        <f t="shared" ref="T335" si="806">IF(S335&gt;0,S335,R335)</f>
        <v>3516.558</v>
      </c>
      <c r="U335" s="7">
        <v>1</v>
      </c>
      <c r="V335" s="7">
        <f t="shared" ref="V335" si="807">U335*SUM(R335:S335)</f>
        <v>3516.558</v>
      </c>
      <c r="W335" s="7"/>
      <c r="X335" s="7">
        <f t="shared" ref="X335" si="808">IF(AD335&gt;AE335,0,IF(AF335&lt;AG335,P335,IF(AND(AF335&gt;=AG335,AF335&lt;=AE335),(P335-T335),IF(AND(AG335&lt;=AD335,AE335&gt;=AD335),0,IF(AF335&gt;AE335,((AG335-AD335)*12)*Q335,0)))))</f>
        <v>3223.5115000002661</v>
      </c>
      <c r="Y335" s="7">
        <f t="shared" ref="Y335" si="809">X335*U335</f>
        <v>3223.5115000002661</v>
      </c>
      <c r="Z335" s="7">
        <v>1</v>
      </c>
      <c r="AA335" s="7">
        <f t="shared" ref="AA335" si="810">Y335*Z335</f>
        <v>3223.5115000002661</v>
      </c>
      <c r="AB335" s="7">
        <f t="shared" ref="AB335" si="811">IF(O335&gt;0,0,AA335+V335*Z335)*Z335</f>
        <v>6740.0695000002661</v>
      </c>
      <c r="AC335" s="7">
        <f t="shared" ref="AC335" si="812">IF(O335&gt;0,(N335-AA335)/2,IF(AD335&gt;=AG335,(((N335*U335)*Z335)-AB335)/2,((((N335*U335)*Z335)-AA335)+(((N335*U335)*Z335)-AB335))/2))</f>
        <v>30183.789499999737</v>
      </c>
      <c r="AD335" s="7">
        <f t="shared" si="796"/>
        <v>2016.0833333333333</v>
      </c>
      <c r="AE335" s="7">
        <f t="shared" si="783"/>
        <v>2018</v>
      </c>
      <c r="AF335" s="7">
        <f t="shared" si="797"/>
        <v>2026.0833333333333</v>
      </c>
      <c r="AG335" s="7">
        <f t="shared" si="784"/>
        <v>2017</v>
      </c>
      <c r="AH335" s="7">
        <f t="shared" si="798"/>
        <v>-8.3333333333333329E-2</v>
      </c>
      <c r="AJ335" s="144">
        <f t="shared" si="799"/>
        <v>0</v>
      </c>
      <c r="AL335" s="144">
        <f t="shared" si="800"/>
        <v>3516.558</v>
      </c>
      <c r="AN335" s="144">
        <f t="shared" si="801"/>
        <v>0</v>
      </c>
      <c r="AP335" s="144">
        <f t="shared" si="802"/>
        <v>0</v>
      </c>
      <c r="AR335" s="144">
        <f t="shared" si="803"/>
        <v>30183.789499999737</v>
      </c>
    </row>
    <row r="336" spans="1:44">
      <c r="A336" s="1">
        <v>168865</v>
      </c>
      <c r="C336" s="1">
        <v>353</v>
      </c>
      <c r="D336" s="54" t="s">
        <v>209</v>
      </c>
      <c r="E336" s="3">
        <v>2016</v>
      </c>
      <c r="F336" s="4">
        <v>10</v>
      </c>
      <c r="G336" s="30">
        <v>0</v>
      </c>
      <c r="H336" s="7"/>
      <c r="I336" s="14" t="s">
        <v>86</v>
      </c>
      <c r="J336" s="5">
        <v>7</v>
      </c>
      <c r="K336" s="13">
        <f t="shared" ref="K336" si="813">E336+J336</f>
        <v>2023</v>
      </c>
      <c r="N336" s="60">
        <v>16852.22</v>
      </c>
      <c r="P336" s="7">
        <f t="shared" ref="P336" si="814">N336-N336*G336</f>
        <v>16852.22</v>
      </c>
      <c r="Q336" s="7">
        <f t="shared" ref="Q336" si="815">P336/J336/12</f>
        <v>200.62166666666667</v>
      </c>
      <c r="R336" s="7">
        <f t="shared" ref="R336" si="816">IF(O336&gt;0,0,IF(OR(AD336&gt;AE336,AF336&lt;AG336),0,IF(AND(AF336&gt;=AG336,AF336&lt;=AE336),Q336*((AF336-AG336)*12),IF(AND(AG336&lt;=AD336,AE336&gt;=AD336),((AE336-AD336)*12)*Q336,IF(AF336&gt;AE336,12*Q336,0)))))</f>
        <v>2407.46</v>
      </c>
      <c r="T336" s="7">
        <f t="shared" ref="T336" si="817">IF(S336&gt;0,S336,R336)</f>
        <v>2407.46</v>
      </c>
      <c r="U336" s="7">
        <v>1</v>
      </c>
      <c r="V336" s="7">
        <f t="shared" ref="V336" si="818">U336*SUM(R336:S336)</f>
        <v>2407.46</v>
      </c>
      <c r="W336" s="7"/>
      <c r="X336" s="7">
        <f t="shared" ref="X336" si="819">IF(AD336&gt;AE336,0,IF(AF336&lt;AG336,P336,IF(AND(AF336&gt;=AG336,AF336&lt;=AE336),(P336-T336),IF(AND(AG336&lt;=AD336,AE336&gt;=AD336),0,IF(AF336&gt;AE336,((AG336-AD336)*12)*Q336,0)))))</f>
        <v>601.86500000000001</v>
      </c>
      <c r="Y336" s="7">
        <f t="shared" ref="Y336" si="820">X336*U336</f>
        <v>601.86500000000001</v>
      </c>
      <c r="Z336" s="7">
        <v>1</v>
      </c>
      <c r="AA336" s="7">
        <f t="shared" ref="AA336" si="821">Y336*Z336</f>
        <v>601.86500000000001</v>
      </c>
      <c r="AB336" s="7">
        <f t="shared" ref="AB336" si="822">IF(O336&gt;0,0,AA336+V336*Z336)*Z336</f>
        <v>3009.3249999999998</v>
      </c>
      <c r="AC336" s="7">
        <f t="shared" ref="AC336" si="823">IF(O336&gt;0,(N336-AA336)/2,IF(AD336&gt;=AG336,(((N336*U336)*Z336)-AB336)/2,((((N336*U336)*Z336)-AA336)+(((N336*U336)*Z336)-AB336))/2))</f>
        <v>15046.625</v>
      </c>
      <c r="AD336" s="7">
        <f t="shared" si="796"/>
        <v>2016.75</v>
      </c>
      <c r="AE336" s="7">
        <f t="shared" si="783"/>
        <v>2018</v>
      </c>
      <c r="AF336" s="7">
        <f t="shared" si="797"/>
        <v>2023.75</v>
      </c>
      <c r="AG336" s="7">
        <f t="shared" si="784"/>
        <v>2017</v>
      </c>
      <c r="AH336" s="7">
        <f t="shared" si="798"/>
        <v>-8.3333333333333329E-2</v>
      </c>
      <c r="AJ336" s="144">
        <f t="shared" si="799"/>
        <v>0</v>
      </c>
      <c r="AL336" s="144">
        <f t="shared" si="800"/>
        <v>2407.46</v>
      </c>
      <c r="AN336" s="144">
        <f t="shared" si="801"/>
        <v>0</v>
      </c>
      <c r="AP336" s="144">
        <f t="shared" si="802"/>
        <v>0</v>
      </c>
      <c r="AR336" s="144">
        <f t="shared" si="803"/>
        <v>15046.625</v>
      </c>
    </row>
    <row r="337" spans="1:44" s="109" customFormat="1">
      <c r="A337" s="109">
        <v>178888</v>
      </c>
      <c r="C337" s="109">
        <v>524</v>
      </c>
      <c r="D337" s="109" t="s">
        <v>393</v>
      </c>
      <c r="E337" s="113">
        <v>2017</v>
      </c>
      <c r="F337" s="110">
        <v>4</v>
      </c>
      <c r="G337" s="110">
        <v>0</v>
      </c>
      <c r="I337" s="110" t="s">
        <v>86</v>
      </c>
      <c r="J337" s="117">
        <v>7</v>
      </c>
      <c r="K337" s="113">
        <f>E337+J337</f>
        <v>2024</v>
      </c>
      <c r="N337" s="119">
        <v>28674.51</v>
      </c>
      <c r="P337" s="109">
        <f>N337-N337*G337</f>
        <v>28674.51</v>
      </c>
      <c r="Q337" s="115">
        <f>P337/J337/12</f>
        <v>341.36321428571426</v>
      </c>
      <c r="R337" s="115">
        <f t="shared" ref="R337" si="824">IF(O337&gt;0,0,IF(OR(AD337&gt;AE337,AF337&lt;AG337),0,IF(AND(AF337&gt;=AG337,AF337&lt;=AE337),Q337*((AF337-AG337)*12),IF(AND(AG337&lt;=AD337,AE337&gt;=AD337),((AE337-AD337)*12)*Q337,IF(AF337&gt;AE337,12*Q337,0)))))</f>
        <v>3072.2689285714282</v>
      </c>
      <c r="T337" s="115">
        <f t="shared" ref="T337" si="825">IF(S337&gt;0,S337,R337)</f>
        <v>3072.2689285714282</v>
      </c>
      <c r="U337" s="115">
        <v>1</v>
      </c>
      <c r="V337" s="115">
        <f t="shared" ref="V337" si="826">U337*SUM(R337:S337)</f>
        <v>3072.2689285714282</v>
      </c>
      <c r="W337" s="115"/>
      <c r="X337" s="115">
        <f t="shared" ref="X337" si="827">IF(AD337&gt;AE337,0,IF(AF337&lt;AG337,P337,IF(AND(AF337&gt;=AG337,AF337&lt;=AE337),(P337-T337),IF(AND(AG337&lt;=AD337,AE337&gt;=AD337),0,IF(AF337&gt;AE337,((AG337-AD337)*12)*Q337,0)))))</f>
        <v>0</v>
      </c>
      <c r="Y337" s="115">
        <f t="shared" ref="Y337" si="828">X337*U337</f>
        <v>0</v>
      </c>
      <c r="Z337" s="115">
        <v>1</v>
      </c>
      <c r="AA337" s="115">
        <f t="shared" ref="AA337" si="829">Y337*Z337</f>
        <v>0</v>
      </c>
      <c r="AB337" s="115">
        <f t="shared" ref="AB337" si="830">IF(O337&gt;0,0,AA337+V337*Z337)*Z337</f>
        <v>3072.2689285714282</v>
      </c>
      <c r="AC337" s="115">
        <f t="shared" ref="AC337" si="831">IF(O337&gt;0,(N337-AA337)/2,IF(AD337&gt;=AG337,(((N337*U337)*Z337)-AB337)/2,((((N337*U337)*Z337)-AA337)+(((N337*U337)*Z337)-AB337))/2))</f>
        <v>12801.120535714284</v>
      </c>
      <c r="AD337" s="115">
        <f>$E337+(($F337-1)/12)</f>
        <v>2017.25</v>
      </c>
      <c r="AE337" s="115">
        <f t="shared" ref="AE337:AE362" si="832">($P$5+1)-($P$2/12)</f>
        <v>2018</v>
      </c>
      <c r="AF337" s="115">
        <f>$K337+(($F337-1)/12)</f>
        <v>2024.25</v>
      </c>
      <c r="AG337" s="115">
        <f t="shared" ref="AG337:AG362" si="833">$P$4+($P$3/12)</f>
        <v>2017</v>
      </c>
      <c r="AH337" s="115">
        <f>$L337+(($M337-1)/12)</f>
        <v>-8.3333333333333329E-2</v>
      </c>
      <c r="AJ337" s="144">
        <f t="shared" si="799"/>
        <v>0</v>
      </c>
      <c r="AK337" s="144"/>
      <c r="AL337" s="144">
        <f t="shared" si="800"/>
        <v>3072.2689285714282</v>
      </c>
      <c r="AM337" s="144"/>
      <c r="AN337" s="144">
        <f t="shared" si="801"/>
        <v>0</v>
      </c>
      <c r="AO337" s="144"/>
      <c r="AP337" s="144">
        <f t="shared" si="802"/>
        <v>0</v>
      </c>
      <c r="AQ337" s="144"/>
      <c r="AR337" s="144">
        <f t="shared" si="803"/>
        <v>12801.120535714284</v>
      </c>
    </row>
    <row r="338" spans="1:44">
      <c r="D338" s="54"/>
      <c r="G338" s="30"/>
      <c r="H338" s="7"/>
      <c r="I338" s="14"/>
      <c r="K338" s="13"/>
      <c r="N338" s="48"/>
      <c r="P338" s="7"/>
      <c r="Q338" s="7"/>
      <c r="R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</row>
    <row r="339" spans="1:44">
      <c r="D339" s="53" t="s">
        <v>25</v>
      </c>
      <c r="G339" s="30"/>
      <c r="H339" s="7"/>
      <c r="I339" s="14"/>
      <c r="K339" s="13"/>
      <c r="N339" s="108">
        <f>SUM(N327:N338)</f>
        <v>669704.46086956514</v>
      </c>
      <c r="O339" s="106"/>
      <c r="P339" s="100">
        <f t="shared" ref="P339:AC339" si="834">SUM(P327:P338)</f>
        <v>669704.46086956514</v>
      </c>
      <c r="Q339" s="100">
        <f t="shared" si="834"/>
        <v>5817.6035103519671</v>
      </c>
      <c r="R339" s="100">
        <f t="shared" si="834"/>
        <v>65821.650928571413</v>
      </c>
      <c r="S339" s="100">
        <f t="shared" si="834"/>
        <v>0</v>
      </c>
      <c r="T339" s="100">
        <f t="shared" si="834"/>
        <v>65821.650928571413</v>
      </c>
      <c r="U339" s="100">
        <f t="shared" si="834"/>
        <v>11</v>
      </c>
      <c r="V339" s="100">
        <f t="shared" si="834"/>
        <v>65821.650928571413</v>
      </c>
      <c r="W339" s="100">
        <f t="shared" si="834"/>
        <v>0</v>
      </c>
      <c r="X339" s="100">
        <f t="shared" si="834"/>
        <v>417403.60620289826</v>
      </c>
      <c r="Y339" s="100">
        <f t="shared" si="834"/>
        <v>417403.60620289826</v>
      </c>
      <c r="Z339" s="100">
        <f t="shared" si="834"/>
        <v>11</v>
      </c>
      <c r="AA339" s="100">
        <f t="shared" si="834"/>
        <v>417403.60620289826</v>
      </c>
      <c r="AB339" s="100">
        <f t="shared" si="834"/>
        <v>483225.25713146973</v>
      </c>
      <c r="AC339" s="100">
        <f t="shared" si="834"/>
        <v>205052.77420238117</v>
      </c>
      <c r="AD339" s="105"/>
      <c r="AE339" s="105"/>
      <c r="AF339" s="105"/>
      <c r="AG339" s="105"/>
      <c r="AH339" s="105"/>
      <c r="AJ339" s="140">
        <f t="shared" ref="AJ339" si="835">SUM(AJ327:AJ338)</f>
        <v>0</v>
      </c>
      <c r="AK339" s="140">
        <f t="shared" ref="AK339" si="836">SUM(AK327:AK338)</f>
        <v>0</v>
      </c>
      <c r="AL339" s="140">
        <f t="shared" ref="AL339" si="837">SUM(AL327:AL338)</f>
        <v>65821.650928571413</v>
      </c>
      <c r="AM339" s="140">
        <f t="shared" ref="AM339" si="838">SUM(AM327:AM338)</f>
        <v>0</v>
      </c>
      <c r="AN339" s="140">
        <f t="shared" ref="AN339" si="839">SUM(AN327:AN338)</f>
        <v>0</v>
      </c>
      <c r="AO339" s="140">
        <f t="shared" ref="AO339" si="840">SUM(AO327:AO338)</f>
        <v>0</v>
      </c>
      <c r="AP339" s="140">
        <f t="shared" ref="AP339" si="841">SUM(AP327:AP338)</f>
        <v>0</v>
      </c>
      <c r="AQ339" s="140">
        <f t="shared" ref="AQ339" si="842">SUM(AQ327:AQ338)</f>
        <v>0</v>
      </c>
      <c r="AR339" s="140">
        <f t="shared" ref="AR339" si="843">SUM(AR327:AR338)</f>
        <v>205052.77420238117</v>
      </c>
    </row>
    <row r="340" spans="1:44">
      <c r="C340" s="35"/>
      <c r="D340" s="53"/>
      <c r="H340" s="7"/>
      <c r="I340" s="14"/>
      <c r="K340" s="13"/>
      <c r="N340" s="59" t="s">
        <v>2</v>
      </c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7"/>
      <c r="AE340" s="7"/>
      <c r="AF340" s="7"/>
      <c r="AG340" s="7"/>
      <c r="AH340" s="7"/>
    </row>
    <row r="341" spans="1:44">
      <c r="C341" s="35"/>
      <c r="D341" s="53" t="s">
        <v>216</v>
      </c>
      <c r="H341" s="7"/>
      <c r="I341" s="14"/>
      <c r="K341" s="13"/>
      <c r="N341" s="59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7"/>
      <c r="AE341" s="7"/>
      <c r="AF341" s="7"/>
      <c r="AG341" s="7"/>
      <c r="AH341" s="7"/>
    </row>
    <row r="342" spans="1:44">
      <c r="C342" s="1">
        <v>300</v>
      </c>
      <c r="D342" s="29" t="s">
        <v>217</v>
      </c>
      <c r="E342" s="3">
        <v>1995</v>
      </c>
      <c r="F342" s="4">
        <v>8</v>
      </c>
      <c r="G342" s="30">
        <v>0</v>
      </c>
      <c r="H342" s="7"/>
      <c r="I342" s="14" t="s">
        <v>86</v>
      </c>
      <c r="J342" s="5">
        <v>10</v>
      </c>
      <c r="K342" s="13">
        <f>E342+J342</f>
        <v>2005</v>
      </c>
      <c r="N342" s="48">
        <v>20585</v>
      </c>
      <c r="P342" s="7">
        <f>N342-N342*G342</f>
        <v>20585</v>
      </c>
      <c r="Q342" s="7">
        <f>P342/J342/12</f>
        <v>171.54166666666666</v>
      </c>
      <c r="R342" s="7">
        <f>IF(O342&gt;0,0,IF(OR(AD342&gt;AE342,AF342&lt;AG342),0,IF(AND(AF342&gt;=AG342,AF342&lt;=AE342),Q342*((AF342-AG342)*12),IF(AND(AG342&lt;=AD342,AE342&gt;=AD342),((AE342-AD342)*12)*Q342,IF(AF342&gt;AE342,12*Q342,0)))))</f>
        <v>0</v>
      </c>
      <c r="T342" s="7">
        <f>IF(S342&gt;0,S342,R342)</f>
        <v>0</v>
      </c>
      <c r="U342" s="7">
        <v>1</v>
      </c>
      <c r="V342" s="7">
        <f>U342*SUM(R342:S342)</f>
        <v>0</v>
      </c>
      <c r="W342" s="7"/>
      <c r="X342" s="7">
        <f>IF(AD342&gt;AE342,0,IF(AF342&lt;AG342,P342,IF(AND(AF342&gt;=AG342,AF342&lt;=AE342),(P342-T342),IF(AND(AG342&lt;=AD342,AE342&gt;=AD342),0,IF(AF342&gt;AE342,((AG342-AD342)*12)*Q342,0)))))</f>
        <v>20585</v>
      </c>
      <c r="Y342" s="7">
        <f>X342*U342</f>
        <v>20585</v>
      </c>
      <c r="Z342" s="7">
        <v>1</v>
      </c>
      <c r="AA342" s="7">
        <f>Y342*Z342</f>
        <v>20585</v>
      </c>
      <c r="AB342" s="7">
        <f>IF(O342&gt;0,0,AA342+V342*Z342)*Z342</f>
        <v>20585</v>
      </c>
      <c r="AC342" s="7">
        <f>IF(O342&gt;0,(N342-AA342)/2,IF(AD342&gt;=AG342,(((N342*U342)*Z342)-AB342)/2,((((N342*U342)*Z342)-AA342)+(((N342*U342)*Z342)-AB342))/2))</f>
        <v>0</v>
      </c>
      <c r="AD342" s="7">
        <f>$E342+(($F342-1)/12)</f>
        <v>1995.5833333333333</v>
      </c>
      <c r="AE342" s="7">
        <f>($P$5+1)-($P$2/12)</f>
        <v>2018</v>
      </c>
      <c r="AF342" s="7">
        <f>$K342+(($F342-1)/12)</f>
        <v>2005.5833333333333</v>
      </c>
      <c r="AG342" s="7">
        <f>$P$4+($P$3/12)</f>
        <v>2017</v>
      </c>
      <c r="AH342" s="7">
        <f>$L342+(($M342-1)/12)</f>
        <v>-8.3333333333333329E-2</v>
      </c>
      <c r="AJ342" s="144">
        <f t="shared" ref="AJ342:AJ354" si="844">+IF((AF342-AG342)&gt;3,((N342-P342)/(AF342-AG342)),(N342-P342)/3)</f>
        <v>0</v>
      </c>
      <c r="AL342" s="144">
        <f t="shared" ref="AL342:AL354" si="845">+AJ342+R342</f>
        <v>0</v>
      </c>
      <c r="AN342" s="144">
        <f t="shared" ref="AN342:AN354" si="846">+IF(AF342&lt;AG342,-AC342,0)</f>
        <v>0</v>
      </c>
      <c r="AP342" s="144">
        <f t="shared" ref="AP342:AP354" si="847">+IF(AF342&gt;AG342,IF(AJ342&gt;0,IF(O342&gt;0,(N342-AA342)/2,IF(AD342&gt;=AG342,(((N342*U342)*Z342)-(AB342+AJ342))/2,((((N342*U342)*Z342)-AA342)+(((N342*U342)*Z342)-(AB342+AJ342)))/2)),0),0)</f>
        <v>0</v>
      </c>
      <c r="AR342" s="144">
        <f t="shared" ref="AR342:AR354" si="848">+AC342+AN342+(IF(AP342&gt;0,(AP342-AC342),0))</f>
        <v>0</v>
      </c>
    </row>
    <row r="343" spans="1:44">
      <c r="C343" s="1">
        <v>100</v>
      </c>
      <c r="D343" s="54" t="s">
        <v>218</v>
      </c>
      <c r="E343" s="3">
        <v>2008</v>
      </c>
      <c r="F343" s="4">
        <v>7</v>
      </c>
      <c r="G343" s="30">
        <v>0</v>
      </c>
      <c r="H343" s="7"/>
      <c r="I343" s="14" t="s">
        <v>86</v>
      </c>
      <c r="J343" s="5">
        <v>10</v>
      </c>
      <c r="K343" s="13">
        <f>E343+J343</f>
        <v>2018</v>
      </c>
      <c r="N343" s="48">
        <f>4850+732.5+407.4</f>
        <v>5989.9</v>
      </c>
      <c r="P343" s="7">
        <f>N343-N343*G343</f>
        <v>5989.9</v>
      </c>
      <c r="Q343" s="7">
        <f>P343/J343/12</f>
        <v>49.915833333333332</v>
      </c>
      <c r="R343" s="7">
        <f>IF(O343&gt;0,0,IF(OR(AD343&gt;AE343,AF343&lt;AG343),0,IF(AND(AF343&gt;=AG343,AF343&lt;=AE343),Q343*((AF343-AG343)*12),IF(AND(AG343&lt;=AD343,AE343&gt;=AD343),((AE343-AD343)*12)*Q343,IF(AF343&gt;AE343,12*Q343,0)))))</f>
        <v>598.99</v>
      </c>
      <c r="T343" s="7">
        <f>IF(S343&gt;0,S343,R343)</f>
        <v>598.99</v>
      </c>
      <c r="U343" s="7">
        <v>1</v>
      </c>
      <c r="V343" s="7">
        <f>U343*SUM(R343:S343)</f>
        <v>598.99</v>
      </c>
      <c r="W343" s="7"/>
      <c r="X343" s="7">
        <f>IF(AD343&gt;AE343,0,IF(AF343&lt;AG343,P343,IF(AND(AF343&gt;=AG343,AF343&lt;=AE343),(P343-T343),IF(AND(AG343&lt;=AD343,AE343&gt;=AD343),0,IF(AF343&gt;AE343,((AG343-AD343)*12)*Q343,0)))))</f>
        <v>5091.415</v>
      </c>
      <c r="Y343" s="7">
        <f>X343*U343</f>
        <v>5091.415</v>
      </c>
      <c r="Z343" s="7">
        <v>1</v>
      </c>
      <c r="AA343" s="7">
        <f>Y343*Z343</f>
        <v>5091.415</v>
      </c>
      <c r="AB343" s="7">
        <f>IF(O343&gt;0,0,AA343+V343*Z343)*Z343</f>
        <v>5690.4049999999997</v>
      </c>
      <c r="AC343" s="7">
        <f>IF(O343&gt;0,(N343-AA343)/2,IF(AD343&gt;=AG343,(((N343*U343)*Z343)-AB343)/2,((((N343*U343)*Z343)-AA343)+(((N343*U343)*Z343)-AB343))/2))</f>
        <v>598.98999999999978</v>
      </c>
      <c r="AD343" s="7">
        <f>$E343+(($F343-1)/12)</f>
        <v>2008.5</v>
      </c>
      <c r="AE343" s="7">
        <f>($P$5+1)-($P$2/12)</f>
        <v>2018</v>
      </c>
      <c r="AF343" s="7">
        <f>$K343+(($F343-1)/12)</f>
        <v>2018.5</v>
      </c>
      <c r="AG343" s="7">
        <f>$P$4+($P$3/12)</f>
        <v>2017</v>
      </c>
      <c r="AH343" s="7">
        <f>$L343+(($M343-1)/12)</f>
        <v>-8.3333333333333329E-2</v>
      </c>
      <c r="AJ343" s="144">
        <f t="shared" si="844"/>
        <v>0</v>
      </c>
      <c r="AL343" s="144">
        <f t="shared" si="845"/>
        <v>598.99</v>
      </c>
      <c r="AN343" s="144">
        <f t="shared" si="846"/>
        <v>0</v>
      </c>
      <c r="AP343" s="144">
        <f t="shared" si="847"/>
        <v>0</v>
      </c>
      <c r="AR343" s="144">
        <f t="shared" si="848"/>
        <v>598.98999999999978</v>
      </c>
    </row>
    <row r="344" spans="1:44">
      <c r="C344" s="1">
        <v>100</v>
      </c>
      <c r="D344" s="54" t="s">
        <v>218</v>
      </c>
      <c r="E344" s="3">
        <v>2010</v>
      </c>
      <c r="F344" s="4">
        <v>8</v>
      </c>
      <c r="G344" s="30">
        <v>0</v>
      </c>
      <c r="H344" s="7"/>
      <c r="I344" s="14" t="s">
        <v>86</v>
      </c>
      <c r="J344" s="5">
        <v>10</v>
      </c>
      <c r="K344" s="13">
        <f>E344+J344</f>
        <v>2020</v>
      </c>
      <c r="N344" s="48">
        <v>5983.8</v>
      </c>
      <c r="P344" s="7">
        <f>N344-N344*G344</f>
        <v>5983.8</v>
      </c>
      <c r="Q344" s="7">
        <f>P344/J344/12</f>
        <v>49.865000000000002</v>
      </c>
      <c r="R344" s="7">
        <f>IF(O344&gt;0,0,IF(OR(AD344&gt;AE344,AF344&lt;AG344),0,IF(AND(AF344&gt;=AG344,AF344&lt;=AE344),Q344*((AF344-AG344)*12),IF(AND(AG344&lt;=AD344,AE344&gt;=AD344),((AE344-AD344)*12)*Q344,IF(AF344&gt;AE344,12*Q344,0)))))</f>
        <v>598.38</v>
      </c>
      <c r="T344" s="7">
        <f>IF(S344&gt;0,S344,R344)</f>
        <v>598.38</v>
      </c>
      <c r="U344" s="7">
        <v>1</v>
      </c>
      <c r="V344" s="7">
        <f>U344*SUM(R344:S344)</f>
        <v>598.38</v>
      </c>
      <c r="W344" s="7"/>
      <c r="X344" s="7">
        <f>IF(AD344&gt;AE344,0,IF(AF344&lt;AG344,P344,IF(AND(AF344&gt;=AG344,AF344&lt;=AE344),(P344-T344),IF(AND(AG344&lt;=AD344,AE344&gt;=AD344),0,IF(AF344&gt;AE344,((AG344-AD344)*12)*Q344,0)))))</f>
        <v>3839.6050000000455</v>
      </c>
      <c r="Y344" s="7">
        <f>X344*U344</f>
        <v>3839.6050000000455</v>
      </c>
      <c r="Z344" s="7">
        <v>1</v>
      </c>
      <c r="AA344" s="7">
        <f>Y344*Z344</f>
        <v>3839.6050000000455</v>
      </c>
      <c r="AB344" s="7">
        <f>IF(O344&gt;0,0,AA344+V344*Z344)*Z344</f>
        <v>4437.9850000000451</v>
      </c>
      <c r="AC344" s="7">
        <f>IF(O344&gt;0,(N344-AA344)/2,IF(AD344&gt;=AG344,(((N344*U344)*Z344)-AB344)/2,((((N344*U344)*Z344)-AA344)+(((N344*U344)*Z344)-AB344))/2))</f>
        <v>1845.0049999999549</v>
      </c>
      <c r="AD344" s="7">
        <f>$E344+(($F344-1)/12)</f>
        <v>2010.5833333333333</v>
      </c>
      <c r="AE344" s="7">
        <f>($P$5+1)-($P$2/12)</f>
        <v>2018</v>
      </c>
      <c r="AF344" s="7">
        <f>$K344+(($F344-1)/12)</f>
        <v>2020.5833333333333</v>
      </c>
      <c r="AG344" s="7">
        <f>$P$4+($P$3/12)</f>
        <v>2017</v>
      </c>
      <c r="AH344" s="7">
        <f>$L344+(($M344-1)/12)</f>
        <v>-8.3333333333333329E-2</v>
      </c>
      <c r="AJ344" s="144">
        <f t="shared" si="844"/>
        <v>0</v>
      </c>
      <c r="AL344" s="144">
        <f t="shared" si="845"/>
        <v>598.38</v>
      </c>
      <c r="AN344" s="144">
        <f t="shared" si="846"/>
        <v>0</v>
      </c>
      <c r="AP344" s="144">
        <f t="shared" si="847"/>
        <v>0</v>
      </c>
      <c r="AR344" s="144">
        <f t="shared" si="848"/>
        <v>1845.0049999999549</v>
      </c>
    </row>
    <row r="345" spans="1:44">
      <c r="D345" s="54"/>
      <c r="G345" s="30"/>
      <c r="H345" s="7"/>
      <c r="I345" s="14"/>
      <c r="K345" s="13"/>
      <c r="N345" s="48"/>
      <c r="P345" s="7"/>
      <c r="Q345" s="7"/>
      <c r="R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J345" s="144">
        <f t="shared" si="844"/>
        <v>0</v>
      </c>
      <c r="AL345" s="144">
        <f t="shared" si="845"/>
        <v>0</v>
      </c>
      <c r="AN345" s="144">
        <f t="shared" si="846"/>
        <v>0</v>
      </c>
      <c r="AP345" s="144">
        <f t="shared" si="847"/>
        <v>0</v>
      </c>
      <c r="AR345" s="144">
        <f t="shared" si="848"/>
        <v>0</v>
      </c>
    </row>
    <row r="346" spans="1:44">
      <c r="C346" s="1">
        <v>2</v>
      </c>
      <c r="D346" s="62" t="s">
        <v>175</v>
      </c>
      <c r="E346" s="3">
        <v>1996</v>
      </c>
      <c r="F346" s="4">
        <v>7</v>
      </c>
      <c r="G346" s="30">
        <v>0</v>
      </c>
      <c r="H346" s="7"/>
      <c r="I346" s="14" t="s">
        <v>86</v>
      </c>
      <c r="J346" s="5">
        <v>10</v>
      </c>
      <c r="K346" s="13">
        <f t="shared" ref="K346:K354" si="849">E346+J346</f>
        <v>2006</v>
      </c>
      <c r="N346" s="48">
        <v>5440</v>
      </c>
      <c r="P346" s="7">
        <f t="shared" ref="P346:P352" si="850">N346-N346*G346</f>
        <v>5440</v>
      </c>
      <c r="Q346" s="7">
        <f t="shared" ref="Q346:Q352" si="851">P346/J346/12</f>
        <v>45.333333333333336</v>
      </c>
      <c r="R346" s="7">
        <f t="shared" ref="R346:R352" si="852">IF(O346&gt;0,0,IF(OR(AD346&gt;AE346,AF346&lt;AG346),0,IF(AND(AF346&gt;=AG346,AF346&lt;=AE346),Q346*((AF346-AG346)*12),IF(AND(AG346&lt;=AD346,AE346&gt;=AD346),((AE346-AD346)*12)*Q346,IF(AF346&gt;AE346,12*Q346,0)))))</f>
        <v>0</v>
      </c>
      <c r="T346" s="7">
        <f t="shared" ref="T346:T352" si="853">IF(S346&gt;0,S346,R346)</f>
        <v>0</v>
      </c>
      <c r="U346" s="7">
        <v>1</v>
      </c>
      <c r="V346" s="7">
        <f t="shared" ref="V346:V352" si="854">U346*SUM(R346:S346)</f>
        <v>0</v>
      </c>
      <c r="W346" s="7"/>
      <c r="X346" s="7">
        <f t="shared" ref="X346:X352" si="855">IF(AD346&gt;AE346,0,IF(AF346&lt;AG346,P346,IF(AND(AF346&gt;=AG346,AF346&lt;=AE346),(P346-T346),IF(AND(AG346&lt;=AD346,AE346&gt;=AD346),0,IF(AF346&gt;AE346,((AG346-AD346)*12)*Q346,0)))))</f>
        <v>5440</v>
      </c>
      <c r="Y346" s="7">
        <f t="shared" ref="Y346:Y352" si="856">X346*U346</f>
        <v>5440</v>
      </c>
      <c r="Z346" s="7">
        <v>1</v>
      </c>
      <c r="AA346" s="7">
        <f t="shared" ref="AA346:AA352" si="857">Y346*Z346</f>
        <v>5440</v>
      </c>
      <c r="AB346" s="7">
        <f t="shared" ref="AB346:AB352" si="858">IF(O346&gt;0,0,AA346+V346*Z346)*Z346</f>
        <v>5440</v>
      </c>
      <c r="AC346" s="7">
        <f t="shared" ref="AC346:AC352" si="859">IF(O346&gt;0,(N346-AA346)/2,IF(AD346&gt;=AG346,(((N346*U346)*Z346)-AB346)/2,((((N346*U346)*Z346)-AA346)+(((N346*U346)*Z346)-AB346))/2))</f>
        <v>0</v>
      </c>
      <c r="AD346" s="7">
        <f t="shared" ref="AD346:AD354" si="860">$E346+(($F346-1)/12)</f>
        <v>1996.5</v>
      </c>
      <c r="AE346" s="7">
        <f t="shared" si="832"/>
        <v>2018</v>
      </c>
      <c r="AF346" s="7">
        <f t="shared" ref="AF346:AF354" si="861">$K346+(($F346-1)/12)</f>
        <v>2006.5</v>
      </c>
      <c r="AG346" s="7">
        <f t="shared" si="833"/>
        <v>2017</v>
      </c>
      <c r="AH346" s="7">
        <f t="shared" ref="AH346:AH354" si="862">$L346+(($M346-1)/12)</f>
        <v>-8.3333333333333329E-2</v>
      </c>
      <c r="AJ346" s="144">
        <f t="shared" si="844"/>
        <v>0</v>
      </c>
      <c r="AL346" s="144">
        <f t="shared" si="845"/>
        <v>0</v>
      </c>
      <c r="AN346" s="144">
        <f t="shared" si="846"/>
        <v>0</v>
      </c>
      <c r="AP346" s="144">
        <f t="shared" si="847"/>
        <v>0</v>
      </c>
      <c r="AR346" s="144">
        <f t="shared" si="848"/>
        <v>0</v>
      </c>
    </row>
    <row r="347" spans="1:44">
      <c r="C347" s="1">
        <v>5</v>
      </c>
      <c r="D347" s="56" t="s">
        <v>187</v>
      </c>
      <c r="E347" s="3">
        <v>2002</v>
      </c>
      <c r="F347" s="4">
        <v>12</v>
      </c>
      <c r="G347" s="30">
        <v>0</v>
      </c>
      <c r="H347" s="7"/>
      <c r="I347" s="14" t="s">
        <v>86</v>
      </c>
      <c r="J347" s="5">
        <v>10</v>
      </c>
      <c r="K347" s="13">
        <f t="shared" si="849"/>
        <v>2012</v>
      </c>
      <c r="N347" s="48">
        <f>16328/2</f>
        <v>8164</v>
      </c>
      <c r="P347" s="7">
        <f t="shared" si="850"/>
        <v>8164</v>
      </c>
      <c r="Q347" s="7">
        <f t="shared" si="851"/>
        <v>68.033333333333331</v>
      </c>
      <c r="R347" s="7">
        <f t="shared" si="852"/>
        <v>0</v>
      </c>
      <c r="T347" s="7">
        <f t="shared" si="853"/>
        <v>0</v>
      </c>
      <c r="U347" s="7">
        <v>1</v>
      </c>
      <c r="V347" s="7">
        <f t="shared" si="854"/>
        <v>0</v>
      </c>
      <c r="W347" s="7"/>
      <c r="X347" s="7">
        <f t="shared" si="855"/>
        <v>8164</v>
      </c>
      <c r="Y347" s="7">
        <f t="shared" si="856"/>
        <v>8164</v>
      </c>
      <c r="Z347" s="7">
        <v>1</v>
      </c>
      <c r="AA347" s="7">
        <f t="shared" si="857"/>
        <v>8164</v>
      </c>
      <c r="AB347" s="7">
        <f t="shared" si="858"/>
        <v>8164</v>
      </c>
      <c r="AC347" s="7">
        <f t="shared" si="859"/>
        <v>0</v>
      </c>
      <c r="AD347" s="7">
        <f t="shared" si="860"/>
        <v>2002.9166666666667</v>
      </c>
      <c r="AE347" s="7">
        <f t="shared" si="832"/>
        <v>2018</v>
      </c>
      <c r="AF347" s="7">
        <f t="shared" si="861"/>
        <v>2012.9166666666667</v>
      </c>
      <c r="AG347" s="7">
        <f t="shared" si="833"/>
        <v>2017</v>
      </c>
      <c r="AH347" s="7">
        <f t="shared" si="862"/>
        <v>-8.3333333333333329E-2</v>
      </c>
      <c r="AJ347" s="144">
        <f t="shared" si="844"/>
        <v>0</v>
      </c>
      <c r="AL347" s="144">
        <f t="shared" si="845"/>
        <v>0</v>
      </c>
      <c r="AN347" s="144">
        <f t="shared" si="846"/>
        <v>0</v>
      </c>
      <c r="AP347" s="144">
        <f t="shared" si="847"/>
        <v>0</v>
      </c>
      <c r="AR347" s="144">
        <f t="shared" si="848"/>
        <v>0</v>
      </c>
    </row>
    <row r="348" spans="1:44">
      <c r="C348" s="1">
        <v>2</v>
      </c>
      <c r="D348" s="56" t="s">
        <v>219</v>
      </c>
      <c r="E348" s="3">
        <v>2004</v>
      </c>
      <c r="F348" s="4">
        <v>10</v>
      </c>
      <c r="G348" s="30">
        <v>0</v>
      </c>
      <c r="H348" s="7"/>
      <c r="I348" s="14" t="s">
        <v>86</v>
      </c>
      <c r="J348" s="5">
        <v>10</v>
      </c>
      <c r="K348" s="13">
        <f t="shared" si="849"/>
        <v>2014</v>
      </c>
      <c r="N348" s="48">
        <v>7123</v>
      </c>
      <c r="P348" s="7">
        <f t="shared" si="850"/>
        <v>7123</v>
      </c>
      <c r="Q348" s="7">
        <f t="shared" si="851"/>
        <v>59.358333333333327</v>
      </c>
      <c r="R348" s="7">
        <f t="shared" si="852"/>
        <v>0</v>
      </c>
      <c r="T348" s="7">
        <f t="shared" si="853"/>
        <v>0</v>
      </c>
      <c r="U348" s="7">
        <v>1</v>
      </c>
      <c r="V348" s="7">
        <f t="shared" si="854"/>
        <v>0</v>
      </c>
      <c r="W348" s="7"/>
      <c r="X348" s="7">
        <f t="shared" si="855"/>
        <v>7123</v>
      </c>
      <c r="Y348" s="7">
        <f t="shared" si="856"/>
        <v>7123</v>
      </c>
      <c r="Z348" s="7">
        <v>1</v>
      </c>
      <c r="AA348" s="7">
        <f t="shared" si="857"/>
        <v>7123</v>
      </c>
      <c r="AB348" s="7">
        <f t="shared" si="858"/>
        <v>7123</v>
      </c>
      <c r="AC348" s="7">
        <f t="shared" si="859"/>
        <v>0</v>
      </c>
      <c r="AD348" s="7">
        <f t="shared" si="860"/>
        <v>2004.75</v>
      </c>
      <c r="AE348" s="7">
        <f t="shared" si="832"/>
        <v>2018</v>
      </c>
      <c r="AF348" s="7">
        <f t="shared" si="861"/>
        <v>2014.75</v>
      </c>
      <c r="AG348" s="7">
        <f t="shared" si="833"/>
        <v>2017</v>
      </c>
      <c r="AH348" s="7">
        <f t="shared" si="862"/>
        <v>-8.3333333333333329E-2</v>
      </c>
      <c r="AJ348" s="144">
        <f t="shared" si="844"/>
        <v>0</v>
      </c>
      <c r="AL348" s="144">
        <f t="shared" si="845"/>
        <v>0</v>
      </c>
      <c r="AN348" s="144">
        <f t="shared" si="846"/>
        <v>0</v>
      </c>
      <c r="AP348" s="144">
        <f t="shared" si="847"/>
        <v>0</v>
      </c>
      <c r="AR348" s="144">
        <f t="shared" si="848"/>
        <v>0</v>
      </c>
    </row>
    <row r="349" spans="1:44">
      <c r="C349" s="1">
        <v>1</v>
      </c>
      <c r="D349" s="56" t="s">
        <v>220</v>
      </c>
      <c r="E349" s="3">
        <v>2008</v>
      </c>
      <c r="F349" s="4">
        <v>6</v>
      </c>
      <c r="G349" s="30">
        <v>0</v>
      </c>
      <c r="H349" s="7"/>
      <c r="I349" s="14" t="s">
        <v>86</v>
      </c>
      <c r="J349" s="5">
        <v>10</v>
      </c>
      <c r="K349" s="13">
        <f t="shared" si="849"/>
        <v>2018</v>
      </c>
      <c r="N349" s="48">
        <v>4899</v>
      </c>
      <c r="P349" s="7">
        <f t="shared" si="850"/>
        <v>4899</v>
      </c>
      <c r="Q349" s="7">
        <f t="shared" si="851"/>
        <v>40.824999999999996</v>
      </c>
      <c r="R349" s="7">
        <f t="shared" si="852"/>
        <v>489.9</v>
      </c>
      <c r="T349" s="7">
        <f t="shared" si="853"/>
        <v>489.9</v>
      </c>
      <c r="U349" s="7">
        <v>1</v>
      </c>
      <c r="V349" s="7">
        <f t="shared" si="854"/>
        <v>489.9</v>
      </c>
      <c r="W349" s="7"/>
      <c r="X349" s="7">
        <f t="shared" si="855"/>
        <v>4204.9749999999622</v>
      </c>
      <c r="Y349" s="7">
        <f t="shared" si="856"/>
        <v>4204.9749999999622</v>
      </c>
      <c r="Z349" s="7">
        <v>1</v>
      </c>
      <c r="AA349" s="7">
        <f t="shared" si="857"/>
        <v>4204.9749999999622</v>
      </c>
      <c r="AB349" s="7">
        <f t="shared" si="858"/>
        <v>4694.8749999999618</v>
      </c>
      <c r="AC349" s="7">
        <f t="shared" si="859"/>
        <v>449.07500000003802</v>
      </c>
      <c r="AD349" s="7">
        <f t="shared" si="860"/>
        <v>2008.4166666666667</v>
      </c>
      <c r="AE349" s="7">
        <f t="shared" si="832"/>
        <v>2018</v>
      </c>
      <c r="AF349" s="7">
        <f t="shared" si="861"/>
        <v>2018.4166666666667</v>
      </c>
      <c r="AG349" s="7">
        <f t="shared" si="833"/>
        <v>2017</v>
      </c>
      <c r="AH349" s="7">
        <f t="shared" si="862"/>
        <v>-8.3333333333333329E-2</v>
      </c>
      <c r="AJ349" s="144">
        <f t="shared" si="844"/>
        <v>0</v>
      </c>
      <c r="AL349" s="144">
        <f t="shared" si="845"/>
        <v>489.9</v>
      </c>
      <c r="AN349" s="144">
        <f t="shared" si="846"/>
        <v>0</v>
      </c>
      <c r="AP349" s="144">
        <f t="shared" si="847"/>
        <v>0</v>
      </c>
      <c r="AR349" s="144">
        <f t="shared" si="848"/>
        <v>449.07500000003802</v>
      </c>
    </row>
    <row r="350" spans="1:44">
      <c r="C350" s="1">
        <v>3</v>
      </c>
      <c r="D350" s="56" t="s">
        <v>335</v>
      </c>
      <c r="E350" s="3">
        <v>2015</v>
      </c>
      <c r="F350" s="4">
        <v>11</v>
      </c>
      <c r="G350" s="30">
        <v>0</v>
      </c>
      <c r="H350" s="7"/>
      <c r="I350" s="14" t="s">
        <v>86</v>
      </c>
      <c r="J350" s="5">
        <v>10</v>
      </c>
      <c r="K350" s="13">
        <f t="shared" si="849"/>
        <v>2025</v>
      </c>
      <c r="N350" s="48">
        <v>17780</v>
      </c>
      <c r="P350" s="7">
        <f t="shared" si="850"/>
        <v>17780</v>
      </c>
      <c r="Q350" s="7">
        <f t="shared" si="851"/>
        <v>148.16666666666666</v>
      </c>
      <c r="R350" s="7">
        <f t="shared" si="852"/>
        <v>1778</v>
      </c>
      <c r="T350" s="7">
        <f t="shared" si="853"/>
        <v>1778</v>
      </c>
      <c r="U350" s="7">
        <v>1</v>
      </c>
      <c r="V350" s="7">
        <f t="shared" si="854"/>
        <v>1778</v>
      </c>
      <c r="W350" s="7"/>
      <c r="X350" s="7">
        <f t="shared" si="855"/>
        <v>2074.3333333334681</v>
      </c>
      <c r="Y350" s="7">
        <f t="shared" si="856"/>
        <v>2074.3333333334681</v>
      </c>
      <c r="Z350" s="7">
        <v>1</v>
      </c>
      <c r="AA350" s="7">
        <f t="shared" si="857"/>
        <v>2074.3333333334681</v>
      </c>
      <c r="AB350" s="7">
        <f t="shared" si="858"/>
        <v>3852.3333333334681</v>
      </c>
      <c r="AC350" s="7">
        <f t="shared" si="859"/>
        <v>14816.666666666531</v>
      </c>
      <c r="AD350" s="7">
        <f t="shared" si="860"/>
        <v>2015.8333333333333</v>
      </c>
      <c r="AE350" s="7">
        <f t="shared" si="832"/>
        <v>2018</v>
      </c>
      <c r="AF350" s="7">
        <f t="shared" si="861"/>
        <v>2025.8333333333333</v>
      </c>
      <c r="AG350" s="7">
        <f t="shared" si="833"/>
        <v>2017</v>
      </c>
      <c r="AH350" s="7">
        <f t="shared" si="862"/>
        <v>-8.3333333333333329E-2</v>
      </c>
      <c r="AJ350" s="144">
        <f t="shared" si="844"/>
        <v>0</v>
      </c>
      <c r="AL350" s="144">
        <f t="shared" si="845"/>
        <v>1778</v>
      </c>
      <c r="AN350" s="144">
        <f t="shared" si="846"/>
        <v>0</v>
      </c>
      <c r="AP350" s="144">
        <f t="shared" si="847"/>
        <v>0</v>
      </c>
      <c r="AR350" s="144">
        <f t="shared" si="848"/>
        <v>14816.666666666531</v>
      </c>
    </row>
    <row r="351" spans="1:44">
      <c r="D351" s="56"/>
      <c r="G351" s="30"/>
      <c r="H351" s="7"/>
      <c r="I351" s="14"/>
      <c r="K351" s="13"/>
      <c r="N351" s="48"/>
      <c r="P351" s="7"/>
      <c r="Q351" s="7"/>
      <c r="R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J351" s="144">
        <f t="shared" si="844"/>
        <v>0</v>
      </c>
      <c r="AL351" s="144">
        <f t="shared" si="845"/>
        <v>0</v>
      </c>
      <c r="AN351" s="144">
        <f t="shared" si="846"/>
        <v>0</v>
      </c>
      <c r="AP351" s="144">
        <f t="shared" si="847"/>
        <v>0</v>
      </c>
      <c r="AR351" s="144">
        <f t="shared" si="848"/>
        <v>0</v>
      </c>
    </row>
    <row r="352" spans="1:44">
      <c r="A352" s="1">
        <v>129381</v>
      </c>
      <c r="C352" s="1">
        <v>3</v>
      </c>
      <c r="D352" s="56" t="s">
        <v>335</v>
      </c>
      <c r="E352" s="3">
        <v>2016</v>
      </c>
      <c r="F352" s="4">
        <v>1</v>
      </c>
      <c r="G352" s="30">
        <v>0</v>
      </c>
      <c r="H352" s="7"/>
      <c r="I352" s="14" t="s">
        <v>86</v>
      </c>
      <c r="J352" s="5">
        <v>10</v>
      </c>
      <c r="K352" s="13">
        <f t="shared" si="849"/>
        <v>2026</v>
      </c>
      <c r="M352" s="1">
        <v>35560</v>
      </c>
      <c r="N352" s="55">
        <v>35560</v>
      </c>
      <c r="P352" s="7">
        <f t="shared" si="850"/>
        <v>35560</v>
      </c>
      <c r="Q352" s="7">
        <f t="shared" si="851"/>
        <v>296.33333333333331</v>
      </c>
      <c r="R352" s="7">
        <f t="shared" si="852"/>
        <v>3556</v>
      </c>
      <c r="T352" s="7">
        <f t="shared" si="853"/>
        <v>3556</v>
      </c>
      <c r="U352" s="7">
        <v>1</v>
      </c>
      <c r="V352" s="7">
        <f t="shared" si="854"/>
        <v>3556</v>
      </c>
      <c r="W352" s="7"/>
      <c r="X352" s="7">
        <f t="shared" si="855"/>
        <v>3556</v>
      </c>
      <c r="Y352" s="7">
        <f t="shared" si="856"/>
        <v>3556</v>
      </c>
      <c r="Z352" s="7">
        <v>1</v>
      </c>
      <c r="AA352" s="7">
        <f t="shared" si="857"/>
        <v>3556</v>
      </c>
      <c r="AB352" s="7">
        <f t="shared" si="858"/>
        <v>7112</v>
      </c>
      <c r="AC352" s="7">
        <f t="shared" si="859"/>
        <v>30226</v>
      </c>
      <c r="AD352" s="7">
        <f t="shared" si="860"/>
        <v>2016</v>
      </c>
      <c r="AE352" s="7">
        <f t="shared" si="832"/>
        <v>2018</v>
      </c>
      <c r="AF352" s="7">
        <f t="shared" si="861"/>
        <v>2026</v>
      </c>
      <c r="AG352" s="7">
        <f t="shared" si="833"/>
        <v>2017</v>
      </c>
      <c r="AH352" s="7">
        <f t="shared" si="862"/>
        <v>2963.25</v>
      </c>
      <c r="AJ352" s="144">
        <f t="shared" si="844"/>
        <v>0</v>
      </c>
      <c r="AL352" s="144">
        <f t="shared" si="845"/>
        <v>3556</v>
      </c>
      <c r="AN352" s="144">
        <f t="shared" si="846"/>
        <v>0</v>
      </c>
      <c r="AP352" s="144">
        <f t="shared" si="847"/>
        <v>0</v>
      </c>
      <c r="AR352" s="144">
        <f t="shared" si="848"/>
        <v>30226</v>
      </c>
    </row>
    <row r="353" spans="1:44">
      <c r="A353" s="1" t="s">
        <v>336</v>
      </c>
      <c r="C353" s="1">
        <v>18</v>
      </c>
      <c r="D353" s="56" t="s">
        <v>335</v>
      </c>
      <c r="E353" s="3">
        <v>2016</v>
      </c>
      <c r="F353" s="4">
        <v>2</v>
      </c>
      <c r="G353" s="30">
        <v>0</v>
      </c>
      <c r="H353" s="7"/>
      <c r="I353" s="14" t="s">
        <v>86</v>
      </c>
      <c r="J353" s="5">
        <v>10</v>
      </c>
      <c r="K353" s="13">
        <f t="shared" si="849"/>
        <v>2026</v>
      </c>
      <c r="N353" s="55">
        <f>17780+55830+6106.67+11853.33+19190</f>
        <v>110760</v>
      </c>
      <c r="P353" s="7">
        <f t="shared" ref="P353" si="863">N353-N353*G353</f>
        <v>110760</v>
      </c>
      <c r="Q353" s="7">
        <f t="shared" ref="Q353" si="864">P353/J353/12</f>
        <v>923</v>
      </c>
      <c r="R353" s="7">
        <f t="shared" ref="R353" si="865">IF(O353&gt;0,0,IF(OR(AD353&gt;AE353,AF353&lt;AG353),0,IF(AND(AF353&gt;=AG353,AF353&lt;=AE353),Q353*((AF353-AG353)*12),IF(AND(AG353&lt;=AD353,AE353&gt;=AD353),((AE353-AD353)*12)*Q353,IF(AF353&gt;AE353,12*Q353,0)))))</f>
        <v>11076</v>
      </c>
      <c r="T353" s="7">
        <f t="shared" ref="T353" si="866">IF(S353&gt;0,S353,R353)</f>
        <v>11076</v>
      </c>
      <c r="U353" s="7">
        <v>1</v>
      </c>
      <c r="V353" s="7">
        <f t="shared" ref="V353" si="867">U353*SUM(R353:S353)</f>
        <v>11076</v>
      </c>
      <c r="W353" s="7"/>
      <c r="X353" s="7">
        <f t="shared" ref="X353" si="868">IF(AD353&gt;AE353,0,IF(AF353&lt;AG353,P353,IF(AND(AF353&gt;=AG353,AF353&lt;=AE353),(P353-T353),IF(AND(AG353&lt;=AD353,AE353&gt;=AD353),0,IF(AF353&gt;AE353,((AG353-AD353)*12)*Q353,0)))))</f>
        <v>10153.00000000084</v>
      </c>
      <c r="Y353" s="7">
        <f t="shared" ref="Y353" si="869">X353*U353</f>
        <v>10153.00000000084</v>
      </c>
      <c r="Z353" s="7">
        <v>1</v>
      </c>
      <c r="AA353" s="7">
        <f t="shared" ref="AA353" si="870">Y353*Z353</f>
        <v>10153.00000000084</v>
      </c>
      <c r="AB353" s="7">
        <f t="shared" ref="AB353" si="871">IF(O353&gt;0,0,AA353+V353*Z353)*Z353</f>
        <v>21229.00000000084</v>
      </c>
      <c r="AC353" s="7">
        <f t="shared" ref="AC353" si="872">IF(O353&gt;0,(N353-AA353)/2,IF(AD353&gt;=AG353,(((N353*U353)*Z353)-AB353)/2,((((N353*U353)*Z353)-AA353)+(((N353*U353)*Z353)-AB353))/2))</f>
        <v>95068.999999999156</v>
      </c>
      <c r="AD353" s="7">
        <f t="shared" si="860"/>
        <v>2016.0833333333333</v>
      </c>
      <c r="AE353" s="7">
        <f t="shared" si="832"/>
        <v>2018</v>
      </c>
      <c r="AF353" s="7">
        <f t="shared" si="861"/>
        <v>2026.0833333333333</v>
      </c>
      <c r="AG353" s="7">
        <f t="shared" si="833"/>
        <v>2017</v>
      </c>
      <c r="AH353" s="7">
        <f t="shared" si="862"/>
        <v>-8.3333333333333329E-2</v>
      </c>
      <c r="AJ353" s="144">
        <f t="shared" si="844"/>
        <v>0</v>
      </c>
      <c r="AL353" s="144">
        <f t="shared" si="845"/>
        <v>11076</v>
      </c>
      <c r="AN353" s="144">
        <f t="shared" si="846"/>
        <v>0</v>
      </c>
      <c r="AP353" s="144">
        <f t="shared" si="847"/>
        <v>0</v>
      </c>
      <c r="AR353" s="144">
        <f t="shared" si="848"/>
        <v>95068.999999999156</v>
      </c>
    </row>
    <row r="354" spans="1:44">
      <c r="A354" s="1">
        <v>132005</v>
      </c>
      <c r="D354" s="56" t="s">
        <v>335</v>
      </c>
      <c r="E354" s="3">
        <v>2016</v>
      </c>
      <c r="F354" s="4">
        <v>1</v>
      </c>
      <c r="G354" s="30">
        <v>0</v>
      </c>
      <c r="H354" s="7"/>
      <c r="I354" s="14" t="s">
        <v>86</v>
      </c>
      <c r="J354" s="5">
        <v>10</v>
      </c>
      <c r="K354" s="13">
        <f t="shared" si="849"/>
        <v>2026</v>
      </c>
      <c r="N354" s="55">
        <v>17780</v>
      </c>
      <c r="P354" s="7">
        <f t="shared" ref="P354" si="873">N354-N354*G354</f>
        <v>17780</v>
      </c>
      <c r="Q354" s="7">
        <f t="shared" ref="Q354" si="874">P354/J354/12</f>
        <v>148.16666666666666</v>
      </c>
      <c r="R354" s="7">
        <f t="shared" ref="R354" si="875">IF(O354&gt;0,0,IF(OR(AD354&gt;AE354,AF354&lt;AG354),0,IF(AND(AF354&gt;=AG354,AF354&lt;=AE354),Q354*((AF354-AG354)*12),IF(AND(AG354&lt;=AD354,AE354&gt;=AD354),((AE354-AD354)*12)*Q354,IF(AF354&gt;AE354,12*Q354,0)))))</f>
        <v>1778</v>
      </c>
      <c r="T354" s="7">
        <f t="shared" ref="T354" si="876">IF(S354&gt;0,S354,R354)</f>
        <v>1778</v>
      </c>
      <c r="U354" s="7">
        <v>1</v>
      </c>
      <c r="V354" s="7">
        <f t="shared" ref="V354" si="877">U354*SUM(R354:S354)</f>
        <v>1778</v>
      </c>
      <c r="W354" s="7"/>
      <c r="X354" s="7">
        <f t="shared" ref="X354" si="878">IF(AD354&gt;AE354,0,IF(AF354&lt;AG354,P354,IF(AND(AF354&gt;=AG354,AF354&lt;=AE354),(P354-T354),IF(AND(AG354&lt;=AD354,AE354&gt;=AD354),0,IF(AF354&gt;AE354,((AG354-AD354)*12)*Q354,0)))))</f>
        <v>1778</v>
      </c>
      <c r="Y354" s="7">
        <f t="shared" ref="Y354" si="879">X354*U354</f>
        <v>1778</v>
      </c>
      <c r="Z354" s="7">
        <v>1</v>
      </c>
      <c r="AA354" s="7">
        <f t="shared" ref="AA354" si="880">Y354*Z354</f>
        <v>1778</v>
      </c>
      <c r="AB354" s="7">
        <f t="shared" ref="AB354" si="881">IF(O354&gt;0,0,AA354+V354*Z354)*Z354</f>
        <v>3556</v>
      </c>
      <c r="AC354" s="7">
        <f t="shared" ref="AC354" si="882">IF(O354&gt;0,(N354-AA354)/2,IF(AD354&gt;=AG354,(((N354*U354)*Z354)-AB354)/2,((((N354*U354)*Z354)-AA354)+(((N354*U354)*Z354)-AB354))/2))</f>
        <v>15113</v>
      </c>
      <c r="AD354" s="7">
        <f t="shared" si="860"/>
        <v>2016</v>
      </c>
      <c r="AE354" s="7">
        <f t="shared" si="832"/>
        <v>2018</v>
      </c>
      <c r="AF354" s="7">
        <f t="shared" si="861"/>
        <v>2026</v>
      </c>
      <c r="AG354" s="7">
        <f t="shared" si="833"/>
        <v>2017</v>
      </c>
      <c r="AH354" s="7">
        <f t="shared" si="862"/>
        <v>-8.3333333333333329E-2</v>
      </c>
      <c r="AJ354" s="144">
        <f t="shared" si="844"/>
        <v>0</v>
      </c>
      <c r="AL354" s="144">
        <f t="shared" si="845"/>
        <v>1778</v>
      </c>
      <c r="AN354" s="144">
        <f t="shared" si="846"/>
        <v>0</v>
      </c>
      <c r="AP354" s="144">
        <f t="shared" si="847"/>
        <v>0</v>
      </c>
      <c r="AR354" s="144">
        <f t="shared" si="848"/>
        <v>15113</v>
      </c>
    </row>
    <row r="355" spans="1:44">
      <c r="D355" s="54"/>
      <c r="G355" s="30"/>
      <c r="H355" s="7"/>
      <c r="I355" s="14"/>
      <c r="K355" s="13"/>
      <c r="N355" s="48"/>
      <c r="P355" s="7"/>
      <c r="Q355" s="7"/>
      <c r="R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44">
      <c r="C356" s="35"/>
      <c r="D356" s="53" t="s">
        <v>25</v>
      </c>
      <c r="H356" s="7"/>
      <c r="I356" s="14"/>
      <c r="K356" s="13"/>
      <c r="N356" s="108">
        <f>SUM(N342:N355)</f>
        <v>240064.7</v>
      </c>
      <c r="O356" s="106"/>
      <c r="P356" s="100">
        <f>SUM(P342:P355)</f>
        <v>240064.7</v>
      </c>
      <c r="Q356" s="100">
        <f>SUM(Q342:Q355)</f>
        <v>2000.5391666666667</v>
      </c>
      <c r="R356" s="100">
        <f>SUM(R342:R355)</f>
        <v>19875.27</v>
      </c>
      <c r="S356" s="100">
        <f>SUM(S342:S355)</f>
        <v>0</v>
      </c>
      <c r="T356" s="100">
        <f>SUM(T342:T355)</f>
        <v>19875.27</v>
      </c>
      <c r="U356" s="100"/>
      <c r="V356" s="100">
        <f t="shared" ref="V356:AC356" si="883">SUM(V342:V355)</f>
        <v>19875.27</v>
      </c>
      <c r="W356" s="100">
        <f t="shared" si="883"/>
        <v>0</v>
      </c>
      <c r="X356" s="100">
        <f t="shared" si="883"/>
        <v>72009.328333334313</v>
      </c>
      <c r="Y356" s="100">
        <f t="shared" si="883"/>
        <v>72009.328333334313</v>
      </c>
      <c r="Z356" s="100">
        <f t="shared" si="883"/>
        <v>11</v>
      </c>
      <c r="AA356" s="100">
        <f t="shared" si="883"/>
        <v>72009.328333334313</v>
      </c>
      <c r="AB356" s="100">
        <f t="shared" si="883"/>
        <v>91884.598333334317</v>
      </c>
      <c r="AC356" s="100">
        <f t="shared" si="883"/>
        <v>158117.73666666567</v>
      </c>
      <c r="AD356" s="105"/>
      <c r="AE356" s="105"/>
      <c r="AF356" s="105"/>
      <c r="AG356" s="105"/>
      <c r="AH356" s="105"/>
    </row>
    <row r="357" spans="1:44">
      <c r="C357" s="35"/>
      <c r="D357" s="53"/>
      <c r="H357" s="7"/>
      <c r="I357" s="14"/>
      <c r="K357" s="13"/>
      <c r="N357" s="59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7"/>
      <c r="AE357" s="7"/>
      <c r="AF357" s="7"/>
      <c r="AG357" s="7"/>
      <c r="AH357" s="7"/>
    </row>
    <row r="358" spans="1:44">
      <c r="C358" s="35"/>
      <c r="D358" s="53" t="s">
        <v>431</v>
      </c>
      <c r="H358" s="7"/>
      <c r="I358" s="14"/>
      <c r="K358" s="13"/>
      <c r="N358" s="59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7"/>
      <c r="AE358" s="7"/>
      <c r="AF358" s="7"/>
      <c r="AG358" s="7"/>
      <c r="AH358" s="7"/>
    </row>
    <row r="359" spans="1:44" s="109" customFormat="1">
      <c r="A359" s="109">
        <v>183698</v>
      </c>
      <c r="C359" s="109">
        <v>1120</v>
      </c>
      <c r="D359" s="130" t="s">
        <v>362</v>
      </c>
      <c r="E359" s="113">
        <v>2017</v>
      </c>
      <c r="F359" s="110">
        <v>6</v>
      </c>
      <c r="G359" s="114">
        <v>0</v>
      </c>
      <c r="H359" s="115"/>
      <c r="I359" s="116" t="s">
        <v>86</v>
      </c>
      <c r="J359" s="117">
        <v>5</v>
      </c>
      <c r="K359" s="118">
        <f>E359+J359</f>
        <v>2022</v>
      </c>
      <c r="N359" s="131">
        <v>30380</v>
      </c>
      <c r="P359" s="115">
        <f>N359-N359*G359</f>
        <v>30380</v>
      </c>
      <c r="Q359" s="115">
        <f>P359/J359/12</f>
        <v>506.33333333333331</v>
      </c>
      <c r="R359" s="115">
        <f t="shared" ref="R359" si="884">IF(O359&gt;0,0,IF(OR(AD359&gt;AE359,AF359&lt;AG359),0,IF(AND(AF359&gt;=AG359,AF359&lt;=AE359),Q359*((AF359-AG359)*12),IF(AND(AG359&lt;=AD359,AE359&gt;=AD359),((AE359-AD359)*12)*Q359,IF(AF359&gt;AE359,12*Q359,0)))))</f>
        <v>3544.3333333328728</v>
      </c>
      <c r="T359" s="115">
        <f t="shared" ref="T359" si="885">IF(S359&gt;0,S359,R359)</f>
        <v>3544.3333333328728</v>
      </c>
      <c r="U359" s="115">
        <v>1</v>
      </c>
      <c r="V359" s="115">
        <f t="shared" ref="V359" si="886">U359*SUM(R359:S359)</f>
        <v>3544.3333333328728</v>
      </c>
      <c r="W359" s="115"/>
      <c r="X359" s="115">
        <f t="shared" ref="X359" si="887">IF(AD359&gt;AE359,0,IF(AF359&lt;AG359,P359,IF(AND(AF359&gt;=AG359,AF359&lt;=AE359),(P359-T359),IF(AND(AG359&lt;=AD359,AE359&gt;=AD359),0,IF(AF359&gt;AE359,((AG359-AD359)*12)*Q359,0)))))</f>
        <v>0</v>
      </c>
      <c r="Y359" s="115">
        <f t="shared" ref="Y359" si="888">X359*U359</f>
        <v>0</v>
      </c>
      <c r="Z359" s="115">
        <v>1</v>
      </c>
      <c r="AA359" s="115">
        <f t="shared" ref="AA359" si="889">Y359*Z359</f>
        <v>0</v>
      </c>
      <c r="AB359" s="115">
        <f t="shared" ref="AB359" si="890">IF(O359&gt;0,0,AA359+V359*Z359)*Z359</f>
        <v>3544.3333333328728</v>
      </c>
      <c r="AC359" s="115">
        <f t="shared" ref="AC359" si="891">IF(O359&gt;0,(N359-AA359)/2,IF(AD359&gt;=AG359,(((N359*U359)*Z359)-AB359)/2,((((N359*U359)*Z359)-AA359)+(((N359*U359)*Z359)-AB359))/2))</f>
        <v>13417.833333333563</v>
      </c>
      <c r="AD359" s="115">
        <f>$E359+(($F359-1)/12)</f>
        <v>2017.4166666666667</v>
      </c>
      <c r="AE359" s="115">
        <f t="shared" si="783"/>
        <v>2018</v>
      </c>
      <c r="AF359" s="115">
        <f>$K359+(($F359-1)/12)</f>
        <v>2022.4166666666667</v>
      </c>
      <c r="AG359" s="115">
        <f t="shared" si="784"/>
        <v>2017</v>
      </c>
      <c r="AH359" s="115">
        <f>$L359+(($M359-1)/12)</f>
        <v>-8.3333333333333329E-2</v>
      </c>
      <c r="AJ359" s="144">
        <f t="shared" ref="AJ359:AJ362" si="892">+IF((AF359-AG359)&gt;3,((N359-P359)/(AF359-AG359)),(N359-P359)/3)</f>
        <v>0</v>
      </c>
      <c r="AK359" s="144"/>
      <c r="AL359" s="144">
        <f t="shared" ref="AL359:AL362" si="893">+AJ359+R359</f>
        <v>3544.3333333328728</v>
      </c>
      <c r="AM359" s="144"/>
      <c r="AN359" s="144">
        <f t="shared" ref="AN359:AN362" si="894">+IF(AF359&lt;AG359,-AC359,0)</f>
        <v>0</v>
      </c>
      <c r="AO359" s="144"/>
      <c r="AP359" s="144">
        <f t="shared" ref="AP359:AP362" si="895">+IF(AF359&gt;AG359,IF(AJ359&gt;0,IF(O359&gt;0,(N359-AA359)/2,IF(AD359&gt;=AG359,(((N359*U359)*Z359)-(AB359+AJ359))/2,((((N359*U359)*Z359)-AA359)+(((N359*U359)*Z359)-(AB359+AJ359)))/2)),0),0)</f>
        <v>0</v>
      </c>
      <c r="AQ359" s="144"/>
      <c r="AR359" s="144">
        <f t="shared" ref="AR359:AR362" si="896">+AC359+AN359+(IF(AP359&gt;0,(AP359-AC359),0))</f>
        <v>13417.833333333563</v>
      </c>
    </row>
    <row r="360" spans="1:44" s="109" customFormat="1">
      <c r="A360" s="109">
        <v>183694</v>
      </c>
      <c r="C360" s="109">
        <v>215</v>
      </c>
      <c r="D360" s="130" t="s">
        <v>367</v>
      </c>
      <c r="E360" s="113">
        <v>2017</v>
      </c>
      <c r="F360" s="110">
        <v>6</v>
      </c>
      <c r="G360" s="114">
        <v>0</v>
      </c>
      <c r="H360" s="115"/>
      <c r="I360" s="116" t="s">
        <v>86</v>
      </c>
      <c r="J360" s="117">
        <v>5</v>
      </c>
      <c r="K360" s="118">
        <f>E360+J360</f>
        <v>2022</v>
      </c>
      <c r="N360" s="131">
        <v>6415.06</v>
      </c>
      <c r="P360" s="115">
        <f>N360-N360*G360</f>
        <v>6415.06</v>
      </c>
      <c r="Q360" s="115">
        <f>P360/J360/12</f>
        <v>106.91766666666668</v>
      </c>
      <c r="R360" s="115">
        <f t="shared" ref="R360" si="897">IF(O360&gt;0,0,IF(OR(AD360&gt;AE360,AF360&lt;AG360),0,IF(AND(AF360&gt;=AG360,AF360&lt;=AE360),Q360*((AF360-AG360)*12),IF(AND(AG360&lt;=AD360,AE360&gt;=AD360),((AE360-AD360)*12)*Q360,IF(AF360&gt;AE360,12*Q360,0)))))</f>
        <v>748.42366666656949</v>
      </c>
      <c r="T360" s="115">
        <f t="shared" ref="T360" si="898">IF(S360&gt;0,S360,R360)</f>
        <v>748.42366666656949</v>
      </c>
      <c r="U360" s="115">
        <v>1</v>
      </c>
      <c r="V360" s="115">
        <f t="shared" ref="V360" si="899">U360*SUM(R360:S360)</f>
        <v>748.42366666656949</v>
      </c>
      <c r="W360" s="115"/>
      <c r="X360" s="115">
        <f t="shared" ref="X360" si="900">IF(AD360&gt;AE360,0,IF(AF360&lt;AG360,P360,IF(AND(AF360&gt;=AG360,AF360&lt;=AE360),(P360-T360),IF(AND(AG360&lt;=AD360,AE360&gt;=AD360),0,IF(AF360&gt;AE360,((AG360-AD360)*12)*Q360,0)))))</f>
        <v>0</v>
      </c>
      <c r="Y360" s="115">
        <f t="shared" ref="Y360" si="901">X360*U360</f>
        <v>0</v>
      </c>
      <c r="Z360" s="115">
        <v>1</v>
      </c>
      <c r="AA360" s="115">
        <f t="shared" ref="AA360" si="902">Y360*Z360</f>
        <v>0</v>
      </c>
      <c r="AB360" s="115">
        <f t="shared" ref="AB360" si="903">IF(O360&gt;0,0,AA360+V360*Z360)*Z360</f>
        <v>748.42366666656949</v>
      </c>
      <c r="AC360" s="115">
        <f t="shared" ref="AC360" si="904">IF(O360&gt;0,(N360-AA360)/2,IF(AD360&gt;=AG360,(((N360*U360)*Z360)-AB360)/2,((((N360*U360)*Z360)-AA360)+(((N360*U360)*Z360)-AB360))/2))</f>
        <v>2833.3181666667156</v>
      </c>
      <c r="AD360" s="115">
        <f>$E360+(($F360-1)/12)</f>
        <v>2017.4166666666667</v>
      </c>
      <c r="AE360" s="115">
        <f t="shared" si="783"/>
        <v>2018</v>
      </c>
      <c r="AF360" s="115">
        <f>$K360+(($F360-1)/12)</f>
        <v>2022.4166666666667</v>
      </c>
      <c r="AG360" s="115">
        <f t="shared" si="784"/>
        <v>2017</v>
      </c>
      <c r="AH360" s="115">
        <f>$L360+(($M360-1)/12)</f>
        <v>-8.3333333333333329E-2</v>
      </c>
      <c r="AJ360" s="144">
        <f t="shared" si="892"/>
        <v>0</v>
      </c>
      <c r="AK360" s="144"/>
      <c r="AL360" s="144">
        <f t="shared" si="893"/>
        <v>748.42366666656949</v>
      </c>
      <c r="AM360" s="144"/>
      <c r="AN360" s="144">
        <f t="shared" si="894"/>
        <v>0</v>
      </c>
      <c r="AO360" s="144"/>
      <c r="AP360" s="144">
        <f t="shared" si="895"/>
        <v>0</v>
      </c>
      <c r="AQ360" s="144"/>
      <c r="AR360" s="144">
        <f t="shared" si="896"/>
        <v>2833.3181666667156</v>
      </c>
    </row>
    <row r="361" spans="1:44" s="109" customFormat="1">
      <c r="A361" s="109">
        <v>183696</v>
      </c>
      <c r="C361" s="109">
        <v>1120</v>
      </c>
      <c r="D361" s="132" t="s">
        <v>363</v>
      </c>
      <c r="E361" s="113">
        <v>2017</v>
      </c>
      <c r="F361" s="110">
        <v>6</v>
      </c>
      <c r="G361" s="114">
        <v>0</v>
      </c>
      <c r="H361" s="115"/>
      <c r="I361" s="116" t="s">
        <v>86</v>
      </c>
      <c r="J361" s="117">
        <v>5</v>
      </c>
      <c r="K361" s="118">
        <f>E361+J361</f>
        <v>2022</v>
      </c>
      <c r="N361" s="131">
        <v>30380</v>
      </c>
      <c r="P361" s="115">
        <f>N361-N361*G361</f>
        <v>30380</v>
      </c>
      <c r="Q361" s="115">
        <f>P361/J361/12</f>
        <v>506.33333333333331</v>
      </c>
      <c r="R361" s="115">
        <f t="shared" ref="R361" si="905">IF(O361&gt;0,0,IF(OR(AD361&gt;AE361,AF361&lt;AG361),0,IF(AND(AF361&gt;=AG361,AF361&lt;=AE361),Q361*((AF361-AG361)*12),IF(AND(AG361&lt;=AD361,AE361&gt;=AD361),((AE361-AD361)*12)*Q361,IF(AF361&gt;AE361,12*Q361,0)))))</f>
        <v>3544.3333333328728</v>
      </c>
      <c r="T361" s="115">
        <f t="shared" ref="T361" si="906">IF(S361&gt;0,S361,R361)</f>
        <v>3544.3333333328728</v>
      </c>
      <c r="U361" s="115">
        <v>1</v>
      </c>
      <c r="V361" s="115">
        <f t="shared" ref="V361" si="907">U361*SUM(R361:S361)</f>
        <v>3544.3333333328728</v>
      </c>
      <c r="W361" s="115"/>
      <c r="X361" s="115">
        <f t="shared" ref="X361" si="908">IF(AD361&gt;AE361,0,IF(AF361&lt;AG361,P361,IF(AND(AF361&gt;=AG361,AF361&lt;=AE361),(P361-T361),IF(AND(AG361&lt;=AD361,AE361&gt;=AD361),0,IF(AF361&gt;AE361,((AG361-AD361)*12)*Q361,0)))))</f>
        <v>0</v>
      </c>
      <c r="Y361" s="115">
        <f t="shared" ref="Y361" si="909">X361*U361</f>
        <v>0</v>
      </c>
      <c r="Z361" s="115">
        <v>1</v>
      </c>
      <c r="AA361" s="115">
        <f t="shared" ref="AA361" si="910">Y361*Z361</f>
        <v>0</v>
      </c>
      <c r="AB361" s="115">
        <f t="shared" ref="AB361" si="911">IF(O361&gt;0,0,AA361+V361*Z361)*Z361</f>
        <v>3544.3333333328728</v>
      </c>
      <c r="AC361" s="115">
        <f t="shared" ref="AC361" si="912">IF(O361&gt;0,(N361-AA361)/2,IF(AD361&gt;=AG361,(((N361*U361)*Z361)-AB361)/2,((((N361*U361)*Z361)-AA361)+(((N361*U361)*Z361)-AB361))/2))</f>
        <v>13417.833333333563</v>
      </c>
      <c r="AD361" s="115">
        <f>$E361+(($F361-1)/12)</f>
        <v>2017.4166666666667</v>
      </c>
      <c r="AE361" s="115">
        <f t="shared" si="832"/>
        <v>2018</v>
      </c>
      <c r="AF361" s="115">
        <f>$K361+(($F361-1)/12)</f>
        <v>2022.4166666666667</v>
      </c>
      <c r="AG361" s="115">
        <f t="shared" si="833"/>
        <v>2017</v>
      </c>
      <c r="AH361" s="115">
        <f>$L361+(($M361-1)/12)</f>
        <v>-8.3333333333333329E-2</v>
      </c>
      <c r="AJ361" s="144">
        <f t="shared" si="892"/>
        <v>0</v>
      </c>
      <c r="AK361" s="144"/>
      <c r="AL361" s="144">
        <f t="shared" si="893"/>
        <v>3544.3333333328728</v>
      </c>
      <c r="AM361" s="144"/>
      <c r="AN361" s="144">
        <f t="shared" si="894"/>
        <v>0</v>
      </c>
      <c r="AO361" s="144"/>
      <c r="AP361" s="144">
        <f t="shared" si="895"/>
        <v>0</v>
      </c>
      <c r="AQ361" s="144"/>
      <c r="AR361" s="144">
        <f t="shared" si="896"/>
        <v>13417.833333333563</v>
      </c>
    </row>
    <row r="362" spans="1:44" s="109" customFormat="1">
      <c r="A362" s="109">
        <v>183689</v>
      </c>
      <c r="C362" s="109">
        <v>215</v>
      </c>
      <c r="D362" s="132" t="s">
        <v>374</v>
      </c>
      <c r="E362" s="113">
        <v>2017</v>
      </c>
      <c r="F362" s="110">
        <v>6</v>
      </c>
      <c r="G362" s="114">
        <v>0</v>
      </c>
      <c r="H362" s="115"/>
      <c r="I362" s="116" t="s">
        <v>86</v>
      </c>
      <c r="J362" s="117">
        <v>5</v>
      </c>
      <c r="K362" s="118">
        <f>E362+J362</f>
        <v>2022</v>
      </c>
      <c r="N362" s="131">
        <v>6415.06</v>
      </c>
      <c r="P362" s="115">
        <f>N362-N362*G362</f>
        <v>6415.06</v>
      </c>
      <c r="Q362" s="115">
        <f>P362/J362/12</f>
        <v>106.91766666666668</v>
      </c>
      <c r="R362" s="115">
        <f t="shared" ref="R362" si="913">IF(O362&gt;0,0,IF(OR(AD362&gt;AE362,AF362&lt;AG362),0,IF(AND(AF362&gt;=AG362,AF362&lt;=AE362),Q362*((AF362-AG362)*12),IF(AND(AG362&lt;=AD362,AE362&gt;=AD362),((AE362-AD362)*12)*Q362,IF(AF362&gt;AE362,12*Q362,0)))))</f>
        <v>748.42366666656949</v>
      </c>
      <c r="T362" s="115">
        <f t="shared" ref="T362" si="914">IF(S362&gt;0,S362,R362)</f>
        <v>748.42366666656949</v>
      </c>
      <c r="U362" s="115">
        <v>1</v>
      </c>
      <c r="V362" s="115">
        <f t="shared" ref="V362" si="915">U362*SUM(R362:S362)</f>
        <v>748.42366666656949</v>
      </c>
      <c r="W362" s="115"/>
      <c r="X362" s="115">
        <f t="shared" ref="X362" si="916">IF(AD362&gt;AE362,0,IF(AF362&lt;AG362,P362,IF(AND(AF362&gt;=AG362,AF362&lt;=AE362),(P362-T362),IF(AND(AG362&lt;=AD362,AE362&gt;=AD362),0,IF(AF362&gt;AE362,((AG362-AD362)*12)*Q362,0)))))</f>
        <v>0</v>
      </c>
      <c r="Y362" s="115">
        <f t="shared" ref="Y362" si="917">X362*U362</f>
        <v>0</v>
      </c>
      <c r="Z362" s="115">
        <v>1</v>
      </c>
      <c r="AA362" s="115">
        <f t="shared" ref="AA362" si="918">Y362*Z362</f>
        <v>0</v>
      </c>
      <c r="AB362" s="115">
        <f t="shared" ref="AB362" si="919">IF(O362&gt;0,0,AA362+V362*Z362)*Z362</f>
        <v>748.42366666656949</v>
      </c>
      <c r="AC362" s="115">
        <f t="shared" ref="AC362" si="920">IF(O362&gt;0,(N362-AA362)/2,IF(AD362&gt;=AG362,(((N362*U362)*Z362)-AB362)/2,((((N362*U362)*Z362)-AA362)+(((N362*U362)*Z362)-AB362))/2))</f>
        <v>2833.3181666667156</v>
      </c>
      <c r="AD362" s="115">
        <f>$E362+(($F362-1)/12)</f>
        <v>2017.4166666666667</v>
      </c>
      <c r="AE362" s="115">
        <f t="shared" si="832"/>
        <v>2018</v>
      </c>
      <c r="AF362" s="115">
        <f>$K362+(($F362-1)/12)</f>
        <v>2022.4166666666667</v>
      </c>
      <c r="AG362" s="115">
        <f t="shared" si="833"/>
        <v>2017</v>
      </c>
      <c r="AH362" s="115">
        <f>$L362+(($M362-1)/12)</f>
        <v>-8.3333333333333329E-2</v>
      </c>
      <c r="AJ362" s="144">
        <f t="shared" si="892"/>
        <v>0</v>
      </c>
      <c r="AK362" s="144"/>
      <c r="AL362" s="144">
        <f t="shared" si="893"/>
        <v>748.42366666656949</v>
      </c>
      <c r="AM362" s="144"/>
      <c r="AN362" s="144">
        <f t="shared" si="894"/>
        <v>0</v>
      </c>
      <c r="AO362" s="144"/>
      <c r="AP362" s="144">
        <f t="shared" si="895"/>
        <v>0</v>
      </c>
      <c r="AQ362" s="144"/>
      <c r="AR362" s="144">
        <f t="shared" si="896"/>
        <v>2833.3181666667156</v>
      </c>
    </row>
    <row r="363" spans="1:44">
      <c r="C363" s="35"/>
      <c r="D363" s="53"/>
      <c r="H363" s="7"/>
      <c r="I363" s="14"/>
      <c r="K363" s="13"/>
      <c r="N363" s="59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7"/>
      <c r="AE363" s="7"/>
      <c r="AF363" s="7"/>
      <c r="AG363" s="7"/>
      <c r="AH363" s="7"/>
    </row>
    <row r="364" spans="1:44">
      <c r="C364" s="35"/>
      <c r="D364" s="53"/>
      <c r="H364" s="7"/>
      <c r="I364" s="14"/>
      <c r="K364" s="13"/>
      <c r="N364" s="108">
        <f>+SUM(N359:N363)</f>
        <v>73590.12</v>
      </c>
      <c r="O364" s="106"/>
      <c r="P364" s="108">
        <f>+SUM(P359:P363)</f>
        <v>73590.12</v>
      </c>
      <c r="Q364" s="108">
        <f>+SUM(Q359:Q363)</f>
        <v>1226.502</v>
      </c>
      <c r="R364" s="108">
        <f>+SUM(R359:R363)</f>
        <v>8585.5139999988842</v>
      </c>
      <c r="S364" s="100"/>
      <c r="T364" s="108">
        <f>+SUM(T359:T363)</f>
        <v>8585.5139999988842</v>
      </c>
      <c r="U364" s="100"/>
      <c r="V364" s="108">
        <f>+SUM(V359:V363)</f>
        <v>8585.5139999988842</v>
      </c>
      <c r="W364" s="100"/>
      <c r="X364" s="108">
        <f t="shared" ref="X364:AC364" si="921">+SUM(X359:X363)</f>
        <v>0</v>
      </c>
      <c r="Y364" s="108">
        <f t="shared" si="921"/>
        <v>0</v>
      </c>
      <c r="Z364" s="108">
        <f t="shared" si="921"/>
        <v>4</v>
      </c>
      <c r="AA364" s="108">
        <f t="shared" si="921"/>
        <v>0</v>
      </c>
      <c r="AB364" s="108">
        <f t="shared" si="921"/>
        <v>8585.5139999988842</v>
      </c>
      <c r="AC364" s="108">
        <f t="shared" si="921"/>
        <v>32502.303000000556</v>
      </c>
      <c r="AD364" s="105"/>
      <c r="AE364" s="105"/>
      <c r="AF364" s="105"/>
      <c r="AG364" s="105"/>
      <c r="AH364" s="105"/>
      <c r="AJ364" s="140">
        <f t="shared" ref="AJ364:AR364" si="922">+SUM(AJ359:AJ363)</f>
        <v>0</v>
      </c>
      <c r="AK364" s="140">
        <f t="shared" si="922"/>
        <v>0</v>
      </c>
      <c r="AL364" s="140">
        <f t="shared" si="922"/>
        <v>8585.5139999988842</v>
      </c>
      <c r="AM364" s="140">
        <f t="shared" si="922"/>
        <v>0</v>
      </c>
      <c r="AN364" s="140">
        <f t="shared" si="922"/>
        <v>0</v>
      </c>
      <c r="AO364" s="140">
        <f t="shared" si="922"/>
        <v>0</v>
      </c>
      <c r="AP364" s="140">
        <f t="shared" si="922"/>
        <v>0</v>
      </c>
      <c r="AQ364" s="140">
        <f t="shared" si="922"/>
        <v>0</v>
      </c>
      <c r="AR364" s="140">
        <f t="shared" si="922"/>
        <v>32502.303000000556</v>
      </c>
    </row>
    <row r="365" spans="1:44">
      <c r="C365" s="35"/>
      <c r="D365" s="53"/>
      <c r="H365" s="7"/>
      <c r="I365" s="14"/>
      <c r="K365" s="13"/>
      <c r="N365" s="59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7"/>
      <c r="AE365" s="7"/>
      <c r="AF365" s="7"/>
      <c r="AG365" s="7"/>
      <c r="AH365" s="7"/>
    </row>
    <row r="366" spans="1:44">
      <c r="C366" s="35"/>
      <c r="D366" s="53" t="s">
        <v>365</v>
      </c>
      <c r="H366" s="7"/>
      <c r="I366" s="14"/>
      <c r="K366" s="13"/>
      <c r="N366" s="59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7"/>
      <c r="AE366" s="7"/>
      <c r="AF366" s="7"/>
      <c r="AG366" s="7"/>
      <c r="AH366" s="7"/>
    </row>
    <row r="369" spans="1:44">
      <c r="C369" s="35"/>
      <c r="D369" s="53"/>
      <c r="H369" s="7"/>
      <c r="I369" s="14"/>
      <c r="K369" s="13"/>
      <c r="N369" s="59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7"/>
      <c r="AE369" s="7"/>
      <c r="AF369" s="7"/>
      <c r="AG369" s="7"/>
      <c r="AH369" s="7"/>
    </row>
    <row r="370" spans="1:44">
      <c r="C370" s="35"/>
      <c r="D370" s="53"/>
      <c r="H370" s="7"/>
      <c r="I370" s="14"/>
      <c r="K370" s="13"/>
      <c r="N370" s="108">
        <f>+SUM(N367:N369)</f>
        <v>0</v>
      </c>
      <c r="O370" s="108">
        <f t="shared" ref="O370:AC370" si="923">+SUM(O367:O369)</f>
        <v>0</v>
      </c>
      <c r="P370" s="108">
        <f t="shared" si="923"/>
        <v>0</v>
      </c>
      <c r="Q370" s="108">
        <f t="shared" si="923"/>
        <v>0</v>
      </c>
      <c r="R370" s="108">
        <f t="shared" si="923"/>
        <v>0</v>
      </c>
      <c r="S370" s="108">
        <f t="shared" si="923"/>
        <v>0</v>
      </c>
      <c r="T370" s="108">
        <f t="shared" si="923"/>
        <v>0</v>
      </c>
      <c r="U370" s="108">
        <f t="shared" si="923"/>
        <v>0</v>
      </c>
      <c r="V370" s="108">
        <f t="shared" si="923"/>
        <v>0</v>
      </c>
      <c r="W370" s="108">
        <f t="shared" si="923"/>
        <v>0</v>
      </c>
      <c r="X370" s="108">
        <f t="shared" si="923"/>
        <v>0</v>
      </c>
      <c r="Y370" s="108">
        <f t="shared" si="923"/>
        <v>0</v>
      </c>
      <c r="Z370" s="108">
        <f t="shared" si="923"/>
        <v>0</v>
      </c>
      <c r="AA370" s="108">
        <f t="shared" si="923"/>
        <v>0</v>
      </c>
      <c r="AB370" s="108">
        <f t="shared" si="923"/>
        <v>0</v>
      </c>
      <c r="AC370" s="108">
        <f t="shared" si="923"/>
        <v>0</v>
      </c>
      <c r="AD370" s="105"/>
      <c r="AE370" s="105"/>
      <c r="AF370" s="105"/>
      <c r="AG370" s="105"/>
      <c r="AH370" s="105"/>
      <c r="AJ370" s="140">
        <f t="shared" ref="AJ370:AR370" si="924">+SUM(AJ367:AJ369)</f>
        <v>0</v>
      </c>
      <c r="AK370" s="140">
        <f t="shared" si="924"/>
        <v>0</v>
      </c>
      <c r="AL370" s="140">
        <f t="shared" si="924"/>
        <v>0</v>
      </c>
      <c r="AM370" s="140">
        <f t="shared" si="924"/>
        <v>0</v>
      </c>
      <c r="AN370" s="140">
        <f t="shared" si="924"/>
        <v>0</v>
      </c>
      <c r="AO370" s="140">
        <f t="shared" si="924"/>
        <v>0</v>
      </c>
      <c r="AP370" s="140">
        <f t="shared" si="924"/>
        <v>0</v>
      </c>
      <c r="AQ370" s="140">
        <f t="shared" si="924"/>
        <v>0</v>
      </c>
      <c r="AR370" s="140">
        <f t="shared" si="924"/>
        <v>0</v>
      </c>
    </row>
    <row r="371" spans="1:44">
      <c r="C371" s="35"/>
      <c r="D371" s="53" t="s">
        <v>364</v>
      </c>
      <c r="H371" s="7"/>
      <c r="I371" s="14"/>
      <c r="K371" s="13"/>
      <c r="N371" s="59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7"/>
      <c r="AE371" s="7"/>
      <c r="AF371" s="7"/>
      <c r="AG371" s="7"/>
      <c r="AH371" s="7"/>
    </row>
    <row r="372" spans="1:44" s="109" customFormat="1">
      <c r="A372" s="109">
        <v>183695</v>
      </c>
      <c r="C372" s="109">
        <v>1700</v>
      </c>
      <c r="D372" s="130" t="s">
        <v>366</v>
      </c>
      <c r="E372" s="113">
        <v>2017</v>
      </c>
      <c r="F372" s="110">
        <v>6</v>
      </c>
      <c r="G372" s="110">
        <v>0</v>
      </c>
      <c r="H372" s="115"/>
      <c r="I372" s="116" t="s">
        <v>86</v>
      </c>
      <c r="J372" s="117">
        <v>5</v>
      </c>
      <c r="K372" s="118">
        <f>E372+J372</f>
        <v>2022</v>
      </c>
      <c r="N372" s="131">
        <v>46112.5</v>
      </c>
      <c r="P372" s="115">
        <f>N372-N372*G372</f>
        <v>46112.5</v>
      </c>
      <c r="Q372" s="115">
        <f>P372/J372/12</f>
        <v>768.54166666666663</v>
      </c>
      <c r="R372" s="115">
        <f t="shared" ref="R372" si="925">IF(O372&gt;0,0,IF(OR(AD372&gt;AE372,AF372&lt;AG372),0,IF(AND(AF372&gt;=AG372,AF372&lt;=AE372),Q372*((AF372-AG372)*12),IF(AND(AG372&lt;=AD372,AE372&gt;=AD372),((AE372-AD372)*12)*Q372,IF(AF372&gt;AE372,12*Q372,0)))))</f>
        <v>5379.7916666659676</v>
      </c>
      <c r="T372" s="115">
        <f t="shared" ref="T372" si="926">IF(S372&gt;0,S372,R372)</f>
        <v>5379.7916666659676</v>
      </c>
      <c r="U372" s="115">
        <v>1</v>
      </c>
      <c r="V372" s="115">
        <f t="shared" ref="V372" si="927">U372*SUM(R372:S372)</f>
        <v>5379.7916666659676</v>
      </c>
      <c r="W372" s="115"/>
      <c r="X372" s="115">
        <f t="shared" ref="X372" si="928">IF(AD372&gt;AE372,0,IF(AF372&lt;AG372,P372,IF(AND(AF372&gt;=AG372,AF372&lt;=AE372),(P372-T372),IF(AND(AG372&lt;=AD372,AE372&gt;=AD372),0,IF(AF372&gt;AE372,((AG372-AD372)*12)*Q372,0)))))</f>
        <v>0</v>
      </c>
      <c r="Y372" s="115">
        <f t="shared" ref="Y372" si="929">X372*U372</f>
        <v>0</v>
      </c>
      <c r="Z372" s="115">
        <v>1</v>
      </c>
      <c r="AA372" s="115">
        <f t="shared" ref="AA372" si="930">Y372*Z372</f>
        <v>0</v>
      </c>
      <c r="AB372" s="115">
        <f t="shared" ref="AB372" si="931">IF(O372&gt;0,0,AA372+V372*Z372)*Z372</f>
        <v>5379.7916666659676</v>
      </c>
      <c r="AC372" s="115">
        <f t="shared" ref="AC372" si="932">IF(O372&gt;0,(N372-AA372)/2,IF(AD372&gt;=AG372,(((N372*U372)*Z372)-AB372)/2,((((N372*U372)*Z372)-AA372)+(((N372*U372)*Z372)-AB372))/2))</f>
        <v>20366.354166667017</v>
      </c>
      <c r="AD372" s="115">
        <f>$E372+(($F372-1)/12)</f>
        <v>2017.4166666666667</v>
      </c>
      <c r="AE372" s="115">
        <f t="shared" ref="AE372:AE375" si="933">($P$5+1)-($P$2/12)</f>
        <v>2018</v>
      </c>
      <c r="AF372" s="115">
        <f>$K372+(($F372-1)/12)</f>
        <v>2022.4166666666667</v>
      </c>
      <c r="AG372" s="115">
        <f t="shared" ref="AG372:AG375" si="934">$P$4+($P$3/12)</f>
        <v>2017</v>
      </c>
      <c r="AH372" s="115">
        <f>$L372+(($M372-1)/12)</f>
        <v>-8.3333333333333329E-2</v>
      </c>
      <c r="AJ372" s="144">
        <f t="shared" ref="AJ372:AJ375" si="935">+IF((AF372-AG372)&gt;3,((N372-P372)/(AF372-AG372)),(N372-P372)/3)</f>
        <v>0</v>
      </c>
      <c r="AK372" s="144"/>
      <c r="AL372" s="144">
        <f t="shared" ref="AL372:AL375" si="936">+AJ372+R372</f>
        <v>5379.7916666659676</v>
      </c>
      <c r="AM372" s="144"/>
      <c r="AN372" s="144">
        <f t="shared" ref="AN372:AN375" si="937">+IF(AF372&lt;AG372,-AC372,0)</f>
        <v>0</v>
      </c>
      <c r="AO372" s="144"/>
      <c r="AP372" s="144">
        <f t="shared" ref="AP372:AP375" si="938">+IF(AF372&gt;AG372,IF(AJ372&gt;0,IF(O372&gt;0,(N372-AA372)/2,IF(AD372&gt;=AG372,(((N372*U372)*Z372)-(AB372+AJ372))/2,((((N372*U372)*Z372)-AA372)+(((N372*U372)*Z372)-(AB372+AJ372)))/2)),0),0)</f>
        <v>0</v>
      </c>
      <c r="AQ372" s="144"/>
      <c r="AR372" s="144">
        <f t="shared" ref="AR372:AR375" si="939">+AC372+AN372+(IF(AP372&gt;0,(AP372-AC372),0))</f>
        <v>20366.354166667017</v>
      </c>
    </row>
    <row r="373" spans="1:44" s="109" customFormat="1">
      <c r="A373" s="109">
        <v>183693</v>
      </c>
      <c r="C373" s="109">
        <v>800</v>
      </c>
      <c r="D373" s="130" t="s">
        <v>368</v>
      </c>
      <c r="E373" s="113">
        <v>2017</v>
      </c>
      <c r="F373" s="110">
        <v>6</v>
      </c>
      <c r="G373" s="110">
        <v>0</v>
      </c>
      <c r="H373" s="115"/>
      <c r="I373" s="116" t="s">
        <v>86</v>
      </c>
      <c r="J373" s="117">
        <v>5</v>
      </c>
      <c r="K373" s="118">
        <f>E373+J373</f>
        <v>2022</v>
      </c>
      <c r="N373" s="131">
        <v>21700</v>
      </c>
      <c r="P373" s="115">
        <f>N373-N373*G373</f>
        <v>21700</v>
      </c>
      <c r="Q373" s="115">
        <f>P373/J373/12</f>
        <v>361.66666666666669</v>
      </c>
      <c r="R373" s="115">
        <f t="shared" ref="R373" si="940">IF(O373&gt;0,0,IF(OR(AD373&gt;AE373,AF373&lt;AG373),0,IF(AND(AF373&gt;=AG373,AF373&lt;=AE373),Q373*((AF373-AG373)*12),IF(AND(AG373&lt;=AD373,AE373&gt;=AD373),((AE373-AD373)*12)*Q373,IF(AF373&gt;AE373,12*Q373,0)))))</f>
        <v>2531.6666666663377</v>
      </c>
      <c r="T373" s="115">
        <f t="shared" ref="T373" si="941">IF(S373&gt;0,S373,R373)</f>
        <v>2531.6666666663377</v>
      </c>
      <c r="U373" s="115">
        <v>1</v>
      </c>
      <c r="V373" s="115">
        <f t="shared" ref="V373" si="942">U373*SUM(R373:S373)</f>
        <v>2531.6666666663377</v>
      </c>
      <c r="W373" s="115"/>
      <c r="X373" s="115">
        <f t="shared" ref="X373" si="943">IF(AD373&gt;AE373,0,IF(AF373&lt;AG373,P373,IF(AND(AF373&gt;=AG373,AF373&lt;=AE373),(P373-T373),IF(AND(AG373&lt;=AD373,AE373&gt;=AD373),0,IF(AF373&gt;AE373,((AG373-AD373)*12)*Q373,0)))))</f>
        <v>0</v>
      </c>
      <c r="Y373" s="115">
        <f t="shared" ref="Y373" si="944">X373*U373</f>
        <v>0</v>
      </c>
      <c r="Z373" s="115">
        <v>1</v>
      </c>
      <c r="AA373" s="115">
        <f t="shared" ref="AA373" si="945">Y373*Z373</f>
        <v>0</v>
      </c>
      <c r="AB373" s="115">
        <f t="shared" ref="AB373" si="946">IF(O373&gt;0,0,AA373+V373*Z373)*Z373</f>
        <v>2531.6666666663377</v>
      </c>
      <c r="AC373" s="115">
        <f t="shared" ref="AC373" si="947">IF(O373&gt;0,(N373-AA373)/2,IF(AD373&gt;=AG373,(((N373*U373)*Z373)-AB373)/2,((((N373*U373)*Z373)-AA373)+(((N373*U373)*Z373)-AB373))/2))</f>
        <v>9584.1666666668316</v>
      </c>
      <c r="AD373" s="115">
        <f>$E373+(($F373-1)/12)</f>
        <v>2017.4166666666667</v>
      </c>
      <c r="AE373" s="115">
        <f t="shared" si="933"/>
        <v>2018</v>
      </c>
      <c r="AF373" s="115">
        <f>$K373+(($F373-1)/12)</f>
        <v>2022.4166666666667</v>
      </c>
      <c r="AG373" s="115">
        <f t="shared" si="934"/>
        <v>2017</v>
      </c>
      <c r="AH373" s="115">
        <f>$L373+(($M373-1)/12)</f>
        <v>-8.3333333333333329E-2</v>
      </c>
      <c r="AJ373" s="144">
        <f t="shared" si="935"/>
        <v>0</v>
      </c>
      <c r="AK373" s="144"/>
      <c r="AL373" s="144">
        <f t="shared" si="936"/>
        <v>2531.6666666663377</v>
      </c>
      <c r="AM373" s="144"/>
      <c r="AN373" s="144">
        <f t="shared" si="937"/>
        <v>0</v>
      </c>
      <c r="AO373" s="144"/>
      <c r="AP373" s="144">
        <f t="shared" si="938"/>
        <v>0</v>
      </c>
      <c r="AQ373" s="144"/>
      <c r="AR373" s="144">
        <f t="shared" si="939"/>
        <v>9584.1666666668316</v>
      </c>
    </row>
    <row r="374" spans="1:44" s="109" customFormat="1">
      <c r="A374" s="109">
        <v>183692</v>
      </c>
      <c r="C374" s="109">
        <v>650</v>
      </c>
      <c r="D374" s="130" t="s">
        <v>369</v>
      </c>
      <c r="E374" s="113">
        <v>2017</v>
      </c>
      <c r="F374" s="110">
        <v>6</v>
      </c>
      <c r="G374" s="110">
        <v>0</v>
      </c>
      <c r="H374" s="115"/>
      <c r="I374" s="116" t="s">
        <v>86</v>
      </c>
      <c r="J374" s="117">
        <v>5</v>
      </c>
      <c r="K374" s="118">
        <f>E374+J374</f>
        <v>2022</v>
      </c>
      <c r="N374" s="131">
        <v>17631.25</v>
      </c>
      <c r="P374" s="115">
        <f>N374-N374*G374</f>
        <v>17631.25</v>
      </c>
      <c r="Q374" s="115">
        <f>P374/J374/12</f>
        <v>293.85416666666669</v>
      </c>
      <c r="R374" s="115">
        <f t="shared" ref="R374" si="948">IF(O374&gt;0,0,IF(OR(AD374&gt;AE374,AF374&lt;AG374),0,IF(AND(AF374&gt;=AG374,AF374&lt;=AE374),Q374*((AF374-AG374)*12),IF(AND(AG374&lt;=AD374,AE374&gt;=AD374),((AE374-AD374)*12)*Q374,IF(AF374&gt;AE374,12*Q374,0)))))</f>
        <v>2056.9791666663996</v>
      </c>
      <c r="T374" s="115">
        <f t="shared" ref="T374" si="949">IF(S374&gt;0,S374,R374)</f>
        <v>2056.9791666663996</v>
      </c>
      <c r="U374" s="115">
        <v>1</v>
      </c>
      <c r="V374" s="115">
        <f t="shared" ref="V374" si="950">U374*SUM(R374:S374)</f>
        <v>2056.9791666663996</v>
      </c>
      <c r="W374" s="115"/>
      <c r="X374" s="115">
        <f t="shared" ref="X374" si="951">IF(AD374&gt;AE374,0,IF(AF374&lt;AG374,P374,IF(AND(AF374&gt;=AG374,AF374&lt;=AE374),(P374-T374),IF(AND(AG374&lt;=AD374,AE374&gt;=AD374),0,IF(AF374&gt;AE374,((AG374-AD374)*12)*Q374,0)))))</f>
        <v>0</v>
      </c>
      <c r="Y374" s="115">
        <f t="shared" ref="Y374" si="952">X374*U374</f>
        <v>0</v>
      </c>
      <c r="Z374" s="115">
        <v>1</v>
      </c>
      <c r="AA374" s="115">
        <f t="shared" ref="AA374" si="953">Y374*Z374</f>
        <v>0</v>
      </c>
      <c r="AB374" s="115">
        <f t="shared" ref="AB374" si="954">IF(O374&gt;0,0,AA374+V374*Z374)*Z374</f>
        <v>2056.9791666663996</v>
      </c>
      <c r="AC374" s="115">
        <f t="shared" ref="AC374" si="955">IF(O374&gt;0,(N374-AA374)/2,IF(AD374&gt;=AG374,(((N374*U374)*Z374)-AB374)/2,((((N374*U374)*Z374)-AA374)+(((N374*U374)*Z374)-AB374))/2))</f>
        <v>7787.1354166668007</v>
      </c>
      <c r="AD374" s="115">
        <f>$E374+(($F374-1)/12)</f>
        <v>2017.4166666666667</v>
      </c>
      <c r="AE374" s="115">
        <f t="shared" si="933"/>
        <v>2018</v>
      </c>
      <c r="AF374" s="115">
        <f>$K374+(($F374-1)/12)</f>
        <v>2022.4166666666667</v>
      </c>
      <c r="AG374" s="115">
        <f t="shared" si="934"/>
        <v>2017</v>
      </c>
      <c r="AH374" s="115">
        <f>$L374+(($M374-1)/12)</f>
        <v>-8.3333333333333329E-2</v>
      </c>
      <c r="AJ374" s="144">
        <f t="shared" si="935"/>
        <v>0</v>
      </c>
      <c r="AK374" s="144"/>
      <c r="AL374" s="144">
        <f t="shared" si="936"/>
        <v>2056.9791666663996</v>
      </c>
      <c r="AM374" s="144"/>
      <c r="AN374" s="144">
        <f t="shared" si="937"/>
        <v>0</v>
      </c>
      <c r="AO374" s="144"/>
      <c r="AP374" s="144">
        <f t="shared" si="938"/>
        <v>0</v>
      </c>
      <c r="AQ374" s="144"/>
      <c r="AR374" s="144">
        <f t="shared" si="939"/>
        <v>7787.1354166668007</v>
      </c>
    </row>
    <row r="375" spans="1:44" s="109" customFormat="1">
      <c r="A375" s="109">
        <v>183697</v>
      </c>
      <c r="C375" s="109">
        <v>435</v>
      </c>
      <c r="D375" s="130" t="s">
        <v>389</v>
      </c>
      <c r="E375" s="113">
        <v>2017</v>
      </c>
      <c r="F375" s="110">
        <v>6</v>
      </c>
      <c r="G375" s="110">
        <v>0</v>
      </c>
      <c r="H375" s="115"/>
      <c r="I375" s="116" t="s">
        <v>86</v>
      </c>
      <c r="J375" s="117">
        <v>5</v>
      </c>
      <c r="K375" s="118">
        <f>E375+J375</f>
        <v>2022</v>
      </c>
      <c r="N375" s="131">
        <v>37975</v>
      </c>
      <c r="P375" s="115">
        <f>N375-N375*G375</f>
        <v>37975</v>
      </c>
      <c r="Q375" s="115">
        <f>P375/J375/12</f>
        <v>632.91666666666663</v>
      </c>
      <c r="R375" s="115">
        <f t="shared" ref="R375" si="956">IF(O375&gt;0,0,IF(OR(AD375&gt;AE375,AF375&lt;AG375),0,IF(AND(AF375&gt;=AG375,AF375&lt;=AE375),Q375*((AF375-AG375)*12),IF(AND(AG375&lt;=AD375,AE375&gt;=AD375),((AE375-AD375)*12)*Q375,IF(AF375&gt;AE375,12*Q375,0)))))</f>
        <v>4430.4166666660904</v>
      </c>
      <c r="T375" s="115">
        <f t="shared" ref="T375" si="957">IF(S375&gt;0,S375,R375)</f>
        <v>4430.4166666660904</v>
      </c>
      <c r="U375" s="115">
        <v>1</v>
      </c>
      <c r="V375" s="115">
        <f t="shared" ref="V375" si="958">U375*SUM(R375:S375)</f>
        <v>4430.4166666660904</v>
      </c>
      <c r="W375" s="115"/>
      <c r="X375" s="115">
        <f t="shared" ref="X375" si="959">IF(AD375&gt;AE375,0,IF(AF375&lt;AG375,P375,IF(AND(AF375&gt;=AG375,AF375&lt;=AE375),(P375-T375),IF(AND(AG375&lt;=AD375,AE375&gt;=AD375),0,IF(AF375&gt;AE375,((AG375-AD375)*12)*Q375,0)))))</f>
        <v>0</v>
      </c>
      <c r="Y375" s="115">
        <f t="shared" ref="Y375" si="960">X375*U375</f>
        <v>0</v>
      </c>
      <c r="Z375" s="115">
        <v>1</v>
      </c>
      <c r="AA375" s="115">
        <f t="shared" ref="AA375" si="961">Y375*Z375</f>
        <v>0</v>
      </c>
      <c r="AB375" s="115">
        <f t="shared" ref="AB375" si="962">IF(O375&gt;0,0,AA375+V375*Z375)*Z375</f>
        <v>4430.4166666660904</v>
      </c>
      <c r="AC375" s="115">
        <f t="shared" ref="AC375" si="963">IF(O375&gt;0,(N375-AA375)/2,IF(AD375&gt;=AG375,(((N375*U375)*Z375)-AB375)/2,((((N375*U375)*Z375)-AA375)+(((N375*U375)*Z375)-AB375))/2))</f>
        <v>16772.291666666955</v>
      </c>
      <c r="AD375" s="115">
        <f>$E375+(($F375-1)/12)</f>
        <v>2017.4166666666667</v>
      </c>
      <c r="AE375" s="115">
        <f t="shared" si="933"/>
        <v>2018</v>
      </c>
      <c r="AF375" s="115">
        <f>$K375+(($F375-1)/12)</f>
        <v>2022.4166666666667</v>
      </c>
      <c r="AG375" s="115">
        <f t="shared" si="934"/>
        <v>2017</v>
      </c>
      <c r="AH375" s="115">
        <f>$L375+(($M375-1)/12)</f>
        <v>-8.3333333333333329E-2</v>
      </c>
      <c r="AJ375" s="144">
        <f t="shared" si="935"/>
        <v>0</v>
      </c>
      <c r="AK375" s="144"/>
      <c r="AL375" s="144">
        <f t="shared" si="936"/>
        <v>4430.4166666660904</v>
      </c>
      <c r="AM375" s="144"/>
      <c r="AN375" s="144">
        <f t="shared" si="937"/>
        <v>0</v>
      </c>
      <c r="AO375" s="144"/>
      <c r="AP375" s="144">
        <f t="shared" si="938"/>
        <v>0</v>
      </c>
      <c r="AQ375" s="144"/>
      <c r="AR375" s="144">
        <f t="shared" si="939"/>
        <v>16772.291666666955</v>
      </c>
    </row>
    <row r="376" spans="1:44">
      <c r="C376" s="35"/>
      <c r="D376" s="53"/>
      <c r="H376" s="7"/>
      <c r="I376" s="14"/>
      <c r="K376" s="13"/>
      <c r="N376" s="59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7"/>
      <c r="AE376" s="7"/>
      <c r="AF376" s="7"/>
      <c r="AG376" s="7"/>
      <c r="AH376" s="7"/>
    </row>
    <row r="377" spans="1:44">
      <c r="C377" s="35"/>
      <c r="D377" s="53"/>
      <c r="H377" s="7"/>
      <c r="I377" s="14"/>
      <c r="K377" s="13"/>
      <c r="N377" s="108">
        <f>+SUM(N372:N376)</f>
        <v>123418.75</v>
      </c>
      <c r="O377" s="106"/>
      <c r="P377" s="108">
        <f>+SUM(P372:P376)</f>
        <v>123418.75</v>
      </c>
      <c r="Q377" s="108">
        <f>+SUM(Q372:Q376)</f>
        <v>2056.9791666666665</v>
      </c>
      <c r="R377" s="108">
        <f>+SUM(R372:R376)</f>
        <v>14398.854166664794</v>
      </c>
      <c r="S377" s="100"/>
      <c r="T377" s="108">
        <f>+SUM(T372:T376)</f>
        <v>14398.854166664794</v>
      </c>
      <c r="U377" s="100"/>
      <c r="V377" s="108">
        <f>+SUM(V372:V376)</f>
        <v>14398.854166664794</v>
      </c>
      <c r="W377" s="100"/>
      <c r="X377" s="108">
        <f t="shared" ref="X377:AC377" si="964">+SUM(X372:X376)</f>
        <v>0</v>
      </c>
      <c r="Y377" s="108">
        <f t="shared" si="964"/>
        <v>0</v>
      </c>
      <c r="Z377" s="108">
        <f t="shared" si="964"/>
        <v>4</v>
      </c>
      <c r="AA377" s="108">
        <f t="shared" si="964"/>
        <v>0</v>
      </c>
      <c r="AB377" s="108">
        <f t="shared" si="964"/>
        <v>14398.854166664794</v>
      </c>
      <c r="AC377" s="108">
        <f t="shared" si="964"/>
        <v>54509.947916667603</v>
      </c>
      <c r="AD377" s="105"/>
      <c r="AE377" s="105"/>
      <c r="AF377" s="105"/>
      <c r="AG377" s="105"/>
      <c r="AH377" s="105"/>
      <c r="AJ377" s="140">
        <f t="shared" ref="AJ377:AR377" si="965">+SUM(AJ372:AJ376)</f>
        <v>0</v>
      </c>
      <c r="AK377" s="140">
        <f t="shared" si="965"/>
        <v>0</v>
      </c>
      <c r="AL377" s="140">
        <f t="shared" si="965"/>
        <v>14398.854166664794</v>
      </c>
      <c r="AM377" s="140">
        <f t="shared" si="965"/>
        <v>0</v>
      </c>
      <c r="AN377" s="140">
        <f t="shared" si="965"/>
        <v>0</v>
      </c>
      <c r="AO377" s="140">
        <f t="shared" si="965"/>
        <v>0</v>
      </c>
      <c r="AP377" s="140">
        <f t="shared" si="965"/>
        <v>0</v>
      </c>
      <c r="AQ377" s="140">
        <f t="shared" si="965"/>
        <v>0</v>
      </c>
      <c r="AR377" s="140">
        <f t="shared" si="965"/>
        <v>54509.947916667603</v>
      </c>
    </row>
    <row r="378" spans="1:44">
      <c r="C378" s="35"/>
      <c r="D378" s="53"/>
      <c r="H378" s="7"/>
      <c r="I378" s="14"/>
      <c r="K378" s="13"/>
      <c r="N378" s="59"/>
      <c r="P378" s="59"/>
      <c r="Q378" s="59"/>
      <c r="R378" s="59"/>
      <c r="S378" s="38"/>
      <c r="T378" s="59"/>
      <c r="U378" s="38"/>
      <c r="V378" s="59"/>
      <c r="W378" s="38"/>
      <c r="X378" s="59"/>
      <c r="Y378" s="59"/>
      <c r="Z378" s="59"/>
      <c r="AA378" s="59"/>
      <c r="AB378" s="59"/>
      <c r="AC378" s="59"/>
      <c r="AD378" s="7"/>
      <c r="AE378" s="7"/>
      <c r="AF378" s="7"/>
      <c r="AG378" s="7"/>
      <c r="AH378" s="7"/>
    </row>
    <row r="379" spans="1:44">
      <c r="C379" s="35"/>
      <c r="D379" s="53" t="s">
        <v>370</v>
      </c>
      <c r="H379" s="7"/>
      <c r="I379" s="14"/>
      <c r="K379" s="13"/>
      <c r="N379" s="59"/>
      <c r="P379" s="59"/>
      <c r="Q379" s="59"/>
      <c r="R379" s="59"/>
      <c r="S379" s="38"/>
      <c r="T379" s="59"/>
      <c r="U379" s="38"/>
      <c r="V379" s="59"/>
      <c r="W379" s="38"/>
      <c r="X379" s="59"/>
      <c r="Y379" s="59"/>
      <c r="Z379" s="59"/>
      <c r="AA379" s="59"/>
      <c r="AB379" s="59"/>
      <c r="AC379" s="59"/>
      <c r="AD379" s="7"/>
      <c r="AE379" s="7"/>
      <c r="AF379" s="7"/>
      <c r="AG379" s="7"/>
      <c r="AH379" s="7"/>
    </row>
    <row r="380" spans="1:44" s="109" customFormat="1">
      <c r="A380" s="109">
        <v>183691</v>
      </c>
      <c r="C380" s="109">
        <v>550</v>
      </c>
      <c r="D380" s="130" t="s">
        <v>371</v>
      </c>
      <c r="E380" s="113">
        <v>2017</v>
      </c>
      <c r="F380" s="110">
        <v>6</v>
      </c>
      <c r="G380" s="110">
        <v>0</v>
      </c>
      <c r="H380" s="115"/>
      <c r="I380" s="116" t="s">
        <v>86</v>
      </c>
      <c r="J380" s="117">
        <v>5</v>
      </c>
      <c r="K380" s="118">
        <f>E380+J380</f>
        <v>2022</v>
      </c>
      <c r="N380" s="131">
        <v>16410.63</v>
      </c>
      <c r="P380" s="115">
        <f>N380-N380*G380</f>
        <v>16410.63</v>
      </c>
      <c r="Q380" s="115">
        <f>P380/J380/12</f>
        <v>273.51050000000004</v>
      </c>
      <c r="R380" s="115">
        <f t="shared" ref="R380" si="966">IF(O380&gt;0,0,IF(OR(AD380&gt;AE380,AF380&lt;AG380),0,IF(AND(AF380&gt;=AG380,AF380&lt;=AE380),Q380*((AF380-AG380)*12),IF(AND(AG380&lt;=AD380,AE380&gt;=AD380),((AE380-AD380)*12)*Q380,IF(AF380&gt;AE380,12*Q380,0)))))</f>
        <v>1914.5734999997514</v>
      </c>
      <c r="T380" s="115">
        <f t="shared" ref="T380" si="967">IF(S380&gt;0,S380,R380)</f>
        <v>1914.5734999997514</v>
      </c>
      <c r="U380" s="115">
        <v>1</v>
      </c>
      <c r="V380" s="115">
        <f t="shared" ref="V380" si="968">U380*SUM(R380:S380)</f>
        <v>1914.5734999997514</v>
      </c>
      <c r="W380" s="115"/>
      <c r="X380" s="115">
        <f t="shared" ref="X380" si="969">IF(AD380&gt;AE380,0,IF(AF380&lt;AG380,P380,IF(AND(AF380&gt;=AG380,AF380&lt;=AE380),(P380-T380),IF(AND(AG380&lt;=AD380,AE380&gt;=AD380),0,IF(AF380&gt;AE380,((AG380-AD380)*12)*Q380,0)))))</f>
        <v>0</v>
      </c>
      <c r="Y380" s="115">
        <f t="shared" ref="Y380" si="970">X380*U380</f>
        <v>0</v>
      </c>
      <c r="Z380" s="115">
        <v>1</v>
      </c>
      <c r="AA380" s="115">
        <f t="shared" ref="AA380" si="971">Y380*Z380</f>
        <v>0</v>
      </c>
      <c r="AB380" s="115">
        <f t="shared" ref="AB380" si="972">IF(O380&gt;0,0,AA380+V380*Z380)*Z380</f>
        <v>1914.5734999997514</v>
      </c>
      <c r="AC380" s="115">
        <f t="shared" ref="AC380" si="973">IF(O380&gt;0,(N380-AA380)/2,IF(AD380&gt;=AG380,(((N380*U380)*Z380)-AB380)/2,((((N380*U380)*Z380)-AA380)+(((N380*U380)*Z380)-AB380))/2))</f>
        <v>7248.0282500001249</v>
      </c>
      <c r="AD380" s="115">
        <f>$E380+(($F380-1)/12)</f>
        <v>2017.4166666666667</v>
      </c>
      <c r="AE380" s="115">
        <f t="shared" ref="AE380" si="974">($P$5+1)-($P$2/12)</f>
        <v>2018</v>
      </c>
      <c r="AF380" s="115">
        <f>$K380+(($F380-1)/12)</f>
        <v>2022.4166666666667</v>
      </c>
      <c r="AG380" s="115">
        <f t="shared" ref="AG380" si="975">$P$4+($P$3/12)</f>
        <v>2017</v>
      </c>
      <c r="AH380" s="115">
        <f>$L380+(($M380-1)/12)</f>
        <v>-8.3333333333333329E-2</v>
      </c>
      <c r="AJ380" s="144">
        <f t="shared" ref="AJ380" si="976">+IF((AF380-AG380)&gt;3,((N380-P380)/(AF380-AG380)),(N380-P380)/3)</f>
        <v>0</v>
      </c>
      <c r="AK380" s="144"/>
      <c r="AL380" s="144">
        <f t="shared" ref="AL380" si="977">+AJ380+R380</f>
        <v>1914.5734999997514</v>
      </c>
      <c r="AM380" s="144"/>
      <c r="AN380" s="144">
        <f t="shared" ref="AN380" si="978">+IF(AF380&lt;AG380,-AC380,0)</f>
        <v>0</v>
      </c>
      <c r="AO380" s="144"/>
      <c r="AP380" s="144">
        <f t="shared" ref="AP380" si="979">+IF(AF380&gt;AG380,IF(AJ380&gt;0,IF(O380&gt;0,(N380-AA380)/2,IF(AD380&gt;=AG380,(((N380*U380)*Z380)-(AB380+AJ380))/2,((((N380*U380)*Z380)-AA380)+(((N380*U380)*Z380)-(AB380+AJ380)))/2)),0),0)</f>
        <v>0</v>
      </c>
      <c r="AQ380" s="144"/>
      <c r="AR380" s="144">
        <f>+AC380+AN380+(IF(AP380&gt;0,(AP380-AC380),0))</f>
        <v>7248.0282500001249</v>
      </c>
    </row>
    <row r="381" spans="1:44" s="121" customFormat="1">
      <c r="D381" s="122"/>
      <c r="E381" s="123"/>
      <c r="F381" s="124"/>
      <c r="G381" s="124"/>
      <c r="H381" s="125"/>
      <c r="I381" s="126"/>
      <c r="J381" s="127"/>
      <c r="K381" s="128"/>
      <c r="N381" s="129"/>
      <c r="P381" s="125"/>
      <c r="Q381" s="125"/>
      <c r="R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J381" s="139"/>
      <c r="AK381" s="139"/>
      <c r="AL381" s="139"/>
      <c r="AM381" s="139"/>
      <c r="AN381" s="139"/>
      <c r="AO381" s="139"/>
      <c r="AP381" s="139"/>
      <c r="AQ381" s="139"/>
      <c r="AR381" s="139"/>
    </row>
    <row r="382" spans="1:44">
      <c r="C382" s="35"/>
      <c r="D382" s="53"/>
      <c r="H382" s="7"/>
      <c r="I382" s="14"/>
      <c r="K382" s="13"/>
      <c r="N382" s="108">
        <f>+SUM(N380:N381)</f>
        <v>16410.63</v>
      </c>
      <c r="O382" s="106"/>
      <c r="P382" s="108">
        <f>+SUM(P380:P381)</f>
        <v>16410.63</v>
      </c>
      <c r="Q382" s="108">
        <f>+SUM(Q380:Q381)</f>
        <v>273.51050000000004</v>
      </c>
      <c r="R382" s="108">
        <f>+SUM(R380:R381)</f>
        <v>1914.5734999997514</v>
      </c>
      <c r="S382" s="100"/>
      <c r="T382" s="108">
        <f>+SUM(T380:T381)</f>
        <v>1914.5734999997514</v>
      </c>
      <c r="U382" s="100"/>
      <c r="V382" s="108">
        <f>+SUM(V380:V381)</f>
        <v>1914.5734999997514</v>
      </c>
      <c r="W382" s="100"/>
      <c r="X382" s="108">
        <f t="shared" ref="X382:AC382" si="980">+SUM(X380:X381)</f>
        <v>0</v>
      </c>
      <c r="Y382" s="108">
        <f t="shared" si="980"/>
        <v>0</v>
      </c>
      <c r="Z382" s="108">
        <f t="shared" si="980"/>
        <v>1</v>
      </c>
      <c r="AA382" s="108">
        <f t="shared" si="980"/>
        <v>0</v>
      </c>
      <c r="AB382" s="108">
        <f t="shared" si="980"/>
        <v>1914.5734999997514</v>
      </c>
      <c r="AC382" s="108">
        <f t="shared" si="980"/>
        <v>7248.0282500001249</v>
      </c>
      <c r="AD382" s="105"/>
      <c r="AE382" s="105"/>
      <c r="AF382" s="105"/>
      <c r="AG382" s="105"/>
      <c r="AH382" s="105"/>
      <c r="AJ382" s="108">
        <f t="shared" ref="AJ382:AR382" si="981">+SUM(AJ380:AJ381)</f>
        <v>0</v>
      </c>
      <c r="AK382" s="108">
        <f t="shared" si="981"/>
        <v>0</v>
      </c>
      <c r="AL382" s="108">
        <f t="shared" si="981"/>
        <v>1914.5734999997514</v>
      </c>
      <c r="AM382" s="108">
        <f t="shared" si="981"/>
        <v>0</v>
      </c>
      <c r="AN382" s="108">
        <f t="shared" si="981"/>
        <v>0</v>
      </c>
      <c r="AO382" s="108">
        <f t="shared" si="981"/>
        <v>0</v>
      </c>
      <c r="AP382" s="108">
        <f t="shared" si="981"/>
        <v>0</v>
      </c>
      <c r="AQ382" s="108">
        <f t="shared" si="981"/>
        <v>0</v>
      </c>
      <c r="AR382" s="108">
        <f t="shared" si="981"/>
        <v>7248.0282500001249</v>
      </c>
    </row>
    <row r="383" spans="1:44">
      <c r="C383" s="35"/>
      <c r="D383" s="53"/>
      <c r="H383" s="7"/>
      <c r="I383" s="14"/>
      <c r="K383" s="13"/>
      <c r="N383" s="59"/>
      <c r="P383" s="59"/>
      <c r="Q383" s="59"/>
      <c r="R383" s="59"/>
      <c r="S383" s="38"/>
      <c r="T383" s="59"/>
      <c r="U383" s="38"/>
      <c r="V383" s="59"/>
      <c r="W383" s="38"/>
      <c r="X383" s="59"/>
      <c r="Y383" s="59"/>
      <c r="Z383" s="59"/>
      <c r="AA383" s="59"/>
      <c r="AB383" s="59"/>
      <c r="AC383" s="59"/>
      <c r="AD383" s="7"/>
      <c r="AE383" s="7"/>
      <c r="AF383" s="7"/>
      <c r="AG383" s="7"/>
      <c r="AH383" s="7"/>
    </row>
    <row r="384" spans="1:44">
      <c r="C384" s="35"/>
      <c r="D384" s="53" t="s">
        <v>372</v>
      </c>
      <c r="H384" s="7"/>
      <c r="I384" s="14"/>
      <c r="K384" s="13"/>
      <c r="N384" s="59"/>
      <c r="P384" s="59"/>
      <c r="Q384" s="59"/>
      <c r="R384" s="59"/>
      <c r="S384" s="38"/>
      <c r="T384" s="59"/>
      <c r="U384" s="38"/>
      <c r="V384" s="59"/>
      <c r="W384" s="38"/>
      <c r="X384" s="59"/>
      <c r="Y384" s="59"/>
      <c r="Z384" s="59"/>
      <c r="AA384" s="59"/>
      <c r="AB384" s="59"/>
      <c r="AC384" s="59"/>
      <c r="AD384" s="7"/>
      <c r="AE384" s="7"/>
      <c r="AF384" s="7"/>
      <c r="AG384" s="7"/>
      <c r="AH384" s="7"/>
    </row>
    <row r="385" spans="1:44" s="109" customFormat="1">
      <c r="A385" s="109">
        <v>183690</v>
      </c>
      <c r="C385" s="109">
        <v>4</v>
      </c>
      <c r="D385" s="130" t="s">
        <v>373</v>
      </c>
      <c r="E385" s="113">
        <v>2017</v>
      </c>
      <c r="F385" s="110">
        <v>6</v>
      </c>
      <c r="G385" s="110">
        <v>0</v>
      </c>
      <c r="H385" s="115"/>
      <c r="I385" s="116" t="s">
        <v>86</v>
      </c>
      <c r="J385" s="117">
        <v>7</v>
      </c>
      <c r="K385" s="118">
        <f>E385+J385</f>
        <v>2024</v>
      </c>
      <c r="N385" s="131">
        <v>24000</v>
      </c>
      <c r="P385" s="115">
        <f>N385-N385*G385</f>
        <v>24000</v>
      </c>
      <c r="Q385" s="115">
        <f>P385/J385/12</f>
        <v>285.71428571428572</v>
      </c>
      <c r="R385" s="115">
        <f t="shared" ref="R385" si="982">IF(O385&gt;0,0,IF(OR(AD385&gt;AE385,AF385&lt;AG385),0,IF(AND(AF385&gt;=AG385,AF385&lt;=AE385),Q385*((AF385-AG385)*12),IF(AND(AG385&lt;=AD385,AE385&gt;=AD385),((AE385-AD385)*12)*Q385,IF(AF385&gt;AE385,12*Q385,0)))))</f>
        <v>1999.9999999997401</v>
      </c>
      <c r="T385" s="115">
        <f t="shared" ref="T385" si="983">IF(S385&gt;0,S385,R385)</f>
        <v>1999.9999999997401</v>
      </c>
      <c r="U385" s="115">
        <v>1</v>
      </c>
      <c r="V385" s="115">
        <f t="shared" ref="V385" si="984">U385*SUM(R385:S385)</f>
        <v>1999.9999999997401</v>
      </c>
      <c r="W385" s="115"/>
      <c r="X385" s="115">
        <f t="shared" ref="X385" si="985">IF(AD385&gt;AE385,0,IF(AF385&lt;AG385,P385,IF(AND(AF385&gt;=AG385,AF385&lt;=AE385),(P385-T385),IF(AND(AG385&lt;=AD385,AE385&gt;=AD385),0,IF(AF385&gt;AE385,((AG385-AD385)*12)*Q385,0)))))</f>
        <v>0</v>
      </c>
      <c r="Y385" s="115">
        <f t="shared" ref="Y385" si="986">X385*U385</f>
        <v>0</v>
      </c>
      <c r="Z385" s="115">
        <v>1</v>
      </c>
      <c r="AA385" s="115">
        <f t="shared" ref="AA385" si="987">Y385*Z385</f>
        <v>0</v>
      </c>
      <c r="AB385" s="115">
        <f t="shared" ref="AB385" si="988">IF(O385&gt;0,0,AA385+V385*Z385)*Z385</f>
        <v>1999.9999999997401</v>
      </c>
      <c r="AC385" s="115">
        <f t="shared" ref="AC385" si="989">IF(O385&gt;0,(N385-AA385)/2,IF(AD385&gt;=AG385,(((N385*U385)*Z385)-AB385)/2,((((N385*U385)*Z385)-AA385)+(((N385*U385)*Z385)-AB385))/2))</f>
        <v>11000.000000000129</v>
      </c>
      <c r="AD385" s="115">
        <f>$E385+(($F385-1)/12)</f>
        <v>2017.4166666666667</v>
      </c>
      <c r="AE385" s="115">
        <f t="shared" ref="AE385" si="990">($P$5+1)-($P$2/12)</f>
        <v>2018</v>
      </c>
      <c r="AF385" s="115">
        <f>$K385+(($F385-1)/12)</f>
        <v>2024.4166666666667</v>
      </c>
      <c r="AG385" s="115">
        <f t="shared" ref="AG385" si="991">$P$4+($P$3/12)</f>
        <v>2017</v>
      </c>
      <c r="AH385" s="115">
        <f>$L385+(($M385-1)/12)</f>
        <v>-8.3333333333333329E-2</v>
      </c>
      <c r="AJ385" s="144">
        <f t="shared" ref="AJ385" si="992">+IF((AF385-AG385)&gt;3,((N385-P385)/(AF385-AG385)),(N385-P385)/3)</f>
        <v>0</v>
      </c>
      <c r="AK385" s="144"/>
      <c r="AL385" s="144">
        <f t="shared" ref="AL385" si="993">+AJ385+R385</f>
        <v>1999.9999999997401</v>
      </c>
      <c r="AM385" s="144"/>
      <c r="AN385" s="144">
        <f t="shared" ref="AN385" si="994">+IF(AF385&lt;AG385,-AC385,0)</f>
        <v>0</v>
      </c>
      <c r="AO385" s="144"/>
      <c r="AP385" s="144">
        <f t="shared" ref="AP385" si="995">+IF(AF385&gt;AG385,IF(AJ385&gt;0,IF(O385&gt;0,(N385-AA385)/2,IF(AD385&gt;=AG385,(((N385*U385)*Z385)-(AB385+AJ385))/2,((((N385*U385)*Z385)-AA385)+(((N385*U385)*Z385)-(AB385+AJ385)))/2)),0),0)</f>
        <v>0</v>
      </c>
      <c r="AQ385" s="144"/>
      <c r="AR385" s="144">
        <f>+AC385+AN385+(IF(AP385&gt;0,(AP385-AC385),0))</f>
        <v>11000.000000000129</v>
      </c>
    </row>
    <row r="386" spans="1:44" s="121" customFormat="1">
      <c r="D386" s="122"/>
      <c r="E386" s="123"/>
      <c r="F386" s="124"/>
      <c r="G386" s="124"/>
      <c r="H386" s="125"/>
      <c r="I386" s="126"/>
      <c r="J386" s="127"/>
      <c r="K386" s="128"/>
      <c r="N386" s="129"/>
      <c r="P386" s="125"/>
      <c r="Q386" s="125"/>
      <c r="R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J386" s="139"/>
      <c r="AK386" s="139"/>
      <c r="AL386" s="139"/>
      <c r="AM386" s="139"/>
      <c r="AN386" s="139"/>
      <c r="AO386" s="139"/>
      <c r="AP386" s="139"/>
      <c r="AQ386" s="139"/>
      <c r="AR386" s="139"/>
    </row>
    <row r="387" spans="1:44">
      <c r="C387" s="35"/>
      <c r="D387" s="53"/>
      <c r="H387" s="7"/>
      <c r="I387" s="14"/>
      <c r="K387" s="13"/>
      <c r="N387" s="108">
        <f>+SUM(N385:N386)</f>
        <v>24000</v>
      </c>
      <c r="O387" s="106"/>
      <c r="P387" s="108">
        <f>+SUM(P385:P386)</f>
        <v>24000</v>
      </c>
      <c r="Q387" s="108">
        <f>+SUM(Q385:Q386)</f>
        <v>285.71428571428572</v>
      </c>
      <c r="R387" s="108">
        <f>+SUM(R385:R386)</f>
        <v>1999.9999999997401</v>
      </c>
      <c r="S387" s="100"/>
      <c r="T387" s="108">
        <f>+SUM(T385:T386)</f>
        <v>1999.9999999997401</v>
      </c>
      <c r="U387" s="100"/>
      <c r="V387" s="108">
        <f>+SUM(V385:V386)</f>
        <v>1999.9999999997401</v>
      </c>
      <c r="W387" s="100"/>
      <c r="X387" s="108">
        <f t="shared" ref="X387:AC387" si="996">+SUM(X385:X386)</f>
        <v>0</v>
      </c>
      <c r="Y387" s="108">
        <f t="shared" si="996"/>
        <v>0</v>
      </c>
      <c r="Z387" s="108">
        <f t="shared" si="996"/>
        <v>1</v>
      </c>
      <c r="AA387" s="108">
        <f t="shared" si="996"/>
        <v>0</v>
      </c>
      <c r="AB387" s="108">
        <f t="shared" si="996"/>
        <v>1999.9999999997401</v>
      </c>
      <c r="AC387" s="108">
        <f t="shared" si="996"/>
        <v>11000.000000000129</v>
      </c>
      <c r="AD387" s="105"/>
      <c r="AE387" s="105"/>
      <c r="AF387" s="105"/>
      <c r="AG387" s="105"/>
      <c r="AH387" s="105"/>
      <c r="AJ387" s="140">
        <f t="shared" ref="AJ387:AR387" si="997">+SUM(AJ385:AJ386)</f>
        <v>0</v>
      </c>
      <c r="AK387" s="140">
        <f t="shared" si="997"/>
        <v>0</v>
      </c>
      <c r="AL387" s="140">
        <f t="shared" si="997"/>
        <v>1999.9999999997401</v>
      </c>
      <c r="AM387" s="140">
        <f t="shared" si="997"/>
        <v>0</v>
      </c>
      <c r="AN387" s="140">
        <f t="shared" si="997"/>
        <v>0</v>
      </c>
      <c r="AO387" s="140">
        <f t="shared" si="997"/>
        <v>0</v>
      </c>
      <c r="AP387" s="140">
        <f t="shared" si="997"/>
        <v>0</v>
      </c>
      <c r="AQ387" s="140">
        <f t="shared" si="997"/>
        <v>0</v>
      </c>
      <c r="AR387" s="140">
        <f t="shared" si="997"/>
        <v>11000.000000000129</v>
      </c>
    </row>
    <row r="388" spans="1:44">
      <c r="C388" s="35"/>
      <c r="D388" s="53" t="s">
        <v>2</v>
      </c>
      <c r="H388" s="7"/>
      <c r="I388" s="14"/>
      <c r="K388" s="13"/>
      <c r="N388" s="59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7"/>
      <c r="AE388" s="7"/>
      <c r="AF388" s="7"/>
      <c r="AG388" s="7"/>
      <c r="AH388" s="7"/>
    </row>
    <row r="389" spans="1:44">
      <c r="C389" s="35"/>
      <c r="D389" s="53" t="s">
        <v>221</v>
      </c>
      <c r="H389" s="7"/>
      <c r="I389" s="14"/>
      <c r="K389" s="13"/>
      <c r="N389" s="108">
        <f>N230+N278+N324+N339+N356+N364+N370+N377+N382+N387</f>
        <v>3024411.97957265</v>
      </c>
      <c r="O389" s="106"/>
      <c r="P389" s="108">
        <f>P230+P278+P324+P339+P356+P364+P370+P377+P382+P387</f>
        <v>3024411.97957265</v>
      </c>
      <c r="Q389" s="108">
        <f>Q230+Q278+Q324+Q339+Q356+Q364+Q370+Q377+Q382+Q387</f>
        <v>29556.326828245834</v>
      </c>
      <c r="R389" s="108">
        <f>R230+R278+R324+R339+R356+R364+R370+R377+R382+R387</f>
        <v>209428.50531195966</v>
      </c>
      <c r="S389" s="100"/>
      <c r="T389" s="108">
        <f>T230+T278+T324+T339+T356+T364+T370+T377+T382+T387</f>
        <v>155483.0145976757</v>
      </c>
      <c r="U389" s="108">
        <f>U230+U278+U324+U339+U356+U364+U370+U377+U382+U387</f>
        <v>11</v>
      </c>
      <c r="V389" s="108">
        <f>V230+V278+V324+V339+V356+V364+V370+V377+V382+V387</f>
        <v>209428.50531195966</v>
      </c>
      <c r="W389" s="108">
        <f>W230+W278+W324+W339+W356+W364+W370+W377+W382</f>
        <v>0</v>
      </c>
      <c r="X389" s="108">
        <f t="shared" ref="X389:AC389" si="998">X230+X278+X324+X339+X356+X364+X370+X377+X382+X387</f>
        <v>1485651.2901426635</v>
      </c>
      <c r="Y389" s="108">
        <f t="shared" si="998"/>
        <v>1485651.2901426635</v>
      </c>
      <c r="Z389" s="108">
        <f t="shared" si="998"/>
        <v>174</v>
      </c>
      <c r="AA389" s="108">
        <f t="shared" si="998"/>
        <v>1708447.1868921465</v>
      </c>
      <c r="AB389" s="108">
        <f t="shared" si="998"/>
        <v>1917875.6922041061</v>
      </c>
      <c r="AC389" s="108">
        <f t="shared" si="998"/>
        <v>953929.99502452277</v>
      </c>
      <c r="AD389" s="105"/>
      <c r="AE389" s="105"/>
      <c r="AF389" s="105"/>
      <c r="AG389" s="105"/>
      <c r="AH389" s="105"/>
      <c r="AJ389" s="140">
        <f t="shared" ref="AJ389:AR389" si="999">AJ230+AJ278+AJ324+AJ339+AJ356+AJ364+AJ370+AJ377+AJ382+AJ387</f>
        <v>0</v>
      </c>
      <c r="AK389" s="140">
        <f t="shared" si="999"/>
        <v>0</v>
      </c>
      <c r="AL389" s="140">
        <f t="shared" si="999"/>
        <v>189553.23531195967</v>
      </c>
      <c r="AM389" s="140">
        <f t="shared" si="999"/>
        <v>0</v>
      </c>
      <c r="AN389" s="140">
        <f t="shared" si="999"/>
        <v>0</v>
      </c>
      <c r="AO389" s="140">
        <f t="shared" si="999"/>
        <v>0</v>
      </c>
      <c r="AP389" s="140">
        <f t="shared" si="999"/>
        <v>0</v>
      </c>
      <c r="AQ389" s="140">
        <f t="shared" si="999"/>
        <v>0</v>
      </c>
      <c r="AR389" s="140">
        <f t="shared" si="999"/>
        <v>795812.25835785712</v>
      </c>
    </row>
    <row r="390" spans="1:44">
      <c r="D390" s="53"/>
      <c r="H390" s="7"/>
      <c r="I390" s="14"/>
      <c r="K390" s="13"/>
      <c r="N390" s="48"/>
      <c r="P390" s="7"/>
      <c r="Q390" s="7"/>
      <c r="R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1:44">
      <c r="D391" s="53" t="s">
        <v>222</v>
      </c>
      <c r="H391" s="7"/>
      <c r="I391" s="14"/>
      <c r="K391" s="13"/>
      <c r="N391" s="48"/>
      <c r="P391" s="7"/>
      <c r="Q391" s="7"/>
      <c r="R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1:44">
      <c r="C392" s="32" t="s">
        <v>223</v>
      </c>
      <c r="D392" s="29" t="s">
        <v>224</v>
      </c>
      <c r="E392" s="3">
        <v>2011</v>
      </c>
      <c r="F392" s="4">
        <v>12</v>
      </c>
      <c r="G392" s="30">
        <v>0</v>
      </c>
      <c r="H392" s="7"/>
      <c r="I392" s="14" t="s">
        <v>86</v>
      </c>
      <c r="J392" s="5">
        <v>5</v>
      </c>
      <c r="K392" s="13">
        <f>E392+J392</f>
        <v>2016</v>
      </c>
      <c r="N392" s="48">
        <v>5000</v>
      </c>
      <c r="P392" s="7">
        <f>N392-N392*G392</f>
        <v>5000</v>
      </c>
      <c r="Q392" s="7">
        <f>P392/J392/12</f>
        <v>83.333333333333329</v>
      </c>
      <c r="R392" s="7">
        <f>IF(O392&gt;0,0,IF(OR(AD392&gt;AE392,AF392&lt;AG392),0,IF(AND(AF392&gt;=AG392,AF392&lt;=AE392),Q392*((AF392-AG392)*12),IF(AND(AG392&lt;=AD392,AE392&gt;=AD392),((AE392-AD392)*12)*Q392,IF(AF392&gt;AE392,12*Q392,0)))))</f>
        <v>0</v>
      </c>
      <c r="T392" s="7">
        <f>IF(S392&gt;0,S392,R392)</f>
        <v>0</v>
      </c>
      <c r="U392" s="7">
        <v>1</v>
      </c>
      <c r="V392" s="7">
        <f>U392*SUM(R392:S392)</f>
        <v>0</v>
      </c>
      <c r="W392" s="7"/>
      <c r="X392" s="7">
        <f>IF(AD392&gt;AE392,0,IF(AF392&lt;AG392,P392,IF(AND(AF392&gt;=AG392,AF392&lt;=AE392),(P392-T392),IF(AND(AG392&lt;=AD392,AE392&gt;=AD392),0,IF(AF392&gt;AE392,((AG392-AD392)*12)*Q392,0)))))</f>
        <v>5000</v>
      </c>
      <c r="Y392" s="7">
        <f>X392*U392</f>
        <v>5000</v>
      </c>
      <c r="Z392" s="7">
        <v>1</v>
      </c>
      <c r="AA392" s="7">
        <f>Y392*Z392</f>
        <v>5000</v>
      </c>
      <c r="AB392" s="7">
        <f>IF(O392&gt;0,0,AA392+V392*Z392)*Z392</f>
        <v>5000</v>
      </c>
      <c r="AC392" s="7">
        <f>IF(O392&gt;0,(N392-AA392)/2,IF(AD392&gt;=AG392,(((N392*U392)*Z392)-AB392)/2,((((N392*U392)*Z392)-AA392)+(((N392*U392)*Z392)-AB392))/2))</f>
        <v>0</v>
      </c>
      <c r="AD392" s="7">
        <f>$E392+(($F392-1)/12)</f>
        <v>2011.9166666666667</v>
      </c>
      <c r="AE392" s="7">
        <f>($P$5+1)-($P$2/12)</f>
        <v>2018</v>
      </c>
      <c r="AF392" s="7">
        <f>$K392+(($F392-1)/12)</f>
        <v>2016.9166666666667</v>
      </c>
      <c r="AG392" s="7">
        <f>$P$4+($P$3/12)</f>
        <v>2017</v>
      </c>
      <c r="AH392" s="7">
        <f>$L392+(($M392-1)/12)</f>
        <v>-8.3333333333333329E-2</v>
      </c>
      <c r="AJ392" s="144">
        <f t="shared" ref="AJ392:AJ395" si="1000">+IF((AF392-AG392)&gt;3,((N392-P392)/(AF392-AG392)),(N392-P392)/3)</f>
        <v>0</v>
      </c>
      <c r="AL392" s="144">
        <f t="shared" ref="AL392:AL395" si="1001">+AJ392+R392</f>
        <v>0</v>
      </c>
      <c r="AN392" s="144">
        <f t="shared" ref="AN392:AN395" si="1002">+IF(AF392&lt;AG392,-AC392,0)</f>
        <v>0</v>
      </c>
      <c r="AP392" s="144">
        <f t="shared" ref="AP392:AP395" si="1003">+IF(AF392&gt;AG392,IF(AJ392&gt;0,IF(O392&gt;0,(N392-AA392)/2,IF(AD392&gt;=AG392,(((N392*U392)*Z392)-(AB392+AJ392))/2,((((N392*U392)*Z392)-AA392)+(((N392*U392)*Z392)-(AB392+AJ392)))/2)),0),0)</f>
        <v>0</v>
      </c>
      <c r="AR392" s="144">
        <f t="shared" ref="AR392:AR395" si="1004">+AC392+AN392+(IF(AP392&gt;0,(AP392-AC392),0))</f>
        <v>0</v>
      </c>
    </row>
    <row r="393" spans="1:44">
      <c r="B393" s="4" t="s">
        <v>2</v>
      </c>
      <c r="C393" s="32" t="s">
        <v>223</v>
      </c>
      <c r="D393" s="29" t="s">
        <v>225</v>
      </c>
      <c r="E393" s="3">
        <v>2012</v>
      </c>
      <c r="F393" s="4">
        <v>7</v>
      </c>
      <c r="G393" s="30">
        <v>0.2</v>
      </c>
      <c r="H393" s="7"/>
      <c r="I393" s="14" t="s">
        <v>86</v>
      </c>
      <c r="J393" s="5">
        <v>7</v>
      </c>
      <c r="K393" s="13">
        <f>E393+J393</f>
        <v>2019</v>
      </c>
      <c r="N393" s="6">
        <v>595</v>
      </c>
      <c r="O393" s="31"/>
      <c r="P393" s="7">
        <f>N393-N393*G393</f>
        <v>476</v>
      </c>
      <c r="Q393" s="7">
        <f>P393/J393/12</f>
        <v>5.666666666666667</v>
      </c>
      <c r="R393" s="7">
        <f>IF(O393&gt;0,0,IF(OR(AD393&gt;AE393,AF393&lt;AG393),0,IF(AND(AF393&gt;=AG393,AF393&lt;=AE393),Q393*((AF393-AG393)*12),IF(AND(AG393&lt;=AD393,AE393&gt;=AD393),((AE393-AD393)*12)*Q393,IF(AF393&gt;AE393,12*Q393,0)))))</f>
        <v>68</v>
      </c>
      <c r="S393" s="7"/>
      <c r="T393" s="7">
        <f>IF(S393&gt;0,S393,R393)</f>
        <v>68</v>
      </c>
      <c r="U393" s="7">
        <v>1</v>
      </c>
      <c r="V393" s="7">
        <f>U393*SUM(R393:S393)</f>
        <v>68</v>
      </c>
      <c r="W393" s="7"/>
      <c r="X393" s="7">
        <f>IF(AD393&gt;AE393,0,IF(AF393&lt;AG393,P393,IF(AND(AF393&gt;=AG393,AF393&lt;=AE393),(P393-T393),IF(AND(AG393&lt;=AD393,AE393&gt;=AD393),0,IF(AF393&gt;AE393,((AG393-AD393)*12)*Q393,0)))))</f>
        <v>306</v>
      </c>
      <c r="Y393" s="7">
        <f>X393*U393</f>
        <v>306</v>
      </c>
      <c r="Z393" s="7">
        <v>1</v>
      </c>
      <c r="AA393" s="7">
        <f>Y393*Z393</f>
        <v>306</v>
      </c>
      <c r="AB393" s="7">
        <f>IF(O393&gt;0,0,AA393+V393*Z393)*Z393</f>
        <v>374</v>
      </c>
      <c r="AC393" s="7">
        <f>IF(O393&gt;0,(N393-AA393)/2,IF(AD393&gt;=AG393,(((N393*U393)*Z393)-AB393)/2,((((N393*U393)*Z393)-AA393)+(((N393*U393)*Z393)-AB393))/2))</f>
        <v>255</v>
      </c>
      <c r="AD393" s="7">
        <f>$E393+(($F393-1)/12)</f>
        <v>2012.5</v>
      </c>
      <c r="AE393" s="7">
        <f>($P$5+1)-($P$2/12)</f>
        <v>2018</v>
      </c>
      <c r="AF393" s="7">
        <f>$K393+(($F393-1)/12)</f>
        <v>2019.5</v>
      </c>
      <c r="AG393" s="7">
        <f>$P$4+($P$3/12)</f>
        <v>2017</v>
      </c>
      <c r="AH393" s="7">
        <f>$L393+(($M393-1)/12)</f>
        <v>-8.3333333333333329E-2</v>
      </c>
      <c r="AJ393" s="144">
        <f t="shared" si="1000"/>
        <v>39.666666666666664</v>
      </c>
      <c r="AL393" s="144">
        <f t="shared" si="1001"/>
        <v>107.66666666666666</v>
      </c>
      <c r="AN393" s="144">
        <f t="shared" si="1002"/>
        <v>0</v>
      </c>
      <c r="AP393" s="144">
        <f t="shared" si="1003"/>
        <v>235.16666666666666</v>
      </c>
      <c r="AR393" s="144">
        <f t="shared" si="1004"/>
        <v>235.16666666666666</v>
      </c>
    </row>
    <row r="394" spans="1:44" s="109" customFormat="1">
      <c r="A394" s="109">
        <v>185174</v>
      </c>
      <c r="B394" s="110"/>
      <c r="C394" s="111" t="s">
        <v>394</v>
      </c>
      <c r="D394" s="112" t="s">
        <v>359</v>
      </c>
      <c r="E394" s="113">
        <v>2017</v>
      </c>
      <c r="F394" s="110">
        <v>8</v>
      </c>
      <c r="G394" s="114">
        <v>0</v>
      </c>
      <c r="H394" s="115"/>
      <c r="I394" s="116" t="s">
        <v>86</v>
      </c>
      <c r="J394" s="117">
        <v>5</v>
      </c>
      <c r="K394" s="118">
        <f>E394+J394</f>
        <v>2022</v>
      </c>
      <c r="N394" s="119">
        <v>38000</v>
      </c>
      <c r="O394" s="120"/>
      <c r="P394" s="115">
        <f>N394-N394*G394</f>
        <v>38000</v>
      </c>
      <c r="Q394" s="115">
        <f>P394/J394/12</f>
        <v>633.33333333333337</v>
      </c>
      <c r="R394" s="115">
        <f>IF(O394&gt;0,0,IF(OR(AD394&gt;AE394,AF394&lt;AG394),0,IF(AND(AF394&gt;=AG394,AF394&lt;=AE394),Q394*((AF394-AG394)*12),IF(AND(AG394&lt;=AD394,AE394&gt;=AD394),((AE394-AD394)*12)*Q394,IF(AF394&gt;AE394,12*Q394,0)))))</f>
        <v>3166.6666666672427</v>
      </c>
      <c r="S394" s="115"/>
      <c r="T394" s="115">
        <f>IF(S394&gt;0,S394,R394)</f>
        <v>3166.6666666672427</v>
      </c>
      <c r="U394" s="115">
        <v>1</v>
      </c>
      <c r="V394" s="115">
        <f>U394*SUM(R394:S394)</f>
        <v>3166.6666666672427</v>
      </c>
      <c r="W394" s="115"/>
      <c r="X394" s="115">
        <f>IF(AD394&gt;AE394,0,IF(AF394&lt;AG394,P394,IF(AND(AF394&gt;=AG394,AF394&lt;=AE394),(P394-T394),IF(AND(AG394&lt;=AD394,AE394&gt;=AD394),0,IF(AF394&gt;AE394,((AG394-AD394)*12)*Q394,0)))))</f>
        <v>0</v>
      </c>
      <c r="Y394" s="115">
        <f>X394*U394</f>
        <v>0</v>
      </c>
      <c r="Z394" s="115">
        <v>1</v>
      </c>
      <c r="AA394" s="115">
        <f>Y394*Z394</f>
        <v>0</v>
      </c>
      <c r="AB394" s="115">
        <f>IF(O394&gt;0,0,AA394+V394*Z394)*Z394</f>
        <v>3166.6666666672427</v>
      </c>
      <c r="AC394" s="115">
        <f>IF(O394&gt;0,(N394-AA394)/2,IF(AD394&gt;=AG394,(((N394*U394)*Z394)-AB394)/2,((((N394*U394)*Z394)-AA394)+(((N394*U394)*Z394)-AB394))/2))</f>
        <v>17416.66666666638</v>
      </c>
      <c r="AD394" s="115">
        <f>$E394+(($F394-1)/12)</f>
        <v>2017.5833333333333</v>
      </c>
      <c r="AE394" s="115">
        <f>($P$5+1)-($P$2/12)</f>
        <v>2018</v>
      </c>
      <c r="AF394" s="115">
        <f>$K394+(($F394-1)/12)</f>
        <v>2022.5833333333333</v>
      </c>
      <c r="AG394" s="115">
        <f>$P$4+($P$3/12)</f>
        <v>2017</v>
      </c>
      <c r="AH394" s="115">
        <f>$L394+(($M394-1)/12)</f>
        <v>-8.3333333333333329E-2</v>
      </c>
      <c r="AJ394" s="144">
        <f t="shared" si="1000"/>
        <v>0</v>
      </c>
      <c r="AK394" s="144"/>
      <c r="AL394" s="144">
        <f t="shared" si="1001"/>
        <v>3166.6666666672427</v>
      </c>
      <c r="AM394" s="144"/>
      <c r="AN394" s="144">
        <f t="shared" si="1002"/>
        <v>0</v>
      </c>
      <c r="AO394" s="144"/>
      <c r="AP394" s="144">
        <f t="shared" si="1003"/>
        <v>0</v>
      </c>
      <c r="AQ394" s="144"/>
      <c r="AR394" s="144">
        <f t="shared" si="1004"/>
        <v>17416.66666666638</v>
      </c>
    </row>
    <row r="395" spans="1:44" s="109" customFormat="1">
      <c r="A395" s="109" t="s">
        <v>360</v>
      </c>
      <c r="B395" s="110"/>
      <c r="C395" s="111" t="s">
        <v>394</v>
      </c>
      <c r="D395" s="112" t="s">
        <v>361</v>
      </c>
      <c r="E395" s="113">
        <v>2017</v>
      </c>
      <c r="F395" s="110">
        <v>8</v>
      </c>
      <c r="G395" s="114">
        <v>0</v>
      </c>
      <c r="H395" s="115"/>
      <c r="I395" s="116" t="s">
        <v>86</v>
      </c>
      <c r="J395" s="117">
        <v>3</v>
      </c>
      <c r="K395" s="118">
        <f>E395+J395</f>
        <v>2020</v>
      </c>
      <c r="N395" s="119">
        <v>500</v>
      </c>
      <c r="O395" s="120"/>
      <c r="P395" s="115">
        <f>N395-N395*G395</f>
        <v>500</v>
      </c>
      <c r="Q395" s="115">
        <f>P395/J395/12</f>
        <v>13.888888888888888</v>
      </c>
      <c r="R395" s="115">
        <f>IF(O395&gt;0,0,IF(OR(AD395&gt;AE395,AF395&lt;AG395),0,IF(AND(AF395&gt;=AG395,AF395&lt;=AE395),Q395*((AF395-AG395)*12),IF(AND(AG395&lt;=AD395,AE395&gt;=AD395),((AE395-AD395)*12)*Q395,IF(AF395&gt;AE395,12*Q395,0)))))</f>
        <v>69.444444444457076</v>
      </c>
      <c r="S395" s="115"/>
      <c r="T395" s="115">
        <f>IF(S395&gt;0,S395,R395)</f>
        <v>69.444444444457076</v>
      </c>
      <c r="U395" s="115">
        <v>1</v>
      </c>
      <c r="V395" s="115">
        <f>U395*SUM(R395:S395)</f>
        <v>69.444444444457076</v>
      </c>
      <c r="W395" s="115"/>
      <c r="X395" s="115">
        <f>IF(AD395&gt;AE395,0,IF(AF395&lt;AG395,P395,IF(AND(AF395&gt;=AG395,AF395&lt;=AE395),(P395-T395),IF(AND(AG395&lt;=AD395,AE395&gt;=AD395),0,IF(AF395&gt;AE395,((AG395-AD395)*12)*Q395,0)))))</f>
        <v>0</v>
      </c>
      <c r="Y395" s="115">
        <f>X395*U395</f>
        <v>0</v>
      </c>
      <c r="Z395" s="115">
        <v>1</v>
      </c>
      <c r="AA395" s="115">
        <f>Y395*Z395</f>
        <v>0</v>
      </c>
      <c r="AB395" s="115">
        <f>IF(O395&gt;0,0,AA395+V395*Z395)*Z395</f>
        <v>69.444444444457076</v>
      </c>
      <c r="AC395" s="115">
        <f>IF(O395&gt;0,(N395-AA395)/2,IF(AD395&gt;=AG395,(((N395*U395)*Z395)-AB395)/2,((((N395*U395)*Z395)-AA395)+(((N395*U395)*Z395)-AB395))/2))</f>
        <v>215.27777777777146</v>
      </c>
      <c r="AD395" s="115">
        <f>$E395+(($F395-1)/12)</f>
        <v>2017.5833333333333</v>
      </c>
      <c r="AE395" s="115">
        <f>($P$5+1)-($P$2/12)</f>
        <v>2018</v>
      </c>
      <c r="AF395" s="115">
        <f>$K395+(($F395-1)/12)</f>
        <v>2020.5833333333333</v>
      </c>
      <c r="AG395" s="115">
        <f>$P$4+($P$3/12)</f>
        <v>2017</v>
      </c>
      <c r="AH395" s="115">
        <f>$L395+(($M395-1)/12)</f>
        <v>-8.3333333333333329E-2</v>
      </c>
      <c r="AJ395" s="144">
        <f t="shared" si="1000"/>
        <v>0</v>
      </c>
      <c r="AK395" s="144"/>
      <c r="AL395" s="144">
        <f t="shared" si="1001"/>
        <v>69.444444444457076</v>
      </c>
      <c r="AM395" s="144"/>
      <c r="AN395" s="144">
        <f t="shared" si="1002"/>
        <v>0</v>
      </c>
      <c r="AO395" s="144"/>
      <c r="AP395" s="144">
        <f t="shared" si="1003"/>
        <v>0</v>
      </c>
      <c r="AQ395" s="144"/>
      <c r="AR395" s="144">
        <f t="shared" si="1004"/>
        <v>215.27777777777146</v>
      </c>
    </row>
    <row r="396" spans="1:44">
      <c r="B396" s="4"/>
      <c r="C396" s="32"/>
      <c r="D396" s="29"/>
      <c r="G396" s="30"/>
      <c r="H396" s="7"/>
      <c r="I396" s="14"/>
      <c r="K396" s="13"/>
      <c r="O396" s="31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44" s="35" customFormat="1">
      <c r="D397" s="40" t="s">
        <v>226</v>
      </c>
      <c r="E397" s="41"/>
      <c r="F397" s="15"/>
      <c r="G397" s="42"/>
      <c r="H397" s="37"/>
      <c r="I397" s="36"/>
      <c r="J397" s="17"/>
      <c r="K397" s="12"/>
      <c r="N397" s="108">
        <f>SUM(N392:N396)</f>
        <v>44095</v>
      </c>
      <c r="O397" s="107"/>
      <c r="P397" s="108">
        <f t="shared" ref="P397:AC397" si="1005">SUM(P392:P396)</f>
        <v>43976</v>
      </c>
      <c r="Q397" s="108">
        <f t="shared" si="1005"/>
        <v>736.22222222222229</v>
      </c>
      <c r="R397" s="108">
        <f t="shared" si="1005"/>
        <v>3304.1111111116998</v>
      </c>
      <c r="S397" s="108">
        <f t="shared" si="1005"/>
        <v>0</v>
      </c>
      <c r="T397" s="108">
        <f t="shared" si="1005"/>
        <v>3304.1111111116998</v>
      </c>
      <c r="U397" s="108">
        <f t="shared" si="1005"/>
        <v>4</v>
      </c>
      <c r="V397" s="108">
        <f t="shared" si="1005"/>
        <v>3304.1111111116998</v>
      </c>
      <c r="W397" s="108">
        <f t="shared" si="1005"/>
        <v>0</v>
      </c>
      <c r="X397" s="108">
        <f t="shared" si="1005"/>
        <v>5306</v>
      </c>
      <c r="Y397" s="108">
        <f t="shared" si="1005"/>
        <v>5306</v>
      </c>
      <c r="Z397" s="108">
        <f t="shared" si="1005"/>
        <v>4</v>
      </c>
      <c r="AA397" s="108">
        <f t="shared" si="1005"/>
        <v>5306</v>
      </c>
      <c r="AB397" s="108">
        <f t="shared" si="1005"/>
        <v>8610.1111111116988</v>
      </c>
      <c r="AC397" s="108">
        <f t="shared" si="1005"/>
        <v>17886.944444444151</v>
      </c>
      <c r="AD397" s="101"/>
      <c r="AE397" s="101"/>
      <c r="AF397" s="101"/>
      <c r="AG397" s="101"/>
      <c r="AH397" s="101"/>
      <c r="AJ397" s="140">
        <f t="shared" ref="AJ397:AR397" si="1006">SUM(AJ392:AJ396)</f>
        <v>39.666666666666664</v>
      </c>
      <c r="AK397" s="140">
        <f t="shared" si="1006"/>
        <v>0</v>
      </c>
      <c r="AL397" s="140">
        <f t="shared" si="1006"/>
        <v>3343.7777777783663</v>
      </c>
      <c r="AM397" s="140">
        <f t="shared" si="1006"/>
        <v>0</v>
      </c>
      <c r="AN397" s="140">
        <f t="shared" si="1006"/>
        <v>0</v>
      </c>
      <c r="AO397" s="140">
        <f t="shared" si="1006"/>
        <v>0</v>
      </c>
      <c r="AP397" s="140">
        <f t="shared" si="1006"/>
        <v>235.16666666666666</v>
      </c>
      <c r="AQ397" s="140">
        <f t="shared" si="1006"/>
        <v>0</v>
      </c>
      <c r="AR397" s="140">
        <f t="shared" si="1006"/>
        <v>17867.111111110818</v>
      </c>
    </row>
    <row r="398" spans="1:44">
      <c r="D398" s="53"/>
      <c r="H398" s="7"/>
      <c r="I398" s="14"/>
      <c r="K398" s="13"/>
      <c r="N398" s="48"/>
      <c r="P398" s="7"/>
      <c r="Q398" s="7"/>
      <c r="R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1:44">
      <c r="H399" s="7"/>
      <c r="I399" s="14"/>
      <c r="K399" s="13"/>
      <c r="N399" s="48"/>
      <c r="P399" s="7"/>
      <c r="Q399" s="7"/>
      <c r="R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1:44">
      <c r="D400" s="53" t="s">
        <v>227</v>
      </c>
      <c r="H400" s="7"/>
      <c r="I400" s="14"/>
      <c r="K400" s="13"/>
      <c r="N400" s="48"/>
      <c r="P400" s="7"/>
      <c r="Q400" s="7"/>
      <c r="R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J400" s="144">
        <f t="shared" ref="AJ400:AJ443" si="1007">+IF((AF400-AG400)&gt;3,((N400-P400)/(AF400-AG400)),(N400-P400)/3)</f>
        <v>0</v>
      </c>
      <c r="AL400" s="144">
        <f t="shared" ref="AL400:AL443" si="1008">+AJ400+R400</f>
        <v>0</v>
      </c>
      <c r="AN400" s="144">
        <f t="shared" ref="AN400:AN443" si="1009">+IF(AF400&lt;AG400,-AC400,0)</f>
        <v>0</v>
      </c>
      <c r="AP400" s="144">
        <f t="shared" ref="AP400:AP443" si="1010">+IF(AF400&gt;AG400,IF(AJ400&gt;0,IF(O400&gt;0,(N400-AA400)/2,IF(AD400&gt;=AG400,(((N400*U400)*Z400)-(AB400+AJ400))/2,((((N400*U400)*Z400)-AA400)+(((N400*U400)*Z400)-(AB400+AJ400)))/2)),0),0)</f>
        <v>0</v>
      </c>
      <c r="AR400" s="144">
        <f t="shared" ref="AR400:AR443" si="1011">+AC400+AN400+(IF(AP400&gt;0,(AP400-AC400),0))</f>
        <v>0</v>
      </c>
    </row>
    <row r="401" spans="3:44">
      <c r="D401" s="54" t="s">
        <v>228</v>
      </c>
      <c r="E401" s="3">
        <v>1986</v>
      </c>
      <c r="F401" s="4">
        <v>8</v>
      </c>
      <c r="G401" s="30">
        <v>0</v>
      </c>
      <c r="H401" s="7"/>
      <c r="I401" s="14" t="s">
        <v>86</v>
      </c>
      <c r="J401" s="5">
        <v>10</v>
      </c>
      <c r="K401" s="13">
        <f t="shared" ref="K401:K439" si="1012">E401+J401</f>
        <v>1996</v>
      </c>
      <c r="N401" s="48">
        <v>1100</v>
      </c>
      <c r="P401" s="7">
        <f t="shared" ref="P401:P439" si="1013">N401-N401*G401</f>
        <v>1100</v>
      </c>
      <c r="Q401" s="7">
        <f t="shared" ref="Q401:Q439" si="1014">P401/J401/12</f>
        <v>9.1666666666666661</v>
      </c>
      <c r="R401" s="7">
        <f t="shared" ref="R401:R434" si="1015">IF(O401&gt;0,0,IF(OR(AD401&gt;AE401,AF401&lt;AG401),0,IF(AND(AF401&gt;=AG401,AF401&lt;=AE401),Q401*((AF401-AG401)*12),IF(AND(AG401&lt;=AD401,AE401&gt;=AD401),((AE401-AD401)*12)*Q401,IF(AF401&gt;AE401,12*Q401,0)))))</f>
        <v>0</v>
      </c>
      <c r="T401" s="7">
        <f t="shared" ref="T401:T434" si="1016">IF(S401&gt;0,S401,R401)</f>
        <v>0</v>
      </c>
      <c r="U401" s="7">
        <v>1</v>
      </c>
      <c r="V401" s="7">
        <f t="shared" ref="V401:V434" si="1017">U401*SUM(R401:S401)</f>
        <v>0</v>
      </c>
      <c r="W401" s="7"/>
      <c r="X401" s="7">
        <f t="shared" ref="X401:X434" si="1018">IF(AD401&gt;AE401,0,IF(AF401&lt;AG401,P401,IF(AND(AF401&gt;=AG401,AF401&lt;=AE401),(P401-T401),IF(AND(AG401&lt;=AD401,AE401&gt;=AD401),0,IF(AF401&gt;AE401,((AG401-AD401)*12)*Q401,0)))))</f>
        <v>1100</v>
      </c>
      <c r="Y401" s="7">
        <f t="shared" ref="Y401:Y434" si="1019">X401*U401</f>
        <v>1100</v>
      </c>
      <c r="Z401" s="7">
        <v>1</v>
      </c>
      <c r="AA401" s="7">
        <f t="shared" ref="AA401:AA434" si="1020">Y401*Z401</f>
        <v>1100</v>
      </c>
      <c r="AB401" s="7">
        <f t="shared" ref="AB401:AB434" si="1021">IF(O401&gt;0,0,AA401+V401*Z401)*Z401</f>
        <v>1100</v>
      </c>
      <c r="AC401" s="7">
        <f t="shared" ref="AC401:AC434" si="1022">IF(O401&gt;0,(N401-AA401)/2,IF(AD401&gt;=AG401,(((N401*U401)*Z401)-AB401)/2,((((N401*U401)*Z401)-AA401)+(((N401*U401)*Z401)-AB401))/2))</f>
        <v>0</v>
      </c>
      <c r="AD401" s="7">
        <f t="shared" ref="AD401:AD443" si="1023">$E401+(($F401-1)/12)</f>
        <v>1986.5833333333333</v>
      </c>
      <c r="AE401" s="7">
        <f t="shared" si="292"/>
        <v>2018</v>
      </c>
      <c r="AF401" s="7">
        <f t="shared" ref="AF401:AF443" si="1024">$K401+(($F401-1)/12)</f>
        <v>1996.5833333333333</v>
      </c>
      <c r="AG401" s="7">
        <f t="shared" si="293"/>
        <v>2017</v>
      </c>
      <c r="AH401" s="7">
        <f t="shared" ref="AH401:AH443" si="1025">$L401+(($M401-1)/12)</f>
        <v>-8.3333333333333329E-2</v>
      </c>
      <c r="AJ401" s="144">
        <f t="shared" si="1007"/>
        <v>0</v>
      </c>
      <c r="AL401" s="144">
        <f t="shared" si="1008"/>
        <v>0</v>
      </c>
      <c r="AN401" s="144">
        <f t="shared" si="1009"/>
        <v>0</v>
      </c>
      <c r="AP401" s="144">
        <f t="shared" si="1010"/>
        <v>0</v>
      </c>
      <c r="AR401" s="144">
        <f t="shared" si="1011"/>
        <v>0</v>
      </c>
    </row>
    <row r="402" spans="3:44">
      <c r="D402" s="1" t="s">
        <v>228</v>
      </c>
      <c r="E402" s="3">
        <v>1984</v>
      </c>
      <c r="F402" s="4">
        <v>10</v>
      </c>
      <c r="G402" s="30">
        <v>0</v>
      </c>
      <c r="H402" s="7"/>
      <c r="I402" s="14" t="s">
        <v>86</v>
      </c>
      <c r="J402" s="5">
        <v>5</v>
      </c>
      <c r="K402" s="13">
        <f t="shared" si="1012"/>
        <v>1989</v>
      </c>
      <c r="N402" s="48">
        <v>657</v>
      </c>
      <c r="P402" s="7">
        <f t="shared" si="1013"/>
        <v>657</v>
      </c>
      <c r="Q402" s="7">
        <f t="shared" si="1014"/>
        <v>10.950000000000001</v>
      </c>
      <c r="R402" s="7">
        <f t="shared" si="1015"/>
        <v>0</v>
      </c>
      <c r="T402" s="7">
        <f t="shared" si="1016"/>
        <v>0</v>
      </c>
      <c r="U402" s="7">
        <v>1</v>
      </c>
      <c r="V402" s="7">
        <f t="shared" si="1017"/>
        <v>0</v>
      </c>
      <c r="W402" s="7"/>
      <c r="X402" s="7">
        <f t="shared" si="1018"/>
        <v>657</v>
      </c>
      <c r="Y402" s="7">
        <f t="shared" si="1019"/>
        <v>657</v>
      </c>
      <c r="Z402" s="7">
        <v>1</v>
      </c>
      <c r="AA402" s="7">
        <f t="shared" si="1020"/>
        <v>657</v>
      </c>
      <c r="AB402" s="7">
        <f t="shared" si="1021"/>
        <v>657</v>
      </c>
      <c r="AC402" s="7">
        <f t="shared" si="1022"/>
        <v>0</v>
      </c>
      <c r="AD402" s="7">
        <f t="shared" si="1023"/>
        <v>1984.75</v>
      </c>
      <c r="AE402" s="7">
        <f t="shared" si="292"/>
        <v>2018</v>
      </c>
      <c r="AF402" s="7">
        <f t="shared" si="1024"/>
        <v>1989.75</v>
      </c>
      <c r="AG402" s="7">
        <f t="shared" si="293"/>
        <v>2017</v>
      </c>
      <c r="AH402" s="7">
        <f t="shared" si="1025"/>
        <v>-8.3333333333333329E-2</v>
      </c>
      <c r="AJ402" s="144">
        <f t="shared" si="1007"/>
        <v>0</v>
      </c>
      <c r="AL402" s="144">
        <f t="shared" si="1008"/>
        <v>0</v>
      </c>
      <c r="AN402" s="144">
        <f t="shared" si="1009"/>
        <v>0</v>
      </c>
      <c r="AP402" s="144">
        <f t="shared" si="1010"/>
        <v>0</v>
      </c>
      <c r="AR402" s="144">
        <f t="shared" si="1011"/>
        <v>0</v>
      </c>
    </row>
    <row r="403" spans="3:44">
      <c r="C403" s="1">
        <v>48</v>
      </c>
      <c r="D403" s="39" t="s">
        <v>230</v>
      </c>
      <c r="E403" s="3">
        <v>1994</v>
      </c>
      <c r="F403" s="4">
        <v>10</v>
      </c>
      <c r="G403" s="30">
        <v>0</v>
      </c>
      <c r="H403" s="7"/>
      <c r="I403" s="14" t="s">
        <v>86</v>
      </c>
      <c r="J403" s="5">
        <v>5</v>
      </c>
      <c r="K403" s="13">
        <f t="shared" si="1012"/>
        <v>1999</v>
      </c>
      <c r="N403" s="48">
        <v>5935</v>
      </c>
      <c r="P403" s="7">
        <f t="shared" si="1013"/>
        <v>5935</v>
      </c>
      <c r="Q403" s="7">
        <f t="shared" si="1014"/>
        <v>98.916666666666671</v>
      </c>
      <c r="R403" s="7">
        <f t="shared" si="1015"/>
        <v>0</v>
      </c>
      <c r="T403" s="7">
        <f t="shared" si="1016"/>
        <v>0</v>
      </c>
      <c r="U403" s="7">
        <v>1</v>
      </c>
      <c r="V403" s="7">
        <f t="shared" si="1017"/>
        <v>0</v>
      </c>
      <c r="W403" s="7"/>
      <c r="X403" s="7">
        <f t="shared" si="1018"/>
        <v>5935</v>
      </c>
      <c r="Y403" s="7">
        <f t="shared" si="1019"/>
        <v>5935</v>
      </c>
      <c r="Z403" s="7">
        <v>1</v>
      </c>
      <c r="AA403" s="7">
        <f t="shared" si="1020"/>
        <v>5935</v>
      </c>
      <c r="AB403" s="7">
        <f t="shared" si="1021"/>
        <v>5935</v>
      </c>
      <c r="AC403" s="7">
        <f t="shared" si="1022"/>
        <v>0</v>
      </c>
      <c r="AD403" s="7">
        <f t="shared" si="1023"/>
        <v>1994.75</v>
      </c>
      <c r="AE403" s="7">
        <f t="shared" si="292"/>
        <v>2018</v>
      </c>
      <c r="AF403" s="7">
        <f t="shared" si="1024"/>
        <v>1999.75</v>
      </c>
      <c r="AG403" s="7">
        <f t="shared" si="293"/>
        <v>2017</v>
      </c>
      <c r="AH403" s="7">
        <f t="shared" si="1025"/>
        <v>-8.3333333333333329E-2</v>
      </c>
      <c r="AJ403" s="144">
        <f t="shared" si="1007"/>
        <v>0</v>
      </c>
      <c r="AL403" s="144">
        <f t="shared" si="1008"/>
        <v>0</v>
      </c>
      <c r="AN403" s="144">
        <f t="shared" si="1009"/>
        <v>0</v>
      </c>
      <c r="AP403" s="144">
        <f t="shared" si="1010"/>
        <v>0</v>
      </c>
      <c r="AR403" s="144">
        <f t="shared" si="1011"/>
        <v>0</v>
      </c>
    </row>
    <row r="404" spans="3:44">
      <c r="D404" s="29" t="s">
        <v>231</v>
      </c>
      <c r="E404" s="3">
        <v>1996</v>
      </c>
      <c r="F404" s="4">
        <v>8</v>
      </c>
      <c r="G404" s="30">
        <v>0</v>
      </c>
      <c r="H404" s="7"/>
      <c r="I404" s="14" t="s">
        <v>86</v>
      </c>
      <c r="J404" s="5">
        <v>5</v>
      </c>
      <c r="K404" s="13">
        <f t="shared" si="1012"/>
        <v>2001</v>
      </c>
      <c r="N404" s="48">
        <v>2991</v>
      </c>
      <c r="P404" s="7">
        <f t="shared" si="1013"/>
        <v>2991</v>
      </c>
      <c r="Q404" s="7">
        <f t="shared" si="1014"/>
        <v>49.85</v>
      </c>
      <c r="R404" s="7">
        <f t="shared" si="1015"/>
        <v>0</v>
      </c>
      <c r="T404" s="7">
        <f t="shared" si="1016"/>
        <v>0</v>
      </c>
      <c r="U404" s="7">
        <v>1</v>
      </c>
      <c r="V404" s="7">
        <f t="shared" si="1017"/>
        <v>0</v>
      </c>
      <c r="W404" s="7"/>
      <c r="X404" s="7">
        <f t="shared" si="1018"/>
        <v>2991</v>
      </c>
      <c r="Y404" s="7">
        <f t="shared" si="1019"/>
        <v>2991</v>
      </c>
      <c r="Z404" s="7">
        <v>1</v>
      </c>
      <c r="AA404" s="7">
        <f t="shared" si="1020"/>
        <v>2991</v>
      </c>
      <c r="AB404" s="7">
        <f t="shared" si="1021"/>
        <v>2991</v>
      </c>
      <c r="AC404" s="7">
        <f t="shared" si="1022"/>
        <v>0</v>
      </c>
      <c r="AD404" s="7">
        <f t="shared" si="1023"/>
        <v>1996.5833333333333</v>
      </c>
      <c r="AE404" s="7">
        <f t="shared" si="292"/>
        <v>2018</v>
      </c>
      <c r="AF404" s="7">
        <f t="shared" si="1024"/>
        <v>2001.5833333333333</v>
      </c>
      <c r="AG404" s="7">
        <f t="shared" si="293"/>
        <v>2017</v>
      </c>
      <c r="AH404" s="7">
        <f t="shared" si="1025"/>
        <v>-8.3333333333333329E-2</v>
      </c>
      <c r="AJ404" s="144">
        <f t="shared" si="1007"/>
        <v>0</v>
      </c>
      <c r="AL404" s="144">
        <f t="shared" si="1008"/>
        <v>0</v>
      </c>
      <c r="AN404" s="144">
        <f t="shared" si="1009"/>
        <v>0</v>
      </c>
      <c r="AP404" s="144">
        <f t="shared" si="1010"/>
        <v>0</v>
      </c>
      <c r="AR404" s="144">
        <f t="shared" si="1011"/>
        <v>0</v>
      </c>
    </row>
    <row r="405" spans="3:44">
      <c r="D405" s="39" t="s">
        <v>232</v>
      </c>
      <c r="E405" s="3">
        <v>1996</v>
      </c>
      <c r="F405" s="4">
        <v>1</v>
      </c>
      <c r="G405" s="30">
        <v>0</v>
      </c>
      <c r="H405" s="7"/>
      <c r="I405" s="14" t="s">
        <v>86</v>
      </c>
      <c r="J405" s="5">
        <v>5</v>
      </c>
      <c r="K405" s="13">
        <f t="shared" si="1012"/>
        <v>2001</v>
      </c>
      <c r="N405" s="48">
        <v>1318</v>
      </c>
      <c r="P405" s="7">
        <f t="shared" si="1013"/>
        <v>1318</v>
      </c>
      <c r="Q405" s="7">
        <f t="shared" si="1014"/>
        <v>21.966666666666669</v>
      </c>
      <c r="R405" s="7">
        <f t="shared" si="1015"/>
        <v>0</v>
      </c>
      <c r="T405" s="7">
        <f t="shared" si="1016"/>
        <v>0</v>
      </c>
      <c r="U405" s="7">
        <v>1</v>
      </c>
      <c r="V405" s="7">
        <f t="shared" si="1017"/>
        <v>0</v>
      </c>
      <c r="W405" s="7"/>
      <c r="X405" s="7">
        <f t="shared" si="1018"/>
        <v>1318</v>
      </c>
      <c r="Y405" s="7">
        <f t="shared" si="1019"/>
        <v>1318</v>
      </c>
      <c r="Z405" s="7">
        <v>1</v>
      </c>
      <c r="AA405" s="7">
        <f t="shared" si="1020"/>
        <v>1318</v>
      </c>
      <c r="AB405" s="7">
        <f t="shared" si="1021"/>
        <v>1318</v>
      </c>
      <c r="AC405" s="7">
        <f t="shared" si="1022"/>
        <v>0</v>
      </c>
      <c r="AD405" s="7">
        <f t="shared" si="1023"/>
        <v>1996</v>
      </c>
      <c r="AE405" s="7">
        <f t="shared" si="292"/>
        <v>2018</v>
      </c>
      <c r="AF405" s="7">
        <f t="shared" si="1024"/>
        <v>2001</v>
      </c>
      <c r="AG405" s="7">
        <f t="shared" si="293"/>
        <v>2017</v>
      </c>
      <c r="AH405" s="7">
        <f t="shared" si="1025"/>
        <v>-8.3333333333333329E-2</v>
      </c>
      <c r="AJ405" s="144">
        <f t="shared" si="1007"/>
        <v>0</v>
      </c>
      <c r="AL405" s="144">
        <f t="shared" si="1008"/>
        <v>0</v>
      </c>
      <c r="AN405" s="144">
        <f t="shared" si="1009"/>
        <v>0</v>
      </c>
      <c r="AP405" s="144">
        <f t="shared" si="1010"/>
        <v>0</v>
      </c>
      <c r="AR405" s="144">
        <f t="shared" si="1011"/>
        <v>0</v>
      </c>
    </row>
    <row r="406" spans="3:44">
      <c r="D406" s="29" t="s">
        <v>232</v>
      </c>
      <c r="E406" s="3">
        <v>1997</v>
      </c>
      <c r="F406" s="4">
        <v>6</v>
      </c>
      <c r="G406" s="30">
        <v>0</v>
      </c>
      <c r="H406" s="7"/>
      <c r="I406" s="14" t="s">
        <v>86</v>
      </c>
      <c r="J406" s="5">
        <v>5</v>
      </c>
      <c r="K406" s="13">
        <f t="shared" si="1012"/>
        <v>2002</v>
      </c>
      <c r="N406" s="48">
        <v>3469</v>
      </c>
      <c r="P406" s="7">
        <f t="shared" si="1013"/>
        <v>3469</v>
      </c>
      <c r="Q406" s="7">
        <f t="shared" si="1014"/>
        <v>57.816666666666663</v>
      </c>
      <c r="R406" s="7">
        <f t="shared" si="1015"/>
        <v>0</v>
      </c>
      <c r="T406" s="7">
        <f t="shared" si="1016"/>
        <v>0</v>
      </c>
      <c r="U406" s="7">
        <v>1</v>
      </c>
      <c r="V406" s="7">
        <f t="shared" si="1017"/>
        <v>0</v>
      </c>
      <c r="W406" s="7"/>
      <c r="X406" s="7">
        <f t="shared" si="1018"/>
        <v>3469</v>
      </c>
      <c r="Y406" s="7">
        <f t="shared" si="1019"/>
        <v>3469</v>
      </c>
      <c r="Z406" s="7">
        <v>1</v>
      </c>
      <c r="AA406" s="7">
        <f t="shared" si="1020"/>
        <v>3469</v>
      </c>
      <c r="AB406" s="7">
        <f t="shared" si="1021"/>
        <v>3469</v>
      </c>
      <c r="AC406" s="7">
        <f t="shared" si="1022"/>
        <v>0</v>
      </c>
      <c r="AD406" s="7">
        <f t="shared" si="1023"/>
        <v>1997.4166666666667</v>
      </c>
      <c r="AE406" s="7">
        <f t="shared" si="292"/>
        <v>2018</v>
      </c>
      <c r="AF406" s="7">
        <f t="shared" si="1024"/>
        <v>2002.4166666666667</v>
      </c>
      <c r="AG406" s="7">
        <f t="shared" si="293"/>
        <v>2017</v>
      </c>
      <c r="AH406" s="7">
        <f t="shared" si="1025"/>
        <v>-8.3333333333333329E-2</v>
      </c>
      <c r="AJ406" s="144">
        <f t="shared" si="1007"/>
        <v>0</v>
      </c>
      <c r="AL406" s="144">
        <f t="shared" si="1008"/>
        <v>0</v>
      </c>
      <c r="AN406" s="144">
        <f t="shared" si="1009"/>
        <v>0</v>
      </c>
      <c r="AP406" s="144">
        <f t="shared" si="1010"/>
        <v>0</v>
      </c>
      <c r="AR406" s="144">
        <f t="shared" si="1011"/>
        <v>0</v>
      </c>
    </row>
    <row r="407" spans="3:44">
      <c r="D407" s="29" t="s">
        <v>232</v>
      </c>
      <c r="E407" s="3">
        <v>1997</v>
      </c>
      <c r="F407" s="4">
        <v>10</v>
      </c>
      <c r="G407" s="30">
        <v>0</v>
      </c>
      <c r="H407" s="7"/>
      <c r="I407" s="14" t="s">
        <v>86</v>
      </c>
      <c r="J407" s="5">
        <v>5</v>
      </c>
      <c r="K407" s="13">
        <f t="shared" si="1012"/>
        <v>2002</v>
      </c>
      <c r="N407" s="48">
        <v>3773</v>
      </c>
      <c r="P407" s="7">
        <f t="shared" si="1013"/>
        <v>3773</v>
      </c>
      <c r="Q407" s="7">
        <f t="shared" si="1014"/>
        <v>62.883333333333333</v>
      </c>
      <c r="R407" s="7">
        <f t="shared" si="1015"/>
        <v>0</v>
      </c>
      <c r="T407" s="7">
        <f t="shared" si="1016"/>
        <v>0</v>
      </c>
      <c r="U407" s="7">
        <v>1</v>
      </c>
      <c r="V407" s="7">
        <f t="shared" si="1017"/>
        <v>0</v>
      </c>
      <c r="W407" s="7"/>
      <c r="X407" s="7">
        <f t="shared" si="1018"/>
        <v>3773</v>
      </c>
      <c r="Y407" s="7">
        <f t="shared" si="1019"/>
        <v>3773</v>
      </c>
      <c r="Z407" s="7">
        <v>1</v>
      </c>
      <c r="AA407" s="7">
        <f t="shared" si="1020"/>
        <v>3773</v>
      </c>
      <c r="AB407" s="7">
        <f t="shared" si="1021"/>
        <v>3773</v>
      </c>
      <c r="AC407" s="7">
        <f t="shared" si="1022"/>
        <v>0</v>
      </c>
      <c r="AD407" s="7">
        <f t="shared" si="1023"/>
        <v>1997.75</v>
      </c>
      <c r="AE407" s="7">
        <f t="shared" si="292"/>
        <v>2018</v>
      </c>
      <c r="AF407" s="7">
        <f t="shared" si="1024"/>
        <v>2002.75</v>
      </c>
      <c r="AG407" s="7">
        <f t="shared" si="293"/>
        <v>2017</v>
      </c>
      <c r="AH407" s="7">
        <f t="shared" si="1025"/>
        <v>-8.3333333333333329E-2</v>
      </c>
      <c r="AJ407" s="144">
        <f t="shared" si="1007"/>
        <v>0</v>
      </c>
      <c r="AL407" s="144">
        <f t="shared" si="1008"/>
        <v>0</v>
      </c>
      <c r="AN407" s="144">
        <f t="shared" si="1009"/>
        <v>0</v>
      </c>
      <c r="AP407" s="144">
        <f t="shared" si="1010"/>
        <v>0</v>
      </c>
      <c r="AR407" s="144">
        <f t="shared" si="1011"/>
        <v>0</v>
      </c>
    </row>
    <row r="408" spans="3:44">
      <c r="D408" s="29" t="s">
        <v>233</v>
      </c>
      <c r="E408" s="3">
        <v>1998</v>
      </c>
      <c r="F408" s="4">
        <v>2</v>
      </c>
      <c r="G408" s="30">
        <v>0</v>
      </c>
      <c r="H408" s="7"/>
      <c r="I408" s="14" t="s">
        <v>86</v>
      </c>
      <c r="J408" s="5">
        <v>5</v>
      </c>
      <c r="K408" s="13">
        <f t="shared" si="1012"/>
        <v>2003</v>
      </c>
      <c r="N408" s="48">
        <v>15000</v>
      </c>
      <c r="P408" s="7">
        <f t="shared" si="1013"/>
        <v>15000</v>
      </c>
      <c r="Q408" s="7">
        <f t="shared" si="1014"/>
        <v>250</v>
      </c>
      <c r="R408" s="7">
        <f t="shared" si="1015"/>
        <v>0</v>
      </c>
      <c r="T408" s="7">
        <f t="shared" si="1016"/>
        <v>0</v>
      </c>
      <c r="U408" s="7">
        <v>1</v>
      </c>
      <c r="V408" s="7">
        <f t="shared" si="1017"/>
        <v>0</v>
      </c>
      <c r="W408" s="7"/>
      <c r="X408" s="7">
        <f t="shared" si="1018"/>
        <v>15000</v>
      </c>
      <c r="Y408" s="7">
        <f t="shared" si="1019"/>
        <v>15000</v>
      </c>
      <c r="Z408" s="7">
        <v>1</v>
      </c>
      <c r="AA408" s="7">
        <f t="shared" si="1020"/>
        <v>15000</v>
      </c>
      <c r="AB408" s="7">
        <f t="shared" si="1021"/>
        <v>15000</v>
      </c>
      <c r="AC408" s="7">
        <f t="shared" si="1022"/>
        <v>0</v>
      </c>
      <c r="AD408" s="7">
        <f t="shared" si="1023"/>
        <v>1998.0833333333333</v>
      </c>
      <c r="AE408" s="7">
        <f t="shared" si="292"/>
        <v>2018</v>
      </c>
      <c r="AF408" s="7">
        <f t="shared" si="1024"/>
        <v>2003.0833333333333</v>
      </c>
      <c r="AG408" s="7">
        <f t="shared" si="293"/>
        <v>2017</v>
      </c>
      <c r="AH408" s="7">
        <f t="shared" si="1025"/>
        <v>-8.3333333333333329E-2</v>
      </c>
      <c r="AJ408" s="144">
        <f t="shared" si="1007"/>
        <v>0</v>
      </c>
      <c r="AL408" s="144">
        <f t="shared" si="1008"/>
        <v>0</v>
      </c>
      <c r="AN408" s="144">
        <f t="shared" si="1009"/>
        <v>0</v>
      </c>
      <c r="AP408" s="144">
        <f t="shared" si="1010"/>
        <v>0</v>
      </c>
      <c r="AR408" s="144">
        <f t="shared" si="1011"/>
        <v>0</v>
      </c>
    </row>
    <row r="409" spans="3:44">
      <c r="D409" s="29" t="s">
        <v>234</v>
      </c>
      <c r="E409" s="3">
        <v>1998</v>
      </c>
      <c r="F409" s="4">
        <v>7</v>
      </c>
      <c r="G409" s="30">
        <v>0</v>
      </c>
      <c r="H409" s="7"/>
      <c r="I409" s="14" t="s">
        <v>86</v>
      </c>
      <c r="J409" s="5">
        <v>5</v>
      </c>
      <c r="K409" s="13">
        <f t="shared" si="1012"/>
        <v>2003</v>
      </c>
      <c r="N409" s="48">
        <v>2432</v>
      </c>
      <c r="P409" s="7">
        <f t="shared" si="1013"/>
        <v>2432</v>
      </c>
      <c r="Q409" s="7">
        <f t="shared" si="1014"/>
        <v>40.533333333333331</v>
      </c>
      <c r="R409" s="7">
        <f t="shared" si="1015"/>
        <v>0</v>
      </c>
      <c r="T409" s="7">
        <f t="shared" si="1016"/>
        <v>0</v>
      </c>
      <c r="U409" s="7">
        <v>1</v>
      </c>
      <c r="V409" s="7">
        <f t="shared" si="1017"/>
        <v>0</v>
      </c>
      <c r="W409" s="7"/>
      <c r="X409" s="7">
        <f t="shared" si="1018"/>
        <v>2432</v>
      </c>
      <c r="Y409" s="7">
        <f t="shared" si="1019"/>
        <v>2432</v>
      </c>
      <c r="Z409" s="7">
        <v>1</v>
      </c>
      <c r="AA409" s="7">
        <f t="shared" si="1020"/>
        <v>2432</v>
      </c>
      <c r="AB409" s="7">
        <f t="shared" si="1021"/>
        <v>2432</v>
      </c>
      <c r="AC409" s="7">
        <f t="shared" si="1022"/>
        <v>0</v>
      </c>
      <c r="AD409" s="7">
        <f t="shared" si="1023"/>
        <v>1998.5</v>
      </c>
      <c r="AE409" s="7">
        <f t="shared" si="292"/>
        <v>2018</v>
      </c>
      <c r="AF409" s="7">
        <f t="shared" si="1024"/>
        <v>2003.5</v>
      </c>
      <c r="AG409" s="7">
        <f t="shared" si="293"/>
        <v>2017</v>
      </c>
      <c r="AH409" s="7">
        <f t="shared" si="1025"/>
        <v>-8.3333333333333329E-2</v>
      </c>
      <c r="AJ409" s="144">
        <f t="shared" si="1007"/>
        <v>0</v>
      </c>
      <c r="AL409" s="144">
        <f t="shared" si="1008"/>
        <v>0</v>
      </c>
      <c r="AN409" s="144">
        <f t="shared" si="1009"/>
        <v>0</v>
      </c>
      <c r="AP409" s="144">
        <f t="shared" si="1010"/>
        <v>0</v>
      </c>
      <c r="AR409" s="144">
        <f t="shared" si="1011"/>
        <v>0</v>
      </c>
    </row>
    <row r="410" spans="3:44">
      <c r="D410" s="29" t="s">
        <v>229</v>
      </c>
      <c r="E410" s="3">
        <v>1998</v>
      </c>
      <c r="F410" s="4">
        <v>11</v>
      </c>
      <c r="G410" s="30">
        <v>0</v>
      </c>
      <c r="H410" s="7"/>
      <c r="I410" s="14" t="s">
        <v>86</v>
      </c>
      <c r="J410" s="5">
        <v>5</v>
      </c>
      <c r="K410" s="13">
        <f t="shared" si="1012"/>
        <v>2003</v>
      </c>
      <c r="N410" s="48">
        <v>1890</v>
      </c>
      <c r="P410" s="7">
        <f t="shared" si="1013"/>
        <v>1890</v>
      </c>
      <c r="Q410" s="7">
        <f t="shared" si="1014"/>
        <v>31.5</v>
      </c>
      <c r="R410" s="7">
        <f t="shared" si="1015"/>
        <v>0</v>
      </c>
      <c r="T410" s="7">
        <f t="shared" si="1016"/>
        <v>0</v>
      </c>
      <c r="U410" s="7">
        <v>1</v>
      </c>
      <c r="V410" s="7">
        <f t="shared" si="1017"/>
        <v>0</v>
      </c>
      <c r="W410" s="7"/>
      <c r="X410" s="7">
        <f t="shared" si="1018"/>
        <v>1890</v>
      </c>
      <c r="Y410" s="7">
        <f t="shared" si="1019"/>
        <v>1890</v>
      </c>
      <c r="Z410" s="7">
        <v>1</v>
      </c>
      <c r="AA410" s="7">
        <f t="shared" si="1020"/>
        <v>1890</v>
      </c>
      <c r="AB410" s="7">
        <f t="shared" si="1021"/>
        <v>1890</v>
      </c>
      <c r="AC410" s="7">
        <f t="shared" si="1022"/>
        <v>0</v>
      </c>
      <c r="AD410" s="7">
        <f t="shared" si="1023"/>
        <v>1998.8333333333333</v>
      </c>
      <c r="AE410" s="7">
        <f t="shared" si="292"/>
        <v>2018</v>
      </c>
      <c r="AF410" s="7">
        <f t="shared" si="1024"/>
        <v>2003.8333333333333</v>
      </c>
      <c r="AG410" s="7">
        <f t="shared" si="293"/>
        <v>2017</v>
      </c>
      <c r="AH410" s="7">
        <f t="shared" si="1025"/>
        <v>-8.3333333333333329E-2</v>
      </c>
      <c r="AJ410" s="144">
        <f t="shared" si="1007"/>
        <v>0</v>
      </c>
      <c r="AL410" s="144">
        <f t="shared" si="1008"/>
        <v>0</v>
      </c>
      <c r="AN410" s="144">
        <f t="shared" si="1009"/>
        <v>0</v>
      </c>
      <c r="AP410" s="144">
        <f t="shared" si="1010"/>
        <v>0</v>
      </c>
      <c r="AR410" s="144">
        <f t="shared" si="1011"/>
        <v>0</v>
      </c>
    </row>
    <row r="411" spans="3:44">
      <c r="C411" s="1">
        <v>98</v>
      </c>
      <c r="D411" s="39" t="s">
        <v>235</v>
      </c>
      <c r="E411" s="3">
        <v>1999</v>
      </c>
      <c r="F411" s="4">
        <v>12</v>
      </c>
      <c r="G411" s="30">
        <v>0</v>
      </c>
      <c r="H411" s="7"/>
      <c r="I411" s="14" t="s">
        <v>86</v>
      </c>
      <c r="J411" s="5">
        <v>5</v>
      </c>
      <c r="K411" s="13">
        <f t="shared" si="1012"/>
        <v>2004</v>
      </c>
      <c r="N411" s="48">
        <v>24699</v>
      </c>
      <c r="P411" s="7">
        <f t="shared" si="1013"/>
        <v>24699</v>
      </c>
      <c r="Q411" s="7">
        <f t="shared" si="1014"/>
        <v>411.65000000000003</v>
      </c>
      <c r="R411" s="7">
        <f t="shared" si="1015"/>
        <v>0</v>
      </c>
      <c r="T411" s="7">
        <f t="shared" si="1016"/>
        <v>0</v>
      </c>
      <c r="U411" s="7">
        <v>1</v>
      </c>
      <c r="V411" s="7">
        <f t="shared" si="1017"/>
        <v>0</v>
      </c>
      <c r="W411" s="7"/>
      <c r="X411" s="7">
        <f t="shared" si="1018"/>
        <v>24699</v>
      </c>
      <c r="Y411" s="7">
        <f t="shared" si="1019"/>
        <v>24699</v>
      </c>
      <c r="Z411" s="7">
        <v>1</v>
      </c>
      <c r="AA411" s="7">
        <f t="shared" si="1020"/>
        <v>24699</v>
      </c>
      <c r="AB411" s="7">
        <f t="shared" si="1021"/>
        <v>24699</v>
      </c>
      <c r="AC411" s="7">
        <f t="shared" si="1022"/>
        <v>0</v>
      </c>
      <c r="AD411" s="7">
        <f t="shared" si="1023"/>
        <v>1999.9166666666667</v>
      </c>
      <c r="AE411" s="7">
        <f t="shared" si="292"/>
        <v>2018</v>
      </c>
      <c r="AF411" s="7">
        <f t="shared" si="1024"/>
        <v>2004.9166666666667</v>
      </c>
      <c r="AG411" s="7">
        <f t="shared" si="293"/>
        <v>2017</v>
      </c>
      <c r="AH411" s="7">
        <f t="shared" si="1025"/>
        <v>-8.3333333333333329E-2</v>
      </c>
      <c r="AJ411" s="144">
        <f t="shared" si="1007"/>
        <v>0</v>
      </c>
      <c r="AL411" s="144">
        <f t="shared" si="1008"/>
        <v>0</v>
      </c>
      <c r="AN411" s="144">
        <f t="shared" si="1009"/>
        <v>0</v>
      </c>
      <c r="AP411" s="144">
        <f t="shared" si="1010"/>
        <v>0</v>
      </c>
      <c r="AR411" s="144">
        <f t="shared" si="1011"/>
        <v>0</v>
      </c>
    </row>
    <row r="412" spans="3:44">
      <c r="D412" s="29" t="s">
        <v>236</v>
      </c>
      <c r="E412" s="3">
        <v>1999</v>
      </c>
      <c r="F412" s="4">
        <v>1</v>
      </c>
      <c r="G412" s="30">
        <v>0</v>
      </c>
      <c r="H412" s="7"/>
      <c r="I412" s="14" t="s">
        <v>86</v>
      </c>
      <c r="J412" s="5">
        <v>5</v>
      </c>
      <c r="K412" s="13">
        <f t="shared" si="1012"/>
        <v>2004</v>
      </c>
      <c r="N412" s="48">
        <v>1705.24</v>
      </c>
      <c r="P412" s="7">
        <f t="shared" si="1013"/>
        <v>1705.24</v>
      </c>
      <c r="Q412" s="7">
        <f t="shared" si="1014"/>
        <v>28.420666666666666</v>
      </c>
      <c r="R412" s="7">
        <f t="shared" si="1015"/>
        <v>0</v>
      </c>
      <c r="T412" s="7">
        <f t="shared" si="1016"/>
        <v>0</v>
      </c>
      <c r="U412" s="7">
        <v>1</v>
      </c>
      <c r="V412" s="7">
        <f t="shared" si="1017"/>
        <v>0</v>
      </c>
      <c r="W412" s="7"/>
      <c r="X412" s="7">
        <f t="shared" si="1018"/>
        <v>1705.24</v>
      </c>
      <c r="Y412" s="7">
        <f t="shared" si="1019"/>
        <v>1705.24</v>
      </c>
      <c r="Z412" s="7">
        <v>1</v>
      </c>
      <c r="AA412" s="7">
        <f t="shared" si="1020"/>
        <v>1705.24</v>
      </c>
      <c r="AB412" s="7">
        <f t="shared" si="1021"/>
        <v>1705.24</v>
      </c>
      <c r="AC412" s="7">
        <f t="shared" si="1022"/>
        <v>0</v>
      </c>
      <c r="AD412" s="7">
        <f t="shared" si="1023"/>
        <v>1999</v>
      </c>
      <c r="AE412" s="7">
        <f t="shared" si="292"/>
        <v>2018</v>
      </c>
      <c r="AF412" s="7">
        <f t="shared" si="1024"/>
        <v>2004</v>
      </c>
      <c r="AG412" s="7">
        <f t="shared" si="293"/>
        <v>2017</v>
      </c>
      <c r="AH412" s="7">
        <f t="shared" si="1025"/>
        <v>-8.3333333333333329E-2</v>
      </c>
      <c r="AJ412" s="144">
        <f t="shared" si="1007"/>
        <v>0</v>
      </c>
      <c r="AL412" s="144">
        <f t="shared" si="1008"/>
        <v>0</v>
      </c>
      <c r="AN412" s="144">
        <f t="shared" si="1009"/>
        <v>0</v>
      </c>
      <c r="AP412" s="144">
        <f t="shared" si="1010"/>
        <v>0</v>
      </c>
      <c r="AR412" s="144">
        <f t="shared" si="1011"/>
        <v>0</v>
      </c>
    </row>
    <row r="413" spans="3:44">
      <c r="D413" s="29" t="s">
        <v>22</v>
      </c>
      <c r="E413" s="3">
        <v>1999</v>
      </c>
      <c r="F413" s="4">
        <v>10</v>
      </c>
      <c r="G413" s="30">
        <v>0</v>
      </c>
      <c r="H413" s="7"/>
      <c r="I413" s="14" t="s">
        <v>86</v>
      </c>
      <c r="J413" s="5">
        <v>5</v>
      </c>
      <c r="K413" s="13">
        <f t="shared" si="1012"/>
        <v>2004</v>
      </c>
      <c r="N413" s="48">
        <v>2464.2199999999998</v>
      </c>
      <c r="P413" s="7">
        <f t="shared" si="1013"/>
        <v>2464.2199999999998</v>
      </c>
      <c r="Q413" s="7">
        <f t="shared" si="1014"/>
        <v>41.07033333333333</v>
      </c>
      <c r="R413" s="7">
        <f t="shared" si="1015"/>
        <v>0</v>
      </c>
      <c r="T413" s="7">
        <f t="shared" si="1016"/>
        <v>0</v>
      </c>
      <c r="U413" s="7">
        <v>1</v>
      </c>
      <c r="V413" s="7">
        <f t="shared" si="1017"/>
        <v>0</v>
      </c>
      <c r="W413" s="7"/>
      <c r="X413" s="7">
        <f t="shared" si="1018"/>
        <v>2464.2199999999998</v>
      </c>
      <c r="Y413" s="7">
        <f t="shared" si="1019"/>
        <v>2464.2199999999998</v>
      </c>
      <c r="Z413" s="7">
        <v>1</v>
      </c>
      <c r="AA413" s="7">
        <f t="shared" si="1020"/>
        <v>2464.2199999999998</v>
      </c>
      <c r="AB413" s="7">
        <f t="shared" si="1021"/>
        <v>2464.2199999999998</v>
      </c>
      <c r="AC413" s="7">
        <f t="shared" si="1022"/>
        <v>0</v>
      </c>
      <c r="AD413" s="7">
        <f t="shared" si="1023"/>
        <v>1999.75</v>
      </c>
      <c r="AE413" s="7">
        <f t="shared" si="292"/>
        <v>2018</v>
      </c>
      <c r="AF413" s="7">
        <f t="shared" si="1024"/>
        <v>2004.75</v>
      </c>
      <c r="AG413" s="7">
        <f t="shared" si="293"/>
        <v>2017</v>
      </c>
      <c r="AH413" s="7">
        <f t="shared" si="1025"/>
        <v>-8.3333333333333329E-2</v>
      </c>
      <c r="AJ413" s="144">
        <f t="shared" si="1007"/>
        <v>0</v>
      </c>
      <c r="AL413" s="144">
        <f t="shared" si="1008"/>
        <v>0</v>
      </c>
      <c r="AN413" s="144">
        <f t="shared" si="1009"/>
        <v>0</v>
      </c>
      <c r="AP413" s="144">
        <f t="shared" si="1010"/>
        <v>0</v>
      </c>
      <c r="AR413" s="144">
        <f t="shared" si="1011"/>
        <v>0</v>
      </c>
    </row>
    <row r="414" spans="3:44">
      <c r="D414" s="29" t="s">
        <v>22</v>
      </c>
      <c r="E414" s="3">
        <v>1999</v>
      </c>
      <c r="F414" s="4">
        <v>6</v>
      </c>
      <c r="G414" s="30">
        <v>0</v>
      </c>
      <c r="H414" s="7"/>
      <c r="I414" s="14" t="s">
        <v>86</v>
      </c>
      <c r="J414" s="5">
        <v>5</v>
      </c>
      <c r="K414" s="13">
        <f t="shared" si="1012"/>
        <v>2004</v>
      </c>
      <c r="N414" s="48">
        <v>1236.0999999999999</v>
      </c>
      <c r="P414" s="7">
        <f t="shared" si="1013"/>
        <v>1236.0999999999999</v>
      </c>
      <c r="Q414" s="7">
        <f t="shared" si="1014"/>
        <v>20.601666666666663</v>
      </c>
      <c r="R414" s="7">
        <f t="shared" si="1015"/>
        <v>0</v>
      </c>
      <c r="T414" s="7">
        <f t="shared" si="1016"/>
        <v>0</v>
      </c>
      <c r="U414" s="7">
        <v>1</v>
      </c>
      <c r="V414" s="7">
        <f t="shared" si="1017"/>
        <v>0</v>
      </c>
      <c r="W414" s="7"/>
      <c r="X414" s="7">
        <f t="shared" si="1018"/>
        <v>1236.0999999999999</v>
      </c>
      <c r="Y414" s="7">
        <f t="shared" si="1019"/>
        <v>1236.0999999999999</v>
      </c>
      <c r="Z414" s="7">
        <v>1</v>
      </c>
      <c r="AA414" s="7">
        <f t="shared" si="1020"/>
        <v>1236.0999999999999</v>
      </c>
      <c r="AB414" s="7">
        <f t="shared" si="1021"/>
        <v>1236.0999999999999</v>
      </c>
      <c r="AC414" s="7">
        <f t="shared" si="1022"/>
        <v>0</v>
      </c>
      <c r="AD414" s="7">
        <f t="shared" si="1023"/>
        <v>1999.4166666666667</v>
      </c>
      <c r="AE414" s="7">
        <f t="shared" si="292"/>
        <v>2018</v>
      </c>
      <c r="AF414" s="7">
        <f t="shared" si="1024"/>
        <v>2004.4166666666667</v>
      </c>
      <c r="AG414" s="7">
        <f t="shared" si="293"/>
        <v>2017</v>
      </c>
      <c r="AH414" s="7">
        <f t="shared" si="1025"/>
        <v>-8.3333333333333329E-2</v>
      </c>
      <c r="AJ414" s="144">
        <f t="shared" si="1007"/>
        <v>0</v>
      </c>
      <c r="AL414" s="144">
        <f t="shared" si="1008"/>
        <v>0</v>
      </c>
      <c r="AN414" s="144">
        <f t="shared" si="1009"/>
        <v>0</v>
      </c>
      <c r="AP414" s="144">
        <f t="shared" si="1010"/>
        <v>0</v>
      </c>
      <c r="AR414" s="144">
        <f t="shared" si="1011"/>
        <v>0</v>
      </c>
    </row>
    <row r="415" spans="3:44">
      <c r="D415" s="39" t="s">
        <v>237</v>
      </c>
      <c r="E415" s="3">
        <v>1999</v>
      </c>
      <c r="F415" s="4">
        <v>2</v>
      </c>
      <c r="G415" s="30">
        <v>0</v>
      </c>
      <c r="H415" s="7"/>
      <c r="I415" s="14" t="s">
        <v>86</v>
      </c>
      <c r="J415" s="5">
        <v>5</v>
      </c>
      <c r="K415" s="13">
        <f t="shared" si="1012"/>
        <v>2004</v>
      </c>
      <c r="N415" s="48">
        <v>657</v>
      </c>
      <c r="P415" s="7">
        <f t="shared" si="1013"/>
        <v>657</v>
      </c>
      <c r="Q415" s="7">
        <f t="shared" si="1014"/>
        <v>10.950000000000001</v>
      </c>
      <c r="R415" s="7">
        <f t="shared" si="1015"/>
        <v>0</v>
      </c>
      <c r="T415" s="7">
        <f t="shared" si="1016"/>
        <v>0</v>
      </c>
      <c r="U415" s="7">
        <v>1</v>
      </c>
      <c r="V415" s="7">
        <f t="shared" si="1017"/>
        <v>0</v>
      </c>
      <c r="W415" s="7"/>
      <c r="X415" s="7">
        <f t="shared" si="1018"/>
        <v>657</v>
      </c>
      <c r="Y415" s="7">
        <f t="shared" si="1019"/>
        <v>657</v>
      </c>
      <c r="Z415" s="7">
        <v>1</v>
      </c>
      <c r="AA415" s="7">
        <f t="shared" si="1020"/>
        <v>657</v>
      </c>
      <c r="AB415" s="7">
        <f t="shared" si="1021"/>
        <v>657</v>
      </c>
      <c r="AC415" s="7">
        <f t="shared" si="1022"/>
        <v>0</v>
      </c>
      <c r="AD415" s="7">
        <f t="shared" si="1023"/>
        <v>1999.0833333333333</v>
      </c>
      <c r="AE415" s="7">
        <f t="shared" si="292"/>
        <v>2018</v>
      </c>
      <c r="AF415" s="7">
        <f t="shared" si="1024"/>
        <v>2004.0833333333333</v>
      </c>
      <c r="AG415" s="7">
        <f t="shared" si="293"/>
        <v>2017</v>
      </c>
      <c r="AH415" s="7">
        <f t="shared" si="1025"/>
        <v>-8.3333333333333329E-2</v>
      </c>
      <c r="AJ415" s="144">
        <f t="shared" si="1007"/>
        <v>0</v>
      </c>
      <c r="AL415" s="144">
        <f t="shared" si="1008"/>
        <v>0</v>
      </c>
      <c r="AN415" s="144">
        <f t="shared" si="1009"/>
        <v>0</v>
      </c>
      <c r="AP415" s="144">
        <f t="shared" si="1010"/>
        <v>0</v>
      </c>
      <c r="AR415" s="144">
        <f t="shared" si="1011"/>
        <v>0</v>
      </c>
    </row>
    <row r="416" spans="3:44">
      <c r="D416" s="29" t="s">
        <v>22</v>
      </c>
      <c r="E416" s="3">
        <v>1999</v>
      </c>
      <c r="F416" s="4">
        <v>4</v>
      </c>
      <c r="G416" s="30">
        <v>0</v>
      </c>
      <c r="H416" s="7"/>
      <c r="I416" s="14" t="s">
        <v>86</v>
      </c>
      <c r="J416" s="5">
        <v>5</v>
      </c>
      <c r="K416" s="13">
        <f t="shared" si="1012"/>
        <v>2004</v>
      </c>
      <c r="N416" s="48">
        <v>1234.68</v>
      </c>
      <c r="P416" s="7">
        <f t="shared" si="1013"/>
        <v>1234.68</v>
      </c>
      <c r="Q416" s="7">
        <f t="shared" si="1014"/>
        <v>20.577999999999999</v>
      </c>
      <c r="R416" s="7">
        <f t="shared" si="1015"/>
        <v>0</v>
      </c>
      <c r="T416" s="7">
        <f t="shared" si="1016"/>
        <v>0</v>
      </c>
      <c r="U416" s="7">
        <v>1</v>
      </c>
      <c r="V416" s="7">
        <f t="shared" si="1017"/>
        <v>0</v>
      </c>
      <c r="W416" s="7"/>
      <c r="X416" s="7">
        <f t="shared" si="1018"/>
        <v>1234.68</v>
      </c>
      <c r="Y416" s="7">
        <f t="shared" si="1019"/>
        <v>1234.68</v>
      </c>
      <c r="Z416" s="7">
        <v>1</v>
      </c>
      <c r="AA416" s="7">
        <f t="shared" si="1020"/>
        <v>1234.68</v>
      </c>
      <c r="AB416" s="7">
        <f t="shared" si="1021"/>
        <v>1234.68</v>
      </c>
      <c r="AC416" s="7">
        <f t="shared" si="1022"/>
        <v>0</v>
      </c>
      <c r="AD416" s="7">
        <f t="shared" si="1023"/>
        <v>1999.25</v>
      </c>
      <c r="AE416" s="7">
        <f t="shared" si="292"/>
        <v>2018</v>
      </c>
      <c r="AF416" s="7">
        <f t="shared" si="1024"/>
        <v>2004.25</v>
      </c>
      <c r="AG416" s="7">
        <f t="shared" si="293"/>
        <v>2017</v>
      </c>
      <c r="AH416" s="7">
        <f t="shared" si="1025"/>
        <v>-8.3333333333333329E-2</v>
      </c>
      <c r="AJ416" s="144">
        <f t="shared" si="1007"/>
        <v>0</v>
      </c>
      <c r="AL416" s="144">
        <f t="shared" si="1008"/>
        <v>0</v>
      </c>
      <c r="AN416" s="144">
        <f t="shared" si="1009"/>
        <v>0</v>
      </c>
      <c r="AP416" s="144">
        <f t="shared" si="1010"/>
        <v>0</v>
      </c>
      <c r="AR416" s="144">
        <f t="shared" si="1011"/>
        <v>0</v>
      </c>
    </row>
    <row r="417" spans="1:44">
      <c r="D417" s="29" t="s">
        <v>238</v>
      </c>
      <c r="E417" s="3">
        <v>1999</v>
      </c>
      <c r="F417" s="4">
        <v>1</v>
      </c>
      <c r="G417" s="30">
        <v>0</v>
      </c>
      <c r="H417" s="7"/>
      <c r="I417" s="14" t="s">
        <v>86</v>
      </c>
      <c r="J417" s="5">
        <v>5</v>
      </c>
      <c r="K417" s="13">
        <f t="shared" si="1012"/>
        <v>2004</v>
      </c>
      <c r="N417" s="48">
        <v>1764</v>
      </c>
      <c r="P417" s="7">
        <f t="shared" si="1013"/>
        <v>1764</v>
      </c>
      <c r="Q417" s="7">
        <f t="shared" si="1014"/>
        <v>29.400000000000002</v>
      </c>
      <c r="R417" s="7">
        <f t="shared" si="1015"/>
        <v>0</v>
      </c>
      <c r="T417" s="7">
        <f t="shared" si="1016"/>
        <v>0</v>
      </c>
      <c r="U417" s="7">
        <v>1</v>
      </c>
      <c r="V417" s="7">
        <f t="shared" si="1017"/>
        <v>0</v>
      </c>
      <c r="W417" s="7"/>
      <c r="X417" s="7">
        <f t="shared" si="1018"/>
        <v>1764</v>
      </c>
      <c r="Y417" s="7">
        <f t="shared" si="1019"/>
        <v>1764</v>
      </c>
      <c r="Z417" s="7">
        <v>1</v>
      </c>
      <c r="AA417" s="7">
        <f t="shared" si="1020"/>
        <v>1764</v>
      </c>
      <c r="AB417" s="7">
        <f t="shared" si="1021"/>
        <v>1764</v>
      </c>
      <c r="AC417" s="7">
        <f t="shared" si="1022"/>
        <v>0</v>
      </c>
      <c r="AD417" s="7">
        <f t="shared" si="1023"/>
        <v>1999</v>
      </c>
      <c r="AE417" s="7">
        <f t="shared" si="292"/>
        <v>2018</v>
      </c>
      <c r="AF417" s="7">
        <f t="shared" si="1024"/>
        <v>2004</v>
      </c>
      <c r="AG417" s="7">
        <f t="shared" si="293"/>
        <v>2017</v>
      </c>
      <c r="AH417" s="7">
        <f t="shared" si="1025"/>
        <v>-8.3333333333333329E-2</v>
      </c>
      <c r="AJ417" s="144">
        <f t="shared" si="1007"/>
        <v>0</v>
      </c>
      <c r="AL417" s="144">
        <f t="shared" si="1008"/>
        <v>0</v>
      </c>
      <c r="AN417" s="144">
        <f t="shared" si="1009"/>
        <v>0</v>
      </c>
      <c r="AP417" s="144">
        <f t="shared" si="1010"/>
        <v>0</v>
      </c>
      <c r="AR417" s="144">
        <f t="shared" si="1011"/>
        <v>0</v>
      </c>
    </row>
    <row r="418" spans="1:44">
      <c r="D418" s="29" t="s">
        <v>231</v>
      </c>
      <c r="E418" s="3">
        <v>1999</v>
      </c>
      <c r="F418" s="4">
        <v>6</v>
      </c>
      <c r="G418" s="30">
        <v>0</v>
      </c>
      <c r="H418" s="7"/>
      <c r="I418" s="14" t="s">
        <v>86</v>
      </c>
      <c r="J418" s="5">
        <v>5</v>
      </c>
      <c r="K418" s="13">
        <f t="shared" si="1012"/>
        <v>2004</v>
      </c>
      <c r="N418" s="48">
        <v>3013.19</v>
      </c>
      <c r="P418" s="7">
        <f t="shared" si="1013"/>
        <v>3013.19</v>
      </c>
      <c r="Q418" s="7">
        <f t="shared" si="1014"/>
        <v>50.219833333333334</v>
      </c>
      <c r="R418" s="7">
        <f t="shared" si="1015"/>
        <v>0</v>
      </c>
      <c r="T418" s="7">
        <f t="shared" si="1016"/>
        <v>0</v>
      </c>
      <c r="U418" s="7">
        <v>1</v>
      </c>
      <c r="V418" s="7">
        <f t="shared" si="1017"/>
        <v>0</v>
      </c>
      <c r="W418" s="7"/>
      <c r="X418" s="7">
        <f t="shared" si="1018"/>
        <v>3013.19</v>
      </c>
      <c r="Y418" s="7">
        <f t="shared" si="1019"/>
        <v>3013.19</v>
      </c>
      <c r="Z418" s="7">
        <v>1</v>
      </c>
      <c r="AA418" s="7">
        <f t="shared" si="1020"/>
        <v>3013.19</v>
      </c>
      <c r="AB418" s="7">
        <f t="shared" si="1021"/>
        <v>3013.19</v>
      </c>
      <c r="AC418" s="7">
        <f t="shared" si="1022"/>
        <v>0</v>
      </c>
      <c r="AD418" s="7">
        <f t="shared" si="1023"/>
        <v>1999.4166666666667</v>
      </c>
      <c r="AE418" s="7">
        <f t="shared" si="292"/>
        <v>2018</v>
      </c>
      <c r="AF418" s="7">
        <f t="shared" si="1024"/>
        <v>2004.4166666666667</v>
      </c>
      <c r="AG418" s="7">
        <f t="shared" si="293"/>
        <v>2017</v>
      </c>
      <c r="AH418" s="7">
        <f t="shared" si="1025"/>
        <v>-8.3333333333333329E-2</v>
      </c>
      <c r="AJ418" s="144">
        <f t="shared" si="1007"/>
        <v>0</v>
      </c>
      <c r="AL418" s="144">
        <f t="shared" si="1008"/>
        <v>0</v>
      </c>
      <c r="AN418" s="144">
        <f t="shared" si="1009"/>
        <v>0</v>
      </c>
      <c r="AP418" s="144">
        <f t="shared" si="1010"/>
        <v>0</v>
      </c>
      <c r="AR418" s="144">
        <f t="shared" si="1011"/>
        <v>0</v>
      </c>
    </row>
    <row r="419" spans="1:44">
      <c r="D419" s="29" t="s">
        <v>233</v>
      </c>
      <c r="E419" s="3">
        <v>2005</v>
      </c>
      <c r="F419" s="4">
        <v>5</v>
      </c>
      <c r="G419" s="30">
        <v>0.2</v>
      </c>
      <c r="H419" s="7"/>
      <c r="I419" s="14" t="s">
        <v>86</v>
      </c>
      <c r="J419" s="5">
        <v>7</v>
      </c>
      <c r="K419" s="13">
        <f t="shared" si="1012"/>
        <v>2012</v>
      </c>
      <c r="N419" s="48">
        <f>42867.2</f>
        <v>42867.199999999997</v>
      </c>
      <c r="P419" s="7">
        <f t="shared" si="1013"/>
        <v>34293.759999999995</v>
      </c>
      <c r="Q419" s="7">
        <f t="shared" si="1014"/>
        <v>408.25904761904758</v>
      </c>
      <c r="R419" s="7">
        <f t="shared" si="1015"/>
        <v>0</v>
      </c>
      <c r="T419" s="7">
        <f t="shared" si="1016"/>
        <v>0</v>
      </c>
      <c r="U419" s="7">
        <v>1</v>
      </c>
      <c r="V419" s="7">
        <f t="shared" si="1017"/>
        <v>0</v>
      </c>
      <c r="W419" s="7"/>
      <c r="X419" s="7">
        <f t="shared" si="1018"/>
        <v>34293.759999999995</v>
      </c>
      <c r="Y419" s="7">
        <f t="shared" si="1019"/>
        <v>34293.759999999995</v>
      </c>
      <c r="Z419" s="7">
        <v>1</v>
      </c>
      <c r="AA419" s="7">
        <f t="shared" si="1020"/>
        <v>34293.759999999995</v>
      </c>
      <c r="AB419" s="7">
        <f t="shared" si="1021"/>
        <v>34293.759999999995</v>
      </c>
      <c r="AC419" s="7">
        <f t="shared" si="1022"/>
        <v>8573.4400000000023</v>
      </c>
      <c r="AD419" s="7">
        <f t="shared" si="1023"/>
        <v>2005.3333333333333</v>
      </c>
      <c r="AE419" s="7">
        <f t="shared" si="292"/>
        <v>2018</v>
      </c>
      <c r="AF419" s="7">
        <f t="shared" si="1024"/>
        <v>2012.3333333333333</v>
      </c>
      <c r="AG419" s="7">
        <f t="shared" si="293"/>
        <v>2017</v>
      </c>
      <c r="AH419" s="7">
        <f t="shared" si="1025"/>
        <v>-8.3333333333333329E-2</v>
      </c>
      <c r="AJ419" s="144">
        <f t="shared" si="1007"/>
        <v>2857.813333333334</v>
      </c>
      <c r="AL419" s="144">
        <f t="shared" si="1008"/>
        <v>2857.813333333334</v>
      </c>
      <c r="AN419" s="144">
        <f t="shared" si="1009"/>
        <v>-8573.4400000000023</v>
      </c>
      <c r="AP419" s="144">
        <f t="shared" si="1010"/>
        <v>0</v>
      </c>
      <c r="AR419" s="144">
        <f t="shared" si="1011"/>
        <v>0</v>
      </c>
    </row>
    <row r="420" spans="1:44">
      <c r="D420" s="29" t="s">
        <v>239</v>
      </c>
      <c r="E420" s="3">
        <v>2007</v>
      </c>
      <c r="F420" s="4">
        <v>5</v>
      </c>
      <c r="G420" s="30">
        <v>0</v>
      </c>
      <c r="H420" s="7"/>
      <c r="I420" s="14" t="s">
        <v>86</v>
      </c>
      <c r="J420" s="5">
        <v>5</v>
      </c>
      <c r="K420" s="13">
        <f t="shared" si="1012"/>
        <v>2012</v>
      </c>
      <c r="N420" s="48">
        <v>1618.75</v>
      </c>
      <c r="P420" s="7">
        <f t="shared" si="1013"/>
        <v>1618.75</v>
      </c>
      <c r="Q420" s="7">
        <f t="shared" si="1014"/>
        <v>26.979166666666668</v>
      </c>
      <c r="R420" s="7">
        <f t="shared" si="1015"/>
        <v>0</v>
      </c>
      <c r="T420" s="7">
        <f t="shared" si="1016"/>
        <v>0</v>
      </c>
      <c r="U420" s="7">
        <v>1</v>
      </c>
      <c r="V420" s="7">
        <f t="shared" si="1017"/>
        <v>0</v>
      </c>
      <c r="W420" s="7"/>
      <c r="X420" s="7">
        <f t="shared" si="1018"/>
        <v>1618.75</v>
      </c>
      <c r="Y420" s="7">
        <f t="shared" si="1019"/>
        <v>1618.75</v>
      </c>
      <c r="Z420" s="7">
        <v>1</v>
      </c>
      <c r="AA420" s="7">
        <f t="shared" si="1020"/>
        <v>1618.75</v>
      </c>
      <c r="AB420" s="7">
        <f t="shared" si="1021"/>
        <v>1618.75</v>
      </c>
      <c r="AC420" s="7">
        <f t="shared" si="1022"/>
        <v>0</v>
      </c>
      <c r="AD420" s="7">
        <f t="shared" si="1023"/>
        <v>2007.3333333333333</v>
      </c>
      <c r="AE420" s="7">
        <f t="shared" si="292"/>
        <v>2018</v>
      </c>
      <c r="AF420" s="7">
        <f t="shared" si="1024"/>
        <v>2012.3333333333333</v>
      </c>
      <c r="AG420" s="7">
        <f t="shared" si="293"/>
        <v>2017</v>
      </c>
      <c r="AH420" s="7">
        <f t="shared" si="1025"/>
        <v>-8.3333333333333329E-2</v>
      </c>
      <c r="AJ420" s="144">
        <f t="shared" si="1007"/>
        <v>0</v>
      </c>
      <c r="AL420" s="144">
        <f t="shared" si="1008"/>
        <v>0</v>
      </c>
      <c r="AN420" s="144">
        <f t="shared" si="1009"/>
        <v>0</v>
      </c>
      <c r="AP420" s="144">
        <f t="shared" si="1010"/>
        <v>0</v>
      </c>
      <c r="AR420" s="144">
        <f t="shared" si="1011"/>
        <v>0</v>
      </c>
    </row>
    <row r="421" spans="1:44">
      <c r="D421" s="29" t="s">
        <v>240</v>
      </c>
      <c r="E421" s="3">
        <v>2007</v>
      </c>
      <c r="F421" s="4">
        <v>11</v>
      </c>
      <c r="G421" s="30">
        <v>0.2</v>
      </c>
      <c r="H421" s="7"/>
      <c r="I421" s="14" t="s">
        <v>86</v>
      </c>
      <c r="J421" s="5">
        <v>7</v>
      </c>
      <c r="K421" s="13">
        <f t="shared" si="1012"/>
        <v>2014</v>
      </c>
      <c r="N421" s="48">
        <v>1460.78</v>
      </c>
      <c r="P421" s="7">
        <f t="shared" si="1013"/>
        <v>1168.624</v>
      </c>
      <c r="Q421" s="7">
        <f t="shared" si="1014"/>
        <v>13.912190476190476</v>
      </c>
      <c r="R421" s="7">
        <f t="shared" si="1015"/>
        <v>0</v>
      </c>
      <c r="T421" s="7">
        <f t="shared" si="1016"/>
        <v>0</v>
      </c>
      <c r="U421" s="7">
        <v>1</v>
      </c>
      <c r="V421" s="7">
        <f t="shared" si="1017"/>
        <v>0</v>
      </c>
      <c r="W421" s="7"/>
      <c r="X421" s="7">
        <f t="shared" si="1018"/>
        <v>1168.624</v>
      </c>
      <c r="Y421" s="7">
        <f t="shared" si="1019"/>
        <v>1168.624</v>
      </c>
      <c r="Z421" s="7">
        <v>1</v>
      </c>
      <c r="AA421" s="7">
        <f t="shared" si="1020"/>
        <v>1168.624</v>
      </c>
      <c r="AB421" s="7">
        <f t="shared" si="1021"/>
        <v>1168.624</v>
      </c>
      <c r="AC421" s="7">
        <f t="shared" si="1022"/>
        <v>292.15599999999995</v>
      </c>
      <c r="AD421" s="7">
        <f t="shared" si="1023"/>
        <v>2007.8333333333333</v>
      </c>
      <c r="AE421" s="7">
        <f t="shared" si="292"/>
        <v>2018</v>
      </c>
      <c r="AF421" s="7">
        <f t="shared" si="1024"/>
        <v>2014.8333333333333</v>
      </c>
      <c r="AG421" s="7">
        <f t="shared" si="293"/>
        <v>2017</v>
      </c>
      <c r="AH421" s="7">
        <f t="shared" si="1025"/>
        <v>-8.3333333333333329E-2</v>
      </c>
      <c r="AJ421" s="144">
        <f t="shared" si="1007"/>
        <v>97.385333333333321</v>
      </c>
      <c r="AL421" s="144">
        <f t="shared" si="1008"/>
        <v>97.385333333333321</v>
      </c>
      <c r="AN421" s="144">
        <f t="shared" si="1009"/>
        <v>-292.15599999999995</v>
      </c>
      <c r="AP421" s="144">
        <f t="shared" si="1010"/>
        <v>0</v>
      </c>
      <c r="AR421" s="144">
        <f t="shared" si="1011"/>
        <v>0</v>
      </c>
    </row>
    <row r="422" spans="1:44">
      <c r="D422" s="29" t="s">
        <v>241</v>
      </c>
      <c r="E422" s="3">
        <v>2007</v>
      </c>
      <c r="F422" s="4">
        <v>12</v>
      </c>
      <c r="G422" s="30">
        <v>0</v>
      </c>
      <c r="H422" s="7"/>
      <c r="I422" s="14" t="s">
        <v>86</v>
      </c>
      <c r="J422" s="5">
        <v>5</v>
      </c>
      <c r="K422" s="13">
        <f t="shared" si="1012"/>
        <v>2012</v>
      </c>
      <c r="N422" s="48">
        <v>2776.1</v>
      </c>
      <c r="P422" s="7">
        <f t="shared" si="1013"/>
        <v>2776.1</v>
      </c>
      <c r="Q422" s="7">
        <f t="shared" si="1014"/>
        <v>46.268333333333338</v>
      </c>
      <c r="R422" s="7">
        <f t="shared" si="1015"/>
        <v>0</v>
      </c>
      <c r="T422" s="7">
        <f t="shared" si="1016"/>
        <v>0</v>
      </c>
      <c r="U422" s="7">
        <v>1</v>
      </c>
      <c r="V422" s="7">
        <f t="shared" si="1017"/>
        <v>0</v>
      </c>
      <c r="W422" s="7"/>
      <c r="X422" s="7">
        <f t="shared" si="1018"/>
        <v>2776.1</v>
      </c>
      <c r="Y422" s="7">
        <f t="shared" si="1019"/>
        <v>2776.1</v>
      </c>
      <c r="Z422" s="7">
        <v>1</v>
      </c>
      <c r="AA422" s="7">
        <f t="shared" si="1020"/>
        <v>2776.1</v>
      </c>
      <c r="AB422" s="7">
        <f t="shared" si="1021"/>
        <v>2776.1</v>
      </c>
      <c r="AC422" s="7">
        <f t="shared" si="1022"/>
        <v>0</v>
      </c>
      <c r="AD422" s="7">
        <f t="shared" si="1023"/>
        <v>2007.9166666666667</v>
      </c>
      <c r="AE422" s="7">
        <f t="shared" si="292"/>
        <v>2018</v>
      </c>
      <c r="AF422" s="7">
        <f t="shared" si="1024"/>
        <v>2012.9166666666667</v>
      </c>
      <c r="AG422" s="7">
        <f t="shared" si="293"/>
        <v>2017</v>
      </c>
      <c r="AH422" s="7">
        <f t="shared" si="1025"/>
        <v>-8.3333333333333329E-2</v>
      </c>
      <c r="AJ422" s="144">
        <f t="shared" si="1007"/>
        <v>0</v>
      </c>
      <c r="AL422" s="144">
        <f t="shared" si="1008"/>
        <v>0</v>
      </c>
      <c r="AN422" s="144">
        <f t="shared" si="1009"/>
        <v>0</v>
      </c>
      <c r="AP422" s="144">
        <f t="shared" si="1010"/>
        <v>0</v>
      </c>
      <c r="AR422" s="144">
        <f t="shared" si="1011"/>
        <v>0</v>
      </c>
    </row>
    <row r="423" spans="1:44">
      <c r="B423" s="1" t="s">
        <v>242</v>
      </c>
      <c r="C423" s="1" t="s">
        <v>243</v>
      </c>
      <c r="D423" s="29" t="s">
        <v>244</v>
      </c>
      <c r="E423" s="3">
        <v>2008</v>
      </c>
      <c r="F423" s="4">
        <v>7</v>
      </c>
      <c r="G423" s="30">
        <v>0.2</v>
      </c>
      <c r="H423" s="7"/>
      <c r="I423" s="14" t="s">
        <v>86</v>
      </c>
      <c r="J423" s="5">
        <v>7</v>
      </c>
      <c r="K423" s="13">
        <f t="shared" si="1012"/>
        <v>2015</v>
      </c>
      <c r="N423" s="48">
        <f>35260.28+10731.6+1040.64</f>
        <v>47032.52</v>
      </c>
      <c r="P423" s="7">
        <f t="shared" si="1013"/>
        <v>37626.015999999996</v>
      </c>
      <c r="Q423" s="7">
        <f t="shared" si="1014"/>
        <v>447.92876190476187</v>
      </c>
      <c r="R423" s="7">
        <f t="shared" si="1015"/>
        <v>0</v>
      </c>
      <c r="T423" s="7">
        <f t="shared" si="1016"/>
        <v>0</v>
      </c>
      <c r="U423" s="7">
        <v>1</v>
      </c>
      <c r="V423" s="7">
        <f t="shared" si="1017"/>
        <v>0</v>
      </c>
      <c r="W423" s="7"/>
      <c r="X423" s="7">
        <f t="shared" si="1018"/>
        <v>37626.015999999996</v>
      </c>
      <c r="Y423" s="7">
        <f t="shared" si="1019"/>
        <v>37626.015999999996</v>
      </c>
      <c r="Z423" s="7">
        <v>1</v>
      </c>
      <c r="AA423" s="7">
        <f t="shared" si="1020"/>
        <v>37626.015999999996</v>
      </c>
      <c r="AB423" s="7">
        <f t="shared" si="1021"/>
        <v>37626.015999999996</v>
      </c>
      <c r="AC423" s="7">
        <f t="shared" si="1022"/>
        <v>9406.5040000000008</v>
      </c>
      <c r="AD423" s="7">
        <f t="shared" si="1023"/>
        <v>2008.5</v>
      </c>
      <c r="AE423" s="7">
        <f t="shared" si="292"/>
        <v>2018</v>
      </c>
      <c r="AF423" s="7">
        <f t="shared" si="1024"/>
        <v>2015.5</v>
      </c>
      <c r="AG423" s="7">
        <f t="shared" si="293"/>
        <v>2017</v>
      </c>
      <c r="AH423" s="7">
        <f t="shared" si="1025"/>
        <v>-8.3333333333333329E-2</v>
      </c>
      <c r="AJ423" s="144">
        <f t="shared" si="1007"/>
        <v>3135.5013333333336</v>
      </c>
      <c r="AL423" s="144">
        <f t="shared" si="1008"/>
        <v>3135.5013333333336</v>
      </c>
      <c r="AN423" s="144">
        <f t="shared" si="1009"/>
        <v>-9406.5040000000008</v>
      </c>
      <c r="AP423" s="144">
        <f t="shared" si="1010"/>
        <v>0</v>
      </c>
      <c r="AR423" s="144">
        <f t="shared" si="1011"/>
        <v>0</v>
      </c>
    </row>
    <row r="424" spans="1:44">
      <c r="A424" s="1">
        <v>107208</v>
      </c>
      <c r="B424" s="4" t="s">
        <v>301</v>
      </c>
      <c r="C424" s="1">
        <v>8992</v>
      </c>
      <c r="D424" s="29" t="s">
        <v>300</v>
      </c>
      <c r="E424" s="3">
        <v>2008</v>
      </c>
      <c r="F424" s="4">
        <v>11</v>
      </c>
      <c r="G424" s="30">
        <v>0.33</v>
      </c>
      <c r="H424" s="7"/>
      <c r="I424" s="14" t="s">
        <v>86</v>
      </c>
      <c r="J424" s="5">
        <v>5</v>
      </c>
      <c r="K424" s="13">
        <f t="shared" si="1012"/>
        <v>2013</v>
      </c>
      <c r="N424" s="6">
        <v>1000</v>
      </c>
      <c r="O424" s="31"/>
      <c r="P424" s="7">
        <f t="shared" ref="P424" si="1026">N424-N424*G424</f>
        <v>670</v>
      </c>
      <c r="Q424" s="7">
        <f t="shared" ref="Q424" si="1027">P424/J424/12</f>
        <v>11.166666666666666</v>
      </c>
      <c r="R424" s="7">
        <f t="shared" ref="R424" si="1028">IF(O424&gt;0,0,IF(OR(AD424&gt;AE424,AF424&lt;AG424),0,IF(AND(AF424&gt;=AG424,AF424&lt;=AE424),Q424*((AF424-AG424)*12),IF(AND(AG424&lt;=AD424,AE424&gt;=AD424),((AE424-AD424)*12)*Q424,IF(AF424&gt;AE424,12*Q424,0)))))</f>
        <v>0</v>
      </c>
      <c r="T424" s="7">
        <f t="shared" ref="T424" si="1029">IF(S424&gt;0,S424,R424)</f>
        <v>0</v>
      </c>
      <c r="U424" s="7">
        <v>1</v>
      </c>
      <c r="V424" s="7">
        <f t="shared" ref="V424" si="1030">U424*SUM(R424:S424)</f>
        <v>0</v>
      </c>
      <c r="W424" s="7"/>
      <c r="X424" s="7">
        <f t="shared" ref="X424" si="1031">IF(AD424&gt;AE424,0,IF(AF424&lt;AG424,P424,IF(AND(AF424&gt;=AG424,AF424&lt;=AE424),(P424-T424),IF(AND(AG424&lt;=AD424,AE424&gt;=AD424),0,IF(AF424&gt;AE424,((AG424-AD424)*12)*Q424,0)))))</f>
        <v>670</v>
      </c>
      <c r="Y424" s="7">
        <f t="shared" ref="Y424" si="1032">X424*U424</f>
        <v>670</v>
      </c>
      <c r="Z424" s="7">
        <v>1</v>
      </c>
      <c r="AA424" s="7">
        <f t="shared" ref="AA424" si="1033">Y424*Z424</f>
        <v>670</v>
      </c>
      <c r="AB424" s="7">
        <f t="shared" ref="AB424" si="1034">IF(O424&gt;0,0,AA424+V424*Z424)*Z424</f>
        <v>670</v>
      </c>
      <c r="AC424" s="7">
        <f t="shared" ref="AC424" si="1035">IF(O424&gt;0,(N424-AA424)/2,IF(AD424&gt;=AG424,(((N424*U424)*Z424)-AB424)/2,((((N424*U424)*Z424)-AA424)+(((N424*U424)*Z424)-AB424))/2))</f>
        <v>330</v>
      </c>
      <c r="AD424" s="7">
        <f t="shared" si="1023"/>
        <v>2008.8333333333333</v>
      </c>
      <c r="AE424" s="7">
        <f t="shared" si="292"/>
        <v>2018</v>
      </c>
      <c r="AF424" s="7">
        <f t="shared" si="1024"/>
        <v>2013.8333333333333</v>
      </c>
      <c r="AG424" s="7">
        <f t="shared" si="293"/>
        <v>2017</v>
      </c>
      <c r="AH424" s="7">
        <f t="shared" si="1025"/>
        <v>-8.3333333333333329E-2</v>
      </c>
      <c r="AJ424" s="144">
        <f t="shared" si="1007"/>
        <v>110</v>
      </c>
      <c r="AL424" s="144">
        <f t="shared" si="1008"/>
        <v>110</v>
      </c>
      <c r="AN424" s="144">
        <f t="shared" si="1009"/>
        <v>-330</v>
      </c>
      <c r="AP424" s="144">
        <f t="shared" si="1010"/>
        <v>0</v>
      </c>
      <c r="AR424" s="144">
        <f t="shared" si="1011"/>
        <v>0</v>
      </c>
    </row>
    <row r="425" spans="1:44">
      <c r="B425" s="1" t="s">
        <v>2</v>
      </c>
      <c r="C425" s="1" t="s">
        <v>2</v>
      </c>
      <c r="D425" s="29" t="s">
        <v>245</v>
      </c>
      <c r="E425" s="3">
        <v>2009</v>
      </c>
      <c r="F425" s="4">
        <v>7</v>
      </c>
      <c r="G425" s="30">
        <v>0.2</v>
      </c>
      <c r="H425" s="7"/>
      <c r="I425" s="14" t="s">
        <v>86</v>
      </c>
      <c r="J425" s="5">
        <v>7</v>
      </c>
      <c r="K425" s="13">
        <f t="shared" si="1012"/>
        <v>2016</v>
      </c>
      <c r="N425" s="48">
        <v>6992.5</v>
      </c>
      <c r="P425" s="7">
        <f t="shared" si="1013"/>
        <v>5594</v>
      </c>
      <c r="Q425" s="7">
        <f t="shared" si="1014"/>
        <v>66.595238095238088</v>
      </c>
      <c r="R425" s="7">
        <f t="shared" si="1015"/>
        <v>0</v>
      </c>
      <c r="T425" s="7">
        <f t="shared" si="1016"/>
        <v>0</v>
      </c>
      <c r="U425" s="7">
        <v>1</v>
      </c>
      <c r="V425" s="7">
        <f t="shared" si="1017"/>
        <v>0</v>
      </c>
      <c r="W425" s="7"/>
      <c r="X425" s="7">
        <f t="shared" si="1018"/>
        <v>5594</v>
      </c>
      <c r="Y425" s="7">
        <f t="shared" si="1019"/>
        <v>5594</v>
      </c>
      <c r="Z425" s="7">
        <v>1</v>
      </c>
      <c r="AA425" s="7">
        <f t="shared" si="1020"/>
        <v>5594</v>
      </c>
      <c r="AB425" s="7">
        <f t="shared" si="1021"/>
        <v>5594</v>
      </c>
      <c r="AC425" s="7">
        <f t="shared" si="1022"/>
        <v>1398.5</v>
      </c>
      <c r="AD425" s="7">
        <f t="shared" si="1023"/>
        <v>2009.5</v>
      </c>
      <c r="AE425" s="7">
        <f t="shared" si="292"/>
        <v>2018</v>
      </c>
      <c r="AF425" s="7">
        <f t="shared" si="1024"/>
        <v>2016.5</v>
      </c>
      <c r="AG425" s="7">
        <f t="shared" si="293"/>
        <v>2017</v>
      </c>
      <c r="AH425" s="7">
        <f t="shared" si="1025"/>
        <v>-8.3333333333333329E-2</v>
      </c>
      <c r="AJ425" s="144">
        <f t="shared" si="1007"/>
        <v>466.16666666666669</v>
      </c>
      <c r="AL425" s="144">
        <f t="shared" si="1008"/>
        <v>466.16666666666669</v>
      </c>
      <c r="AN425" s="144">
        <f t="shared" si="1009"/>
        <v>-1398.5</v>
      </c>
      <c r="AP425" s="144">
        <f t="shared" si="1010"/>
        <v>0</v>
      </c>
      <c r="AR425" s="144">
        <f t="shared" si="1011"/>
        <v>0</v>
      </c>
    </row>
    <row r="426" spans="1:44">
      <c r="B426" s="1" t="s">
        <v>2</v>
      </c>
      <c r="C426" s="1" t="s">
        <v>2</v>
      </c>
      <c r="D426" s="29" t="s">
        <v>246</v>
      </c>
      <c r="E426" s="3">
        <v>2009</v>
      </c>
      <c r="F426" s="4">
        <v>12</v>
      </c>
      <c r="G426" s="30">
        <v>0</v>
      </c>
      <c r="H426" s="7"/>
      <c r="I426" s="14" t="s">
        <v>86</v>
      </c>
      <c r="J426" s="5">
        <v>5</v>
      </c>
      <c r="K426" s="13">
        <f t="shared" si="1012"/>
        <v>2014</v>
      </c>
      <c r="N426" s="48">
        <v>1565.27</v>
      </c>
      <c r="P426" s="7">
        <f t="shared" si="1013"/>
        <v>1565.27</v>
      </c>
      <c r="Q426" s="7">
        <f t="shared" si="1014"/>
        <v>26.087833333333332</v>
      </c>
      <c r="R426" s="7">
        <f t="shared" si="1015"/>
        <v>0</v>
      </c>
      <c r="T426" s="7">
        <f t="shared" si="1016"/>
        <v>0</v>
      </c>
      <c r="U426" s="7">
        <v>1</v>
      </c>
      <c r="V426" s="7">
        <f t="shared" si="1017"/>
        <v>0</v>
      </c>
      <c r="W426" s="7"/>
      <c r="X426" s="7">
        <f t="shared" si="1018"/>
        <v>1565.27</v>
      </c>
      <c r="Y426" s="7">
        <f t="shared" si="1019"/>
        <v>1565.27</v>
      </c>
      <c r="Z426" s="7">
        <v>1</v>
      </c>
      <c r="AA426" s="7">
        <f t="shared" si="1020"/>
        <v>1565.27</v>
      </c>
      <c r="AB426" s="7">
        <f t="shared" si="1021"/>
        <v>1565.27</v>
      </c>
      <c r="AC426" s="7">
        <f t="shared" si="1022"/>
        <v>0</v>
      </c>
      <c r="AD426" s="7">
        <f t="shared" si="1023"/>
        <v>2009.9166666666667</v>
      </c>
      <c r="AE426" s="7">
        <f t="shared" si="292"/>
        <v>2018</v>
      </c>
      <c r="AF426" s="7">
        <f t="shared" si="1024"/>
        <v>2014.9166666666667</v>
      </c>
      <c r="AG426" s="7">
        <f t="shared" si="293"/>
        <v>2017</v>
      </c>
      <c r="AH426" s="7">
        <f t="shared" si="1025"/>
        <v>-8.3333333333333329E-2</v>
      </c>
      <c r="AJ426" s="144">
        <f t="shared" si="1007"/>
        <v>0</v>
      </c>
      <c r="AL426" s="144">
        <f t="shared" si="1008"/>
        <v>0</v>
      </c>
      <c r="AN426" s="144">
        <f t="shared" si="1009"/>
        <v>0</v>
      </c>
      <c r="AP426" s="144">
        <f t="shared" si="1010"/>
        <v>0</v>
      </c>
      <c r="AR426" s="144">
        <f t="shared" si="1011"/>
        <v>0</v>
      </c>
    </row>
    <row r="427" spans="1:44">
      <c r="B427" s="1" t="s">
        <v>2</v>
      </c>
      <c r="C427" s="1" t="s">
        <v>2</v>
      </c>
      <c r="D427" s="29" t="s">
        <v>247</v>
      </c>
      <c r="E427" s="3">
        <v>2010</v>
      </c>
      <c r="F427" s="4">
        <v>12</v>
      </c>
      <c r="G427" s="30">
        <v>0</v>
      </c>
      <c r="H427" s="7"/>
      <c r="I427" s="14" t="s">
        <v>86</v>
      </c>
      <c r="J427" s="5">
        <v>7</v>
      </c>
      <c r="K427" s="13">
        <f t="shared" si="1012"/>
        <v>2017</v>
      </c>
      <c r="N427" s="48">
        <v>3253.09</v>
      </c>
      <c r="P427" s="7">
        <f t="shared" si="1013"/>
        <v>3253.09</v>
      </c>
      <c r="Q427" s="7">
        <f t="shared" si="1014"/>
        <v>38.72726190476191</v>
      </c>
      <c r="R427" s="7">
        <f t="shared" si="1015"/>
        <v>425.99988095241622</v>
      </c>
      <c r="T427" s="7">
        <f t="shared" si="1016"/>
        <v>425.99988095241622</v>
      </c>
      <c r="U427" s="7">
        <v>1</v>
      </c>
      <c r="V427" s="7">
        <f t="shared" si="1017"/>
        <v>425.99988095241622</v>
      </c>
      <c r="W427" s="7"/>
      <c r="X427" s="7">
        <f t="shared" si="1018"/>
        <v>2827.0901190475838</v>
      </c>
      <c r="Y427" s="7">
        <f t="shared" si="1019"/>
        <v>2827.0901190475838</v>
      </c>
      <c r="Z427" s="7">
        <v>1</v>
      </c>
      <c r="AA427" s="7">
        <f t="shared" si="1020"/>
        <v>2827.0901190475838</v>
      </c>
      <c r="AB427" s="7">
        <f t="shared" si="1021"/>
        <v>3253.09</v>
      </c>
      <c r="AC427" s="7">
        <f t="shared" si="1022"/>
        <v>212.99994047620817</v>
      </c>
      <c r="AD427" s="7">
        <f t="shared" si="1023"/>
        <v>2010.9166666666667</v>
      </c>
      <c r="AE427" s="7">
        <f t="shared" si="292"/>
        <v>2018</v>
      </c>
      <c r="AF427" s="7">
        <f t="shared" si="1024"/>
        <v>2017.9166666666667</v>
      </c>
      <c r="AG427" s="7">
        <f t="shared" si="293"/>
        <v>2017</v>
      </c>
      <c r="AH427" s="7">
        <f t="shared" si="1025"/>
        <v>-8.3333333333333329E-2</v>
      </c>
      <c r="AJ427" s="144">
        <f t="shared" si="1007"/>
        <v>0</v>
      </c>
      <c r="AL427" s="144">
        <f t="shared" si="1008"/>
        <v>425.99988095241622</v>
      </c>
      <c r="AN427" s="144">
        <f t="shared" si="1009"/>
        <v>0</v>
      </c>
      <c r="AP427" s="144">
        <f t="shared" si="1010"/>
        <v>0</v>
      </c>
      <c r="AR427" s="144">
        <f t="shared" si="1011"/>
        <v>212.99994047620817</v>
      </c>
    </row>
    <row r="428" spans="1:44">
      <c r="D428" s="29" t="s">
        <v>248</v>
      </c>
      <c r="E428" s="3">
        <v>2010</v>
      </c>
      <c r="F428" s="4">
        <v>12</v>
      </c>
      <c r="G428" s="30">
        <v>0</v>
      </c>
      <c r="H428" s="7"/>
      <c r="I428" s="14" t="s">
        <v>86</v>
      </c>
      <c r="J428" s="5">
        <v>7</v>
      </c>
      <c r="K428" s="13">
        <f t="shared" si="1012"/>
        <v>2017</v>
      </c>
      <c r="N428" s="48">
        <v>4681.47</v>
      </c>
      <c r="P428" s="7">
        <f t="shared" si="1013"/>
        <v>4681.47</v>
      </c>
      <c r="Q428" s="7">
        <f t="shared" si="1014"/>
        <v>55.731785714285714</v>
      </c>
      <c r="R428" s="7">
        <f t="shared" si="1015"/>
        <v>613.04964285719359</v>
      </c>
      <c r="T428" s="7">
        <f t="shared" si="1016"/>
        <v>613.04964285719359</v>
      </c>
      <c r="U428" s="7">
        <v>1</v>
      </c>
      <c r="V428" s="7">
        <f t="shared" si="1017"/>
        <v>613.04964285719359</v>
      </c>
      <c r="W428" s="7"/>
      <c r="X428" s="7">
        <f t="shared" si="1018"/>
        <v>4068.4203571428066</v>
      </c>
      <c r="Y428" s="7">
        <f t="shared" si="1019"/>
        <v>4068.4203571428066</v>
      </c>
      <c r="Z428" s="7">
        <v>1</v>
      </c>
      <c r="AA428" s="7">
        <f t="shared" si="1020"/>
        <v>4068.4203571428066</v>
      </c>
      <c r="AB428" s="7">
        <f t="shared" si="1021"/>
        <v>4681.47</v>
      </c>
      <c r="AC428" s="7">
        <f t="shared" si="1022"/>
        <v>306.52482142859685</v>
      </c>
      <c r="AD428" s="7">
        <f t="shared" si="1023"/>
        <v>2010.9166666666667</v>
      </c>
      <c r="AE428" s="7">
        <f t="shared" si="292"/>
        <v>2018</v>
      </c>
      <c r="AF428" s="7">
        <f t="shared" si="1024"/>
        <v>2017.9166666666667</v>
      </c>
      <c r="AG428" s="7">
        <f t="shared" si="293"/>
        <v>2017</v>
      </c>
      <c r="AH428" s="7">
        <f t="shared" si="1025"/>
        <v>-8.3333333333333329E-2</v>
      </c>
      <c r="AJ428" s="144">
        <f t="shared" si="1007"/>
        <v>0</v>
      </c>
      <c r="AL428" s="144">
        <f t="shared" si="1008"/>
        <v>613.04964285719359</v>
      </c>
      <c r="AN428" s="144">
        <f t="shared" si="1009"/>
        <v>0</v>
      </c>
      <c r="AP428" s="144">
        <f t="shared" si="1010"/>
        <v>0</v>
      </c>
      <c r="AR428" s="144">
        <f t="shared" si="1011"/>
        <v>306.52482142859685</v>
      </c>
    </row>
    <row r="429" spans="1:44">
      <c r="D429" s="29" t="s">
        <v>249</v>
      </c>
      <c r="E429" s="3">
        <v>2010</v>
      </c>
      <c r="F429" s="4">
        <v>12</v>
      </c>
      <c r="G429" s="30">
        <v>0</v>
      </c>
      <c r="H429" s="7"/>
      <c r="I429" s="14" t="s">
        <v>86</v>
      </c>
      <c r="J429" s="5">
        <v>7</v>
      </c>
      <c r="K429" s="13">
        <f t="shared" si="1012"/>
        <v>2017</v>
      </c>
      <c r="N429" s="48">
        <v>3765.82</v>
      </c>
      <c r="P429" s="7">
        <f t="shared" si="1013"/>
        <v>3765.82</v>
      </c>
      <c r="Q429" s="7">
        <f t="shared" si="1014"/>
        <v>44.831190476190478</v>
      </c>
      <c r="R429" s="7">
        <f t="shared" si="1015"/>
        <v>493.14309523813603</v>
      </c>
      <c r="T429" s="7">
        <f t="shared" si="1016"/>
        <v>493.14309523813603</v>
      </c>
      <c r="U429" s="7">
        <v>1</v>
      </c>
      <c r="V429" s="7">
        <f t="shared" si="1017"/>
        <v>493.14309523813603</v>
      </c>
      <c r="W429" s="7"/>
      <c r="X429" s="7">
        <f t="shared" si="1018"/>
        <v>3272.6769047618641</v>
      </c>
      <c r="Y429" s="7">
        <f t="shared" si="1019"/>
        <v>3272.6769047618641</v>
      </c>
      <c r="Z429" s="7">
        <v>1</v>
      </c>
      <c r="AA429" s="7">
        <f t="shared" si="1020"/>
        <v>3272.6769047618641</v>
      </c>
      <c r="AB429" s="7">
        <f t="shared" si="1021"/>
        <v>3765.82</v>
      </c>
      <c r="AC429" s="7">
        <f t="shared" si="1022"/>
        <v>246.57154761906804</v>
      </c>
      <c r="AD429" s="7">
        <f t="shared" si="1023"/>
        <v>2010.9166666666667</v>
      </c>
      <c r="AE429" s="7">
        <f t="shared" si="292"/>
        <v>2018</v>
      </c>
      <c r="AF429" s="7">
        <f t="shared" si="1024"/>
        <v>2017.9166666666667</v>
      </c>
      <c r="AG429" s="7">
        <f t="shared" si="293"/>
        <v>2017</v>
      </c>
      <c r="AH429" s="7">
        <f t="shared" si="1025"/>
        <v>-8.3333333333333329E-2</v>
      </c>
      <c r="AJ429" s="144">
        <f t="shared" si="1007"/>
        <v>0</v>
      </c>
      <c r="AL429" s="144">
        <f t="shared" si="1008"/>
        <v>493.14309523813603</v>
      </c>
      <c r="AN429" s="144">
        <f t="shared" si="1009"/>
        <v>0</v>
      </c>
      <c r="AP429" s="144">
        <f t="shared" si="1010"/>
        <v>0</v>
      </c>
      <c r="AR429" s="144">
        <f t="shared" si="1011"/>
        <v>246.57154761906804</v>
      </c>
    </row>
    <row r="430" spans="1:44">
      <c r="D430" s="29" t="s">
        <v>250</v>
      </c>
      <c r="E430" s="3">
        <v>2011</v>
      </c>
      <c r="F430" s="4">
        <v>1</v>
      </c>
      <c r="G430" s="30">
        <v>0</v>
      </c>
      <c r="H430" s="7"/>
      <c r="I430" s="14" t="s">
        <v>86</v>
      </c>
      <c r="J430" s="5">
        <v>7</v>
      </c>
      <c r="K430" s="13">
        <f t="shared" si="1012"/>
        <v>2018</v>
      </c>
      <c r="N430" s="48">
        <f>1674.5+7417</f>
        <v>9091.5</v>
      </c>
      <c r="P430" s="7">
        <f t="shared" si="1013"/>
        <v>9091.5</v>
      </c>
      <c r="Q430" s="7">
        <f t="shared" si="1014"/>
        <v>108.23214285714285</v>
      </c>
      <c r="R430" s="7">
        <f t="shared" si="1015"/>
        <v>1298.7857142857142</v>
      </c>
      <c r="T430" s="7">
        <f t="shared" si="1016"/>
        <v>1298.7857142857142</v>
      </c>
      <c r="U430" s="7">
        <v>1</v>
      </c>
      <c r="V430" s="7">
        <f t="shared" si="1017"/>
        <v>1298.7857142857142</v>
      </c>
      <c r="W430" s="7"/>
      <c r="X430" s="7">
        <f t="shared" si="1018"/>
        <v>7792.7142857142862</v>
      </c>
      <c r="Y430" s="7">
        <f t="shared" si="1019"/>
        <v>7792.7142857142862</v>
      </c>
      <c r="Z430" s="7">
        <v>1</v>
      </c>
      <c r="AA430" s="7">
        <f t="shared" si="1020"/>
        <v>7792.7142857142862</v>
      </c>
      <c r="AB430" s="7">
        <f t="shared" si="1021"/>
        <v>9091.5</v>
      </c>
      <c r="AC430" s="7">
        <f t="shared" si="1022"/>
        <v>649.39285714285688</v>
      </c>
      <c r="AD430" s="7">
        <f t="shared" si="1023"/>
        <v>2011</v>
      </c>
      <c r="AE430" s="7">
        <f t="shared" si="292"/>
        <v>2018</v>
      </c>
      <c r="AF430" s="7">
        <f t="shared" si="1024"/>
        <v>2018</v>
      </c>
      <c r="AG430" s="7">
        <f t="shared" si="293"/>
        <v>2017</v>
      </c>
      <c r="AH430" s="7">
        <f t="shared" si="1025"/>
        <v>-8.3333333333333329E-2</v>
      </c>
      <c r="AJ430" s="144">
        <f t="shared" si="1007"/>
        <v>0</v>
      </c>
      <c r="AL430" s="144">
        <f t="shared" si="1008"/>
        <v>1298.7857142857142</v>
      </c>
      <c r="AN430" s="144">
        <f t="shared" si="1009"/>
        <v>0</v>
      </c>
      <c r="AP430" s="144">
        <f t="shared" si="1010"/>
        <v>0</v>
      </c>
      <c r="AR430" s="144">
        <f t="shared" si="1011"/>
        <v>649.39285714285688</v>
      </c>
    </row>
    <row r="431" spans="1:44">
      <c r="D431" s="29" t="s">
        <v>251</v>
      </c>
      <c r="E431" s="3">
        <v>2011</v>
      </c>
      <c r="F431" s="4">
        <v>7</v>
      </c>
      <c r="G431" s="30">
        <v>0</v>
      </c>
      <c r="H431" s="7"/>
      <c r="I431" s="14" t="s">
        <v>86</v>
      </c>
      <c r="J431" s="5">
        <v>7</v>
      </c>
      <c r="K431" s="13">
        <f t="shared" si="1012"/>
        <v>2018</v>
      </c>
      <c r="N431" s="48">
        <v>5203.2</v>
      </c>
      <c r="P431" s="7">
        <f t="shared" si="1013"/>
        <v>5203.2</v>
      </c>
      <c r="Q431" s="7">
        <f t="shared" si="1014"/>
        <v>61.942857142857143</v>
      </c>
      <c r="R431" s="7">
        <f t="shared" si="1015"/>
        <v>743.31428571428569</v>
      </c>
      <c r="T431" s="7">
        <f t="shared" si="1016"/>
        <v>743.31428571428569</v>
      </c>
      <c r="U431" s="7">
        <v>1</v>
      </c>
      <c r="V431" s="7">
        <f t="shared" si="1017"/>
        <v>743.31428571428569</v>
      </c>
      <c r="W431" s="7"/>
      <c r="X431" s="7">
        <f t="shared" si="1018"/>
        <v>4088.2285714285713</v>
      </c>
      <c r="Y431" s="7">
        <f t="shared" si="1019"/>
        <v>4088.2285714285713</v>
      </c>
      <c r="Z431" s="7">
        <v>1</v>
      </c>
      <c r="AA431" s="7">
        <f t="shared" si="1020"/>
        <v>4088.2285714285713</v>
      </c>
      <c r="AB431" s="7">
        <f t="shared" si="1021"/>
        <v>4831.5428571428565</v>
      </c>
      <c r="AC431" s="7">
        <f t="shared" si="1022"/>
        <v>743.31428571428592</v>
      </c>
      <c r="AD431" s="7">
        <f t="shared" si="1023"/>
        <v>2011.5</v>
      </c>
      <c r="AE431" s="7">
        <f t="shared" si="292"/>
        <v>2018</v>
      </c>
      <c r="AF431" s="7">
        <f t="shared" si="1024"/>
        <v>2018.5</v>
      </c>
      <c r="AG431" s="7">
        <f t="shared" si="293"/>
        <v>2017</v>
      </c>
      <c r="AH431" s="7">
        <f t="shared" si="1025"/>
        <v>-8.3333333333333329E-2</v>
      </c>
      <c r="AJ431" s="144">
        <f t="shared" si="1007"/>
        <v>0</v>
      </c>
      <c r="AL431" s="144">
        <f t="shared" si="1008"/>
        <v>743.31428571428569</v>
      </c>
      <c r="AN431" s="144">
        <f t="shared" si="1009"/>
        <v>0</v>
      </c>
      <c r="AP431" s="144">
        <f t="shared" si="1010"/>
        <v>0</v>
      </c>
      <c r="AR431" s="144">
        <f t="shared" si="1011"/>
        <v>743.31428571428592</v>
      </c>
    </row>
    <row r="432" spans="1:44">
      <c r="A432" s="1">
        <v>91092</v>
      </c>
      <c r="D432" s="29" t="s">
        <v>252</v>
      </c>
      <c r="E432" s="3">
        <v>2012</v>
      </c>
      <c r="F432" s="4">
        <v>1</v>
      </c>
      <c r="G432" s="30">
        <v>0</v>
      </c>
      <c r="H432" s="7"/>
      <c r="I432" s="14" t="s">
        <v>86</v>
      </c>
      <c r="J432" s="5">
        <v>7</v>
      </c>
      <c r="K432" s="13">
        <f t="shared" si="1012"/>
        <v>2019</v>
      </c>
      <c r="N432" s="48">
        <v>6806.52</v>
      </c>
      <c r="P432" s="7">
        <f t="shared" si="1013"/>
        <v>6806.52</v>
      </c>
      <c r="Q432" s="7">
        <f t="shared" si="1014"/>
        <v>81.03</v>
      </c>
      <c r="R432" s="7">
        <f t="shared" si="1015"/>
        <v>972.36</v>
      </c>
      <c r="T432" s="7">
        <f t="shared" si="1016"/>
        <v>972.36</v>
      </c>
      <c r="U432" s="7">
        <v>1</v>
      </c>
      <c r="V432" s="7">
        <f t="shared" si="1017"/>
        <v>972.36</v>
      </c>
      <c r="W432" s="7"/>
      <c r="X432" s="7">
        <f t="shared" si="1018"/>
        <v>4861.8</v>
      </c>
      <c r="Y432" s="7">
        <f t="shared" si="1019"/>
        <v>4861.8</v>
      </c>
      <c r="Z432" s="7">
        <v>1</v>
      </c>
      <c r="AA432" s="7">
        <f t="shared" si="1020"/>
        <v>4861.8</v>
      </c>
      <c r="AB432" s="7">
        <f t="shared" si="1021"/>
        <v>5834.16</v>
      </c>
      <c r="AC432" s="7">
        <f t="shared" si="1022"/>
        <v>1458.5400000000004</v>
      </c>
      <c r="AD432" s="7">
        <f t="shared" si="1023"/>
        <v>2012</v>
      </c>
      <c r="AE432" s="7">
        <f t="shared" si="292"/>
        <v>2018</v>
      </c>
      <c r="AF432" s="7">
        <f t="shared" si="1024"/>
        <v>2019</v>
      </c>
      <c r="AG432" s="7">
        <f t="shared" si="293"/>
        <v>2017</v>
      </c>
      <c r="AH432" s="7">
        <f t="shared" si="1025"/>
        <v>-8.3333333333333329E-2</v>
      </c>
      <c r="AJ432" s="144">
        <f t="shared" si="1007"/>
        <v>0</v>
      </c>
      <c r="AL432" s="144">
        <f t="shared" si="1008"/>
        <v>972.36</v>
      </c>
      <c r="AN432" s="144">
        <f t="shared" si="1009"/>
        <v>0</v>
      </c>
      <c r="AP432" s="144">
        <f t="shared" si="1010"/>
        <v>0</v>
      </c>
      <c r="AR432" s="144">
        <f t="shared" si="1011"/>
        <v>1458.5400000000004</v>
      </c>
    </row>
    <row r="433" spans="1:44">
      <c r="A433" s="1">
        <v>95050</v>
      </c>
      <c r="D433" s="29" t="s">
        <v>253</v>
      </c>
      <c r="E433" s="3">
        <v>2012</v>
      </c>
      <c r="F433" s="4">
        <v>4</v>
      </c>
      <c r="G433" s="30">
        <v>0</v>
      </c>
      <c r="H433" s="7"/>
      <c r="I433" s="14" t="s">
        <v>86</v>
      </c>
      <c r="J433" s="5">
        <v>5</v>
      </c>
      <c r="K433" s="13">
        <f t="shared" si="1012"/>
        <v>2017</v>
      </c>
      <c r="N433" s="48">
        <v>466.06</v>
      </c>
      <c r="P433" s="7">
        <f t="shared" si="1013"/>
        <v>466.06</v>
      </c>
      <c r="Q433" s="7">
        <f t="shared" si="1014"/>
        <v>7.7676666666666669</v>
      </c>
      <c r="R433" s="7">
        <f t="shared" si="1015"/>
        <v>23.303000000000001</v>
      </c>
      <c r="T433" s="7">
        <f t="shared" si="1016"/>
        <v>23.303000000000001</v>
      </c>
      <c r="U433" s="7">
        <v>1</v>
      </c>
      <c r="V433" s="7">
        <f t="shared" si="1017"/>
        <v>23.303000000000001</v>
      </c>
      <c r="W433" s="7"/>
      <c r="X433" s="7">
        <f t="shared" si="1018"/>
        <v>442.75700000000001</v>
      </c>
      <c r="Y433" s="7">
        <f t="shared" si="1019"/>
        <v>442.75700000000001</v>
      </c>
      <c r="Z433" s="7">
        <v>1</v>
      </c>
      <c r="AA433" s="7">
        <f t="shared" si="1020"/>
        <v>442.75700000000001</v>
      </c>
      <c r="AB433" s="7">
        <f t="shared" si="1021"/>
        <v>466.06</v>
      </c>
      <c r="AC433" s="7">
        <f t="shared" si="1022"/>
        <v>11.651499999999999</v>
      </c>
      <c r="AD433" s="7">
        <f t="shared" si="1023"/>
        <v>2012.25</v>
      </c>
      <c r="AE433" s="7">
        <f t="shared" si="292"/>
        <v>2018</v>
      </c>
      <c r="AF433" s="7">
        <f t="shared" si="1024"/>
        <v>2017.25</v>
      </c>
      <c r="AG433" s="7">
        <f t="shared" si="293"/>
        <v>2017</v>
      </c>
      <c r="AH433" s="7">
        <f t="shared" si="1025"/>
        <v>-8.3333333333333329E-2</v>
      </c>
      <c r="AJ433" s="144">
        <f t="shared" si="1007"/>
        <v>0</v>
      </c>
      <c r="AL433" s="144">
        <f t="shared" si="1008"/>
        <v>23.303000000000001</v>
      </c>
      <c r="AN433" s="144">
        <f t="shared" si="1009"/>
        <v>0</v>
      </c>
      <c r="AP433" s="144">
        <f t="shared" si="1010"/>
        <v>0</v>
      </c>
      <c r="AR433" s="144">
        <f t="shared" si="1011"/>
        <v>11.651499999999999</v>
      </c>
    </row>
    <row r="434" spans="1:44">
      <c r="B434" s="4" t="s">
        <v>2</v>
      </c>
      <c r="C434" s="1" t="s">
        <v>243</v>
      </c>
      <c r="D434" s="29" t="s">
        <v>225</v>
      </c>
      <c r="E434" s="3">
        <v>2012</v>
      </c>
      <c r="F434" s="4">
        <v>7</v>
      </c>
      <c r="G434" s="30">
        <v>0.2</v>
      </c>
      <c r="H434" s="7"/>
      <c r="I434" s="14" t="s">
        <v>86</v>
      </c>
      <c r="J434" s="5">
        <v>7</v>
      </c>
      <c r="K434" s="13">
        <f t="shared" si="1012"/>
        <v>2019</v>
      </c>
      <c r="N434" s="6">
        <v>595</v>
      </c>
      <c r="O434" s="31"/>
      <c r="P434" s="7">
        <f t="shared" si="1013"/>
        <v>476</v>
      </c>
      <c r="Q434" s="7">
        <f t="shared" si="1014"/>
        <v>5.666666666666667</v>
      </c>
      <c r="R434" s="7">
        <f t="shared" si="1015"/>
        <v>68</v>
      </c>
      <c r="S434" s="7"/>
      <c r="T434" s="7">
        <f t="shared" si="1016"/>
        <v>68</v>
      </c>
      <c r="U434" s="7">
        <v>1</v>
      </c>
      <c r="V434" s="7">
        <f t="shared" si="1017"/>
        <v>68</v>
      </c>
      <c r="W434" s="7"/>
      <c r="X434" s="7">
        <f t="shared" si="1018"/>
        <v>306</v>
      </c>
      <c r="Y434" s="7">
        <f t="shared" si="1019"/>
        <v>306</v>
      </c>
      <c r="Z434" s="7">
        <v>1</v>
      </c>
      <c r="AA434" s="7">
        <f t="shared" si="1020"/>
        <v>306</v>
      </c>
      <c r="AB434" s="7">
        <f t="shared" si="1021"/>
        <v>374</v>
      </c>
      <c r="AC434" s="7">
        <f t="shared" si="1022"/>
        <v>255</v>
      </c>
      <c r="AD434" s="7">
        <f t="shared" si="1023"/>
        <v>2012.5</v>
      </c>
      <c r="AE434" s="7">
        <f t="shared" si="292"/>
        <v>2018</v>
      </c>
      <c r="AF434" s="7">
        <f t="shared" si="1024"/>
        <v>2019.5</v>
      </c>
      <c r="AG434" s="7">
        <f t="shared" si="293"/>
        <v>2017</v>
      </c>
      <c r="AH434" s="7">
        <f t="shared" si="1025"/>
        <v>-8.3333333333333329E-2</v>
      </c>
      <c r="AJ434" s="144">
        <f t="shared" si="1007"/>
        <v>39.666666666666664</v>
      </c>
      <c r="AL434" s="144">
        <f t="shared" si="1008"/>
        <v>107.66666666666666</v>
      </c>
      <c r="AN434" s="144">
        <f t="shared" si="1009"/>
        <v>0</v>
      </c>
      <c r="AP434" s="144">
        <f t="shared" si="1010"/>
        <v>235.16666666666666</v>
      </c>
      <c r="AR434" s="144">
        <f t="shared" si="1011"/>
        <v>235.16666666666666</v>
      </c>
    </row>
    <row r="435" spans="1:44">
      <c r="A435" s="1">
        <v>120330</v>
      </c>
      <c r="B435" s="4"/>
      <c r="D435" s="29" t="s">
        <v>323</v>
      </c>
      <c r="E435" s="3">
        <v>2015</v>
      </c>
      <c r="F435" s="4">
        <v>1</v>
      </c>
      <c r="G435" s="30">
        <v>0</v>
      </c>
      <c r="H435" s="7"/>
      <c r="I435" s="14" t="s">
        <v>86</v>
      </c>
      <c r="J435" s="5">
        <v>5</v>
      </c>
      <c r="K435" s="13">
        <f t="shared" si="1012"/>
        <v>2020</v>
      </c>
      <c r="N435" s="6">
        <v>17574.62</v>
      </c>
      <c r="O435" s="31"/>
      <c r="P435" s="7">
        <f t="shared" si="1013"/>
        <v>17574.62</v>
      </c>
      <c r="Q435" s="7">
        <f t="shared" si="1014"/>
        <v>292.91033333333331</v>
      </c>
      <c r="R435" s="7">
        <f t="shared" ref="R435" si="1036">IF(O435&gt;0,0,IF(OR(AD435&gt;AE435,AF435&lt;AG435),0,IF(AND(AF435&gt;=AG435,AF435&lt;=AE435),Q435*((AF435-AG435)*12),IF(AND(AG435&lt;=AD435,AE435&gt;=AD435),((AE435-AD435)*12)*Q435,IF(AF435&gt;AE435,12*Q435,0)))))</f>
        <v>3514.924</v>
      </c>
      <c r="S435" s="7"/>
      <c r="T435" s="7">
        <f t="shared" ref="T435" si="1037">IF(S435&gt;0,S435,R435)</f>
        <v>3514.924</v>
      </c>
      <c r="U435" s="7">
        <v>1</v>
      </c>
      <c r="V435" s="7">
        <f t="shared" ref="V435" si="1038">U435*SUM(R435:S435)</f>
        <v>3514.924</v>
      </c>
      <c r="W435" s="7"/>
      <c r="X435" s="7">
        <f t="shared" ref="X435" si="1039">IF(AD435&gt;AE435,0,IF(AF435&lt;AG435,P435,IF(AND(AF435&gt;=AG435,AF435&lt;=AE435),(P435-T435),IF(AND(AG435&lt;=AD435,AE435&gt;=AD435),0,IF(AF435&gt;AE435,((AG435-AD435)*12)*Q435,0)))))</f>
        <v>7029.848</v>
      </c>
      <c r="Y435" s="7">
        <f t="shared" ref="Y435" si="1040">X435*U435</f>
        <v>7029.848</v>
      </c>
      <c r="Z435" s="7">
        <v>1</v>
      </c>
      <c r="AA435" s="7">
        <f t="shared" ref="AA435" si="1041">Y435*Z435</f>
        <v>7029.848</v>
      </c>
      <c r="AB435" s="7">
        <f t="shared" ref="AB435" si="1042">IF(O435&gt;0,0,AA435+V435*Z435)*Z435</f>
        <v>10544.772000000001</v>
      </c>
      <c r="AC435" s="7">
        <f t="shared" ref="AC435" si="1043">IF(O435&gt;0,(N435-AA435)/2,IF(AD435&gt;=AG435,(((N435*U435)*Z435)-AB435)/2,((((N435*U435)*Z435)-AA435)+(((N435*U435)*Z435)-AB435))/2))</f>
        <v>8787.3099999999977</v>
      </c>
      <c r="AD435" s="7">
        <f t="shared" si="1023"/>
        <v>2015</v>
      </c>
      <c r="AE435" s="7">
        <f t="shared" si="292"/>
        <v>2018</v>
      </c>
      <c r="AF435" s="7">
        <f t="shared" si="1024"/>
        <v>2020</v>
      </c>
      <c r="AG435" s="7">
        <f t="shared" si="293"/>
        <v>2017</v>
      </c>
      <c r="AH435" s="7">
        <f t="shared" si="1025"/>
        <v>-8.3333333333333329E-2</v>
      </c>
      <c r="AJ435" s="144">
        <f t="shared" si="1007"/>
        <v>0</v>
      </c>
      <c r="AL435" s="144">
        <f t="shared" si="1008"/>
        <v>3514.924</v>
      </c>
      <c r="AN435" s="144">
        <f t="shared" si="1009"/>
        <v>0</v>
      </c>
      <c r="AP435" s="144">
        <f t="shared" si="1010"/>
        <v>0</v>
      </c>
      <c r="AR435" s="144">
        <f t="shared" si="1011"/>
        <v>8787.3099999999977</v>
      </c>
    </row>
    <row r="436" spans="1:44">
      <c r="A436" s="1">
        <v>121096</v>
      </c>
      <c r="B436" s="4"/>
      <c r="D436" s="29" t="s">
        <v>324</v>
      </c>
      <c r="E436" s="3">
        <v>2015</v>
      </c>
      <c r="F436" s="4">
        <v>3</v>
      </c>
      <c r="G436" s="30">
        <v>0</v>
      </c>
      <c r="H436" s="7"/>
      <c r="I436" s="14" t="s">
        <v>86</v>
      </c>
      <c r="J436" s="5">
        <v>5</v>
      </c>
      <c r="K436" s="13">
        <f t="shared" si="1012"/>
        <v>2020</v>
      </c>
      <c r="N436" s="6">
        <v>8263.36</v>
      </c>
      <c r="O436" s="31"/>
      <c r="P436" s="7">
        <f t="shared" si="1013"/>
        <v>8263.36</v>
      </c>
      <c r="Q436" s="7">
        <f t="shared" si="1014"/>
        <v>137.72266666666667</v>
      </c>
      <c r="R436" s="7">
        <f t="shared" ref="R436" si="1044">IF(O436&gt;0,0,IF(OR(AD436&gt;AE436,AF436&lt;AG436),0,IF(AND(AF436&gt;=AG436,AF436&lt;=AE436),Q436*((AF436-AG436)*12),IF(AND(AG436&lt;=AD436,AE436&gt;=AD436),((AE436-AD436)*12)*Q436,IF(AF436&gt;AE436,12*Q436,0)))))</f>
        <v>1652.672</v>
      </c>
      <c r="S436" s="7"/>
      <c r="T436" s="7">
        <f t="shared" ref="T436" si="1045">IF(S436&gt;0,S436,R436)</f>
        <v>1652.672</v>
      </c>
      <c r="U436" s="7">
        <v>1</v>
      </c>
      <c r="V436" s="7">
        <f t="shared" ref="V436" si="1046">U436*SUM(R436:S436)</f>
        <v>1652.672</v>
      </c>
      <c r="W436" s="7"/>
      <c r="X436" s="7">
        <f t="shared" ref="X436" si="1047">IF(AD436&gt;AE436,0,IF(AF436&lt;AG436,P436,IF(AND(AF436&gt;=AG436,AF436&lt;=AE436),(P436-T436),IF(AND(AG436&lt;=AD436,AE436&gt;=AD436),0,IF(AF436&gt;AE436,((AG436-AD436)*12)*Q436,0)))))</f>
        <v>3029.8986666665414</v>
      </c>
      <c r="Y436" s="7">
        <f t="shared" ref="Y436" si="1048">X436*U436</f>
        <v>3029.8986666665414</v>
      </c>
      <c r="Z436" s="7">
        <v>1</v>
      </c>
      <c r="AA436" s="7">
        <f t="shared" ref="AA436" si="1049">Y436*Z436</f>
        <v>3029.8986666665414</v>
      </c>
      <c r="AB436" s="7">
        <f t="shared" ref="AB436" si="1050">IF(O436&gt;0,0,AA436+V436*Z436)*Z436</f>
        <v>4682.570666666541</v>
      </c>
      <c r="AC436" s="7">
        <f t="shared" ref="AC436" si="1051">IF(O436&gt;0,(N436-AA436)/2,IF(AD436&gt;=AG436,(((N436*U436)*Z436)-AB436)/2,((((N436*U436)*Z436)-AA436)+(((N436*U436)*Z436)-AB436))/2))</f>
        <v>4407.1253333334589</v>
      </c>
      <c r="AD436" s="7">
        <f t="shared" si="1023"/>
        <v>2015.1666666666667</v>
      </c>
      <c r="AE436" s="7">
        <f t="shared" si="292"/>
        <v>2018</v>
      </c>
      <c r="AF436" s="7">
        <f t="shared" si="1024"/>
        <v>2020.1666666666667</v>
      </c>
      <c r="AG436" s="7">
        <f t="shared" si="293"/>
        <v>2017</v>
      </c>
      <c r="AH436" s="7">
        <f t="shared" si="1025"/>
        <v>-8.3333333333333329E-2</v>
      </c>
      <c r="AJ436" s="144">
        <f t="shared" si="1007"/>
        <v>0</v>
      </c>
      <c r="AL436" s="144">
        <f t="shared" si="1008"/>
        <v>1652.672</v>
      </c>
      <c r="AN436" s="144">
        <f t="shared" si="1009"/>
        <v>0</v>
      </c>
      <c r="AP436" s="144">
        <f t="shared" si="1010"/>
        <v>0</v>
      </c>
      <c r="AR436" s="144">
        <f t="shared" si="1011"/>
        <v>4407.1253333334589</v>
      </c>
    </row>
    <row r="437" spans="1:44">
      <c r="A437" s="1">
        <v>124277</v>
      </c>
      <c r="B437" s="4"/>
      <c r="D437" s="29" t="s">
        <v>329</v>
      </c>
      <c r="E437" s="3">
        <v>2015</v>
      </c>
      <c r="F437" s="4">
        <v>7</v>
      </c>
      <c r="G437" s="30">
        <v>0</v>
      </c>
      <c r="H437" s="7"/>
      <c r="I437" s="14" t="s">
        <v>86</v>
      </c>
      <c r="J437" s="5">
        <v>5</v>
      </c>
      <c r="K437" s="13">
        <f t="shared" si="1012"/>
        <v>2020</v>
      </c>
      <c r="N437" s="6">
        <v>4937</v>
      </c>
      <c r="O437" s="31"/>
      <c r="P437" s="7">
        <f t="shared" si="1013"/>
        <v>4937</v>
      </c>
      <c r="Q437" s="7">
        <f t="shared" si="1014"/>
        <v>82.283333333333331</v>
      </c>
      <c r="R437" s="7">
        <f t="shared" ref="R437" si="1052">IF(O437&gt;0,0,IF(OR(AD437&gt;AE437,AF437&lt;AG437),0,IF(AND(AF437&gt;=AG437,AF437&lt;=AE437),Q437*((AF437-AG437)*12),IF(AND(AG437&lt;=AD437,AE437&gt;=AD437),((AE437-AD437)*12)*Q437,IF(AF437&gt;AE437,12*Q437,0)))))</f>
        <v>987.4</v>
      </c>
      <c r="S437" s="7"/>
      <c r="T437" s="7">
        <f t="shared" ref="T437" si="1053">IF(S437&gt;0,S437,R437)</f>
        <v>987.4</v>
      </c>
      <c r="U437" s="7">
        <v>1</v>
      </c>
      <c r="V437" s="7">
        <f t="shared" ref="V437" si="1054">U437*SUM(R437:S437)</f>
        <v>987.4</v>
      </c>
      <c r="W437" s="7"/>
      <c r="X437" s="7">
        <f t="shared" ref="X437" si="1055">IF(AD437&gt;AE437,0,IF(AF437&lt;AG437,P437,IF(AND(AF437&gt;=AG437,AF437&lt;=AE437),(P437-T437),IF(AND(AG437&lt;=AD437,AE437&gt;=AD437),0,IF(AF437&gt;AE437,((AG437-AD437)*12)*Q437,0)))))</f>
        <v>1481.1</v>
      </c>
      <c r="Y437" s="7">
        <f t="shared" ref="Y437" si="1056">X437*U437</f>
        <v>1481.1</v>
      </c>
      <c r="Z437" s="7">
        <v>1</v>
      </c>
      <c r="AA437" s="7">
        <f t="shared" ref="AA437" si="1057">Y437*Z437</f>
        <v>1481.1</v>
      </c>
      <c r="AB437" s="7">
        <f t="shared" ref="AB437" si="1058">IF(O437&gt;0,0,AA437+V437*Z437)*Z437</f>
        <v>2468.5</v>
      </c>
      <c r="AC437" s="7">
        <f t="shared" ref="AC437" si="1059">IF(O437&gt;0,(N437-AA437)/2,IF(AD437&gt;=AG437,(((N437*U437)*Z437)-AB437)/2,((((N437*U437)*Z437)-AA437)+(((N437*U437)*Z437)-AB437))/2))</f>
        <v>2962.2</v>
      </c>
      <c r="AD437" s="7">
        <f t="shared" si="1023"/>
        <v>2015.5</v>
      </c>
      <c r="AE437" s="7">
        <f t="shared" si="292"/>
        <v>2018</v>
      </c>
      <c r="AF437" s="7">
        <f t="shared" si="1024"/>
        <v>2020.5</v>
      </c>
      <c r="AG437" s="7">
        <f t="shared" si="293"/>
        <v>2017</v>
      </c>
      <c r="AH437" s="7">
        <f t="shared" si="1025"/>
        <v>-8.3333333333333329E-2</v>
      </c>
      <c r="AJ437" s="144">
        <f t="shared" si="1007"/>
        <v>0</v>
      </c>
      <c r="AL437" s="144">
        <f t="shared" si="1008"/>
        <v>987.4</v>
      </c>
      <c r="AN437" s="144">
        <f t="shared" si="1009"/>
        <v>0</v>
      </c>
      <c r="AP437" s="144">
        <f t="shared" si="1010"/>
        <v>0</v>
      </c>
      <c r="AR437" s="144">
        <f t="shared" si="1011"/>
        <v>2962.2</v>
      </c>
    </row>
    <row r="438" spans="1:44">
      <c r="A438" s="1">
        <v>139712</v>
      </c>
      <c r="B438" s="4"/>
      <c r="D438" s="29" t="s">
        <v>345</v>
      </c>
      <c r="E438" s="3">
        <v>2016</v>
      </c>
      <c r="F438" s="4">
        <v>6</v>
      </c>
      <c r="G438" s="30">
        <v>0.33</v>
      </c>
      <c r="H438" s="7"/>
      <c r="I438" s="14" t="s">
        <v>86</v>
      </c>
      <c r="J438" s="5">
        <v>5</v>
      </c>
      <c r="K438" s="13">
        <f t="shared" si="1012"/>
        <v>2021</v>
      </c>
      <c r="N438" s="33">
        <v>30385.43</v>
      </c>
      <c r="O438" s="31"/>
      <c r="P438" s="7">
        <f t="shared" si="1013"/>
        <v>20358.238100000002</v>
      </c>
      <c r="Q438" s="7">
        <f t="shared" si="1014"/>
        <v>339.30396833333339</v>
      </c>
      <c r="R438" s="7">
        <f t="shared" ref="R438" si="1060">IF(O438&gt;0,0,IF(OR(AD438&gt;AE438,AF438&lt;AG438),0,IF(AND(AF438&gt;=AG438,AF438&lt;=AE438),Q438*((AF438-AG438)*12),IF(AND(AG438&lt;=AD438,AE438&gt;=AD438),((AE438-AD438)*12)*Q438,IF(AF438&gt;AE438,12*Q438,0)))))</f>
        <v>4071.6476200000006</v>
      </c>
      <c r="S438" s="7"/>
      <c r="T438" s="7">
        <f t="shared" ref="T438" si="1061">IF(S438&gt;0,S438,R438)</f>
        <v>4071.6476200000006</v>
      </c>
      <c r="U438" s="7">
        <v>1</v>
      </c>
      <c r="V438" s="7">
        <f t="shared" ref="V438" si="1062">U438*SUM(R438:S438)</f>
        <v>4071.6476200000006</v>
      </c>
      <c r="W438" s="7"/>
      <c r="X438" s="7">
        <f t="shared" ref="X438" si="1063">IF(AD438&gt;AE438,0,IF(AF438&lt;AG438,P438,IF(AND(AF438&gt;=AG438,AF438&lt;=AE438),(P438-T438),IF(AND(AG438&lt;=AD438,AE438&gt;=AD438),0,IF(AF438&gt;AE438,((AG438-AD438)*12)*Q438,0)))))</f>
        <v>2375.1277783330252</v>
      </c>
      <c r="Y438" s="7">
        <f t="shared" ref="Y438" si="1064">X438*U438</f>
        <v>2375.1277783330252</v>
      </c>
      <c r="Z438" s="7">
        <v>1</v>
      </c>
      <c r="AA438" s="7">
        <f t="shared" ref="AA438" si="1065">Y438*Z438</f>
        <v>2375.1277783330252</v>
      </c>
      <c r="AB438" s="7">
        <f t="shared" ref="AB438" si="1066">IF(O438&gt;0,0,AA438+V438*Z438)*Z438</f>
        <v>6446.7753983330258</v>
      </c>
      <c r="AC438" s="7">
        <f t="shared" ref="AC438" si="1067">IF(O438&gt;0,(N438-AA438)/2,IF(AD438&gt;=AG438,(((N438*U438)*Z438)-AB438)/2,((((N438*U438)*Z438)-AA438)+(((N438*U438)*Z438)-AB438))/2))</f>
        <v>25974.478411666976</v>
      </c>
      <c r="AD438" s="7">
        <f t="shared" si="1023"/>
        <v>2016.4166666666667</v>
      </c>
      <c r="AE438" s="7">
        <f t="shared" si="292"/>
        <v>2018</v>
      </c>
      <c r="AF438" s="7">
        <f t="shared" si="1024"/>
        <v>2021.4166666666667</v>
      </c>
      <c r="AG438" s="7">
        <f t="shared" si="293"/>
        <v>2017</v>
      </c>
      <c r="AH438" s="7">
        <f t="shared" si="1025"/>
        <v>-8.3333333333333329E-2</v>
      </c>
      <c r="AJ438" s="144">
        <f t="shared" si="1007"/>
        <v>2270.3075999999605</v>
      </c>
      <c r="AL438" s="144">
        <f t="shared" si="1008"/>
        <v>6341.9552199999616</v>
      </c>
      <c r="AN438" s="144">
        <f t="shared" si="1009"/>
        <v>0</v>
      </c>
      <c r="AP438" s="144">
        <f t="shared" si="1010"/>
        <v>24839.324611666994</v>
      </c>
      <c r="AR438" s="144">
        <f t="shared" si="1011"/>
        <v>24839.324611666994</v>
      </c>
    </row>
    <row r="439" spans="1:44">
      <c r="A439" s="1">
        <v>139763</v>
      </c>
      <c r="B439" s="4"/>
      <c r="D439" s="29" t="s">
        <v>324</v>
      </c>
      <c r="E439" s="3">
        <v>2016</v>
      </c>
      <c r="F439" s="4">
        <v>6</v>
      </c>
      <c r="G439" s="30">
        <v>0</v>
      </c>
      <c r="H439" s="7"/>
      <c r="I439" s="14" t="s">
        <v>86</v>
      </c>
      <c r="J439" s="5">
        <v>5</v>
      </c>
      <c r="K439" s="13">
        <f t="shared" si="1012"/>
        <v>2021</v>
      </c>
      <c r="N439" s="33">
        <v>12072.05</v>
      </c>
      <c r="O439" s="31"/>
      <c r="P439" s="7">
        <f t="shared" si="1013"/>
        <v>12072.05</v>
      </c>
      <c r="Q439" s="7">
        <f t="shared" si="1014"/>
        <v>201.20083333333332</v>
      </c>
      <c r="R439" s="7">
        <f t="shared" ref="R439" si="1068">IF(O439&gt;0,0,IF(OR(AD439&gt;AE439,AF439&lt;AG439),0,IF(AND(AF439&gt;=AG439,AF439&lt;=AE439),Q439*((AF439-AG439)*12),IF(AND(AG439&lt;=AD439,AE439&gt;=AD439),((AE439-AD439)*12)*Q439,IF(AF439&gt;AE439,12*Q439,0)))))</f>
        <v>2414.41</v>
      </c>
      <c r="S439" s="7"/>
      <c r="T439" s="7">
        <f t="shared" ref="T439" si="1069">IF(S439&gt;0,S439,R439)</f>
        <v>2414.41</v>
      </c>
      <c r="U439" s="7">
        <v>1</v>
      </c>
      <c r="V439" s="7">
        <f t="shared" ref="V439" si="1070">U439*SUM(R439:S439)</f>
        <v>2414.41</v>
      </c>
      <c r="W439" s="7"/>
      <c r="X439" s="7">
        <f t="shared" ref="X439" si="1071">IF(AD439&gt;AE439,0,IF(AF439&lt;AG439,P439,IF(AND(AF439&gt;=AG439,AF439&lt;=AE439),(P439-T439),IF(AND(AG439&lt;=AD439,AE439&gt;=AD439),0,IF(AF439&gt;AE439,((AG439-AD439)*12)*Q439,0)))))</f>
        <v>1408.4058333331502</v>
      </c>
      <c r="Y439" s="7">
        <f t="shared" ref="Y439" si="1072">X439*U439</f>
        <v>1408.4058333331502</v>
      </c>
      <c r="Z439" s="7">
        <v>1</v>
      </c>
      <c r="AA439" s="7">
        <f t="shared" ref="AA439" si="1073">Y439*Z439</f>
        <v>1408.4058333331502</v>
      </c>
      <c r="AB439" s="7">
        <f t="shared" ref="AB439" si="1074">IF(O439&gt;0,0,AA439+V439*Z439)*Z439</f>
        <v>3822.8158333331503</v>
      </c>
      <c r="AC439" s="7">
        <f t="shared" ref="AC439" si="1075">IF(O439&gt;0,(N439-AA439)/2,IF(AD439&gt;=AG439,(((N439*U439)*Z439)-AB439)/2,((((N439*U439)*Z439)-AA439)+(((N439*U439)*Z439)-AB439))/2))</f>
        <v>9456.4391666668489</v>
      </c>
      <c r="AD439" s="7">
        <f t="shared" si="1023"/>
        <v>2016.4166666666667</v>
      </c>
      <c r="AE439" s="7">
        <f t="shared" si="292"/>
        <v>2018</v>
      </c>
      <c r="AF439" s="7">
        <f t="shared" si="1024"/>
        <v>2021.4166666666667</v>
      </c>
      <c r="AG439" s="7">
        <f t="shared" si="293"/>
        <v>2017</v>
      </c>
      <c r="AH439" s="7">
        <f t="shared" si="1025"/>
        <v>-8.3333333333333329E-2</v>
      </c>
      <c r="AJ439" s="144">
        <f t="shared" si="1007"/>
        <v>0</v>
      </c>
      <c r="AL439" s="144">
        <f t="shared" si="1008"/>
        <v>2414.41</v>
      </c>
      <c r="AN439" s="144">
        <f t="shared" si="1009"/>
        <v>0</v>
      </c>
      <c r="AP439" s="144">
        <f t="shared" si="1010"/>
        <v>0</v>
      </c>
      <c r="AR439" s="144">
        <f t="shared" si="1011"/>
        <v>9456.4391666668489</v>
      </c>
    </row>
    <row r="440" spans="1:44">
      <c r="A440" s="1">
        <v>170260</v>
      </c>
      <c r="B440" s="4"/>
      <c r="D440" s="29" t="s">
        <v>352</v>
      </c>
      <c r="E440" s="3">
        <v>2016</v>
      </c>
      <c r="F440" s="4">
        <v>11</v>
      </c>
      <c r="G440" s="30">
        <v>0</v>
      </c>
      <c r="H440" s="7"/>
      <c r="I440" s="14" t="s">
        <v>86</v>
      </c>
      <c r="J440" s="5">
        <v>6</v>
      </c>
      <c r="K440" s="13">
        <f t="shared" ref="K440" si="1076">E440+J440</f>
        <v>2022</v>
      </c>
      <c r="N440" s="34">
        <v>9792</v>
      </c>
      <c r="O440" s="31"/>
      <c r="P440" s="7">
        <f t="shared" ref="P440" si="1077">N440-N440*G440</f>
        <v>9792</v>
      </c>
      <c r="Q440" s="7">
        <f t="shared" ref="Q440" si="1078">P440/J440/12</f>
        <v>136</v>
      </c>
      <c r="R440" s="7">
        <f t="shared" ref="R440" si="1079">IF(O440&gt;0,0,IF(OR(AD440&gt;AE440,AF440&lt;AG440),0,IF(AND(AF440&gt;=AG440,AF440&lt;=AE440),Q440*((AF440-AG440)*12),IF(AND(AG440&lt;=AD440,AE440&gt;=AD440),((AE440-AD440)*12)*Q440,IF(AF440&gt;AE440,12*Q440,0)))))</f>
        <v>1632</v>
      </c>
      <c r="S440" s="7"/>
      <c r="T440" s="7">
        <f t="shared" ref="T440" si="1080">IF(S440&gt;0,S440,R440)</f>
        <v>1632</v>
      </c>
      <c r="U440" s="7">
        <v>1</v>
      </c>
      <c r="V440" s="7">
        <f t="shared" ref="V440" si="1081">U440*SUM(R440:S440)</f>
        <v>1632</v>
      </c>
      <c r="W440" s="7"/>
      <c r="X440" s="7">
        <f t="shared" ref="X440" si="1082">IF(AD440&gt;AE440,0,IF(AF440&lt;AG440,P440,IF(AND(AF440&gt;=AG440,AF440&lt;=AE440),(P440-T440),IF(AND(AG440&lt;=AD440,AE440&gt;=AD440),0,IF(AF440&gt;AE440,((AG440-AD440)*12)*Q440,0)))))</f>
        <v>272.00000000012369</v>
      </c>
      <c r="Y440" s="7">
        <f t="shared" ref="Y440" si="1083">X440*U440</f>
        <v>272.00000000012369</v>
      </c>
      <c r="Z440" s="7">
        <v>1</v>
      </c>
      <c r="AA440" s="7">
        <f t="shared" ref="AA440" si="1084">Y440*Z440</f>
        <v>272.00000000012369</v>
      </c>
      <c r="AB440" s="7">
        <f t="shared" ref="AB440" si="1085">IF(O440&gt;0,0,AA440+V440*Z440)*Z440</f>
        <v>1904.0000000001237</v>
      </c>
      <c r="AC440" s="7">
        <f t="shared" ref="AC440" si="1086">IF(O440&gt;0,(N440-AA440)/2,IF(AD440&gt;=AG440,(((N440*U440)*Z440)-AB440)/2,((((N440*U440)*Z440)-AA440)+(((N440*U440)*Z440)-AB440))/2))</f>
        <v>8703.9999999998763</v>
      </c>
      <c r="AD440" s="7">
        <f t="shared" si="1023"/>
        <v>2016.8333333333333</v>
      </c>
      <c r="AE440" s="7">
        <f t="shared" si="292"/>
        <v>2018</v>
      </c>
      <c r="AF440" s="7">
        <f t="shared" si="1024"/>
        <v>2022.8333333333333</v>
      </c>
      <c r="AG440" s="7">
        <f t="shared" si="293"/>
        <v>2017</v>
      </c>
      <c r="AH440" s="7">
        <f t="shared" si="1025"/>
        <v>-8.3333333333333329E-2</v>
      </c>
      <c r="AJ440" s="144">
        <f t="shared" si="1007"/>
        <v>0</v>
      </c>
      <c r="AL440" s="144">
        <f t="shared" si="1008"/>
        <v>1632</v>
      </c>
      <c r="AN440" s="144">
        <f t="shared" si="1009"/>
        <v>0</v>
      </c>
      <c r="AP440" s="144">
        <f t="shared" si="1010"/>
        <v>0</v>
      </c>
      <c r="AR440" s="144">
        <f t="shared" si="1011"/>
        <v>8703.9999999998763</v>
      </c>
    </row>
    <row r="441" spans="1:44">
      <c r="A441" s="1">
        <v>171239</v>
      </c>
      <c r="B441" s="4"/>
      <c r="D441" s="29" t="s">
        <v>353</v>
      </c>
      <c r="E441" s="3">
        <v>2016</v>
      </c>
      <c r="F441" s="4">
        <v>9</v>
      </c>
      <c r="G441" s="30">
        <v>0</v>
      </c>
      <c r="H441" s="7"/>
      <c r="I441" s="14" t="s">
        <v>86</v>
      </c>
      <c r="J441" s="5">
        <v>3</v>
      </c>
      <c r="K441" s="13">
        <f t="shared" ref="K441" si="1087">E441+J441</f>
        <v>2019</v>
      </c>
      <c r="N441" s="34">
        <v>495</v>
      </c>
      <c r="O441" s="31"/>
      <c r="P441" s="7">
        <f t="shared" ref="P441" si="1088">N441-N441*G441</f>
        <v>495</v>
      </c>
      <c r="Q441" s="7">
        <f t="shared" ref="Q441" si="1089">P441/J441/12</f>
        <v>13.75</v>
      </c>
      <c r="R441" s="7">
        <f t="shared" ref="R441" si="1090">IF(O441&gt;0,0,IF(OR(AD441&gt;AE441,AF441&lt;AG441),0,IF(AND(AF441&gt;=AG441,AF441&lt;=AE441),Q441*((AF441-AG441)*12),IF(AND(AG441&lt;=AD441,AE441&gt;=AD441),((AE441-AD441)*12)*Q441,IF(AF441&gt;AE441,12*Q441,0)))))</f>
        <v>165</v>
      </c>
      <c r="S441" s="7"/>
      <c r="T441" s="7">
        <f t="shared" ref="T441" si="1091">IF(S441&gt;0,S441,R441)</f>
        <v>165</v>
      </c>
      <c r="U441" s="7">
        <v>1</v>
      </c>
      <c r="V441" s="7">
        <f t="shared" ref="V441" si="1092">U441*SUM(R441:S441)</f>
        <v>165</v>
      </c>
      <c r="W441" s="7"/>
      <c r="X441" s="7">
        <f t="shared" ref="X441" si="1093">IF(AD441&gt;AE441,0,IF(AF441&lt;AG441,P441,IF(AND(AF441&gt;=AG441,AF441&lt;=AE441),(P441-T441),IF(AND(AG441&lt;=AD441,AE441&gt;=AD441),0,IF(AF441&gt;AE441,((AG441-AD441)*12)*Q441,0)))))</f>
        <v>54.999999999987494</v>
      </c>
      <c r="Y441" s="7">
        <f t="shared" ref="Y441" si="1094">X441*U441</f>
        <v>54.999999999987494</v>
      </c>
      <c r="Z441" s="7">
        <v>1</v>
      </c>
      <c r="AA441" s="7">
        <f t="shared" ref="AA441" si="1095">Y441*Z441</f>
        <v>54.999999999987494</v>
      </c>
      <c r="AB441" s="7">
        <f t="shared" ref="AB441" si="1096">IF(O441&gt;0,0,AA441+V441*Z441)*Z441</f>
        <v>219.99999999998749</v>
      </c>
      <c r="AC441" s="7">
        <f t="shared" ref="AC441" si="1097">IF(O441&gt;0,(N441-AA441)/2,IF(AD441&gt;=AG441,(((N441*U441)*Z441)-AB441)/2,((((N441*U441)*Z441)-AA441)+(((N441*U441)*Z441)-AB441))/2))</f>
        <v>357.50000000001251</v>
      </c>
      <c r="AD441" s="7">
        <f t="shared" si="1023"/>
        <v>2016.6666666666667</v>
      </c>
      <c r="AE441" s="7">
        <f t="shared" si="292"/>
        <v>2018</v>
      </c>
      <c r="AF441" s="7">
        <f t="shared" si="1024"/>
        <v>2019.6666666666667</v>
      </c>
      <c r="AG441" s="7">
        <f t="shared" si="293"/>
        <v>2017</v>
      </c>
      <c r="AH441" s="7">
        <f t="shared" si="1025"/>
        <v>-8.3333333333333329E-2</v>
      </c>
      <c r="AJ441" s="144">
        <f t="shared" si="1007"/>
        <v>0</v>
      </c>
      <c r="AL441" s="144">
        <f t="shared" si="1008"/>
        <v>165</v>
      </c>
      <c r="AN441" s="144">
        <f t="shared" si="1009"/>
        <v>0</v>
      </c>
      <c r="AP441" s="144">
        <f t="shared" si="1010"/>
        <v>0</v>
      </c>
      <c r="AR441" s="144">
        <f t="shared" si="1011"/>
        <v>357.50000000001251</v>
      </c>
    </row>
    <row r="442" spans="1:44">
      <c r="A442" s="1">
        <v>171697</v>
      </c>
      <c r="B442" s="4"/>
      <c r="D442" s="29" t="s">
        <v>354</v>
      </c>
      <c r="E442" s="3">
        <v>2016</v>
      </c>
      <c r="F442" s="4">
        <v>9</v>
      </c>
      <c r="G442" s="30">
        <v>0</v>
      </c>
      <c r="H442" s="7"/>
      <c r="I442" s="14" t="s">
        <v>86</v>
      </c>
      <c r="J442" s="5">
        <v>3</v>
      </c>
      <c r="K442" s="13">
        <f t="shared" ref="K442:K443" si="1098">E442+J442</f>
        <v>2019</v>
      </c>
      <c r="N442" s="34">
        <v>7381.27</v>
      </c>
      <c r="O442" s="31"/>
      <c r="P442" s="7">
        <f t="shared" ref="P442:P443" si="1099">N442-N442*G442</f>
        <v>7381.27</v>
      </c>
      <c r="Q442" s="7">
        <f t="shared" ref="Q442:Q443" si="1100">P442/J442/12</f>
        <v>205.03527777777779</v>
      </c>
      <c r="R442" s="7">
        <f t="shared" ref="R442" si="1101">IF(O442&gt;0,0,IF(OR(AD442&gt;AE442,AF442&lt;AG442),0,IF(AND(AF442&gt;=AG442,AF442&lt;=AE442),Q442*((AF442-AG442)*12),IF(AND(AG442&lt;=AD442,AE442&gt;=AD442),((AE442-AD442)*12)*Q442,IF(AF442&gt;AE442,12*Q442,0)))))</f>
        <v>2460.4233333333336</v>
      </c>
      <c r="S442" s="7"/>
      <c r="T442" s="7">
        <f t="shared" ref="T442" si="1102">IF(S442&gt;0,S442,R442)</f>
        <v>2460.4233333333336</v>
      </c>
      <c r="U442" s="7">
        <v>1</v>
      </c>
      <c r="V442" s="7">
        <f t="shared" ref="V442" si="1103">U442*SUM(R442:S442)</f>
        <v>2460.4233333333336</v>
      </c>
      <c r="W442" s="7"/>
      <c r="X442" s="7">
        <f t="shared" ref="X442" si="1104">IF(AD442&gt;AE442,0,IF(AF442&lt;AG442,P442,IF(AND(AF442&gt;=AG442,AF442&lt;=AE442),(P442-T442),IF(AND(AG442&lt;=AD442,AE442&gt;=AD442),0,IF(AF442&gt;AE442,((AG442-AD442)*12)*Q442,0)))))</f>
        <v>820.14111111092473</v>
      </c>
      <c r="Y442" s="7">
        <f t="shared" ref="Y442" si="1105">X442*U442</f>
        <v>820.14111111092473</v>
      </c>
      <c r="Z442" s="7">
        <v>1</v>
      </c>
      <c r="AA442" s="7">
        <f t="shared" ref="AA442" si="1106">Y442*Z442</f>
        <v>820.14111111092473</v>
      </c>
      <c r="AB442" s="7">
        <f t="shared" ref="AB442" si="1107">IF(O442&gt;0,0,AA442+V442*Z442)*Z442</f>
        <v>3280.5644444442582</v>
      </c>
      <c r="AC442" s="7">
        <f t="shared" ref="AC442" si="1108">IF(O442&gt;0,(N442-AA442)/2,IF(AD442&gt;=AG442,(((N442*U442)*Z442)-AB442)/2,((((N442*U442)*Z442)-AA442)+(((N442*U442)*Z442)-AB442))/2))</f>
        <v>5330.9172222224088</v>
      </c>
      <c r="AD442" s="7">
        <f t="shared" si="1023"/>
        <v>2016.6666666666667</v>
      </c>
      <c r="AE442" s="7">
        <f t="shared" si="292"/>
        <v>2018</v>
      </c>
      <c r="AF442" s="7">
        <f t="shared" si="1024"/>
        <v>2019.6666666666667</v>
      </c>
      <c r="AG442" s="7">
        <f t="shared" si="293"/>
        <v>2017</v>
      </c>
      <c r="AH442" s="7">
        <f t="shared" si="1025"/>
        <v>-8.3333333333333329E-2</v>
      </c>
      <c r="AJ442" s="144">
        <f t="shared" si="1007"/>
        <v>0</v>
      </c>
      <c r="AL442" s="144">
        <f t="shared" si="1008"/>
        <v>2460.4233333333336</v>
      </c>
      <c r="AN442" s="144">
        <f t="shared" si="1009"/>
        <v>0</v>
      </c>
      <c r="AP442" s="144">
        <f t="shared" si="1010"/>
        <v>0</v>
      </c>
      <c r="AR442" s="144">
        <f t="shared" si="1011"/>
        <v>5330.9172222224088</v>
      </c>
    </row>
    <row r="443" spans="1:44" s="109" customFormat="1">
      <c r="A443" s="109" t="s">
        <v>384</v>
      </c>
      <c r="B443" s="110"/>
      <c r="D443" s="112" t="s">
        <v>432</v>
      </c>
      <c r="E443" s="113">
        <v>2017</v>
      </c>
      <c r="F443" s="110">
        <v>1</v>
      </c>
      <c r="G443" s="114">
        <v>0</v>
      </c>
      <c r="H443" s="115"/>
      <c r="I443" s="116" t="s">
        <v>86</v>
      </c>
      <c r="J443" s="117">
        <v>3</v>
      </c>
      <c r="K443" s="118">
        <f t="shared" si="1098"/>
        <v>2020</v>
      </c>
      <c r="N443" s="119">
        <v>15393.02</v>
      </c>
      <c r="O443" s="120"/>
      <c r="P443" s="115">
        <f t="shared" si="1099"/>
        <v>15393.02</v>
      </c>
      <c r="Q443" s="115">
        <f t="shared" si="1100"/>
        <v>427.58388888888891</v>
      </c>
      <c r="R443" s="115">
        <f t="shared" ref="R443" si="1109">IF(O443&gt;0,0,IF(OR(AD443&gt;AE443,AF443&lt;AG443),0,IF(AND(AF443&gt;=AG443,AF443&lt;=AE443),Q443*((AF443-AG443)*12),IF(AND(AG443&lt;=AD443,AE443&gt;=AD443),((AE443-AD443)*12)*Q443,IF(AF443&gt;AE443,12*Q443,0)))))</f>
        <v>5131.0066666666671</v>
      </c>
      <c r="S443" s="115"/>
      <c r="T443" s="115">
        <f t="shared" ref="T443" si="1110">IF(S443&gt;0,S443,R443)</f>
        <v>5131.0066666666671</v>
      </c>
      <c r="U443" s="115">
        <v>1</v>
      </c>
      <c r="V443" s="115">
        <f t="shared" ref="V443" si="1111">U443*SUM(R443:S443)</f>
        <v>5131.0066666666671</v>
      </c>
      <c r="W443" s="115"/>
      <c r="X443" s="115">
        <f t="shared" ref="X443" si="1112">IF(AD443&gt;AE443,0,IF(AF443&lt;AG443,P443,IF(AND(AF443&gt;=AG443,AF443&lt;=AE443),(P443-T443),IF(AND(AG443&lt;=AD443,AE443&gt;=AD443),0,IF(AF443&gt;AE443,((AG443-AD443)*12)*Q443,0)))))</f>
        <v>0</v>
      </c>
      <c r="Y443" s="115">
        <f t="shared" ref="Y443" si="1113">X443*U443</f>
        <v>0</v>
      </c>
      <c r="Z443" s="115">
        <v>1</v>
      </c>
      <c r="AA443" s="115">
        <f t="shared" ref="AA443" si="1114">Y443*Z443</f>
        <v>0</v>
      </c>
      <c r="AB443" s="115">
        <f t="shared" ref="AB443" si="1115">IF(O443&gt;0,0,AA443+V443*Z443)*Z443</f>
        <v>5131.0066666666671</v>
      </c>
      <c r="AC443" s="115">
        <f t="shared" ref="AC443" si="1116">IF(O443&gt;0,(N443-AA443)/2,IF(AD443&gt;=AG443,(((N443*U443)*Z443)-AB443)/2,((((N443*U443)*Z443)-AA443)+(((N443*U443)*Z443)-AB443))/2))</f>
        <v>5131.0066666666662</v>
      </c>
      <c r="AD443" s="115">
        <f t="shared" si="1023"/>
        <v>2017</v>
      </c>
      <c r="AE443" s="115">
        <f t="shared" si="292"/>
        <v>2018</v>
      </c>
      <c r="AF443" s="115">
        <f t="shared" si="1024"/>
        <v>2020</v>
      </c>
      <c r="AG443" s="115">
        <f t="shared" si="293"/>
        <v>2017</v>
      </c>
      <c r="AH443" s="115">
        <f t="shared" si="1025"/>
        <v>-8.3333333333333329E-2</v>
      </c>
      <c r="AJ443" s="144">
        <f t="shared" si="1007"/>
        <v>0</v>
      </c>
      <c r="AK443" s="144"/>
      <c r="AL443" s="144">
        <f t="shared" si="1008"/>
        <v>5131.0066666666671</v>
      </c>
      <c r="AM443" s="144"/>
      <c r="AN443" s="144">
        <f t="shared" si="1009"/>
        <v>0</v>
      </c>
      <c r="AO443" s="144"/>
      <c r="AP443" s="144">
        <f t="shared" si="1010"/>
        <v>0</v>
      </c>
      <c r="AQ443" s="144"/>
      <c r="AR443" s="144">
        <f t="shared" si="1011"/>
        <v>5131.0066666666662</v>
      </c>
    </row>
    <row r="444" spans="1:44">
      <c r="D444" s="29"/>
      <c r="G444" s="30"/>
      <c r="H444" s="7"/>
      <c r="I444" s="14"/>
      <c r="K444" s="13"/>
      <c r="N444" s="48"/>
      <c r="P444" s="7"/>
      <c r="Q444" s="7"/>
      <c r="R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</row>
    <row r="445" spans="1:44">
      <c r="C445" s="35"/>
      <c r="D445" s="53" t="s">
        <v>254</v>
      </c>
      <c r="E445" s="41"/>
      <c r="F445" s="15"/>
      <c r="G445" s="15"/>
      <c r="H445" s="7"/>
      <c r="I445" s="14"/>
      <c r="K445" s="13"/>
      <c r="N445" s="108">
        <f>SUM(N401:N444)</f>
        <v>320807.96000000002</v>
      </c>
      <c r="O445" s="106"/>
      <c r="P445" s="100">
        <f t="shared" ref="P445:V445" si="1117">SUM(P401:P444)</f>
        <v>290661.16810000001</v>
      </c>
      <c r="Q445" s="100">
        <f t="shared" si="1117"/>
        <v>4533.3909445238096</v>
      </c>
      <c r="R445" s="100">
        <f t="shared" si="1117"/>
        <v>26667.439239047744</v>
      </c>
      <c r="S445" s="100">
        <f t="shared" si="1117"/>
        <v>0</v>
      </c>
      <c r="T445" s="100">
        <f t="shared" si="1117"/>
        <v>26667.439239047744</v>
      </c>
      <c r="U445" s="100">
        <f t="shared" si="1117"/>
        <v>43</v>
      </c>
      <c r="V445" s="100">
        <f t="shared" si="1117"/>
        <v>26667.439239047744</v>
      </c>
      <c r="W445" s="105"/>
      <c r="X445" s="105"/>
      <c r="Y445" s="105"/>
      <c r="Z445" s="105"/>
      <c r="AA445" s="100">
        <f>SUM(AA401:AA444)</f>
        <v>204782.15862753885</v>
      </c>
      <c r="AB445" s="100">
        <f>SUM(AB401:AB444)</f>
        <v>231449.59786658661</v>
      </c>
      <c r="AC445" s="100">
        <f>SUM(AC401:AC444)</f>
        <v>94995.571752937263</v>
      </c>
      <c r="AD445" s="105"/>
      <c r="AE445" s="105"/>
      <c r="AF445" s="105"/>
      <c r="AG445" s="105"/>
      <c r="AH445" s="105"/>
      <c r="AJ445" s="140">
        <f t="shared" ref="AJ445:AR445" si="1118">SUM(AJ401:AJ444)</f>
        <v>8976.8409333332947</v>
      </c>
      <c r="AK445" s="140">
        <f t="shared" si="1118"/>
        <v>0</v>
      </c>
      <c r="AL445" s="140">
        <f t="shared" si="1118"/>
        <v>35644.280172381041</v>
      </c>
      <c r="AM445" s="140">
        <f t="shared" si="1118"/>
        <v>0</v>
      </c>
      <c r="AN445" s="140">
        <f t="shared" si="1118"/>
        <v>-20000.600000000002</v>
      </c>
      <c r="AO445" s="140">
        <f t="shared" si="1118"/>
        <v>0</v>
      </c>
      <c r="AP445" s="140">
        <f t="shared" si="1118"/>
        <v>25074.491278333662</v>
      </c>
      <c r="AQ445" s="140">
        <f t="shared" si="1118"/>
        <v>0</v>
      </c>
      <c r="AR445" s="140">
        <f t="shared" si="1118"/>
        <v>73839.984619603943</v>
      </c>
    </row>
    <row r="446" spans="1:44">
      <c r="D446" s="29"/>
      <c r="G446" s="30"/>
      <c r="H446" s="7"/>
      <c r="I446" s="14"/>
      <c r="K446" s="13"/>
      <c r="N446" s="48"/>
      <c r="P446" s="7"/>
      <c r="Q446" s="7"/>
      <c r="R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</row>
    <row r="447" spans="1:44">
      <c r="D447" s="54" t="s">
        <v>255</v>
      </c>
      <c r="I447" s="14"/>
      <c r="K447" s="13"/>
      <c r="N447" s="48"/>
      <c r="P447" s="7"/>
      <c r="Q447" s="7"/>
      <c r="R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1:44">
      <c r="D448" s="56" t="s">
        <v>256</v>
      </c>
      <c r="E448" s="3">
        <v>1985</v>
      </c>
      <c r="F448" s="4">
        <v>10</v>
      </c>
      <c r="G448" s="30">
        <v>0</v>
      </c>
      <c r="H448" s="63"/>
      <c r="I448" s="14" t="s">
        <v>86</v>
      </c>
      <c r="J448" s="51">
        <v>10</v>
      </c>
      <c r="K448" s="13">
        <f t="shared" ref="K448:K474" si="1119">E448+J448</f>
        <v>1995</v>
      </c>
      <c r="N448" s="48">
        <v>561</v>
      </c>
      <c r="P448" s="7">
        <f t="shared" ref="P448:P474" si="1120">N448-N448*G448</f>
        <v>561</v>
      </c>
      <c r="Q448" s="7">
        <f t="shared" ref="Q448:Q474" si="1121">P448/J448/12</f>
        <v>4.6749999999999998</v>
      </c>
      <c r="R448" s="7">
        <f t="shared" ref="R448:R472" si="1122">IF(O448&gt;0,0,IF(OR(AD448&gt;AE448,AF448&lt;AG448),0,IF(AND(AF448&gt;=AG448,AF448&lt;=AE448),Q448*((AF448-AG448)*12),IF(AND(AG448&lt;=AD448,AE448&gt;=AD448),((AE448-AD448)*12)*Q448,IF(AF448&gt;AE448,12*Q448,0)))))</f>
        <v>0</v>
      </c>
      <c r="T448" s="7">
        <f t="shared" ref="T448:T471" si="1123">IF(S448&gt;0,S448,R448)</f>
        <v>0</v>
      </c>
      <c r="U448" s="7">
        <v>1</v>
      </c>
      <c r="V448" s="7">
        <f t="shared" ref="V448:V471" si="1124">U448*SUM(R448:S448)</f>
        <v>0</v>
      </c>
      <c r="W448" s="7"/>
      <c r="X448" s="7">
        <f t="shared" ref="X448:X471" si="1125">IF(AD448&gt;AE448,0,IF(AF448&lt;AG448,P448,IF(AND(AF448&gt;=AG448,AF448&lt;=AE448),(P448-T448),IF(AND(AG448&lt;=AD448,AE448&gt;=AD448),0,IF(AF448&gt;AE448,((AG448-AD448)*12)*Q448,0)))))</f>
        <v>561</v>
      </c>
      <c r="Y448" s="7">
        <f t="shared" ref="Y448:Y471" si="1126">X448*U448</f>
        <v>561</v>
      </c>
      <c r="Z448" s="7">
        <v>1</v>
      </c>
      <c r="AA448" s="7">
        <f t="shared" ref="AA448:AA471" si="1127">Y448*Z448</f>
        <v>561</v>
      </c>
      <c r="AB448" s="7">
        <f t="shared" ref="AB448:AB471" si="1128">IF(O448&gt;0,0,AA448+V448*Z448)*Z448</f>
        <v>561</v>
      </c>
      <c r="AC448" s="7">
        <f t="shared" ref="AC448:AC471" si="1129">IF(O448&gt;0,(N448-AA448)/2,IF(AD448&gt;=AG448,(((N448*U448)*Z448)-AB448)/2,((((N448*U448)*Z448)-AA448)+(((N448*U448)*Z448)-AB448))/2))</f>
        <v>0</v>
      </c>
      <c r="AD448" s="7">
        <f t="shared" ref="AD448:AD480" si="1130">$E448+(($F448-1)/12)</f>
        <v>1985.75</v>
      </c>
      <c r="AE448" s="7">
        <f t="shared" ref="AE448:AE480" si="1131">($P$5+1)-($P$2/12)</f>
        <v>2018</v>
      </c>
      <c r="AF448" s="7">
        <f t="shared" ref="AF448:AF480" si="1132">$K448+(($F448-1)/12)</f>
        <v>1995.75</v>
      </c>
      <c r="AG448" s="7">
        <f t="shared" ref="AG448:AG480" si="1133">$P$4+($P$3/12)</f>
        <v>2017</v>
      </c>
      <c r="AH448" s="7">
        <f t="shared" ref="AH448:AH480" si="1134">$L448+(($M448-1)/12)</f>
        <v>-8.3333333333333329E-2</v>
      </c>
      <c r="AJ448" s="144">
        <f t="shared" ref="AJ448:AJ480" si="1135">+IF((AF448-AG448)&gt;3,((N448-P448)/(AF448-AG448)),(N448-P448)/3)</f>
        <v>0</v>
      </c>
      <c r="AL448" s="144">
        <f t="shared" ref="AL448:AL480" si="1136">+AJ448+R448</f>
        <v>0</v>
      </c>
      <c r="AN448" s="144">
        <f t="shared" ref="AN448:AN480" si="1137">+IF(AF448&lt;AG448,-AC448,0)</f>
        <v>0</v>
      </c>
      <c r="AP448" s="144">
        <f t="shared" ref="AP448:AP480" si="1138">+IF(AF448&gt;AG448,IF(AJ448&gt;0,IF(O448&gt;0,(N448-AA448)/2,IF(AD448&gt;=AG448,(((N448*U448)*Z448)-(AB448+AJ448))/2,((((N448*U448)*Z448)-AA448)+(((N448*U448)*Z448)-(AB448+AJ448)))/2)),0),0)</f>
        <v>0</v>
      </c>
      <c r="AR448" s="144">
        <f t="shared" ref="AR448:AR480" si="1139">+AC448+AN448+(IF(AP448&gt;0,(AP448-AC448),0))</f>
        <v>0</v>
      </c>
    </row>
    <row r="449" spans="4:44">
      <c r="D449" s="54" t="s">
        <v>257</v>
      </c>
      <c r="E449" s="3">
        <v>1986</v>
      </c>
      <c r="F449" s="4">
        <v>1</v>
      </c>
      <c r="G449" s="30">
        <v>0</v>
      </c>
      <c r="H449" s="63"/>
      <c r="I449" s="14" t="s">
        <v>86</v>
      </c>
      <c r="J449" s="51">
        <v>5</v>
      </c>
      <c r="K449" s="13">
        <f t="shared" si="1119"/>
        <v>1991</v>
      </c>
      <c r="N449" s="48">
        <v>335</v>
      </c>
      <c r="P449" s="7">
        <f t="shared" si="1120"/>
        <v>335</v>
      </c>
      <c r="Q449" s="7">
        <f t="shared" si="1121"/>
        <v>5.583333333333333</v>
      </c>
      <c r="R449" s="7">
        <f t="shared" si="1122"/>
        <v>0</v>
      </c>
      <c r="T449" s="7">
        <f t="shared" si="1123"/>
        <v>0</v>
      </c>
      <c r="U449" s="7">
        <v>1</v>
      </c>
      <c r="V449" s="7">
        <f t="shared" si="1124"/>
        <v>0</v>
      </c>
      <c r="W449" s="7"/>
      <c r="X449" s="7">
        <f t="shared" si="1125"/>
        <v>335</v>
      </c>
      <c r="Y449" s="7">
        <f t="shared" si="1126"/>
        <v>335</v>
      </c>
      <c r="Z449" s="7">
        <v>1</v>
      </c>
      <c r="AA449" s="7">
        <f t="shared" si="1127"/>
        <v>335</v>
      </c>
      <c r="AB449" s="7">
        <f t="shared" si="1128"/>
        <v>335</v>
      </c>
      <c r="AC449" s="7">
        <f t="shared" si="1129"/>
        <v>0</v>
      </c>
      <c r="AD449" s="7">
        <f t="shared" si="1130"/>
        <v>1986</v>
      </c>
      <c r="AE449" s="7">
        <f t="shared" si="1131"/>
        <v>2018</v>
      </c>
      <c r="AF449" s="7">
        <f t="shared" si="1132"/>
        <v>1991</v>
      </c>
      <c r="AG449" s="7">
        <f t="shared" si="1133"/>
        <v>2017</v>
      </c>
      <c r="AH449" s="7">
        <f t="shared" si="1134"/>
        <v>-8.3333333333333329E-2</v>
      </c>
      <c r="AJ449" s="144">
        <f t="shared" si="1135"/>
        <v>0</v>
      </c>
      <c r="AL449" s="144">
        <f t="shared" si="1136"/>
        <v>0</v>
      </c>
      <c r="AN449" s="144">
        <f t="shared" si="1137"/>
        <v>0</v>
      </c>
      <c r="AP449" s="144">
        <f t="shared" si="1138"/>
        <v>0</v>
      </c>
      <c r="AR449" s="144">
        <f t="shared" si="1139"/>
        <v>0</v>
      </c>
    </row>
    <row r="450" spans="4:44">
      <c r="D450" s="54" t="s">
        <v>258</v>
      </c>
      <c r="E450" s="3">
        <v>1986</v>
      </c>
      <c r="F450" s="4">
        <v>3</v>
      </c>
      <c r="G450" s="30">
        <v>0</v>
      </c>
      <c r="H450" s="63"/>
      <c r="I450" s="14" t="s">
        <v>86</v>
      </c>
      <c r="J450" s="51">
        <v>5</v>
      </c>
      <c r="K450" s="13">
        <f t="shared" si="1119"/>
        <v>1991</v>
      </c>
      <c r="N450" s="48">
        <v>2692</v>
      </c>
      <c r="P450" s="7">
        <f t="shared" si="1120"/>
        <v>2692</v>
      </c>
      <c r="Q450" s="7">
        <f t="shared" si="1121"/>
        <v>44.866666666666667</v>
      </c>
      <c r="R450" s="7">
        <f t="shared" si="1122"/>
        <v>0</v>
      </c>
      <c r="T450" s="7">
        <f t="shared" si="1123"/>
        <v>0</v>
      </c>
      <c r="U450" s="7">
        <v>1</v>
      </c>
      <c r="V450" s="7">
        <f t="shared" si="1124"/>
        <v>0</v>
      </c>
      <c r="W450" s="7"/>
      <c r="X450" s="7">
        <f t="shared" si="1125"/>
        <v>2692</v>
      </c>
      <c r="Y450" s="7">
        <f t="shared" si="1126"/>
        <v>2692</v>
      </c>
      <c r="Z450" s="7">
        <v>1</v>
      </c>
      <c r="AA450" s="7">
        <f t="shared" si="1127"/>
        <v>2692</v>
      </c>
      <c r="AB450" s="7">
        <f t="shared" si="1128"/>
        <v>2692</v>
      </c>
      <c r="AC450" s="7">
        <f t="shared" si="1129"/>
        <v>0</v>
      </c>
      <c r="AD450" s="7">
        <f t="shared" si="1130"/>
        <v>1986.1666666666667</v>
      </c>
      <c r="AE450" s="7">
        <f t="shared" si="1131"/>
        <v>2018</v>
      </c>
      <c r="AF450" s="7">
        <f t="shared" si="1132"/>
        <v>1991.1666666666667</v>
      </c>
      <c r="AG450" s="7">
        <f t="shared" si="1133"/>
        <v>2017</v>
      </c>
      <c r="AH450" s="7">
        <f t="shared" si="1134"/>
        <v>-8.3333333333333329E-2</v>
      </c>
      <c r="AJ450" s="144">
        <f t="shared" si="1135"/>
        <v>0</v>
      </c>
      <c r="AL450" s="144">
        <f t="shared" si="1136"/>
        <v>0</v>
      </c>
      <c r="AN450" s="144">
        <f t="shared" si="1137"/>
        <v>0</v>
      </c>
      <c r="AP450" s="144">
        <f t="shared" si="1138"/>
        <v>0</v>
      </c>
      <c r="AR450" s="144">
        <f t="shared" si="1139"/>
        <v>0</v>
      </c>
    </row>
    <row r="451" spans="4:44">
      <c r="D451" s="54" t="s">
        <v>259</v>
      </c>
      <c r="E451" s="3">
        <v>1987</v>
      </c>
      <c r="F451" s="4">
        <v>7</v>
      </c>
      <c r="G451" s="30">
        <v>0</v>
      </c>
      <c r="H451" s="63"/>
      <c r="I451" s="14" t="s">
        <v>86</v>
      </c>
      <c r="J451" s="51">
        <v>5</v>
      </c>
      <c r="K451" s="13">
        <f t="shared" si="1119"/>
        <v>1992</v>
      </c>
      <c r="N451" s="48">
        <v>413</v>
      </c>
      <c r="P451" s="7">
        <f t="shared" si="1120"/>
        <v>413</v>
      </c>
      <c r="Q451" s="7">
        <f t="shared" si="1121"/>
        <v>6.8833333333333329</v>
      </c>
      <c r="R451" s="7">
        <f t="shared" si="1122"/>
        <v>0</v>
      </c>
      <c r="T451" s="7">
        <f t="shared" si="1123"/>
        <v>0</v>
      </c>
      <c r="U451" s="7">
        <v>1</v>
      </c>
      <c r="V451" s="7">
        <f t="shared" si="1124"/>
        <v>0</v>
      </c>
      <c r="W451" s="7"/>
      <c r="X451" s="7">
        <f t="shared" si="1125"/>
        <v>413</v>
      </c>
      <c r="Y451" s="7">
        <f t="shared" si="1126"/>
        <v>413</v>
      </c>
      <c r="Z451" s="7">
        <v>1</v>
      </c>
      <c r="AA451" s="7">
        <f t="shared" si="1127"/>
        <v>413</v>
      </c>
      <c r="AB451" s="7">
        <f t="shared" si="1128"/>
        <v>413</v>
      </c>
      <c r="AC451" s="7">
        <f t="shared" si="1129"/>
        <v>0</v>
      </c>
      <c r="AD451" s="7">
        <f t="shared" si="1130"/>
        <v>1987.5</v>
      </c>
      <c r="AE451" s="7">
        <f t="shared" si="1131"/>
        <v>2018</v>
      </c>
      <c r="AF451" s="7">
        <f t="shared" si="1132"/>
        <v>1992.5</v>
      </c>
      <c r="AG451" s="7">
        <f t="shared" si="1133"/>
        <v>2017</v>
      </c>
      <c r="AH451" s="7">
        <f t="shared" si="1134"/>
        <v>-8.3333333333333329E-2</v>
      </c>
      <c r="AJ451" s="144">
        <f t="shared" si="1135"/>
        <v>0</v>
      </c>
      <c r="AL451" s="144">
        <f t="shared" si="1136"/>
        <v>0</v>
      </c>
      <c r="AN451" s="144">
        <f t="shared" si="1137"/>
        <v>0</v>
      </c>
      <c r="AP451" s="144">
        <f t="shared" si="1138"/>
        <v>0</v>
      </c>
      <c r="AR451" s="144">
        <f t="shared" si="1139"/>
        <v>0</v>
      </c>
    </row>
    <row r="452" spans="4:44">
      <c r="D452" s="54" t="s">
        <v>260</v>
      </c>
      <c r="E452" s="3">
        <v>1988</v>
      </c>
      <c r="F452" s="4">
        <v>7</v>
      </c>
      <c r="G452" s="30">
        <v>0</v>
      </c>
      <c r="H452" s="63"/>
      <c r="I452" s="14" t="s">
        <v>86</v>
      </c>
      <c r="J452" s="51">
        <v>5</v>
      </c>
      <c r="K452" s="13">
        <f t="shared" si="1119"/>
        <v>1993</v>
      </c>
      <c r="N452" s="48">
        <v>1400</v>
      </c>
      <c r="P452" s="7">
        <f t="shared" si="1120"/>
        <v>1400</v>
      </c>
      <c r="Q452" s="7">
        <f t="shared" si="1121"/>
        <v>23.333333333333332</v>
      </c>
      <c r="R452" s="7">
        <f t="shared" si="1122"/>
        <v>0</v>
      </c>
      <c r="T452" s="7">
        <f t="shared" si="1123"/>
        <v>0</v>
      </c>
      <c r="U452" s="7">
        <v>1</v>
      </c>
      <c r="V452" s="7">
        <f t="shared" si="1124"/>
        <v>0</v>
      </c>
      <c r="W452" s="7"/>
      <c r="X452" s="7">
        <f t="shared" si="1125"/>
        <v>1400</v>
      </c>
      <c r="Y452" s="7">
        <f t="shared" si="1126"/>
        <v>1400</v>
      </c>
      <c r="Z452" s="7">
        <v>1</v>
      </c>
      <c r="AA452" s="7">
        <f t="shared" si="1127"/>
        <v>1400</v>
      </c>
      <c r="AB452" s="7">
        <f t="shared" si="1128"/>
        <v>1400</v>
      </c>
      <c r="AC452" s="7">
        <f t="shared" si="1129"/>
        <v>0</v>
      </c>
      <c r="AD452" s="7">
        <f t="shared" si="1130"/>
        <v>1988.5</v>
      </c>
      <c r="AE452" s="7">
        <f t="shared" si="1131"/>
        <v>2018</v>
      </c>
      <c r="AF452" s="7">
        <f t="shared" si="1132"/>
        <v>1993.5</v>
      </c>
      <c r="AG452" s="7">
        <f t="shared" si="1133"/>
        <v>2017</v>
      </c>
      <c r="AH452" s="7">
        <f t="shared" si="1134"/>
        <v>-8.3333333333333329E-2</v>
      </c>
      <c r="AJ452" s="144">
        <f t="shared" si="1135"/>
        <v>0</v>
      </c>
      <c r="AL452" s="144">
        <f t="shared" si="1136"/>
        <v>0</v>
      </c>
      <c r="AN452" s="144">
        <f t="shared" si="1137"/>
        <v>0</v>
      </c>
      <c r="AP452" s="144">
        <f t="shared" si="1138"/>
        <v>0</v>
      </c>
      <c r="AR452" s="144">
        <f t="shared" si="1139"/>
        <v>0</v>
      </c>
    </row>
    <row r="453" spans="4:44">
      <c r="D453" s="54" t="s">
        <v>261</v>
      </c>
      <c r="E453" s="3">
        <v>1991</v>
      </c>
      <c r="F453" s="4">
        <v>12</v>
      </c>
      <c r="G453" s="30">
        <v>0</v>
      </c>
      <c r="H453" s="63"/>
      <c r="I453" s="14" t="s">
        <v>86</v>
      </c>
      <c r="J453" s="5">
        <v>5</v>
      </c>
      <c r="K453" s="13">
        <f t="shared" si="1119"/>
        <v>1996</v>
      </c>
      <c r="N453" s="48">
        <v>5355</v>
      </c>
      <c r="P453" s="7">
        <f t="shared" si="1120"/>
        <v>5355</v>
      </c>
      <c r="Q453" s="7">
        <f t="shared" si="1121"/>
        <v>89.25</v>
      </c>
      <c r="R453" s="7">
        <f t="shared" si="1122"/>
        <v>0</v>
      </c>
      <c r="T453" s="7">
        <f t="shared" si="1123"/>
        <v>0</v>
      </c>
      <c r="U453" s="7">
        <v>1</v>
      </c>
      <c r="V453" s="7">
        <f t="shared" si="1124"/>
        <v>0</v>
      </c>
      <c r="W453" s="7"/>
      <c r="X453" s="7">
        <f t="shared" si="1125"/>
        <v>5355</v>
      </c>
      <c r="Y453" s="7">
        <f t="shared" si="1126"/>
        <v>5355</v>
      </c>
      <c r="Z453" s="7">
        <v>1</v>
      </c>
      <c r="AA453" s="7">
        <f t="shared" si="1127"/>
        <v>5355</v>
      </c>
      <c r="AB453" s="7">
        <f t="shared" si="1128"/>
        <v>5355</v>
      </c>
      <c r="AC453" s="7">
        <f t="shared" si="1129"/>
        <v>0</v>
      </c>
      <c r="AD453" s="7">
        <f t="shared" si="1130"/>
        <v>1991.9166666666667</v>
      </c>
      <c r="AE453" s="7">
        <f t="shared" si="1131"/>
        <v>2018</v>
      </c>
      <c r="AF453" s="7">
        <f t="shared" si="1132"/>
        <v>1996.9166666666667</v>
      </c>
      <c r="AG453" s="7">
        <f t="shared" si="1133"/>
        <v>2017</v>
      </c>
      <c r="AH453" s="7">
        <f t="shared" si="1134"/>
        <v>-8.3333333333333329E-2</v>
      </c>
      <c r="AJ453" s="144">
        <f t="shared" si="1135"/>
        <v>0</v>
      </c>
      <c r="AL453" s="144">
        <f t="shared" si="1136"/>
        <v>0</v>
      </c>
      <c r="AN453" s="144">
        <f t="shared" si="1137"/>
        <v>0</v>
      </c>
      <c r="AP453" s="144">
        <f t="shared" si="1138"/>
        <v>0</v>
      </c>
      <c r="AR453" s="144">
        <f t="shared" si="1139"/>
        <v>0</v>
      </c>
    </row>
    <row r="454" spans="4:44">
      <c r="D454" s="54" t="s">
        <v>262</v>
      </c>
      <c r="E454" s="3">
        <v>1996</v>
      </c>
      <c r="F454" s="4">
        <v>2</v>
      </c>
      <c r="G454" s="30">
        <v>0</v>
      </c>
      <c r="H454" s="63"/>
      <c r="I454" s="14" t="s">
        <v>86</v>
      </c>
      <c r="J454" s="5">
        <v>5</v>
      </c>
      <c r="K454" s="13">
        <f t="shared" si="1119"/>
        <v>2001</v>
      </c>
      <c r="N454" s="48">
        <v>2223</v>
      </c>
      <c r="P454" s="7">
        <f t="shared" si="1120"/>
        <v>2223</v>
      </c>
      <c r="Q454" s="7">
        <f t="shared" si="1121"/>
        <v>37.050000000000004</v>
      </c>
      <c r="R454" s="7">
        <f t="shared" si="1122"/>
        <v>0</v>
      </c>
      <c r="T454" s="7">
        <f t="shared" si="1123"/>
        <v>0</v>
      </c>
      <c r="U454" s="7">
        <v>1</v>
      </c>
      <c r="V454" s="7">
        <f t="shared" si="1124"/>
        <v>0</v>
      </c>
      <c r="W454" s="7"/>
      <c r="X454" s="7">
        <f t="shared" si="1125"/>
        <v>2223</v>
      </c>
      <c r="Y454" s="7">
        <f t="shared" si="1126"/>
        <v>2223</v>
      </c>
      <c r="Z454" s="7">
        <v>1</v>
      </c>
      <c r="AA454" s="7">
        <f t="shared" si="1127"/>
        <v>2223</v>
      </c>
      <c r="AB454" s="7">
        <f t="shared" si="1128"/>
        <v>2223</v>
      </c>
      <c r="AC454" s="7">
        <f t="shared" si="1129"/>
        <v>0</v>
      </c>
      <c r="AD454" s="7">
        <f t="shared" si="1130"/>
        <v>1996.0833333333333</v>
      </c>
      <c r="AE454" s="7">
        <f t="shared" si="1131"/>
        <v>2018</v>
      </c>
      <c r="AF454" s="7">
        <f t="shared" si="1132"/>
        <v>2001.0833333333333</v>
      </c>
      <c r="AG454" s="7">
        <f t="shared" si="1133"/>
        <v>2017</v>
      </c>
      <c r="AH454" s="7">
        <f t="shared" si="1134"/>
        <v>-8.3333333333333329E-2</v>
      </c>
      <c r="AJ454" s="144">
        <f t="shared" si="1135"/>
        <v>0</v>
      </c>
      <c r="AL454" s="144">
        <f t="shared" si="1136"/>
        <v>0</v>
      </c>
      <c r="AN454" s="144">
        <f t="shared" si="1137"/>
        <v>0</v>
      </c>
      <c r="AP454" s="144">
        <f t="shared" si="1138"/>
        <v>0</v>
      </c>
      <c r="AR454" s="144">
        <f t="shared" si="1139"/>
        <v>0</v>
      </c>
    </row>
    <row r="455" spans="4:44">
      <c r="D455" s="54" t="s">
        <v>263</v>
      </c>
      <c r="E455" s="3">
        <v>1996</v>
      </c>
      <c r="F455" s="4">
        <v>11</v>
      </c>
      <c r="G455" s="30">
        <v>0</v>
      </c>
      <c r="H455" s="63"/>
      <c r="I455" s="14" t="s">
        <v>86</v>
      </c>
      <c r="J455" s="5">
        <v>5</v>
      </c>
      <c r="K455" s="13">
        <f t="shared" si="1119"/>
        <v>2001</v>
      </c>
      <c r="N455" s="48">
        <v>5307</v>
      </c>
      <c r="P455" s="7">
        <f t="shared" si="1120"/>
        <v>5307</v>
      </c>
      <c r="Q455" s="7">
        <f t="shared" si="1121"/>
        <v>88.45</v>
      </c>
      <c r="R455" s="7">
        <f t="shared" si="1122"/>
        <v>0</v>
      </c>
      <c r="T455" s="7">
        <f t="shared" si="1123"/>
        <v>0</v>
      </c>
      <c r="U455" s="7">
        <v>1</v>
      </c>
      <c r="V455" s="7">
        <f t="shared" si="1124"/>
        <v>0</v>
      </c>
      <c r="W455" s="7"/>
      <c r="X455" s="7">
        <f t="shared" si="1125"/>
        <v>5307</v>
      </c>
      <c r="Y455" s="7">
        <f t="shared" si="1126"/>
        <v>5307</v>
      </c>
      <c r="Z455" s="7">
        <v>1</v>
      </c>
      <c r="AA455" s="7">
        <f t="shared" si="1127"/>
        <v>5307</v>
      </c>
      <c r="AB455" s="7">
        <f t="shared" si="1128"/>
        <v>5307</v>
      </c>
      <c r="AC455" s="7">
        <f t="shared" si="1129"/>
        <v>0</v>
      </c>
      <c r="AD455" s="7">
        <f t="shared" si="1130"/>
        <v>1996.8333333333333</v>
      </c>
      <c r="AE455" s="7">
        <f t="shared" si="1131"/>
        <v>2018</v>
      </c>
      <c r="AF455" s="7">
        <f t="shared" si="1132"/>
        <v>2001.8333333333333</v>
      </c>
      <c r="AG455" s="7">
        <f t="shared" si="1133"/>
        <v>2017</v>
      </c>
      <c r="AH455" s="7">
        <f t="shared" si="1134"/>
        <v>-8.3333333333333329E-2</v>
      </c>
      <c r="AJ455" s="144">
        <f t="shared" si="1135"/>
        <v>0</v>
      </c>
      <c r="AL455" s="144">
        <f t="shared" si="1136"/>
        <v>0</v>
      </c>
      <c r="AN455" s="144">
        <f t="shared" si="1137"/>
        <v>0</v>
      </c>
      <c r="AP455" s="144">
        <f t="shared" si="1138"/>
        <v>0</v>
      </c>
      <c r="AR455" s="144">
        <f t="shared" si="1139"/>
        <v>0</v>
      </c>
    </row>
    <row r="456" spans="4:44">
      <c r="D456" s="39" t="s">
        <v>264</v>
      </c>
      <c r="E456" s="3">
        <v>1998</v>
      </c>
      <c r="F456" s="4">
        <v>8</v>
      </c>
      <c r="G456" s="30">
        <v>0</v>
      </c>
      <c r="H456" s="63"/>
      <c r="I456" s="14" t="s">
        <v>86</v>
      </c>
      <c r="J456" s="5">
        <v>5</v>
      </c>
      <c r="K456" s="13">
        <f t="shared" si="1119"/>
        <v>2003</v>
      </c>
      <c r="N456" s="48">
        <v>4673</v>
      </c>
      <c r="P456" s="7">
        <f t="shared" si="1120"/>
        <v>4673</v>
      </c>
      <c r="Q456" s="7">
        <f t="shared" si="1121"/>
        <v>77.88333333333334</v>
      </c>
      <c r="R456" s="7">
        <f t="shared" si="1122"/>
        <v>0</v>
      </c>
      <c r="T456" s="7">
        <f t="shared" si="1123"/>
        <v>0</v>
      </c>
      <c r="U456" s="7">
        <v>1</v>
      </c>
      <c r="V456" s="7">
        <f t="shared" si="1124"/>
        <v>0</v>
      </c>
      <c r="W456" s="7"/>
      <c r="X456" s="7">
        <f t="shared" si="1125"/>
        <v>4673</v>
      </c>
      <c r="Y456" s="7">
        <f t="shared" si="1126"/>
        <v>4673</v>
      </c>
      <c r="Z456" s="7">
        <v>1</v>
      </c>
      <c r="AA456" s="7">
        <f t="shared" si="1127"/>
        <v>4673</v>
      </c>
      <c r="AB456" s="7">
        <f t="shared" si="1128"/>
        <v>4673</v>
      </c>
      <c r="AC456" s="7">
        <f t="shared" si="1129"/>
        <v>0</v>
      </c>
      <c r="AD456" s="7">
        <f t="shared" si="1130"/>
        <v>1998.5833333333333</v>
      </c>
      <c r="AE456" s="7">
        <f t="shared" si="1131"/>
        <v>2018</v>
      </c>
      <c r="AF456" s="7">
        <f t="shared" si="1132"/>
        <v>2003.5833333333333</v>
      </c>
      <c r="AG456" s="7">
        <f t="shared" si="1133"/>
        <v>2017</v>
      </c>
      <c r="AH456" s="7">
        <f t="shared" si="1134"/>
        <v>-8.3333333333333329E-2</v>
      </c>
      <c r="AJ456" s="144">
        <f t="shared" si="1135"/>
        <v>0</v>
      </c>
      <c r="AL456" s="144">
        <f t="shared" si="1136"/>
        <v>0</v>
      </c>
      <c r="AN456" s="144">
        <f t="shared" si="1137"/>
        <v>0</v>
      </c>
      <c r="AP456" s="144">
        <f t="shared" si="1138"/>
        <v>0</v>
      </c>
      <c r="AR456" s="144">
        <f t="shared" si="1139"/>
        <v>0</v>
      </c>
    </row>
    <row r="457" spans="4:44">
      <c r="D457" s="54" t="s">
        <v>265</v>
      </c>
      <c r="E457" s="3">
        <v>1999</v>
      </c>
      <c r="F457" s="4">
        <v>1</v>
      </c>
      <c r="G457" s="30">
        <v>0</v>
      </c>
      <c r="H457" s="63"/>
      <c r="I457" s="14" t="s">
        <v>86</v>
      </c>
      <c r="J457" s="5">
        <v>5</v>
      </c>
      <c r="K457" s="13">
        <f t="shared" si="1119"/>
        <v>2004</v>
      </c>
      <c r="N457" s="48">
        <v>2389</v>
      </c>
      <c r="P457" s="7">
        <f t="shared" si="1120"/>
        <v>2389</v>
      </c>
      <c r="Q457" s="7">
        <f t="shared" si="1121"/>
        <v>39.81666666666667</v>
      </c>
      <c r="R457" s="7">
        <f t="shared" si="1122"/>
        <v>0</v>
      </c>
      <c r="T457" s="7">
        <f t="shared" si="1123"/>
        <v>0</v>
      </c>
      <c r="U457" s="7">
        <v>1</v>
      </c>
      <c r="V457" s="7">
        <f t="shared" si="1124"/>
        <v>0</v>
      </c>
      <c r="W457" s="7"/>
      <c r="X457" s="7">
        <f t="shared" si="1125"/>
        <v>2389</v>
      </c>
      <c r="Y457" s="7">
        <f t="shared" si="1126"/>
        <v>2389</v>
      </c>
      <c r="Z457" s="7">
        <v>1</v>
      </c>
      <c r="AA457" s="7">
        <f t="shared" si="1127"/>
        <v>2389</v>
      </c>
      <c r="AB457" s="7">
        <f t="shared" si="1128"/>
        <v>2389</v>
      </c>
      <c r="AC457" s="7">
        <f t="shared" si="1129"/>
        <v>0</v>
      </c>
      <c r="AD457" s="7">
        <f t="shared" si="1130"/>
        <v>1999</v>
      </c>
      <c r="AE457" s="7">
        <f t="shared" si="1131"/>
        <v>2018</v>
      </c>
      <c r="AF457" s="7">
        <f t="shared" si="1132"/>
        <v>2004</v>
      </c>
      <c r="AG457" s="7">
        <f t="shared" si="1133"/>
        <v>2017</v>
      </c>
      <c r="AH457" s="7">
        <f t="shared" si="1134"/>
        <v>-8.3333333333333329E-2</v>
      </c>
      <c r="AJ457" s="144">
        <f t="shared" si="1135"/>
        <v>0</v>
      </c>
      <c r="AL457" s="144">
        <f t="shared" si="1136"/>
        <v>0</v>
      </c>
      <c r="AN457" s="144">
        <f t="shared" si="1137"/>
        <v>0</v>
      </c>
      <c r="AP457" s="144">
        <f t="shared" si="1138"/>
        <v>0</v>
      </c>
      <c r="AR457" s="144">
        <f t="shared" si="1139"/>
        <v>0</v>
      </c>
    </row>
    <row r="458" spans="4:44">
      <c r="D458" s="54" t="s">
        <v>258</v>
      </c>
      <c r="E458" s="3">
        <v>2000</v>
      </c>
      <c r="F458" s="4">
        <v>3</v>
      </c>
      <c r="G458" s="30">
        <v>0</v>
      </c>
      <c r="H458" s="63"/>
      <c r="I458" s="14" t="s">
        <v>86</v>
      </c>
      <c r="J458" s="5">
        <v>5</v>
      </c>
      <c r="K458" s="13">
        <f t="shared" si="1119"/>
        <v>2005</v>
      </c>
      <c r="N458" s="48">
        <v>2580</v>
      </c>
      <c r="P458" s="7">
        <f t="shared" si="1120"/>
        <v>2580</v>
      </c>
      <c r="Q458" s="7">
        <f t="shared" si="1121"/>
        <v>43</v>
      </c>
      <c r="R458" s="7">
        <f t="shared" si="1122"/>
        <v>0</v>
      </c>
      <c r="T458" s="7">
        <f t="shared" si="1123"/>
        <v>0</v>
      </c>
      <c r="U458" s="7">
        <v>1</v>
      </c>
      <c r="V458" s="7">
        <f t="shared" si="1124"/>
        <v>0</v>
      </c>
      <c r="W458" s="7"/>
      <c r="X458" s="7">
        <f t="shared" si="1125"/>
        <v>2580</v>
      </c>
      <c r="Y458" s="7">
        <f t="shared" si="1126"/>
        <v>2580</v>
      </c>
      <c r="Z458" s="7">
        <v>1</v>
      </c>
      <c r="AA458" s="7">
        <f t="shared" si="1127"/>
        <v>2580</v>
      </c>
      <c r="AB458" s="7">
        <f t="shared" si="1128"/>
        <v>2580</v>
      </c>
      <c r="AC458" s="7">
        <f t="shared" si="1129"/>
        <v>0</v>
      </c>
      <c r="AD458" s="7">
        <f t="shared" si="1130"/>
        <v>2000.1666666666667</v>
      </c>
      <c r="AE458" s="7">
        <f t="shared" si="1131"/>
        <v>2018</v>
      </c>
      <c r="AF458" s="7">
        <f t="shared" si="1132"/>
        <v>2005.1666666666667</v>
      </c>
      <c r="AG458" s="7">
        <f t="shared" si="1133"/>
        <v>2017</v>
      </c>
      <c r="AH458" s="7">
        <f t="shared" si="1134"/>
        <v>-8.3333333333333329E-2</v>
      </c>
      <c r="AJ458" s="144">
        <f t="shared" si="1135"/>
        <v>0</v>
      </c>
      <c r="AL458" s="144">
        <f t="shared" si="1136"/>
        <v>0</v>
      </c>
      <c r="AN458" s="144">
        <f t="shared" si="1137"/>
        <v>0</v>
      </c>
      <c r="AP458" s="144">
        <f t="shared" si="1138"/>
        <v>0</v>
      </c>
      <c r="AR458" s="144">
        <f t="shared" si="1139"/>
        <v>0</v>
      </c>
    </row>
    <row r="459" spans="4:44">
      <c r="D459" s="54" t="s">
        <v>266</v>
      </c>
      <c r="E459" s="3">
        <v>2000</v>
      </c>
      <c r="F459" s="4">
        <v>7</v>
      </c>
      <c r="G459" s="30">
        <v>0</v>
      </c>
      <c r="H459" s="63"/>
      <c r="I459" s="14" t="s">
        <v>86</v>
      </c>
      <c r="J459" s="5">
        <v>5</v>
      </c>
      <c r="K459" s="13">
        <f t="shared" si="1119"/>
        <v>2005</v>
      </c>
      <c r="N459" s="48">
        <v>4752</v>
      </c>
      <c r="P459" s="7">
        <f t="shared" si="1120"/>
        <v>4752</v>
      </c>
      <c r="Q459" s="7">
        <f t="shared" si="1121"/>
        <v>79.2</v>
      </c>
      <c r="R459" s="7">
        <f t="shared" si="1122"/>
        <v>0</v>
      </c>
      <c r="T459" s="7">
        <f t="shared" si="1123"/>
        <v>0</v>
      </c>
      <c r="U459" s="7">
        <v>1</v>
      </c>
      <c r="V459" s="7">
        <f t="shared" si="1124"/>
        <v>0</v>
      </c>
      <c r="W459" s="7"/>
      <c r="X459" s="7">
        <f t="shared" si="1125"/>
        <v>4752</v>
      </c>
      <c r="Y459" s="7">
        <f t="shared" si="1126"/>
        <v>4752</v>
      </c>
      <c r="Z459" s="7">
        <v>1</v>
      </c>
      <c r="AA459" s="7">
        <f t="shared" si="1127"/>
        <v>4752</v>
      </c>
      <c r="AB459" s="7">
        <f t="shared" si="1128"/>
        <v>4752</v>
      </c>
      <c r="AC459" s="7">
        <f t="shared" si="1129"/>
        <v>0</v>
      </c>
      <c r="AD459" s="7">
        <f t="shared" si="1130"/>
        <v>2000.5</v>
      </c>
      <c r="AE459" s="7">
        <f t="shared" si="1131"/>
        <v>2018</v>
      </c>
      <c r="AF459" s="7">
        <f t="shared" si="1132"/>
        <v>2005.5</v>
      </c>
      <c r="AG459" s="7">
        <f t="shared" si="1133"/>
        <v>2017</v>
      </c>
      <c r="AH459" s="7">
        <f t="shared" si="1134"/>
        <v>-8.3333333333333329E-2</v>
      </c>
      <c r="AJ459" s="144">
        <f t="shared" si="1135"/>
        <v>0</v>
      </c>
      <c r="AL459" s="144">
        <f t="shared" si="1136"/>
        <v>0</v>
      </c>
      <c r="AN459" s="144">
        <f t="shared" si="1137"/>
        <v>0</v>
      </c>
      <c r="AP459" s="144">
        <f t="shared" si="1138"/>
        <v>0</v>
      </c>
      <c r="AR459" s="144">
        <f t="shared" si="1139"/>
        <v>0</v>
      </c>
    </row>
    <row r="460" spans="4:44">
      <c r="D460" s="54" t="s">
        <v>258</v>
      </c>
      <c r="E460" s="3">
        <v>2000</v>
      </c>
      <c r="F460" s="4">
        <v>8</v>
      </c>
      <c r="G460" s="30">
        <v>0</v>
      </c>
      <c r="H460" s="63"/>
      <c r="I460" s="14" t="s">
        <v>86</v>
      </c>
      <c r="J460" s="5">
        <v>5</v>
      </c>
      <c r="K460" s="13">
        <f t="shared" si="1119"/>
        <v>2005</v>
      </c>
      <c r="N460" s="48">
        <v>1284</v>
      </c>
      <c r="P460" s="7">
        <f t="shared" si="1120"/>
        <v>1284</v>
      </c>
      <c r="Q460" s="7">
        <f t="shared" si="1121"/>
        <v>21.400000000000002</v>
      </c>
      <c r="R460" s="7">
        <f t="shared" si="1122"/>
        <v>0</v>
      </c>
      <c r="T460" s="7">
        <f t="shared" si="1123"/>
        <v>0</v>
      </c>
      <c r="U460" s="7">
        <v>1</v>
      </c>
      <c r="V460" s="7">
        <f t="shared" si="1124"/>
        <v>0</v>
      </c>
      <c r="W460" s="7"/>
      <c r="X460" s="7">
        <f t="shared" si="1125"/>
        <v>1284</v>
      </c>
      <c r="Y460" s="7">
        <f t="shared" si="1126"/>
        <v>1284</v>
      </c>
      <c r="Z460" s="7">
        <v>1</v>
      </c>
      <c r="AA460" s="7">
        <f t="shared" si="1127"/>
        <v>1284</v>
      </c>
      <c r="AB460" s="7">
        <f t="shared" si="1128"/>
        <v>1284</v>
      </c>
      <c r="AC460" s="7">
        <f t="shared" si="1129"/>
        <v>0</v>
      </c>
      <c r="AD460" s="7">
        <f t="shared" si="1130"/>
        <v>2000.5833333333333</v>
      </c>
      <c r="AE460" s="7">
        <f t="shared" si="1131"/>
        <v>2018</v>
      </c>
      <c r="AF460" s="7">
        <f t="shared" si="1132"/>
        <v>2005.5833333333333</v>
      </c>
      <c r="AG460" s="7">
        <f t="shared" si="1133"/>
        <v>2017</v>
      </c>
      <c r="AH460" s="7">
        <f t="shared" si="1134"/>
        <v>-8.3333333333333329E-2</v>
      </c>
      <c r="AJ460" s="144">
        <f t="shared" si="1135"/>
        <v>0</v>
      </c>
      <c r="AL460" s="144">
        <f t="shared" si="1136"/>
        <v>0</v>
      </c>
      <c r="AN460" s="144">
        <f t="shared" si="1137"/>
        <v>0</v>
      </c>
      <c r="AP460" s="144">
        <f t="shared" si="1138"/>
        <v>0</v>
      </c>
      <c r="AR460" s="144">
        <f t="shared" si="1139"/>
        <v>0</v>
      </c>
    </row>
    <row r="461" spans="4:44">
      <c r="D461" s="54" t="s">
        <v>264</v>
      </c>
      <c r="E461" s="3">
        <v>2000</v>
      </c>
      <c r="F461" s="4">
        <v>8</v>
      </c>
      <c r="G461" s="30">
        <v>0</v>
      </c>
      <c r="H461" s="63"/>
      <c r="I461" s="14" t="s">
        <v>86</v>
      </c>
      <c r="J461" s="5">
        <v>10</v>
      </c>
      <c r="K461" s="13">
        <f t="shared" si="1119"/>
        <v>2010</v>
      </c>
      <c r="N461" s="48">
        <v>1543</v>
      </c>
      <c r="P461" s="7">
        <f t="shared" si="1120"/>
        <v>1543</v>
      </c>
      <c r="Q461" s="7">
        <f t="shared" si="1121"/>
        <v>12.858333333333334</v>
      </c>
      <c r="R461" s="7">
        <f t="shared" si="1122"/>
        <v>0</v>
      </c>
      <c r="T461" s="7">
        <f t="shared" si="1123"/>
        <v>0</v>
      </c>
      <c r="U461" s="7">
        <v>1</v>
      </c>
      <c r="V461" s="7">
        <f t="shared" si="1124"/>
        <v>0</v>
      </c>
      <c r="W461" s="7"/>
      <c r="X461" s="7">
        <f t="shared" si="1125"/>
        <v>1543</v>
      </c>
      <c r="Y461" s="7">
        <f t="shared" si="1126"/>
        <v>1543</v>
      </c>
      <c r="Z461" s="7">
        <v>1</v>
      </c>
      <c r="AA461" s="7">
        <f t="shared" si="1127"/>
        <v>1543</v>
      </c>
      <c r="AB461" s="7">
        <f t="shared" si="1128"/>
        <v>1543</v>
      </c>
      <c r="AC461" s="7">
        <f t="shared" si="1129"/>
        <v>0</v>
      </c>
      <c r="AD461" s="7">
        <f t="shared" si="1130"/>
        <v>2000.5833333333333</v>
      </c>
      <c r="AE461" s="7">
        <f t="shared" si="1131"/>
        <v>2018</v>
      </c>
      <c r="AF461" s="7">
        <f t="shared" si="1132"/>
        <v>2010.5833333333333</v>
      </c>
      <c r="AG461" s="7">
        <f t="shared" si="1133"/>
        <v>2017</v>
      </c>
      <c r="AH461" s="7">
        <f t="shared" si="1134"/>
        <v>-8.3333333333333329E-2</v>
      </c>
      <c r="AJ461" s="144">
        <f t="shared" si="1135"/>
        <v>0</v>
      </c>
      <c r="AL461" s="144">
        <f t="shared" si="1136"/>
        <v>0</v>
      </c>
      <c r="AN461" s="144">
        <f t="shared" si="1137"/>
        <v>0</v>
      </c>
      <c r="AP461" s="144">
        <f t="shared" si="1138"/>
        <v>0</v>
      </c>
      <c r="AR461" s="144">
        <f t="shared" si="1139"/>
        <v>0</v>
      </c>
    </row>
    <row r="462" spans="4:44">
      <c r="D462" s="54" t="s">
        <v>261</v>
      </c>
      <c r="E462" s="3">
        <v>2000</v>
      </c>
      <c r="F462" s="4">
        <v>12</v>
      </c>
      <c r="G462" s="30">
        <v>0</v>
      </c>
      <c r="H462" s="63"/>
      <c r="I462" s="14" t="s">
        <v>86</v>
      </c>
      <c r="J462" s="5">
        <v>5</v>
      </c>
      <c r="K462" s="13">
        <f t="shared" si="1119"/>
        <v>2005</v>
      </c>
      <c r="N462" s="48">
        <v>1114</v>
      </c>
      <c r="P462" s="7">
        <f t="shared" si="1120"/>
        <v>1114</v>
      </c>
      <c r="Q462" s="7">
        <f t="shared" si="1121"/>
        <v>18.566666666666666</v>
      </c>
      <c r="R462" s="7">
        <f t="shared" si="1122"/>
        <v>0</v>
      </c>
      <c r="T462" s="7">
        <f t="shared" si="1123"/>
        <v>0</v>
      </c>
      <c r="U462" s="7">
        <v>1</v>
      </c>
      <c r="V462" s="7">
        <f t="shared" si="1124"/>
        <v>0</v>
      </c>
      <c r="W462" s="7"/>
      <c r="X462" s="7">
        <f t="shared" si="1125"/>
        <v>1114</v>
      </c>
      <c r="Y462" s="7">
        <f t="shared" si="1126"/>
        <v>1114</v>
      </c>
      <c r="Z462" s="7">
        <v>1</v>
      </c>
      <c r="AA462" s="7">
        <f t="shared" si="1127"/>
        <v>1114</v>
      </c>
      <c r="AB462" s="7">
        <f t="shared" si="1128"/>
        <v>1114</v>
      </c>
      <c r="AC462" s="7">
        <f t="shared" si="1129"/>
        <v>0</v>
      </c>
      <c r="AD462" s="7">
        <f t="shared" si="1130"/>
        <v>2000.9166666666667</v>
      </c>
      <c r="AE462" s="7">
        <f t="shared" si="1131"/>
        <v>2018</v>
      </c>
      <c r="AF462" s="7">
        <f t="shared" si="1132"/>
        <v>2005.9166666666667</v>
      </c>
      <c r="AG462" s="7">
        <f t="shared" si="1133"/>
        <v>2017</v>
      </c>
      <c r="AH462" s="7">
        <f t="shared" si="1134"/>
        <v>-8.3333333333333329E-2</v>
      </c>
      <c r="AJ462" s="144">
        <f t="shared" si="1135"/>
        <v>0</v>
      </c>
      <c r="AL462" s="144">
        <f t="shared" si="1136"/>
        <v>0</v>
      </c>
      <c r="AN462" s="144">
        <f t="shared" si="1137"/>
        <v>0</v>
      </c>
      <c r="AP462" s="144">
        <f t="shared" si="1138"/>
        <v>0</v>
      </c>
      <c r="AR462" s="144">
        <f t="shared" si="1139"/>
        <v>0</v>
      </c>
    </row>
    <row r="463" spans="4:44">
      <c r="D463" s="54" t="s">
        <v>267</v>
      </c>
      <c r="E463" s="3">
        <v>2003</v>
      </c>
      <c r="F463" s="4">
        <v>12</v>
      </c>
      <c r="G463" s="30">
        <v>0</v>
      </c>
      <c r="H463" s="63"/>
      <c r="I463" s="14" t="s">
        <v>86</v>
      </c>
      <c r="J463" s="5">
        <v>5</v>
      </c>
      <c r="K463" s="13">
        <f t="shared" si="1119"/>
        <v>2008</v>
      </c>
      <c r="N463" s="48">
        <v>582</v>
      </c>
      <c r="P463" s="7">
        <f t="shared" si="1120"/>
        <v>582</v>
      </c>
      <c r="Q463" s="7">
        <f t="shared" si="1121"/>
        <v>9.7000000000000011</v>
      </c>
      <c r="R463" s="7">
        <f t="shared" si="1122"/>
        <v>0</v>
      </c>
      <c r="T463" s="7">
        <f t="shared" si="1123"/>
        <v>0</v>
      </c>
      <c r="U463" s="7">
        <v>1</v>
      </c>
      <c r="V463" s="7">
        <f t="shared" si="1124"/>
        <v>0</v>
      </c>
      <c r="W463" s="7"/>
      <c r="X463" s="7">
        <f t="shared" si="1125"/>
        <v>582</v>
      </c>
      <c r="Y463" s="7">
        <f t="shared" si="1126"/>
        <v>582</v>
      </c>
      <c r="Z463" s="7">
        <v>1</v>
      </c>
      <c r="AA463" s="7">
        <f t="shared" si="1127"/>
        <v>582</v>
      </c>
      <c r="AB463" s="7">
        <f t="shared" si="1128"/>
        <v>582</v>
      </c>
      <c r="AC463" s="7">
        <f t="shared" si="1129"/>
        <v>0</v>
      </c>
      <c r="AD463" s="7">
        <f t="shared" si="1130"/>
        <v>2003.9166666666667</v>
      </c>
      <c r="AE463" s="7">
        <f t="shared" si="1131"/>
        <v>2018</v>
      </c>
      <c r="AF463" s="7">
        <f t="shared" si="1132"/>
        <v>2008.9166666666667</v>
      </c>
      <c r="AG463" s="7">
        <f t="shared" si="1133"/>
        <v>2017</v>
      </c>
      <c r="AH463" s="7">
        <f t="shared" si="1134"/>
        <v>-8.3333333333333329E-2</v>
      </c>
      <c r="AJ463" s="144">
        <f t="shared" si="1135"/>
        <v>0</v>
      </c>
      <c r="AL463" s="144">
        <f t="shared" si="1136"/>
        <v>0</v>
      </c>
      <c r="AN463" s="144">
        <f t="shared" si="1137"/>
        <v>0</v>
      </c>
      <c r="AP463" s="144">
        <f t="shared" si="1138"/>
        <v>0</v>
      </c>
      <c r="AR463" s="144">
        <f t="shared" si="1139"/>
        <v>0</v>
      </c>
    </row>
    <row r="464" spans="4:44">
      <c r="D464" s="54" t="s">
        <v>268</v>
      </c>
      <c r="E464" s="3">
        <v>2004</v>
      </c>
      <c r="F464" s="4">
        <v>7</v>
      </c>
      <c r="G464" s="30">
        <v>0</v>
      </c>
      <c r="H464" s="63"/>
      <c r="I464" s="14" t="s">
        <v>86</v>
      </c>
      <c r="J464" s="5">
        <v>5</v>
      </c>
      <c r="K464" s="13">
        <f t="shared" si="1119"/>
        <v>2009</v>
      </c>
      <c r="N464" s="48">
        <v>2050</v>
      </c>
      <c r="P464" s="7">
        <f t="shared" si="1120"/>
        <v>2050</v>
      </c>
      <c r="Q464" s="7">
        <f t="shared" si="1121"/>
        <v>34.166666666666664</v>
      </c>
      <c r="R464" s="7">
        <f t="shared" si="1122"/>
        <v>0</v>
      </c>
      <c r="T464" s="7">
        <f t="shared" si="1123"/>
        <v>0</v>
      </c>
      <c r="U464" s="7">
        <v>1</v>
      </c>
      <c r="V464" s="7">
        <f t="shared" si="1124"/>
        <v>0</v>
      </c>
      <c r="W464" s="7"/>
      <c r="X464" s="7">
        <f t="shared" si="1125"/>
        <v>2050</v>
      </c>
      <c r="Y464" s="7">
        <f t="shared" si="1126"/>
        <v>2050</v>
      </c>
      <c r="Z464" s="7">
        <v>1</v>
      </c>
      <c r="AA464" s="7">
        <f t="shared" si="1127"/>
        <v>2050</v>
      </c>
      <c r="AB464" s="7">
        <f t="shared" si="1128"/>
        <v>2050</v>
      </c>
      <c r="AC464" s="7">
        <f t="shared" si="1129"/>
        <v>0</v>
      </c>
      <c r="AD464" s="7">
        <f t="shared" si="1130"/>
        <v>2004.5</v>
      </c>
      <c r="AE464" s="7">
        <f t="shared" si="1131"/>
        <v>2018</v>
      </c>
      <c r="AF464" s="7">
        <f t="shared" si="1132"/>
        <v>2009.5</v>
      </c>
      <c r="AG464" s="7">
        <f t="shared" si="1133"/>
        <v>2017</v>
      </c>
      <c r="AH464" s="7">
        <f t="shared" si="1134"/>
        <v>-8.3333333333333329E-2</v>
      </c>
      <c r="AJ464" s="144">
        <f t="shared" si="1135"/>
        <v>0</v>
      </c>
      <c r="AL464" s="144">
        <f t="shared" si="1136"/>
        <v>0</v>
      </c>
      <c r="AN464" s="144">
        <f t="shared" si="1137"/>
        <v>0</v>
      </c>
      <c r="AP464" s="144">
        <f t="shared" si="1138"/>
        <v>0</v>
      </c>
      <c r="AR464" s="144">
        <f t="shared" si="1139"/>
        <v>0</v>
      </c>
    </row>
    <row r="465" spans="1:44">
      <c r="D465" s="54" t="s">
        <v>269</v>
      </c>
      <c r="E465" s="3">
        <v>2009</v>
      </c>
      <c r="F465" s="4">
        <v>1</v>
      </c>
      <c r="G465" s="30">
        <v>0</v>
      </c>
      <c r="H465" s="63"/>
      <c r="I465" s="14" t="s">
        <v>86</v>
      </c>
      <c r="J465" s="5">
        <v>5</v>
      </c>
      <c r="K465" s="13">
        <f t="shared" si="1119"/>
        <v>2014</v>
      </c>
      <c r="N465" s="48">
        <v>9626.66</v>
      </c>
      <c r="P465" s="7">
        <f t="shared" si="1120"/>
        <v>9626.66</v>
      </c>
      <c r="Q465" s="7">
        <f t="shared" si="1121"/>
        <v>160.44433333333333</v>
      </c>
      <c r="R465" s="7">
        <f t="shared" si="1122"/>
        <v>0</v>
      </c>
      <c r="T465" s="7">
        <f t="shared" si="1123"/>
        <v>0</v>
      </c>
      <c r="U465" s="7">
        <v>1</v>
      </c>
      <c r="V465" s="7">
        <f t="shared" si="1124"/>
        <v>0</v>
      </c>
      <c r="W465" s="7"/>
      <c r="X465" s="7">
        <f t="shared" si="1125"/>
        <v>9626.66</v>
      </c>
      <c r="Y465" s="7">
        <f t="shared" si="1126"/>
        <v>9626.66</v>
      </c>
      <c r="Z465" s="7">
        <v>1</v>
      </c>
      <c r="AA465" s="7">
        <f t="shared" si="1127"/>
        <v>9626.66</v>
      </c>
      <c r="AB465" s="7">
        <f t="shared" si="1128"/>
        <v>9626.66</v>
      </c>
      <c r="AC465" s="7">
        <f t="shared" si="1129"/>
        <v>0</v>
      </c>
      <c r="AD465" s="7">
        <f t="shared" si="1130"/>
        <v>2009</v>
      </c>
      <c r="AE465" s="7">
        <f t="shared" si="1131"/>
        <v>2018</v>
      </c>
      <c r="AF465" s="7">
        <f t="shared" si="1132"/>
        <v>2014</v>
      </c>
      <c r="AG465" s="7">
        <f t="shared" si="1133"/>
        <v>2017</v>
      </c>
      <c r="AH465" s="7">
        <f t="shared" si="1134"/>
        <v>-8.3333333333333329E-2</v>
      </c>
      <c r="AJ465" s="144">
        <f t="shared" si="1135"/>
        <v>0</v>
      </c>
      <c r="AL465" s="144">
        <f t="shared" si="1136"/>
        <v>0</v>
      </c>
      <c r="AN465" s="144">
        <f t="shared" si="1137"/>
        <v>0</v>
      </c>
      <c r="AP465" s="144">
        <f t="shared" si="1138"/>
        <v>0</v>
      </c>
      <c r="AR465" s="144">
        <f t="shared" si="1139"/>
        <v>0</v>
      </c>
    </row>
    <row r="466" spans="1:44">
      <c r="D466" s="54" t="s">
        <v>270</v>
      </c>
      <c r="E466" s="3">
        <v>2009</v>
      </c>
      <c r="F466" s="4">
        <v>1</v>
      </c>
      <c r="G466" s="30">
        <v>0</v>
      </c>
      <c r="H466" s="63"/>
      <c r="I466" s="14" t="s">
        <v>86</v>
      </c>
      <c r="J466" s="5">
        <v>5</v>
      </c>
      <c r="K466" s="13">
        <f t="shared" si="1119"/>
        <v>2014</v>
      </c>
      <c r="N466" s="48">
        <v>6948.12</v>
      </c>
      <c r="P466" s="7">
        <f t="shared" si="1120"/>
        <v>6948.12</v>
      </c>
      <c r="Q466" s="7">
        <f t="shared" si="1121"/>
        <v>115.80200000000001</v>
      </c>
      <c r="R466" s="7">
        <f t="shared" si="1122"/>
        <v>0</v>
      </c>
      <c r="T466" s="7">
        <f t="shared" si="1123"/>
        <v>0</v>
      </c>
      <c r="U466" s="7">
        <v>1</v>
      </c>
      <c r="V466" s="7">
        <f t="shared" si="1124"/>
        <v>0</v>
      </c>
      <c r="W466" s="7"/>
      <c r="X466" s="7">
        <f t="shared" si="1125"/>
        <v>6948.12</v>
      </c>
      <c r="Y466" s="7">
        <f t="shared" si="1126"/>
        <v>6948.12</v>
      </c>
      <c r="Z466" s="7">
        <v>1</v>
      </c>
      <c r="AA466" s="7">
        <f t="shared" si="1127"/>
        <v>6948.12</v>
      </c>
      <c r="AB466" s="7">
        <f t="shared" si="1128"/>
        <v>6948.12</v>
      </c>
      <c r="AC466" s="7">
        <f t="shared" si="1129"/>
        <v>0</v>
      </c>
      <c r="AD466" s="7">
        <f t="shared" si="1130"/>
        <v>2009</v>
      </c>
      <c r="AE466" s="7">
        <f t="shared" si="1131"/>
        <v>2018</v>
      </c>
      <c r="AF466" s="7">
        <f t="shared" si="1132"/>
        <v>2014</v>
      </c>
      <c r="AG466" s="7">
        <f t="shared" si="1133"/>
        <v>2017</v>
      </c>
      <c r="AH466" s="7">
        <f t="shared" si="1134"/>
        <v>-8.3333333333333329E-2</v>
      </c>
      <c r="AJ466" s="144">
        <f t="shared" si="1135"/>
        <v>0</v>
      </c>
      <c r="AL466" s="144">
        <f t="shared" si="1136"/>
        <v>0</v>
      </c>
      <c r="AN466" s="144">
        <f t="shared" si="1137"/>
        <v>0</v>
      </c>
      <c r="AP466" s="144">
        <f t="shared" si="1138"/>
        <v>0</v>
      </c>
      <c r="AR466" s="144">
        <f t="shared" si="1139"/>
        <v>0</v>
      </c>
    </row>
    <row r="467" spans="1:44">
      <c r="D467" s="54" t="s">
        <v>264</v>
      </c>
      <c r="E467" s="3">
        <v>2009</v>
      </c>
      <c r="F467" s="4">
        <v>7</v>
      </c>
      <c r="G467" s="30">
        <v>0</v>
      </c>
      <c r="H467" s="63"/>
      <c r="I467" s="14" t="s">
        <v>86</v>
      </c>
      <c r="J467" s="5">
        <v>7</v>
      </c>
      <c r="K467" s="13">
        <f t="shared" si="1119"/>
        <v>2016</v>
      </c>
      <c r="N467" s="48">
        <v>1200</v>
      </c>
      <c r="P467" s="7">
        <f t="shared" si="1120"/>
        <v>1200</v>
      </c>
      <c r="Q467" s="7">
        <f t="shared" si="1121"/>
        <v>14.285714285714285</v>
      </c>
      <c r="R467" s="7">
        <f t="shared" si="1122"/>
        <v>0</v>
      </c>
      <c r="T467" s="7">
        <f t="shared" si="1123"/>
        <v>0</v>
      </c>
      <c r="U467" s="7">
        <v>1</v>
      </c>
      <c r="V467" s="7">
        <f t="shared" si="1124"/>
        <v>0</v>
      </c>
      <c r="W467" s="7"/>
      <c r="X467" s="7">
        <f t="shared" si="1125"/>
        <v>1200</v>
      </c>
      <c r="Y467" s="7">
        <f t="shared" si="1126"/>
        <v>1200</v>
      </c>
      <c r="Z467" s="7">
        <v>1</v>
      </c>
      <c r="AA467" s="7">
        <f t="shared" si="1127"/>
        <v>1200</v>
      </c>
      <c r="AB467" s="7">
        <f t="shared" si="1128"/>
        <v>1200</v>
      </c>
      <c r="AC467" s="7">
        <f t="shared" si="1129"/>
        <v>0</v>
      </c>
      <c r="AD467" s="7">
        <f t="shared" si="1130"/>
        <v>2009.5</v>
      </c>
      <c r="AE467" s="7">
        <f t="shared" si="1131"/>
        <v>2018</v>
      </c>
      <c r="AF467" s="7">
        <f t="shared" si="1132"/>
        <v>2016.5</v>
      </c>
      <c r="AG467" s="7">
        <f t="shared" si="1133"/>
        <v>2017</v>
      </c>
      <c r="AH467" s="7">
        <f t="shared" si="1134"/>
        <v>-8.3333333333333329E-2</v>
      </c>
      <c r="AJ467" s="144">
        <f t="shared" si="1135"/>
        <v>0</v>
      </c>
      <c r="AL467" s="144">
        <f t="shared" si="1136"/>
        <v>0</v>
      </c>
      <c r="AN467" s="144">
        <f t="shared" si="1137"/>
        <v>0</v>
      </c>
      <c r="AP467" s="144">
        <f t="shared" si="1138"/>
        <v>0</v>
      </c>
      <c r="AR467" s="144">
        <f t="shared" si="1139"/>
        <v>0</v>
      </c>
    </row>
    <row r="468" spans="1:44">
      <c r="D468" s="54" t="s">
        <v>258</v>
      </c>
      <c r="E468" s="3">
        <v>2009</v>
      </c>
      <c r="F468" s="4">
        <v>7</v>
      </c>
      <c r="G468" s="30">
        <v>0</v>
      </c>
      <c r="H468" s="63"/>
      <c r="I468" s="14" t="s">
        <v>86</v>
      </c>
      <c r="J468" s="5">
        <v>5</v>
      </c>
      <c r="K468" s="13">
        <f t="shared" si="1119"/>
        <v>2014</v>
      </c>
      <c r="N468" s="48">
        <v>1200</v>
      </c>
      <c r="P468" s="7">
        <f t="shared" si="1120"/>
        <v>1200</v>
      </c>
      <c r="Q468" s="7">
        <f t="shared" si="1121"/>
        <v>20</v>
      </c>
      <c r="R468" s="7">
        <f t="shared" si="1122"/>
        <v>0</v>
      </c>
      <c r="T468" s="7">
        <f t="shared" si="1123"/>
        <v>0</v>
      </c>
      <c r="U468" s="7">
        <v>1</v>
      </c>
      <c r="V468" s="7">
        <f t="shared" si="1124"/>
        <v>0</v>
      </c>
      <c r="W468" s="7"/>
      <c r="X468" s="7">
        <f t="shared" si="1125"/>
        <v>1200</v>
      </c>
      <c r="Y468" s="7">
        <f t="shared" si="1126"/>
        <v>1200</v>
      </c>
      <c r="Z468" s="7">
        <v>1</v>
      </c>
      <c r="AA468" s="7">
        <f t="shared" si="1127"/>
        <v>1200</v>
      </c>
      <c r="AB468" s="7">
        <f t="shared" si="1128"/>
        <v>1200</v>
      </c>
      <c r="AC468" s="7">
        <f t="shared" si="1129"/>
        <v>0</v>
      </c>
      <c r="AD468" s="7">
        <f t="shared" si="1130"/>
        <v>2009.5</v>
      </c>
      <c r="AE468" s="7">
        <f t="shared" si="1131"/>
        <v>2018</v>
      </c>
      <c r="AF468" s="7">
        <f t="shared" si="1132"/>
        <v>2014.5</v>
      </c>
      <c r="AG468" s="7">
        <f t="shared" si="1133"/>
        <v>2017</v>
      </c>
      <c r="AH468" s="7">
        <f t="shared" si="1134"/>
        <v>-8.3333333333333329E-2</v>
      </c>
      <c r="AJ468" s="144">
        <f t="shared" si="1135"/>
        <v>0</v>
      </c>
      <c r="AL468" s="144">
        <f t="shared" si="1136"/>
        <v>0</v>
      </c>
      <c r="AN468" s="144">
        <f t="shared" si="1137"/>
        <v>0</v>
      </c>
      <c r="AP468" s="144">
        <f t="shared" si="1138"/>
        <v>0</v>
      </c>
      <c r="AR468" s="144">
        <f t="shared" si="1139"/>
        <v>0</v>
      </c>
    </row>
    <row r="469" spans="1:44">
      <c r="D469" s="54" t="s">
        <v>271</v>
      </c>
      <c r="E469" s="3">
        <v>2010</v>
      </c>
      <c r="F469" s="4">
        <v>7</v>
      </c>
      <c r="G469" s="30">
        <v>0</v>
      </c>
      <c r="H469" s="63"/>
      <c r="I469" s="14" t="s">
        <v>86</v>
      </c>
      <c r="J469" s="5">
        <v>5</v>
      </c>
      <c r="K469" s="13">
        <f t="shared" si="1119"/>
        <v>2015</v>
      </c>
      <c r="N469" s="48">
        <v>612.22</v>
      </c>
      <c r="P469" s="7">
        <f t="shared" si="1120"/>
        <v>612.22</v>
      </c>
      <c r="Q469" s="7">
        <f t="shared" si="1121"/>
        <v>10.203666666666667</v>
      </c>
      <c r="R469" s="7">
        <f t="shared" si="1122"/>
        <v>0</v>
      </c>
      <c r="T469" s="7">
        <f t="shared" si="1123"/>
        <v>0</v>
      </c>
      <c r="U469" s="7">
        <v>1</v>
      </c>
      <c r="V469" s="7">
        <f t="shared" si="1124"/>
        <v>0</v>
      </c>
      <c r="W469" s="7"/>
      <c r="X469" s="7">
        <f t="shared" si="1125"/>
        <v>612.22</v>
      </c>
      <c r="Y469" s="7">
        <f t="shared" si="1126"/>
        <v>612.22</v>
      </c>
      <c r="Z469" s="7">
        <v>1</v>
      </c>
      <c r="AA469" s="7">
        <f t="shared" si="1127"/>
        <v>612.22</v>
      </c>
      <c r="AB469" s="7">
        <f t="shared" si="1128"/>
        <v>612.22</v>
      </c>
      <c r="AC469" s="7">
        <f t="shared" si="1129"/>
        <v>0</v>
      </c>
      <c r="AD469" s="7">
        <f t="shared" si="1130"/>
        <v>2010.5</v>
      </c>
      <c r="AE469" s="7">
        <f t="shared" si="1131"/>
        <v>2018</v>
      </c>
      <c r="AF469" s="7">
        <f t="shared" si="1132"/>
        <v>2015.5</v>
      </c>
      <c r="AG469" s="7">
        <f t="shared" si="1133"/>
        <v>2017</v>
      </c>
      <c r="AH469" s="7">
        <f t="shared" si="1134"/>
        <v>-8.3333333333333329E-2</v>
      </c>
      <c r="AJ469" s="144">
        <f t="shared" si="1135"/>
        <v>0</v>
      </c>
      <c r="AL469" s="144">
        <f t="shared" si="1136"/>
        <v>0</v>
      </c>
      <c r="AN469" s="144">
        <f t="shared" si="1137"/>
        <v>0</v>
      </c>
      <c r="AP469" s="144">
        <f t="shared" si="1138"/>
        <v>0</v>
      </c>
      <c r="AR469" s="144">
        <f t="shared" si="1139"/>
        <v>0</v>
      </c>
    </row>
    <row r="470" spans="1:44">
      <c r="D470" s="54" t="s">
        <v>272</v>
      </c>
      <c r="E470" s="3">
        <v>2011</v>
      </c>
      <c r="F470" s="4">
        <v>11</v>
      </c>
      <c r="G470" s="30">
        <v>0</v>
      </c>
      <c r="H470" s="63"/>
      <c r="I470" s="14" t="s">
        <v>86</v>
      </c>
      <c r="J470" s="5">
        <v>5</v>
      </c>
      <c r="K470" s="13">
        <f t="shared" si="1119"/>
        <v>2016</v>
      </c>
      <c r="N470" s="48">
        <v>1537.57</v>
      </c>
      <c r="P470" s="7">
        <f t="shared" si="1120"/>
        <v>1537.57</v>
      </c>
      <c r="Q470" s="7">
        <f t="shared" si="1121"/>
        <v>25.626166666666666</v>
      </c>
      <c r="R470" s="7">
        <f t="shared" si="1122"/>
        <v>0</v>
      </c>
      <c r="T470" s="7">
        <f t="shared" si="1123"/>
        <v>0</v>
      </c>
      <c r="U470" s="7">
        <v>1</v>
      </c>
      <c r="V470" s="7">
        <f t="shared" si="1124"/>
        <v>0</v>
      </c>
      <c r="W470" s="7"/>
      <c r="X470" s="7">
        <f t="shared" si="1125"/>
        <v>1537.57</v>
      </c>
      <c r="Y470" s="7">
        <f t="shared" si="1126"/>
        <v>1537.57</v>
      </c>
      <c r="Z470" s="7">
        <v>1</v>
      </c>
      <c r="AA470" s="7">
        <f t="shared" si="1127"/>
        <v>1537.57</v>
      </c>
      <c r="AB470" s="7">
        <f t="shared" si="1128"/>
        <v>1537.57</v>
      </c>
      <c r="AC470" s="7">
        <f t="shared" si="1129"/>
        <v>0</v>
      </c>
      <c r="AD470" s="7">
        <f t="shared" si="1130"/>
        <v>2011.8333333333333</v>
      </c>
      <c r="AE470" s="7">
        <f t="shared" si="1131"/>
        <v>2018</v>
      </c>
      <c r="AF470" s="7">
        <f t="shared" si="1132"/>
        <v>2016.8333333333333</v>
      </c>
      <c r="AG470" s="7">
        <f t="shared" si="1133"/>
        <v>2017</v>
      </c>
      <c r="AH470" s="7">
        <f t="shared" si="1134"/>
        <v>-8.3333333333333329E-2</v>
      </c>
      <c r="AJ470" s="144">
        <f t="shared" si="1135"/>
        <v>0</v>
      </c>
      <c r="AL470" s="144">
        <f t="shared" si="1136"/>
        <v>0</v>
      </c>
      <c r="AN470" s="144">
        <f t="shared" si="1137"/>
        <v>0</v>
      </c>
      <c r="AP470" s="144">
        <f t="shared" si="1138"/>
        <v>0</v>
      </c>
      <c r="AR470" s="144">
        <f t="shared" si="1139"/>
        <v>0</v>
      </c>
    </row>
    <row r="471" spans="1:44">
      <c r="A471" s="1">
        <v>90451</v>
      </c>
      <c r="C471" s="1" t="s">
        <v>273</v>
      </c>
      <c r="D471" s="54" t="s">
        <v>274</v>
      </c>
      <c r="E471" s="3">
        <v>2012</v>
      </c>
      <c r="F471" s="4">
        <v>1</v>
      </c>
      <c r="G471" s="30">
        <v>0</v>
      </c>
      <c r="H471" s="63"/>
      <c r="I471" s="14" t="s">
        <v>86</v>
      </c>
      <c r="J471" s="5">
        <v>5</v>
      </c>
      <c r="K471" s="13">
        <f t="shared" si="1119"/>
        <v>2017</v>
      </c>
      <c r="N471" s="48">
        <v>559.78</v>
      </c>
      <c r="P471" s="7">
        <f t="shared" si="1120"/>
        <v>559.78</v>
      </c>
      <c r="Q471" s="7">
        <f t="shared" si="1121"/>
        <v>9.3296666666666663</v>
      </c>
      <c r="R471" s="7">
        <f t="shared" si="1122"/>
        <v>0</v>
      </c>
      <c r="T471" s="7">
        <f t="shared" si="1123"/>
        <v>0</v>
      </c>
      <c r="U471" s="7">
        <v>1</v>
      </c>
      <c r="V471" s="7">
        <f t="shared" si="1124"/>
        <v>0</v>
      </c>
      <c r="W471" s="7"/>
      <c r="X471" s="7">
        <f t="shared" si="1125"/>
        <v>559.78</v>
      </c>
      <c r="Y471" s="7">
        <f t="shared" si="1126"/>
        <v>559.78</v>
      </c>
      <c r="Z471" s="7">
        <v>1</v>
      </c>
      <c r="AA471" s="7">
        <f t="shared" si="1127"/>
        <v>559.78</v>
      </c>
      <c r="AB471" s="7">
        <f t="shared" si="1128"/>
        <v>559.78</v>
      </c>
      <c r="AC471" s="7">
        <f t="shared" si="1129"/>
        <v>0</v>
      </c>
      <c r="AD471" s="7">
        <f t="shared" si="1130"/>
        <v>2012</v>
      </c>
      <c r="AE471" s="7">
        <f t="shared" si="1131"/>
        <v>2018</v>
      </c>
      <c r="AF471" s="7">
        <f t="shared" si="1132"/>
        <v>2017</v>
      </c>
      <c r="AG471" s="7">
        <f t="shared" si="1133"/>
        <v>2017</v>
      </c>
      <c r="AH471" s="7">
        <f t="shared" si="1134"/>
        <v>-8.3333333333333329E-2</v>
      </c>
      <c r="AJ471" s="144">
        <f t="shared" si="1135"/>
        <v>0</v>
      </c>
      <c r="AL471" s="144">
        <f t="shared" si="1136"/>
        <v>0</v>
      </c>
      <c r="AN471" s="144">
        <f t="shared" si="1137"/>
        <v>0</v>
      </c>
      <c r="AP471" s="144">
        <f t="shared" si="1138"/>
        <v>0</v>
      </c>
      <c r="AR471" s="144">
        <f t="shared" si="1139"/>
        <v>0</v>
      </c>
    </row>
    <row r="472" spans="1:44">
      <c r="A472" s="1">
        <v>93958</v>
      </c>
      <c r="D472" s="54" t="s">
        <v>289</v>
      </c>
      <c r="E472" s="3">
        <v>2012</v>
      </c>
      <c r="F472" s="4">
        <v>5</v>
      </c>
      <c r="G472" s="30">
        <v>0</v>
      </c>
      <c r="H472" s="63"/>
      <c r="I472" s="14" t="s">
        <v>86</v>
      </c>
      <c r="J472" s="5">
        <v>5</v>
      </c>
      <c r="K472" s="13">
        <f t="shared" si="1119"/>
        <v>2017</v>
      </c>
      <c r="N472" s="48">
        <v>950</v>
      </c>
      <c r="P472" s="7">
        <f t="shared" si="1120"/>
        <v>950</v>
      </c>
      <c r="Q472" s="7">
        <f t="shared" si="1121"/>
        <v>15.833333333333334</v>
      </c>
      <c r="R472" s="7">
        <f t="shared" si="1122"/>
        <v>63.333333333318933</v>
      </c>
      <c r="T472" s="7">
        <f t="shared" ref="T472" si="1140">IF(S472&gt;0,S472,R472)</f>
        <v>63.333333333318933</v>
      </c>
      <c r="U472" s="7">
        <v>1</v>
      </c>
      <c r="V472" s="7">
        <f t="shared" ref="V472" si="1141">U472*SUM(R472:S472)</f>
        <v>63.333333333318933</v>
      </c>
      <c r="W472" s="7"/>
      <c r="X472" s="7">
        <f t="shared" ref="X472" si="1142">IF(AD472&gt;AE472,0,IF(AF472&lt;AG472,P472,IF(AND(AF472&gt;=AG472,AF472&lt;=AE472),(P472-T472),IF(AND(AG472&lt;=AD472,AE472&gt;=AD472),0,IF(AF472&gt;AE472,((AG472-AD472)*12)*Q472,0)))))</f>
        <v>886.66666666668107</v>
      </c>
      <c r="Y472" s="7">
        <f t="shared" ref="Y472" si="1143">X472*U472</f>
        <v>886.66666666668107</v>
      </c>
      <c r="Z472" s="7">
        <v>1</v>
      </c>
      <c r="AA472" s="7">
        <f t="shared" ref="AA472" si="1144">Y472*Z472</f>
        <v>886.66666666668107</v>
      </c>
      <c r="AB472" s="7">
        <f t="shared" ref="AB472" si="1145">IF(O472&gt;0,0,AA472+V472*Z472)*Z472</f>
        <v>950</v>
      </c>
      <c r="AC472" s="7">
        <f t="shared" ref="AC472" si="1146">IF(O472&gt;0,(N472-AA472)/2,IF(AD472&gt;=AG472,(((N472*U472)*Z472)-AB472)/2,((((N472*U472)*Z472)-AA472)+(((N472*U472)*Z472)-AB472))/2))</f>
        <v>31.666666666659467</v>
      </c>
      <c r="AD472" s="7">
        <f t="shared" si="1130"/>
        <v>2012.3333333333333</v>
      </c>
      <c r="AE472" s="7">
        <f t="shared" si="1131"/>
        <v>2018</v>
      </c>
      <c r="AF472" s="7">
        <f t="shared" si="1132"/>
        <v>2017.3333333333333</v>
      </c>
      <c r="AG472" s="7">
        <f t="shared" si="1133"/>
        <v>2017</v>
      </c>
      <c r="AH472" s="7">
        <f t="shared" si="1134"/>
        <v>-8.3333333333333329E-2</v>
      </c>
      <c r="AJ472" s="144">
        <f t="shared" si="1135"/>
        <v>0</v>
      </c>
      <c r="AL472" s="144">
        <f t="shared" si="1136"/>
        <v>63.333333333318933</v>
      </c>
      <c r="AN472" s="144">
        <f t="shared" si="1137"/>
        <v>0</v>
      </c>
      <c r="AP472" s="144">
        <f t="shared" si="1138"/>
        <v>0</v>
      </c>
      <c r="AR472" s="144">
        <f t="shared" si="1139"/>
        <v>31.666666666659467</v>
      </c>
    </row>
    <row r="473" spans="1:44">
      <c r="A473" s="1">
        <v>113270</v>
      </c>
      <c r="D473" s="54" t="s">
        <v>313</v>
      </c>
      <c r="E473" s="3">
        <v>2014</v>
      </c>
      <c r="F473" s="4">
        <v>4</v>
      </c>
      <c r="G473" s="30">
        <v>0</v>
      </c>
      <c r="H473" s="63"/>
      <c r="I473" s="14" t="s">
        <v>86</v>
      </c>
      <c r="J473" s="5">
        <v>5</v>
      </c>
      <c r="K473" s="13">
        <f t="shared" si="1119"/>
        <v>2019</v>
      </c>
      <c r="N473" s="48">
        <v>1013.04</v>
      </c>
      <c r="P473" s="7">
        <f t="shared" si="1120"/>
        <v>1013.04</v>
      </c>
      <c r="Q473" s="7">
        <f t="shared" si="1121"/>
        <v>16.884</v>
      </c>
      <c r="R473" s="7">
        <f t="shared" ref="R473" si="1147">IF(O473&gt;0,0,IF(OR(AD473&gt;AE473,AF473&lt;AG473),0,IF(AND(AF473&gt;=AG473,AF473&lt;=AE473),Q473*((AF473-AG473)*12),IF(AND(AG473&lt;=AD473,AE473&gt;=AD473),((AE473-AD473)*12)*Q473,IF(AF473&gt;AE473,12*Q473,0)))))</f>
        <v>202.608</v>
      </c>
      <c r="T473" s="7">
        <f t="shared" ref="T473" si="1148">IF(S473&gt;0,S473,R473)</f>
        <v>202.608</v>
      </c>
      <c r="U473" s="7">
        <v>1</v>
      </c>
      <c r="V473" s="7">
        <f t="shared" ref="V473" si="1149">U473*SUM(R473:S473)</f>
        <v>202.608</v>
      </c>
      <c r="W473" s="7"/>
      <c r="X473" s="7">
        <f t="shared" ref="X473" si="1150">IF(AD473&gt;AE473,0,IF(AF473&lt;AG473,P473,IF(AND(AF473&gt;=AG473,AF473&lt;=AE473),(P473-T473),IF(AND(AG473&lt;=AD473,AE473&gt;=AD473),0,IF(AF473&gt;AE473,((AG473-AD473)*12)*Q473,0)))))</f>
        <v>557.17200000000003</v>
      </c>
      <c r="Y473" s="7">
        <f t="shared" ref="Y473" si="1151">X473*U473</f>
        <v>557.17200000000003</v>
      </c>
      <c r="Z473" s="7">
        <v>1</v>
      </c>
      <c r="AA473" s="7">
        <f t="shared" ref="AA473" si="1152">Y473*Z473</f>
        <v>557.17200000000003</v>
      </c>
      <c r="AB473" s="7">
        <f t="shared" ref="AB473" si="1153">IF(O473&gt;0,0,AA473+V473*Z473)*Z473</f>
        <v>759.78</v>
      </c>
      <c r="AC473" s="7">
        <f t="shared" ref="AC473" si="1154">IF(O473&gt;0,(N473-AA473)/2,IF(AD473&gt;=AG473,(((N473*U473)*Z473)-AB473)/2,((((N473*U473)*Z473)-AA473)+(((N473*U473)*Z473)-AB473))/2))</f>
        <v>354.56399999999996</v>
      </c>
      <c r="AD473" s="7">
        <f t="shared" si="1130"/>
        <v>2014.25</v>
      </c>
      <c r="AE473" s="7">
        <f t="shared" si="1131"/>
        <v>2018</v>
      </c>
      <c r="AF473" s="7">
        <f t="shared" si="1132"/>
        <v>2019.25</v>
      </c>
      <c r="AG473" s="7">
        <f t="shared" si="1133"/>
        <v>2017</v>
      </c>
      <c r="AH473" s="7">
        <f t="shared" si="1134"/>
        <v>-8.3333333333333329E-2</v>
      </c>
      <c r="AJ473" s="144">
        <f t="shared" si="1135"/>
        <v>0</v>
      </c>
      <c r="AL473" s="144">
        <f t="shared" si="1136"/>
        <v>202.608</v>
      </c>
      <c r="AN473" s="144">
        <f t="shared" si="1137"/>
        <v>0</v>
      </c>
      <c r="AP473" s="144">
        <f t="shared" si="1138"/>
        <v>0</v>
      </c>
      <c r="AR473" s="144">
        <f t="shared" si="1139"/>
        <v>354.56399999999996</v>
      </c>
    </row>
    <row r="474" spans="1:44">
      <c r="A474" s="1">
        <v>122702</v>
      </c>
      <c r="C474" s="1">
        <v>2</v>
      </c>
      <c r="D474" s="54" t="s">
        <v>325</v>
      </c>
      <c r="E474" s="3">
        <v>2015</v>
      </c>
      <c r="F474" s="4">
        <v>4</v>
      </c>
      <c r="G474" s="30">
        <v>0</v>
      </c>
      <c r="H474" s="63"/>
      <c r="I474" s="14" t="s">
        <v>86</v>
      </c>
      <c r="J474" s="5">
        <v>5</v>
      </c>
      <c r="K474" s="13">
        <f t="shared" si="1119"/>
        <v>2020</v>
      </c>
      <c r="N474" s="48">
        <v>655</v>
      </c>
      <c r="P474" s="7">
        <f t="shared" si="1120"/>
        <v>655</v>
      </c>
      <c r="Q474" s="7">
        <f t="shared" si="1121"/>
        <v>10.916666666666666</v>
      </c>
      <c r="R474" s="7">
        <f t="shared" ref="R474:R475" si="1155">IF(O474&gt;0,0,IF(OR(AD474&gt;AE474,AF474&lt;AG474),0,IF(AND(AF474&gt;=AG474,AF474&lt;=AE474),Q474*((AF474-AG474)*12),IF(AND(AG474&lt;=AD474,AE474&gt;=AD474),((AE474-AD474)*12)*Q474,IF(AF474&gt;AE474,12*Q474,0)))))</f>
        <v>131</v>
      </c>
      <c r="T474" s="7">
        <f t="shared" ref="T474:T475" si="1156">IF(S474&gt;0,S474,R474)</f>
        <v>131</v>
      </c>
      <c r="U474" s="7">
        <v>1</v>
      </c>
      <c r="V474" s="7">
        <f t="shared" ref="V474:V475" si="1157">U474*SUM(R474:S474)</f>
        <v>131</v>
      </c>
      <c r="W474" s="7"/>
      <c r="X474" s="7">
        <f t="shared" ref="X474:X475" si="1158">IF(AD474&gt;AE474,0,IF(AF474&lt;AG474,P474,IF(AND(AF474&gt;=AG474,AF474&lt;=AE474),(P474-T474),IF(AND(AG474&lt;=AD474,AE474&gt;=AD474),0,IF(AF474&gt;AE474,((AG474-AD474)*12)*Q474,0)))))</f>
        <v>229.25</v>
      </c>
      <c r="Y474" s="7">
        <f t="shared" ref="Y474:Y475" si="1159">X474*U474</f>
        <v>229.25</v>
      </c>
      <c r="Z474" s="7">
        <v>1</v>
      </c>
      <c r="AA474" s="7">
        <f t="shared" ref="AA474:AA475" si="1160">Y474*Z474</f>
        <v>229.25</v>
      </c>
      <c r="AB474" s="7">
        <f t="shared" ref="AB474:AB475" si="1161">IF(O474&gt;0,0,AA474+V474*Z474)*Z474</f>
        <v>360.25</v>
      </c>
      <c r="AC474" s="7">
        <f t="shared" ref="AC474:AC475" si="1162">IF(O474&gt;0,(N474-AA474)/2,IF(AD474&gt;=AG474,(((N474*U474)*Z474)-AB474)/2,((((N474*U474)*Z474)-AA474)+(((N474*U474)*Z474)-AB474))/2))</f>
        <v>360.25</v>
      </c>
      <c r="AD474" s="7">
        <f t="shared" si="1130"/>
        <v>2015.25</v>
      </c>
      <c r="AE474" s="7">
        <f t="shared" si="1131"/>
        <v>2018</v>
      </c>
      <c r="AF474" s="7">
        <f t="shared" si="1132"/>
        <v>2020.25</v>
      </c>
      <c r="AG474" s="7">
        <f t="shared" si="1133"/>
        <v>2017</v>
      </c>
      <c r="AH474" s="7">
        <f t="shared" si="1134"/>
        <v>-8.3333333333333329E-2</v>
      </c>
      <c r="AJ474" s="144">
        <f t="shared" si="1135"/>
        <v>0</v>
      </c>
      <c r="AL474" s="144">
        <f t="shared" si="1136"/>
        <v>131</v>
      </c>
      <c r="AN474" s="144">
        <f t="shared" si="1137"/>
        <v>0</v>
      </c>
      <c r="AP474" s="144">
        <f t="shared" si="1138"/>
        <v>0</v>
      </c>
      <c r="AR474" s="144">
        <f t="shared" si="1139"/>
        <v>360.25</v>
      </c>
    </row>
    <row r="475" spans="1:44">
      <c r="A475" s="1">
        <v>169283</v>
      </c>
      <c r="C475" s="1" t="s">
        <v>273</v>
      </c>
      <c r="D475" s="54" t="s">
        <v>349</v>
      </c>
      <c r="E475" s="3">
        <v>2016</v>
      </c>
      <c r="F475" s="4">
        <v>9</v>
      </c>
      <c r="G475" s="30">
        <v>0</v>
      </c>
      <c r="H475" s="63"/>
      <c r="I475" s="14" t="s">
        <v>86</v>
      </c>
      <c r="J475" s="5">
        <v>2</v>
      </c>
      <c r="K475" s="13">
        <f t="shared" ref="K475" si="1163">E475+J475</f>
        <v>2018</v>
      </c>
      <c r="N475" s="60">
        <v>1425.16</v>
      </c>
      <c r="P475" s="7">
        <f t="shared" ref="P475" si="1164">N475-N475*G475</f>
        <v>1425.16</v>
      </c>
      <c r="Q475" s="7">
        <f t="shared" ref="Q475" si="1165">P475/J475/12</f>
        <v>59.381666666666668</v>
      </c>
      <c r="R475" s="7">
        <f t="shared" si="1155"/>
        <v>712.58</v>
      </c>
      <c r="T475" s="7">
        <f t="shared" si="1156"/>
        <v>712.58</v>
      </c>
      <c r="U475" s="7">
        <v>1</v>
      </c>
      <c r="V475" s="7">
        <f t="shared" si="1157"/>
        <v>712.58</v>
      </c>
      <c r="W475" s="7"/>
      <c r="X475" s="7">
        <f t="shared" si="1158"/>
        <v>237.52666666661267</v>
      </c>
      <c r="Y475" s="7">
        <f t="shared" si="1159"/>
        <v>237.52666666661267</v>
      </c>
      <c r="Z475" s="7">
        <v>1</v>
      </c>
      <c r="AA475" s="7">
        <f t="shared" si="1160"/>
        <v>237.52666666661267</v>
      </c>
      <c r="AB475" s="7">
        <f t="shared" si="1161"/>
        <v>950.10666666661268</v>
      </c>
      <c r="AC475" s="7">
        <f t="shared" si="1162"/>
        <v>831.34333333338736</v>
      </c>
      <c r="AD475" s="7">
        <f t="shared" si="1130"/>
        <v>2016.6666666666667</v>
      </c>
      <c r="AE475" s="7">
        <f t="shared" si="1131"/>
        <v>2018</v>
      </c>
      <c r="AF475" s="7">
        <f t="shared" si="1132"/>
        <v>2018.6666666666667</v>
      </c>
      <c r="AG475" s="7">
        <f t="shared" si="1133"/>
        <v>2017</v>
      </c>
      <c r="AH475" s="7">
        <f t="shared" si="1134"/>
        <v>-8.3333333333333329E-2</v>
      </c>
      <c r="AJ475" s="144">
        <f t="shared" si="1135"/>
        <v>0</v>
      </c>
      <c r="AL475" s="144">
        <f t="shared" si="1136"/>
        <v>712.58</v>
      </c>
      <c r="AN475" s="144">
        <f t="shared" si="1137"/>
        <v>0</v>
      </c>
      <c r="AP475" s="144">
        <f t="shared" si="1138"/>
        <v>0</v>
      </c>
      <c r="AR475" s="144">
        <f t="shared" si="1139"/>
        <v>831.34333333338736</v>
      </c>
    </row>
    <row r="476" spans="1:44">
      <c r="A476" s="1">
        <v>170294</v>
      </c>
      <c r="C476" s="1" t="s">
        <v>273</v>
      </c>
      <c r="D476" s="54" t="s">
        <v>266</v>
      </c>
      <c r="E476" s="3">
        <v>2016</v>
      </c>
      <c r="F476" s="4">
        <v>11</v>
      </c>
      <c r="G476" s="30">
        <v>0</v>
      </c>
      <c r="H476" s="63"/>
      <c r="I476" s="14" t="s">
        <v>86</v>
      </c>
      <c r="J476" s="5">
        <v>5</v>
      </c>
      <c r="K476" s="13">
        <f t="shared" ref="K476:K480" si="1166">E476+J476</f>
        <v>2021</v>
      </c>
      <c r="N476" s="60">
        <v>9460.1200000000008</v>
      </c>
      <c r="P476" s="7">
        <f t="shared" ref="P476" si="1167">N476-N476*G476</f>
        <v>9460.1200000000008</v>
      </c>
      <c r="Q476" s="7">
        <f t="shared" ref="Q476" si="1168">P476/J476/12</f>
        <v>157.66866666666667</v>
      </c>
      <c r="R476" s="7">
        <f t="shared" ref="R476" si="1169">IF(O476&gt;0,0,IF(OR(AD476&gt;AE476,AF476&lt;AG476),0,IF(AND(AF476&gt;=AG476,AF476&lt;=AE476),Q476*((AF476-AG476)*12),IF(AND(AG476&lt;=AD476,AE476&gt;=AD476),((AE476-AD476)*12)*Q476,IF(AF476&gt;AE476,12*Q476,0)))))</f>
        <v>1892.0239999999999</v>
      </c>
      <c r="T476" s="7">
        <f t="shared" ref="T476" si="1170">IF(S476&gt;0,S476,R476)</f>
        <v>1892.0239999999999</v>
      </c>
      <c r="U476" s="7">
        <v>1</v>
      </c>
      <c r="V476" s="7">
        <f t="shared" ref="V476" si="1171">U476*SUM(R476:S476)</f>
        <v>1892.0239999999999</v>
      </c>
      <c r="W476" s="7"/>
      <c r="X476" s="7">
        <f t="shared" ref="X476" si="1172">IF(AD476&gt;AE476,0,IF(AF476&lt;AG476,P476,IF(AND(AF476&gt;=AG476,AF476&lt;=AE476),(P476-T476),IF(AND(AG476&lt;=AD476,AE476&gt;=AD476),0,IF(AF476&gt;AE476,((AG476-AD476)*12)*Q476,0)))))</f>
        <v>315.33733333347675</v>
      </c>
      <c r="Y476" s="7">
        <f t="shared" ref="Y476" si="1173">X476*U476</f>
        <v>315.33733333347675</v>
      </c>
      <c r="Z476" s="7">
        <v>1</v>
      </c>
      <c r="AA476" s="7">
        <f t="shared" ref="AA476" si="1174">Y476*Z476</f>
        <v>315.33733333347675</v>
      </c>
      <c r="AB476" s="7">
        <f t="shared" ref="AB476" si="1175">IF(O476&gt;0,0,AA476+V476*Z476)*Z476</f>
        <v>2207.3613333334765</v>
      </c>
      <c r="AC476" s="7">
        <f t="shared" ref="AC476" si="1176">IF(O476&gt;0,(N476-AA476)/2,IF(AD476&gt;=AG476,(((N476*U476)*Z476)-AB476)/2,((((N476*U476)*Z476)-AA476)+(((N476*U476)*Z476)-AB476))/2))</f>
        <v>8198.7706666665254</v>
      </c>
      <c r="AD476" s="7">
        <f t="shared" si="1130"/>
        <v>2016.8333333333333</v>
      </c>
      <c r="AE476" s="7">
        <f t="shared" si="1131"/>
        <v>2018</v>
      </c>
      <c r="AF476" s="7">
        <f t="shared" si="1132"/>
        <v>2021.8333333333333</v>
      </c>
      <c r="AG476" s="7">
        <f t="shared" si="1133"/>
        <v>2017</v>
      </c>
      <c r="AH476" s="7">
        <f t="shared" si="1134"/>
        <v>-8.3333333333333329E-2</v>
      </c>
      <c r="AJ476" s="144">
        <f t="shared" si="1135"/>
        <v>0</v>
      </c>
      <c r="AL476" s="144">
        <f t="shared" si="1136"/>
        <v>1892.0239999999999</v>
      </c>
      <c r="AN476" s="144">
        <f t="shared" si="1137"/>
        <v>0</v>
      </c>
      <c r="AP476" s="144">
        <f t="shared" si="1138"/>
        <v>0</v>
      </c>
      <c r="AR476" s="144">
        <f t="shared" si="1139"/>
        <v>8198.7706666665254</v>
      </c>
    </row>
    <row r="477" spans="1:44" s="109" customFormat="1">
      <c r="A477" s="109">
        <v>183282</v>
      </c>
      <c r="D477" s="130" t="s">
        <v>376</v>
      </c>
      <c r="E477" s="113">
        <v>2017</v>
      </c>
      <c r="F477" s="110">
        <v>5</v>
      </c>
      <c r="G477" s="114">
        <v>0</v>
      </c>
      <c r="H477" s="133"/>
      <c r="I477" s="116" t="s">
        <v>86</v>
      </c>
      <c r="J477" s="117">
        <v>3</v>
      </c>
      <c r="K477" s="118">
        <f t="shared" si="1166"/>
        <v>2020</v>
      </c>
      <c r="N477" s="131">
        <v>510.23</v>
      </c>
      <c r="P477" s="115">
        <f t="shared" ref="P477" si="1177">N477-N477*G477</f>
        <v>510.23</v>
      </c>
      <c r="Q477" s="115">
        <f t="shared" ref="Q477" si="1178">P477/J477/12</f>
        <v>14.173055555555557</v>
      </c>
      <c r="R477" s="115">
        <f t="shared" ref="R477" si="1179">IF(O477&gt;0,0,IF(OR(AD477&gt;AE477,AF477&lt;AG477),0,IF(AND(AF477&gt;=AG477,AF477&lt;=AE477),Q477*((AF477-AG477)*12),IF(AND(AG477&lt;=AD477,AE477&gt;=AD477),((AE477-AD477)*12)*Q477,IF(AF477&gt;AE477,12*Q477,0)))))</f>
        <v>113.38444444445734</v>
      </c>
      <c r="T477" s="115">
        <f t="shared" ref="T477" si="1180">IF(S477&gt;0,S477,R477)</f>
        <v>113.38444444445734</v>
      </c>
      <c r="U477" s="115">
        <v>1</v>
      </c>
      <c r="V477" s="115">
        <f t="shared" ref="V477" si="1181">U477*SUM(R477:S477)</f>
        <v>113.38444444445734</v>
      </c>
      <c r="W477" s="115"/>
      <c r="X477" s="115">
        <f t="shared" ref="X477" si="1182">IF(AD477&gt;AE477,0,IF(AF477&lt;AG477,P477,IF(AND(AF477&gt;=AG477,AF477&lt;=AE477),(P477-T477),IF(AND(AG477&lt;=AD477,AE477&gt;=AD477),0,IF(AF477&gt;AE477,((AG477-AD477)*12)*Q477,0)))))</f>
        <v>0</v>
      </c>
      <c r="Y477" s="115">
        <f t="shared" ref="Y477" si="1183">X477*U477</f>
        <v>0</v>
      </c>
      <c r="Z477" s="115">
        <v>1</v>
      </c>
      <c r="AA477" s="115">
        <f t="shared" ref="AA477" si="1184">Y477*Z477</f>
        <v>0</v>
      </c>
      <c r="AB477" s="115">
        <f t="shared" ref="AB477" si="1185">IF(O477&gt;0,0,AA477+V477*Z477)*Z477</f>
        <v>113.38444444445734</v>
      </c>
      <c r="AC477" s="115">
        <f t="shared" ref="AC477" si="1186">IF(O477&gt;0,(N477-AA477)/2,IF(AD477&gt;=AG477,(((N477*U477)*Z477)-AB477)/2,((((N477*U477)*Z477)-AA477)+(((N477*U477)*Z477)-AB477))/2))</f>
        <v>198.42277777777133</v>
      </c>
      <c r="AD477" s="115">
        <f t="shared" si="1130"/>
        <v>2017.3333333333333</v>
      </c>
      <c r="AE477" s="115">
        <f t="shared" si="1131"/>
        <v>2018</v>
      </c>
      <c r="AF477" s="115">
        <f t="shared" si="1132"/>
        <v>2020.3333333333333</v>
      </c>
      <c r="AG477" s="115">
        <f t="shared" si="1133"/>
        <v>2017</v>
      </c>
      <c r="AH477" s="115">
        <f t="shared" si="1134"/>
        <v>-8.3333333333333329E-2</v>
      </c>
      <c r="AJ477" s="144">
        <f t="shared" si="1135"/>
        <v>0</v>
      </c>
      <c r="AK477" s="144"/>
      <c r="AL477" s="144">
        <f t="shared" si="1136"/>
        <v>113.38444444445734</v>
      </c>
      <c r="AM477" s="144"/>
      <c r="AN477" s="144">
        <f t="shared" si="1137"/>
        <v>0</v>
      </c>
      <c r="AO477" s="144"/>
      <c r="AP477" s="144">
        <f t="shared" si="1138"/>
        <v>0</v>
      </c>
      <c r="AQ477" s="144"/>
      <c r="AR477" s="144">
        <f t="shared" si="1139"/>
        <v>198.42277777777133</v>
      </c>
    </row>
    <row r="478" spans="1:44" s="109" customFormat="1">
      <c r="A478" s="109">
        <v>182212</v>
      </c>
      <c r="D478" s="130" t="s">
        <v>390</v>
      </c>
      <c r="E478" s="113">
        <v>2017</v>
      </c>
      <c r="F478" s="110">
        <v>5</v>
      </c>
      <c r="G478" s="114">
        <v>0</v>
      </c>
      <c r="H478" s="133"/>
      <c r="I478" s="116" t="s">
        <v>86</v>
      </c>
      <c r="J478" s="117">
        <v>3</v>
      </c>
      <c r="K478" s="118">
        <f t="shared" si="1166"/>
        <v>2020</v>
      </c>
      <c r="N478" s="131">
        <v>1360.13</v>
      </c>
      <c r="P478" s="115">
        <f t="shared" ref="P478" si="1187">N478-N478*G478</f>
        <v>1360.13</v>
      </c>
      <c r="Q478" s="115">
        <f t="shared" ref="Q478" si="1188">P478/J478/12</f>
        <v>37.781388888888891</v>
      </c>
      <c r="R478" s="115">
        <f t="shared" ref="R478" si="1189">IF(O478&gt;0,0,IF(OR(AD478&gt;AE478,AF478&lt;AG478),0,IF(AND(AF478&gt;=AG478,AF478&lt;=AE478),Q478*((AF478-AG478)*12),IF(AND(AG478&lt;=AD478,AE478&gt;=AD478),((AE478-AD478)*12)*Q478,IF(AF478&gt;AE478,12*Q478,0)))))</f>
        <v>302.25111111114552</v>
      </c>
      <c r="T478" s="115">
        <f t="shared" ref="T478" si="1190">IF(S478&gt;0,S478,R478)</f>
        <v>302.25111111114552</v>
      </c>
      <c r="U478" s="115">
        <v>1</v>
      </c>
      <c r="V478" s="115">
        <f t="shared" ref="V478" si="1191">U478*SUM(R478:S478)</f>
        <v>302.25111111114552</v>
      </c>
      <c r="W478" s="115"/>
      <c r="X478" s="115">
        <f t="shared" ref="X478" si="1192">IF(AD478&gt;AE478,0,IF(AF478&lt;AG478,P478,IF(AND(AF478&gt;=AG478,AF478&lt;=AE478),(P478-T478),IF(AND(AG478&lt;=AD478,AE478&gt;=AD478),0,IF(AF478&gt;AE478,((AG478-AD478)*12)*Q478,0)))))</f>
        <v>0</v>
      </c>
      <c r="Y478" s="115">
        <f t="shared" ref="Y478" si="1193">X478*U478</f>
        <v>0</v>
      </c>
      <c r="Z478" s="115">
        <v>1</v>
      </c>
      <c r="AA478" s="115">
        <f t="shared" ref="AA478" si="1194">Y478*Z478</f>
        <v>0</v>
      </c>
      <c r="AB478" s="115">
        <f t="shared" ref="AB478" si="1195">IF(O478&gt;0,0,AA478+V478*Z478)*Z478</f>
        <v>302.25111111114552</v>
      </c>
      <c r="AC478" s="115">
        <f t="shared" ref="AC478" si="1196">IF(O478&gt;0,(N478-AA478)/2,IF(AD478&gt;=AG478,(((N478*U478)*Z478)-AB478)/2,((((N478*U478)*Z478)-AA478)+(((N478*U478)*Z478)-AB478))/2))</f>
        <v>528.93944444442729</v>
      </c>
      <c r="AD478" s="115">
        <f t="shared" si="1130"/>
        <v>2017.3333333333333</v>
      </c>
      <c r="AE478" s="115">
        <f t="shared" si="1131"/>
        <v>2018</v>
      </c>
      <c r="AF478" s="115">
        <f t="shared" si="1132"/>
        <v>2020.3333333333333</v>
      </c>
      <c r="AG478" s="115">
        <f t="shared" si="1133"/>
        <v>2017</v>
      </c>
      <c r="AH478" s="115">
        <f t="shared" si="1134"/>
        <v>-8.3333333333333329E-2</v>
      </c>
      <c r="AJ478" s="144">
        <f t="shared" si="1135"/>
        <v>0</v>
      </c>
      <c r="AK478" s="144"/>
      <c r="AL478" s="144">
        <f t="shared" si="1136"/>
        <v>302.25111111114552</v>
      </c>
      <c r="AM478" s="144"/>
      <c r="AN478" s="144">
        <f t="shared" si="1137"/>
        <v>0</v>
      </c>
      <c r="AO478" s="144"/>
      <c r="AP478" s="144">
        <f t="shared" si="1138"/>
        <v>0</v>
      </c>
      <c r="AQ478" s="144"/>
      <c r="AR478" s="144">
        <f t="shared" si="1139"/>
        <v>528.93944444442729</v>
      </c>
    </row>
    <row r="479" spans="1:44" s="109" customFormat="1">
      <c r="A479" s="109">
        <v>182211</v>
      </c>
      <c r="D479" s="130" t="s">
        <v>391</v>
      </c>
      <c r="E479" s="113">
        <v>2017</v>
      </c>
      <c r="F479" s="110">
        <v>4</v>
      </c>
      <c r="G479" s="114">
        <v>0</v>
      </c>
      <c r="H479" s="133"/>
      <c r="I479" s="116" t="s">
        <v>86</v>
      </c>
      <c r="J479" s="117">
        <v>3</v>
      </c>
      <c r="K479" s="118">
        <f t="shared" si="1166"/>
        <v>2020</v>
      </c>
      <c r="N479" s="131">
        <v>1016.67</v>
      </c>
      <c r="P479" s="115">
        <f t="shared" ref="P479:P480" si="1197">N479-N479*G479</f>
        <v>1016.67</v>
      </c>
      <c r="Q479" s="115">
        <f t="shared" ref="Q479:Q480" si="1198">P479/J479/12</f>
        <v>28.240833333333331</v>
      </c>
      <c r="R479" s="115">
        <f t="shared" ref="R479" si="1199">IF(O479&gt;0,0,IF(OR(AD479&gt;AE479,AF479&lt;AG479),0,IF(AND(AF479&gt;=AG479,AF479&lt;=AE479),Q479*((AF479-AG479)*12),IF(AND(AG479&lt;=AD479,AE479&gt;=AD479),((AE479-AD479)*12)*Q479,IF(AF479&gt;AE479,12*Q479,0)))))</f>
        <v>254.16749999999999</v>
      </c>
      <c r="T479" s="115">
        <f t="shared" ref="T479" si="1200">IF(S479&gt;0,S479,R479)</f>
        <v>254.16749999999999</v>
      </c>
      <c r="U479" s="115">
        <v>1</v>
      </c>
      <c r="V479" s="115">
        <f t="shared" ref="V479" si="1201">U479*SUM(R479:S479)</f>
        <v>254.16749999999999</v>
      </c>
      <c r="W479" s="115"/>
      <c r="X479" s="115">
        <f t="shared" ref="X479" si="1202">IF(AD479&gt;AE479,0,IF(AF479&lt;AG479,P479,IF(AND(AF479&gt;=AG479,AF479&lt;=AE479),(P479-T479),IF(AND(AG479&lt;=AD479,AE479&gt;=AD479),0,IF(AF479&gt;AE479,((AG479-AD479)*12)*Q479,0)))))</f>
        <v>0</v>
      </c>
      <c r="Y479" s="115">
        <f t="shared" ref="Y479" si="1203">X479*U479</f>
        <v>0</v>
      </c>
      <c r="Z479" s="115">
        <v>1</v>
      </c>
      <c r="AA479" s="115">
        <f t="shared" ref="AA479" si="1204">Y479*Z479</f>
        <v>0</v>
      </c>
      <c r="AB479" s="115">
        <f t="shared" ref="AB479" si="1205">IF(O479&gt;0,0,AA479+V479*Z479)*Z479</f>
        <v>254.16749999999999</v>
      </c>
      <c r="AC479" s="115">
        <f t="shared" ref="AC479" si="1206">IF(O479&gt;0,(N479-AA479)/2,IF(AD479&gt;=AG479,(((N479*U479)*Z479)-AB479)/2,((((N479*U479)*Z479)-AA479)+(((N479*U479)*Z479)-AB479))/2))</f>
        <v>381.25124999999997</v>
      </c>
      <c r="AD479" s="115">
        <f t="shared" si="1130"/>
        <v>2017.25</v>
      </c>
      <c r="AE479" s="115">
        <f t="shared" si="1131"/>
        <v>2018</v>
      </c>
      <c r="AF479" s="115">
        <f t="shared" si="1132"/>
        <v>2020.25</v>
      </c>
      <c r="AG479" s="115">
        <f t="shared" si="1133"/>
        <v>2017</v>
      </c>
      <c r="AH479" s="115">
        <f t="shared" si="1134"/>
        <v>-8.3333333333333329E-2</v>
      </c>
      <c r="AJ479" s="144">
        <f t="shared" si="1135"/>
        <v>0</v>
      </c>
      <c r="AK479" s="144"/>
      <c r="AL479" s="144">
        <f t="shared" si="1136"/>
        <v>254.16749999999999</v>
      </c>
      <c r="AM479" s="144"/>
      <c r="AN479" s="144">
        <f t="shared" si="1137"/>
        <v>0</v>
      </c>
      <c r="AO479" s="144"/>
      <c r="AP479" s="144">
        <f t="shared" si="1138"/>
        <v>0</v>
      </c>
      <c r="AQ479" s="144"/>
      <c r="AR479" s="144">
        <f t="shared" si="1139"/>
        <v>381.25124999999997</v>
      </c>
    </row>
    <row r="480" spans="1:44" s="109" customFormat="1">
      <c r="A480" s="109">
        <v>182210</v>
      </c>
      <c r="D480" s="130" t="s">
        <v>392</v>
      </c>
      <c r="E480" s="113">
        <v>2017</v>
      </c>
      <c r="F480" s="110">
        <v>4</v>
      </c>
      <c r="G480" s="114">
        <v>0</v>
      </c>
      <c r="H480" s="133"/>
      <c r="I480" s="116" t="s">
        <v>86</v>
      </c>
      <c r="J480" s="117">
        <v>3</v>
      </c>
      <c r="K480" s="118">
        <f t="shared" si="1166"/>
        <v>2020</v>
      </c>
      <c r="N480" s="131">
        <v>1016.66</v>
      </c>
      <c r="P480" s="115">
        <f t="shared" si="1197"/>
        <v>1016.66</v>
      </c>
      <c r="Q480" s="115">
        <f t="shared" si="1198"/>
        <v>28.240555555555556</v>
      </c>
      <c r="R480" s="115">
        <f t="shared" ref="R480" si="1207">IF(O480&gt;0,0,IF(OR(AD480&gt;AE480,AF480&lt;AG480),0,IF(AND(AF480&gt;=AG480,AF480&lt;=AE480),Q480*((AF480-AG480)*12),IF(AND(AG480&lt;=AD480,AE480&gt;=AD480),((AE480-AD480)*12)*Q480,IF(AF480&gt;AE480,12*Q480,0)))))</f>
        <v>254.16499999999999</v>
      </c>
      <c r="T480" s="115">
        <f t="shared" ref="T480" si="1208">IF(S480&gt;0,S480,R480)</f>
        <v>254.16499999999999</v>
      </c>
      <c r="U480" s="115">
        <v>1</v>
      </c>
      <c r="V480" s="115">
        <f t="shared" ref="V480" si="1209">U480*SUM(R480:S480)</f>
        <v>254.16499999999999</v>
      </c>
      <c r="W480" s="115"/>
      <c r="X480" s="115">
        <f t="shared" ref="X480" si="1210">IF(AD480&gt;AE480,0,IF(AF480&lt;AG480,P480,IF(AND(AF480&gt;=AG480,AF480&lt;=AE480),(P480-T480),IF(AND(AG480&lt;=AD480,AE480&gt;=AD480),0,IF(AF480&gt;AE480,((AG480-AD480)*12)*Q480,0)))))</f>
        <v>0</v>
      </c>
      <c r="Y480" s="115">
        <f t="shared" ref="Y480" si="1211">X480*U480</f>
        <v>0</v>
      </c>
      <c r="Z480" s="115">
        <v>1</v>
      </c>
      <c r="AA480" s="115">
        <f t="shared" ref="AA480" si="1212">Y480*Z480</f>
        <v>0</v>
      </c>
      <c r="AB480" s="115">
        <f t="shared" ref="AB480" si="1213">IF(O480&gt;0,0,AA480+V480*Z480)*Z480</f>
        <v>254.16499999999999</v>
      </c>
      <c r="AC480" s="115">
        <f t="shared" ref="AC480" si="1214">IF(O480&gt;0,(N480-AA480)/2,IF(AD480&gt;=AG480,(((N480*U480)*Z480)-AB480)/2,((((N480*U480)*Z480)-AA480)+(((N480*U480)*Z480)-AB480))/2))</f>
        <v>381.2475</v>
      </c>
      <c r="AD480" s="115">
        <f t="shared" si="1130"/>
        <v>2017.25</v>
      </c>
      <c r="AE480" s="115">
        <f t="shared" si="1131"/>
        <v>2018</v>
      </c>
      <c r="AF480" s="115">
        <f t="shared" si="1132"/>
        <v>2020.25</v>
      </c>
      <c r="AG480" s="115">
        <f t="shared" si="1133"/>
        <v>2017</v>
      </c>
      <c r="AH480" s="115">
        <f t="shared" si="1134"/>
        <v>-8.3333333333333329E-2</v>
      </c>
      <c r="AJ480" s="144">
        <f t="shared" si="1135"/>
        <v>0</v>
      </c>
      <c r="AK480" s="144"/>
      <c r="AL480" s="144">
        <f t="shared" si="1136"/>
        <v>254.16499999999999</v>
      </c>
      <c r="AM480" s="144"/>
      <c r="AN480" s="144">
        <f t="shared" si="1137"/>
        <v>0</v>
      </c>
      <c r="AO480" s="144"/>
      <c r="AP480" s="144">
        <f t="shared" si="1138"/>
        <v>0</v>
      </c>
      <c r="AQ480" s="144"/>
      <c r="AR480" s="144">
        <f t="shared" si="1139"/>
        <v>381.2475</v>
      </c>
    </row>
    <row r="481" spans="1:44">
      <c r="I481" s="14"/>
      <c r="K481" s="13"/>
      <c r="N481" s="64"/>
      <c r="P481" s="7"/>
      <c r="Q481" s="7"/>
      <c r="R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</row>
    <row r="482" spans="1:44">
      <c r="D482" s="53" t="s">
        <v>275</v>
      </c>
      <c r="I482" s="14"/>
      <c r="K482" s="13"/>
      <c r="N482" s="108">
        <f>SUM(N448:N481)</f>
        <v>78344.360000000015</v>
      </c>
      <c r="O482" s="106"/>
      <c r="P482" s="100">
        <f t="shared" ref="P482:AC482" si="1215">SUM(P448:P481)</f>
        <v>78344.360000000015</v>
      </c>
      <c r="Q482" s="100">
        <f t="shared" si="1215"/>
        <v>1361.4950476190477</v>
      </c>
      <c r="R482" s="100">
        <f t="shared" si="1215"/>
        <v>3925.5133888889218</v>
      </c>
      <c r="S482" s="100">
        <f t="shared" si="1215"/>
        <v>0</v>
      </c>
      <c r="T482" s="100">
        <f t="shared" si="1215"/>
        <v>3925.5133888889218</v>
      </c>
      <c r="U482" s="100">
        <f t="shared" si="1215"/>
        <v>33</v>
      </c>
      <c r="V482" s="100">
        <f t="shared" si="1215"/>
        <v>3925.5133888889218</v>
      </c>
      <c r="W482" s="100">
        <f t="shared" si="1215"/>
        <v>0</v>
      </c>
      <c r="X482" s="100">
        <f t="shared" si="1215"/>
        <v>63163.302666666772</v>
      </c>
      <c r="Y482" s="100">
        <f t="shared" si="1215"/>
        <v>63163.302666666772</v>
      </c>
      <c r="Z482" s="100">
        <f t="shared" si="1215"/>
        <v>33</v>
      </c>
      <c r="AA482" s="100">
        <f t="shared" si="1215"/>
        <v>63163.302666666772</v>
      </c>
      <c r="AB482" s="100">
        <f t="shared" si="1215"/>
        <v>67088.816055555697</v>
      </c>
      <c r="AC482" s="100">
        <f t="shared" si="1215"/>
        <v>11266.45563888877</v>
      </c>
      <c r="AD482" s="105"/>
      <c r="AE482" s="105"/>
      <c r="AF482" s="105"/>
      <c r="AG482" s="105"/>
      <c r="AH482" s="105"/>
      <c r="AJ482" s="140">
        <f t="shared" ref="AJ482:AR482" si="1216">SUM(AJ448:AJ481)</f>
        <v>0</v>
      </c>
      <c r="AK482" s="140">
        <f t="shared" si="1216"/>
        <v>0</v>
      </c>
      <c r="AL482" s="140">
        <f t="shared" si="1216"/>
        <v>3925.5133888889218</v>
      </c>
      <c r="AM482" s="140">
        <f t="shared" si="1216"/>
        <v>0</v>
      </c>
      <c r="AN482" s="140">
        <f t="shared" si="1216"/>
        <v>0</v>
      </c>
      <c r="AO482" s="140">
        <f t="shared" si="1216"/>
        <v>0</v>
      </c>
      <c r="AP482" s="140">
        <f t="shared" si="1216"/>
        <v>0</v>
      </c>
      <c r="AQ482" s="140">
        <f t="shared" si="1216"/>
        <v>0</v>
      </c>
      <c r="AR482" s="140">
        <f t="shared" si="1216"/>
        <v>11266.45563888877</v>
      </c>
    </row>
    <row r="484" spans="1:44">
      <c r="D484" s="53" t="s">
        <v>305</v>
      </c>
      <c r="AJ484" s="144">
        <f t="shared" ref="AJ484:AJ500" si="1217">+IF((AF484-AG484)&gt;3,((N484-P484)/(AF484-AG484)),(N484-P484)/3)</f>
        <v>0</v>
      </c>
      <c r="AL484" s="144">
        <f t="shared" ref="AL484:AL500" si="1218">+AJ484+R484</f>
        <v>0</v>
      </c>
      <c r="AN484" s="144">
        <f t="shared" ref="AN484:AN500" si="1219">+IF(AF484&lt;AG484,-AC484,0)</f>
        <v>0</v>
      </c>
      <c r="AP484" s="144">
        <f t="shared" ref="AP484:AP500" si="1220">+IF(AF484&gt;AG484,IF(AJ484&gt;0,IF(O484&gt;0,(N484-AA484)/2,IF(AD484&gt;=AG484,(((N484*U484)*Z484)-(AB484+AJ484))/2,((((N484*U484)*Z484)-AA484)+(((N484*U484)*Z484)-(AB484+AJ484)))/2)),0),0)</f>
        <v>0</v>
      </c>
      <c r="AR484" s="144">
        <f t="shared" ref="AR484:AR500" si="1221">+AC484+AN484+(IF(AP484&gt;0,(AP484-AC484),0))</f>
        <v>0</v>
      </c>
    </row>
    <row r="485" spans="1:44">
      <c r="D485" s="54" t="s">
        <v>276</v>
      </c>
      <c r="E485" s="3">
        <v>2003</v>
      </c>
      <c r="F485" s="4">
        <v>1</v>
      </c>
      <c r="G485" s="30">
        <v>0</v>
      </c>
      <c r="I485" s="14" t="s">
        <v>86</v>
      </c>
      <c r="J485" s="5">
        <v>5</v>
      </c>
      <c r="K485" s="13">
        <f t="shared" ref="K485:K500" si="1222">E485+J485</f>
        <v>2008</v>
      </c>
      <c r="N485" s="48">
        <v>896</v>
      </c>
      <c r="P485" s="7">
        <f t="shared" ref="P485:P497" si="1223">N485-N485*G485</f>
        <v>896</v>
      </c>
      <c r="Q485" s="7">
        <f t="shared" ref="Q485:Q497" si="1224">P485/J485/12</f>
        <v>14.933333333333332</v>
      </c>
      <c r="R485" s="7">
        <f t="shared" ref="R485:R494" si="1225">IF(O485&gt;0,0,IF(OR(AD485&gt;AE485,AF485&lt;AG485),0,IF(AND(AF485&gt;=AG485,AF485&lt;=AE485),Q485*((AF485-AG485)*12),IF(AND(AG485&lt;=AD485,AE485&gt;=AD485),((AE485-AD485)*12)*Q485,IF(AF485&gt;AE485,12*Q485,0)))))</f>
        <v>0</v>
      </c>
      <c r="T485" s="7">
        <f t="shared" ref="T485:T494" si="1226">IF(S485&gt;0,S485,R485)</f>
        <v>0</v>
      </c>
      <c r="U485" s="7">
        <v>1</v>
      </c>
      <c r="V485" s="7">
        <f t="shared" ref="V485:V494" si="1227">U485*SUM(R485:S485)</f>
        <v>0</v>
      </c>
      <c r="W485" s="7"/>
      <c r="X485" s="7">
        <f t="shared" ref="X485:X494" si="1228">IF(AD485&gt;AE485,0,IF(AF485&lt;AG485,P485,IF(AND(AF485&gt;=AG485,AF485&lt;=AE485),(P485-T485),IF(AND(AG485&lt;=AD485,AE485&gt;=AD485),0,IF(AF485&gt;AE485,((AG485-AD485)*12)*Q485,0)))))</f>
        <v>896</v>
      </c>
      <c r="Y485" s="7">
        <f t="shared" ref="Y485:Y494" si="1229">X485*U485</f>
        <v>896</v>
      </c>
      <c r="Z485" s="7">
        <v>1</v>
      </c>
      <c r="AA485" s="7">
        <f t="shared" ref="AA485:AA494" si="1230">Y485*Z485</f>
        <v>896</v>
      </c>
      <c r="AB485" s="7">
        <f t="shared" ref="AB485:AB494" si="1231">IF(O485&gt;0,0,AA485+V485*Z485)*Z485</f>
        <v>896</v>
      </c>
      <c r="AC485" s="7">
        <f t="shared" ref="AC485:AC494" si="1232">IF(O485&gt;0,(N485-AA485)/2,IF(AD485&gt;=AG485,(((N485*U485)*Z485)-AB485)/2,((((N485*U485)*Z485)-AA485)+(((N485*U485)*Z485)-AB485))/2))</f>
        <v>0</v>
      </c>
      <c r="AD485" s="7">
        <f t="shared" ref="AD485:AD500" si="1233">$E485+(($F485-1)/12)</f>
        <v>2003</v>
      </c>
      <c r="AE485" s="7">
        <f t="shared" ref="AE485:AE500" si="1234">($P$5+1)-($P$2/12)</f>
        <v>2018</v>
      </c>
      <c r="AF485" s="7">
        <f t="shared" ref="AF485:AF500" si="1235">$K485+(($F485-1)/12)</f>
        <v>2008</v>
      </c>
      <c r="AG485" s="7">
        <f t="shared" ref="AG485:AG500" si="1236">$P$4+($P$3/12)</f>
        <v>2017</v>
      </c>
      <c r="AH485" s="7">
        <f t="shared" ref="AH485:AH500" si="1237">$L485+(($M485-1)/12)</f>
        <v>-8.3333333333333329E-2</v>
      </c>
      <c r="AJ485" s="144">
        <f t="shared" si="1217"/>
        <v>0</v>
      </c>
      <c r="AL485" s="144">
        <f t="shared" si="1218"/>
        <v>0</v>
      </c>
      <c r="AN485" s="144">
        <f t="shared" si="1219"/>
        <v>0</v>
      </c>
      <c r="AP485" s="144">
        <f t="shared" si="1220"/>
        <v>0</v>
      </c>
      <c r="AR485" s="144">
        <f t="shared" si="1221"/>
        <v>0</v>
      </c>
    </row>
    <row r="486" spans="1:44">
      <c r="D486" s="54" t="s">
        <v>24</v>
      </c>
      <c r="E486" s="3">
        <v>2003</v>
      </c>
      <c r="F486" s="4">
        <v>1</v>
      </c>
      <c r="G486" s="30">
        <v>0</v>
      </c>
      <c r="I486" s="14" t="s">
        <v>86</v>
      </c>
      <c r="J486" s="5">
        <v>10</v>
      </c>
      <c r="K486" s="13">
        <f t="shared" si="1222"/>
        <v>2013</v>
      </c>
      <c r="N486" s="48">
        <v>11846</v>
      </c>
      <c r="P486" s="7">
        <f t="shared" si="1223"/>
        <v>11846</v>
      </c>
      <c r="Q486" s="7">
        <f t="shared" si="1224"/>
        <v>98.716666666666654</v>
      </c>
      <c r="R486" s="7">
        <f t="shared" si="1225"/>
        <v>0</v>
      </c>
      <c r="T486" s="7">
        <f t="shared" si="1226"/>
        <v>0</v>
      </c>
      <c r="U486" s="7">
        <v>1</v>
      </c>
      <c r="V486" s="7">
        <f t="shared" si="1227"/>
        <v>0</v>
      </c>
      <c r="W486" s="7"/>
      <c r="X486" s="7">
        <f t="shared" si="1228"/>
        <v>11846</v>
      </c>
      <c r="Y486" s="7">
        <f t="shared" si="1229"/>
        <v>11846</v>
      </c>
      <c r="Z486" s="7">
        <v>1</v>
      </c>
      <c r="AA486" s="7">
        <f t="shared" si="1230"/>
        <v>11846</v>
      </c>
      <c r="AB486" s="7">
        <f t="shared" si="1231"/>
        <v>11846</v>
      </c>
      <c r="AC486" s="7">
        <f t="shared" si="1232"/>
        <v>0</v>
      </c>
      <c r="AD486" s="7">
        <f t="shared" si="1233"/>
        <v>2003</v>
      </c>
      <c r="AE486" s="7">
        <f t="shared" si="1234"/>
        <v>2018</v>
      </c>
      <c r="AF486" s="7">
        <f t="shared" si="1235"/>
        <v>2013</v>
      </c>
      <c r="AG486" s="7">
        <f t="shared" si="1236"/>
        <v>2017</v>
      </c>
      <c r="AH486" s="7">
        <f t="shared" si="1237"/>
        <v>-8.3333333333333329E-2</v>
      </c>
      <c r="AJ486" s="144">
        <f t="shared" si="1217"/>
        <v>0</v>
      </c>
      <c r="AL486" s="144">
        <f t="shared" si="1218"/>
        <v>0</v>
      </c>
      <c r="AN486" s="144">
        <f t="shared" si="1219"/>
        <v>0</v>
      </c>
      <c r="AP486" s="144">
        <f t="shared" si="1220"/>
        <v>0</v>
      </c>
      <c r="AR486" s="144">
        <f t="shared" si="1221"/>
        <v>0</v>
      </c>
    </row>
    <row r="487" spans="1:44">
      <c r="D487" s="29" t="s">
        <v>277</v>
      </c>
      <c r="E487" s="3">
        <v>2005</v>
      </c>
      <c r="F487" s="4">
        <v>10</v>
      </c>
      <c r="G487" s="30">
        <v>0</v>
      </c>
      <c r="I487" s="14" t="s">
        <v>86</v>
      </c>
      <c r="J487" s="5">
        <v>10</v>
      </c>
      <c r="K487" s="13">
        <f t="shared" si="1222"/>
        <v>2015</v>
      </c>
      <c r="N487" s="48">
        <v>4273.5200000000004</v>
      </c>
      <c r="P487" s="7">
        <f t="shared" si="1223"/>
        <v>4273.5200000000004</v>
      </c>
      <c r="Q487" s="7">
        <f t="shared" si="1224"/>
        <v>35.612666666666669</v>
      </c>
      <c r="R487" s="7">
        <f t="shared" si="1225"/>
        <v>0</v>
      </c>
      <c r="T487" s="7">
        <f t="shared" si="1226"/>
        <v>0</v>
      </c>
      <c r="U487" s="7">
        <v>1</v>
      </c>
      <c r="V487" s="7">
        <f t="shared" si="1227"/>
        <v>0</v>
      </c>
      <c r="W487" s="7"/>
      <c r="X487" s="7">
        <f t="shared" si="1228"/>
        <v>4273.5200000000004</v>
      </c>
      <c r="Y487" s="7">
        <f t="shared" si="1229"/>
        <v>4273.5200000000004</v>
      </c>
      <c r="Z487" s="7">
        <v>1</v>
      </c>
      <c r="AA487" s="7">
        <f t="shared" si="1230"/>
        <v>4273.5200000000004</v>
      </c>
      <c r="AB487" s="7">
        <f t="shared" si="1231"/>
        <v>4273.5200000000004</v>
      </c>
      <c r="AC487" s="7">
        <f t="shared" si="1232"/>
        <v>0</v>
      </c>
      <c r="AD487" s="7">
        <f t="shared" si="1233"/>
        <v>2005.75</v>
      </c>
      <c r="AE487" s="7">
        <f t="shared" si="1234"/>
        <v>2018</v>
      </c>
      <c r="AF487" s="7">
        <f t="shared" si="1235"/>
        <v>2015.75</v>
      </c>
      <c r="AG487" s="7">
        <f t="shared" si="1236"/>
        <v>2017</v>
      </c>
      <c r="AH487" s="7">
        <f t="shared" si="1237"/>
        <v>-8.3333333333333329E-2</v>
      </c>
      <c r="AJ487" s="144">
        <f t="shared" si="1217"/>
        <v>0</v>
      </c>
      <c r="AL487" s="144">
        <f t="shared" si="1218"/>
        <v>0</v>
      </c>
      <c r="AN487" s="144">
        <f t="shared" si="1219"/>
        <v>0</v>
      </c>
      <c r="AP487" s="144">
        <f t="shared" si="1220"/>
        <v>0</v>
      </c>
      <c r="AR487" s="144">
        <f t="shared" si="1221"/>
        <v>0</v>
      </c>
    </row>
    <row r="488" spans="1:44">
      <c r="D488" s="29" t="s">
        <v>278</v>
      </c>
      <c r="E488" s="3">
        <v>2008</v>
      </c>
      <c r="F488" s="4">
        <v>5</v>
      </c>
      <c r="G488" s="30">
        <v>0</v>
      </c>
      <c r="I488" s="14" t="s">
        <v>86</v>
      </c>
      <c r="J488" s="5">
        <v>3</v>
      </c>
      <c r="K488" s="13">
        <f t="shared" si="1222"/>
        <v>2011</v>
      </c>
      <c r="N488" s="48">
        <v>2786.96</v>
      </c>
      <c r="P488" s="7">
        <f t="shared" si="1223"/>
        <v>2786.96</v>
      </c>
      <c r="Q488" s="7">
        <f t="shared" si="1224"/>
        <v>77.415555555555557</v>
      </c>
      <c r="R488" s="7">
        <f t="shared" si="1225"/>
        <v>0</v>
      </c>
      <c r="T488" s="7">
        <f t="shared" si="1226"/>
        <v>0</v>
      </c>
      <c r="U488" s="7">
        <v>1</v>
      </c>
      <c r="V488" s="7">
        <f t="shared" si="1227"/>
        <v>0</v>
      </c>
      <c r="W488" s="7"/>
      <c r="X488" s="7">
        <f t="shared" si="1228"/>
        <v>2786.96</v>
      </c>
      <c r="Y488" s="7">
        <f t="shared" si="1229"/>
        <v>2786.96</v>
      </c>
      <c r="Z488" s="7">
        <v>1</v>
      </c>
      <c r="AA488" s="7">
        <f t="shared" si="1230"/>
        <v>2786.96</v>
      </c>
      <c r="AB488" s="7">
        <f t="shared" si="1231"/>
        <v>2786.96</v>
      </c>
      <c r="AC488" s="7">
        <f t="shared" si="1232"/>
        <v>0</v>
      </c>
      <c r="AD488" s="7">
        <f t="shared" si="1233"/>
        <v>2008.3333333333333</v>
      </c>
      <c r="AE488" s="7">
        <f t="shared" si="1234"/>
        <v>2018</v>
      </c>
      <c r="AF488" s="7">
        <f t="shared" si="1235"/>
        <v>2011.3333333333333</v>
      </c>
      <c r="AG488" s="7">
        <f t="shared" si="1236"/>
        <v>2017</v>
      </c>
      <c r="AH488" s="7">
        <f t="shared" si="1237"/>
        <v>-8.3333333333333329E-2</v>
      </c>
      <c r="AJ488" s="144">
        <f t="shared" si="1217"/>
        <v>0</v>
      </c>
      <c r="AL488" s="144">
        <f t="shared" si="1218"/>
        <v>0</v>
      </c>
      <c r="AN488" s="144">
        <f t="shared" si="1219"/>
        <v>0</v>
      </c>
      <c r="AP488" s="144">
        <f t="shared" si="1220"/>
        <v>0</v>
      </c>
      <c r="AR488" s="144">
        <f t="shared" si="1221"/>
        <v>0</v>
      </c>
    </row>
    <row r="489" spans="1:44">
      <c r="D489" s="29" t="s">
        <v>279</v>
      </c>
      <c r="E489" s="3">
        <v>2009</v>
      </c>
      <c r="F489" s="4">
        <v>7</v>
      </c>
      <c r="G489" s="30">
        <v>0</v>
      </c>
      <c r="I489" s="14" t="s">
        <v>86</v>
      </c>
      <c r="J489" s="5">
        <v>10</v>
      </c>
      <c r="K489" s="13">
        <f t="shared" si="1222"/>
        <v>2019</v>
      </c>
      <c r="N489" s="48">
        <v>9000</v>
      </c>
      <c r="P489" s="7">
        <f t="shared" si="1223"/>
        <v>9000</v>
      </c>
      <c r="Q489" s="7">
        <f t="shared" si="1224"/>
        <v>75</v>
      </c>
      <c r="R489" s="7">
        <f t="shared" si="1225"/>
        <v>900</v>
      </c>
      <c r="T489" s="7">
        <f t="shared" si="1226"/>
        <v>900</v>
      </c>
      <c r="U489" s="7">
        <v>1</v>
      </c>
      <c r="V489" s="7">
        <f t="shared" si="1227"/>
        <v>900</v>
      </c>
      <c r="W489" s="7"/>
      <c r="X489" s="7">
        <f t="shared" si="1228"/>
        <v>6750</v>
      </c>
      <c r="Y489" s="7">
        <f t="shared" si="1229"/>
        <v>6750</v>
      </c>
      <c r="Z489" s="7">
        <v>1</v>
      </c>
      <c r="AA489" s="7">
        <f t="shared" si="1230"/>
        <v>6750</v>
      </c>
      <c r="AB489" s="7">
        <f t="shared" si="1231"/>
        <v>7650</v>
      </c>
      <c r="AC489" s="7">
        <f t="shared" si="1232"/>
        <v>1800</v>
      </c>
      <c r="AD489" s="7">
        <f t="shared" si="1233"/>
        <v>2009.5</v>
      </c>
      <c r="AE489" s="7">
        <f t="shared" si="1234"/>
        <v>2018</v>
      </c>
      <c r="AF489" s="7">
        <f t="shared" si="1235"/>
        <v>2019.5</v>
      </c>
      <c r="AG489" s="7">
        <f t="shared" si="1236"/>
        <v>2017</v>
      </c>
      <c r="AH489" s="7">
        <f t="shared" si="1237"/>
        <v>-8.3333333333333329E-2</v>
      </c>
      <c r="AJ489" s="144">
        <f t="shared" si="1217"/>
        <v>0</v>
      </c>
      <c r="AL489" s="144">
        <f t="shared" si="1218"/>
        <v>900</v>
      </c>
      <c r="AN489" s="144">
        <f t="shared" si="1219"/>
        <v>0</v>
      </c>
      <c r="AP489" s="144">
        <f t="shared" si="1220"/>
        <v>0</v>
      </c>
      <c r="AR489" s="144">
        <f t="shared" si="1221"/>
        <v>1800</v>
      </c>
    </row>
    <row r="490" spans="1:44">
      <c r="D490" s="29" t="s">
        <v>280</v>
      </c>
      <c r="E490" s="3">
        <v>2009</v>
      </c>
      <c r="F490" s="4">
        <v>7</v>
      </c>
      <c r="G490" s="30">
        <v>0</v>
      </c>
      <c r="I490" s="14" t="s">
        <v>86</v>
      </c>
      <c r="J490" s="5">
        <v>10</v>
      </c>
      <c r="K490" s="13">
        <f t="shared" si="1222"/>
        <v>2019</v>
      </c>
      <c r="N490" s="48">
        <v>9687</v>
      </c>
      <c r="P490" s="7">
        <f t="shared" si="1223"/>
        <v>9687</v>
      </c>
      <c r="Q490" s="7">
        <f t="shared" si="1224"/>
        <v>80.725000000000009</v>
      </c>
      <c r="R490" s="7">
        <f t="shared" si="1225"/>
        <v>968.7</v>
      </c>
      <c r="T490" s="7">
        <f t="shared" si="1226"/>
        <v>968.7</v>
      </c>
      <c r="U490" s="7">
        <v>1</v>
      </c>
      <c r="V490" s="7">
        <f t="shared" si="1227"/>
        <v>968.7</v>
      </c>
      <c r="W490" s="7"/>
      <c r="X490" s="7">
        <f t="shared" si="1228"/>
        <v>7265.2500000000009</v>
      </c>
      <c r="Y490" s="7">
        <f t="shared" si="1229"/>
        <v>7265.2500000000009</v>
      </c>
      <c r="Z490" s="7">
        <v>1</v>
      </c>
      <c r="AA490" s="7">
        <f t="shared" si="1230"/>
        <v>7265.2500000000009</v>
      </c>
      <c r="AB490" s="7">
        <f t="shared" si="1231"/>
        <v>8233.9500000000007</v>
      </c>
      <c r="AC490" s="7">
        <f t="shared" si="1232"/>
        <v>1937.3999999999992</v>
      </c>
      <c r="AD490" s="7">
        <f t="shared" si="1233"/>
        <v>2009.5</v>
      </c>
      <c r="AE490" s="7">
        <f t="shared" si="1234"/>
        <v>2018</v>
      </c>
      <c r="AF490" s="7">
        <f t="shared" si="1235"/>
        <v>2019.5</v>
      </c>
      <c r="AG490" s="7">
        <f t="shared" si="1236"/>
        <v>2017</v>
      </c>
      <c r="AH490" s="7">
        <f t="shared" si="1237"/>
        <v>-8.3333333333333329E-2</v>
      </c>
      <c r="AJ490" s="144">
        <f t="shared" si="1217"/>
        <v>0</v>
      </c>
      <c r="AL490" s="144">
        <f t="shared" si="1218"/>
        <v>968.7</v>
      </c>
      <c r="AN490" s="144">
        <f t="shared" si="1219"/>
        <v>0</v>
      </c>
      <c r="AP490" s="144">
        <f t="shared" si="1220"/>
        <v>0</v>
      </c>
      <c r="AR490" s="144">
        <f t="shared" si="1221"/>
        <v>1937.3999999999992</v>
      </c>
    </row>
    <row r="491" spans="1:44">
      <c r="D491" s="29" t="s">
        <v>281</v>
      </c>
      <c r="E491" s="3">
        <v>2010</v>
      </c>
      <c r="F491" s="4">
        <v>2</v>
      </c>
      <c r="G491" s="30">
        <v>0</v>
      </c>
      <c r="I491" s="14" t="s">
        <v>86</v>
      </c>
      <c r="J491" s="5">
        <v>10</v>
      </c>
      <c r="K491" s="13">
        <f t="shared" si="1222"/>
        <v>2020</v>
      </c>
      <c r="N491" s="48">
        <v>1470.45</v>
      </c>
      <c r="P491" s="7">
        <f t="shared" si="1223"/>
        <v>1470.45</v>
      </c>
      <c r="Q491" s="7">
        <f t="shared" si="1224"/>
        <v>12.253750000000002</v>
      </c>
      <c r="R491" s="7">
        <f t="shared" si="1225"/>
        <v>147.04500000000002</v>
      </c>
      <c r="T491" s="7">
        <f t="shared" si="1226"/>
        <v>147.04500000000002</v>
      </c>
      <c r="U491" s="7">
        <v>1</v>
      </c>
      <c r="V491" s="7">
        <f t="shared" si="1227"/>
        <v>147.04500000000002</v>
      </c>
      <c r="W491" s="7"/>
      <c r="X491" s="7">
        <f t="shared" si="1228"/>
        <v>1017.0612500000113</v>
      </c>
      <c r="Y491" s="7">
        <f t="shared" si="1229"/>
        <v>1017.0612500000113</v>
      </c>
      <c r="Z491" s="7">
        <v>1</v>
      </c>
      <c r="AA491" s="7">
        <f t="shared" si="1230"/>
        <v>1017.0612500000113</v>
      </c>
      <c r="AB491" s="7">
        <f t="shared" si="1231"/>
        <v>1164.1062500000114</v>
      </c>
      <c r="AC491" s="7">
        <f t="shared" si="1232"/>
        <v>379.86624999998867</v>
      </c>
      <c r="AD491" s="7">
        <f t="shared" si="1233"/>
        <v>2010.0833333333333</v>
      </c>
      <c r="AE491" s="7">
        <f t="shared" si="1234"/>
        <v>2018</v>
      </c>
      <c r="AF491" s="7">
        <f t="shared" si="1235"/>
        <v>2020.0833333333333</v>
      </c>
      <c r="AG491" s="7">
        <f t="shared" si="1236"/>
        <v>2017</v>
      </c>
      <c r="AH491" s="7">
        <f t="shared" si="1237"/>
        <v>-8.3333333333333329E-2</v>
      </c>
      <c r="AJ491" s="144">
        <f t="shared" si="1217"/>
        <v>0</v>
      </c>
      <c r="AL491" s="144">
        <f t="shared" si="1218"/>
        <v>147.04500000000002</v>
      </c>
      <c r="AN491" s="144">
        <f t="shared" si="1219"/>
        <v>0</v>
      </c>
      <c r="AP491" s="144">
        <f t="shared" si="1220"/>
        <v>0</v>
      </c>
      <c r="AR491" s="144">
        <f t="shared" si="1221"/>
        <v>379.86624999998867</v>
      </c>
    </row>
    <row r="492" spans="1:44">
      <c r="D492" s="29" t="s">
        <v>282</v>
      </c>
      <c r="E492" s="3">
        <v>2010</v>
      </c>
      <c r="F492" s="4">
        <v>7</v>
      </c>
      <c r="G492" s="30">
        <v>0</v>
      </c>
      <c r="I492" s="14" t="s">
        <v>86</v>
      </c>
      <c r="J492" s="5">
        <v>10</v>
      </c>
      <c r="K492" s="13">
        <f t="shared" si="1222"/>
        <v>2020</v>
      </c>
      <c r="N492" s="48">
        <v>65592.52</v>
      </c>
      <c r="P492" s="7">
        <f t="shared" si="1223"/>
        <v>65592.52</v>
      </c>
      <c r="Q492" s="7">
        <f t="shared" si="1224"/>
        <v>546.60433333333333</v>
      </c>
      <c r="R492" s="7">
        <f t="shared" si="1225"/>
        <v>6559.2520000000004</v>
      </c>
      <c r="T492" s="7">
        <f t="shared" si="1226"/>
        <v>6559.2520000000004</v>
      </c>
      <c r="U492" s="7">
        <v>1</v>
      </c>
      <c r="V492" s="7">
        <f t="shared" si="1227"/>
        <v>6559.2520000000004</v>
      </c>
      <c r="W492" s="7"/>
      <c r="X492" s="7">
        <f t="shared" si="1228"/>
        <v>42635.137999999999</v>
      </c>
      <c r="Y492" s="7">
        <f t="shared" si="1229"/>
        <v>42635.137999999999</v>
      </c>
      <c r="Z492" s="7">
        <v>1</v>
      </c>
      <c r="AA492" s="7">
        <f t="shared" si="1230"/>
        <v>42635.137999999999</v>
      </c>
      <c r="AB492" s="7">
        <f t="shared" si="1231"/>
        <v>49194.39</v>
      </c>
      <c r="AC492" s="7">
        <f t="shared" si="1232"/>
        <v>19677.756000000005</v>
      </c>
      <c r="AD492" s="7">
        <f t="shared" si="1233"/>
        <v>2010.5</v>
      </c>
      <c r="AE492" s="7">
        <f t="shared" si="1234"/>
        <v>2018</v>
      </c>
      <c r="AF492" s="7">
        <f t="shared" si="1235"/>
        <v>2020.5</v>
      </c>
      <c r="AG492" s="7">
        <f t="shared" si="1236"/>
        <v>2017</v>
      </c>
      <c r="AH492" s="7">
        <f t="shared" si="1237"/>
        <v>-8.3333333333333329E-2</v>
      </c>
      <c r="AJ492" s="144">
        <f t="shared" si="1217"/>
        <v>0</v>
      </c>
      <c r="AL492" s="144">
        <f t="shared" si="1218"/>
        <v>6559.2520000000004</v>
      </c>
      <c r="AN492" s="144">
        <f t="shared" si="1219"/>
        <v>0</v>
      </c>
      <c r="AP492" s="144">
        <f t="shared" si="1220"/>
        <v>0</v>
      </c>
      <c r="AR492" s="144">
        <f t="shared" si="1221"/>
        <v>19677.756000000005</v>
      </c>
    </row>
    <row r="493" spans="1:44">
      <c r="D493" s="29" t="s">
        <v>283</v>
      </c>
      <c r="E493" s="3">
        <v>2011</v>
      </c>
      <c r="F493" s="4">
        <v>3</v>
      </c>
      <c r="G493" s="30">
        <v>0</v>
      </c>
      <c r="I493" s="14" t="s">
        <v>86</v>
      </c>
      <c r="J493" s="5">
        <v>20</v>
      </c>
      <c r="K493" s="13">
        <f t="shared" si="1222"/>
        <v>2031</v>
      </c>
      <c r="N493" s="48">
        <f>613.03+85803.33+72899+2665+1853+730.63+67750+1738.83+58.38+2444.87+2444.88-N492</f>
        <v>173408.43</v>
      </c>
      <c r="P493" s="7">
        <f t="shared" si="1223"/>
        <v>173408.43</v>
      </c>
      <c r="Q493" s="7">
        <f t="shared" si="1224"/>
        <v>722.53512499999999</v>
      </c>
      <c r="R493" s="7">
        <f t="shared" si="1225"/>
        <v>8670.4215000000004</v>
      </c>
      <c r="T493" s="7">
        <f t="shared" si="1226"/>
        <v>8670.4215000000004</v>
      </c>
      <c r="U493" s="7">
        <v>1</v>
      </c>
      <c r="V493" s="7">
        <f t="shared" si="1227"/>
        <v>8670.4215000000004</v>
      </c>
      <c r="W493" s="7"/>
      <c r="X493" s="7">
        <f t="shared" si="1228"/>
        <v>50577.458749999343</v>
      </c>
      <c r="Y493" s="7">
        <f t="shared" si="1229"/>
        <v>50577.458749999343</v>
      </c>
      <c r="Z493" s="7">
        <v>1</v>
      </c>
      <c r="AA493" s="7">
        <f t="shared" si="1230"/>
        <v>50577.458749999343</v>
      </c>
      <c r="AB493" s="7">
        <f t="shared" si="1231"/>
        <v>59247.880249999347</v>
      </c>
      <c r="AC493" s="7">
        <f t="shared" si="1232"/>
        <v>118495.76050000064</v>
      </c>
      <c r="AD493" s="7">
        <f t="shared" si="1233"/>
        <v>2011.1666666666667</v>
      </c>
      <c r="AE493" s="7">
        <f t="shared" si="1234"/>
        <v>2018</v>
      </c>
      <c r="AF493" s="7">
        <f t="shared" si="1235"/>
        <v>2031.1666666666667</v>
      </c>
      <c r="AG493" s="7">
        <f t="shared" si="1236"/>
        <v>2017</v>
      </c>
      <c r="AH493" s="7">
        <f t="shared" si="1237"/>
        <v>-8.3333333333333329E-2</v>
      </c>
      <c r="AJ493" s="144">
        <f t="shared" si="1217"/>
        <v>0</v>
      </c>
      <c r="AL493" s="144">
        <f t="shared" si="1218"/>
        <v>8670.4215000000004</v>
      </c>
      <c r="AN493" s="144">
        <f t="shared" si="1219"/>
        <v>0</v>
      </c>
      <c r="AP493" s="144">
        <f t="shared" si="1220"/>
        <v>0</v>
      </c>
      <c r="AR493" s="144">
        <f t="shared" si="1221"/>
        <v>118495.76050000064</v>
      </c>
    </row>
    <row r="494" spans="1:44">
      <c r="D494" s="29" t="s">
        <v>284</v>
      </c>
      <c r="E494" s="3">
        <v>2011</v>
      </c>
      <c r="F494" s="4">
        <v>9</v>
      </c>
      <c r="G494" s="30">
        <v>0</v>
      </c>
      <c r="I494" s="14" t="s">
        <v>86</v>
      </c>
      <c r="J494" s="5">
        <v>7</v>
      </c>
      <c r="K494" s="13">
        <f t="shared" si="1222"/>
        <v>2018</v>
      </c>
      <c r="N494" s="48">
        <v>2840.07</v>
      </c>
      <c r="P494" s="7">
        <f t="shared" si="1223"/>
        <v>2840.07</v>
      </c>
      <c r="Q494" s="7">
        <f t="shared" si="1224"/>
        <v>33.810357142857143</v>
      </c>
      <c r="R494" s="7">
        <f t="shared" si="1225"/>
        <v>405.72428571428571</v>
      </c>
      <c r="T494" s="7">
        <f t="shared" si="1226"/>
        <v>405.72428571428571</v>
      </c>
      <c r="U494" s="7">
        <v>1</v>
      </c>
      <c r="V494" s="7">
        <f t="shared" si="1227"/>
        <v>405.72428571428571</v>
      </c>
      <c r="W494" s="7"/>
      <c r="X494" s="7">
        <f t="shared" si="1228"/>
        <v>2163.8628571428262</v>
      </c>
      <c r="Y494" s="7">
        <f t="shared" si="1229"/>
        <v>2163.8628571428262</v>
      </c>
      <c r="Z494" s="7">
        <v>1</v>
      </c>
      <c r="AA494" s="7">
        <f t="shared" si="1230"/>
        <v>2163.8628571428262</v>
      </c>
      <c r="AB494" s="7">
        <f t="shared" si="1231"/>
        <v>2569.5871428571118</v>
      </c>
      <c r="AC494" s="7">
        <f t="shared" si="1232"/>
        <v>473.34500000003118</v>
      </c>
      <c r="AD494" s="7">
        <f t="shared" si="1233"/>
        <v>2011.6666666666667</v>
      </c>
      <c r="AE494" s="7">
        <f t="shared" si="1234"/>
        <v>2018</v>
      </c>
      <c r="AF494" s="7">
        <f t="shared" si="1235"/>
        <v>2018.6666666666667</v>
      </c>
      <c r="AG494" s="7">
        <f t="shared" si="1236"/>
        <v>2017</v>
      </c>
      <c r="AH494" s="7">
        <f t="shared" si="1237"/>
        <v>-8.3333333333333329E-2</v>
      </c>
      <c r="AJ494" s="144">
        <f t="shared" si="1217"/>
        <v>0</v>
      </c>
      <c r="AL494" s="144">
        <f t="shared" si="1218"/>
        <v>405.72428571428571</v>
      </c>
      <c r="AN494" s="144">
        <f t="shared" si="1219"/>
        <v>0</v>
      </c>
      <c r="AP494" s="144">
        <f t="shared" si="1220"/>
        <v>0</v>
      </c>
      <c r="AR494" s="144">
        <f t="shared" si="1221"/>
        <v>473.34500000003118</v>
      </c>
    </row>
    <row r="495" spans="1:44">
      <c r="A495" s="1">
        <v>97283</v>
      </c>
      <c r="D495" s="29" t="s">
        <v>291</v>
      </c>
      <c r="E495" s="3">
        <v>2012</v>
      </c>
      <c r="F495" s="4">
        <v>10</v>
      </c>
      <c r="G495" s="30">
        <v>0</v>
      </c>
      <c r="I495" s="14" t="s">
        <v>86</v>
      </c>
      <c r="J495" s="5">
        <v>10</v>
      </c>
      <c r="K495" s="13">
        <f t="shared" si="1222"/>
        <v>2022</v>
      </c>
      <c r="N495" s="48">
        <v>6890</v>
      </c>
      <c r="P495" s="7">
        <f t="shared" si="1223"/>
        <v>6890</v>
      </c>
      <c r="Q495" s="7">
        <f t="shared" si="1224"/>
        <v>57.416666666666664</v>
      </c>
      <c r="R495" s="7">
        <f t="shared" ref="R495" si="1238">IF(O495&gt;0,0,IF(OR(AD495&gt;AE495,AF495&lt;AG495),0,IF(AND(AF495&gt;=AG495,AF495&lt;=AE495),Q495*((AF495-AG495)*12),IF(AND(AG495&lt;=AD495,AE495&gt;=AD495),((AE495-AD495)*12)*Q495,IF(AF495&gt;AE495,12*Q495,0)))))</f>
        <v>689</v>
      </c>
      <c r="T495" s="7">
        <f t="shared" ref="T495" si="1239">IF(S495&gt;0,S495,R495)</f>
        <v>689</v>
      </c>
      <c r="U495" s="7">
        <v>1</v>
      </c>
      <c r="V495" s="7">
        <f t="shared" ref="V495" si="1240">U495*SUM(R495:S495)</f>
        <v>689</v>
      </c>
      <c r="W495" s="7"/>
      <c r="X495" s="7">
        <f t="shared" ref="X495" si="1241">IF(AD495&gt;AE495,0,IF(AF495&lt;AG495,P495,IF(AND(AF495&gt;=AG495,AF495&lt;=AE495),(P495-T495),IF(AND(AG495&lt;=AD495,AE495&gt;=AD495),0,IF(AF495&gt;AE495,((AG495-AD495)*12)*Q495,0)))))</f>
        <v>2928.25</v>
      </c>
      <c r="Y495" s="7">
        <f t="shared" ref="Y495" si="1242">X495*U495</f>
        <v>2928.25</v>
      </c>
      <c r="Z495" s="7">
        <v>1</v>
      </c>
      <c r="AA495" s="7">
        <f t="shared" ref="AA495" si="1243">Y495*Z495</f>
        <v>2928.25</v>
      </c>
      <c r="AB495" s="7">
        <f t="shared" ref="AB495" si="1244">IF(O495&gt;0,0,AA495+V495*Z495)*Z495</f>
        <v>3617.25</v>
      </c>
      <c r="AC495" s="7">
        <f t="shared" ref="AC495" si="1245">IF(O495&gt;0,(N495-AA495)/2,IF(AD495&gt;=AG495,(((N495*U495)*Z495)-AB495)/2,((((N495*U495)*Z495)-AA495)+(((N495*U495)*Z495)-AB495))/2))</f>
        <v>3617.25</v>
      </c>
      <c r="AD495" s="7">
        <f t="shared" si="1233"/>
        <v>2012.75</v>
      </c>
      <c r="AE495" s="7">
        <f t="shared" si="1234"/>
        <v>2018</v>
      </c>
      <c r="AF495" s="7">
        <f t="shared" si="1235"/>
        <v>2022.75</v>
      </c>
      <c r="AG495" s="7">
        <f t="shared" si="1236"/>
        <v>2017</v>
      </c>
      <c r="AH495" s="7">
        <f t="shared" si="1237"/>
        <v>-8.3333333333333329E-2</v>
      </c>
      <c r="AJ495" s="144">
        <f t="shared" si="1217"/>
        <v>0</v>
      </c>
      <c r="AL495" s="144">
        <f t="shared" si="1218"/>
        <v>689</v>
      </c>
      <c r="AN495" s="144">
        <f t="shared" si="1219"/>
        <v>0</v>
      </c>
      <c r="AP495" s="144">
        <f t="shared" si="1220"/>
        <v>0</v>
      </c>
      <c r="AR495" s="144">
        <f t="shared" si="1221"/>
        <v>3617.25</v>
      </c>
    </row>
    <row r="496" spans="1:44">
      <c r="A496" s="1">
        <v>97221</v>
      </c>
      <c r="D496" s="29" t="s">
        <v>292</v>
      </c>
      <c r="E496" s="3">
        <v>2012</v>
      </c>
      <c r="F496" s="4">
        <v>10</v>
      </c>
      <c r="G496" s="30">
        <v>0</v>
      </c>
      <c r="I496" s="14" t="s">
        <v>86</v>
      </c>
      <c r="J496" s="5">
        <v>10</v>
      </c>
      <c r="K496" s="13">
        <f t="shared" si="1222"/>
        <v>2022</v>
      </c>
      <c r="N496" s="48">
        <v>11318</v>
      </c>
      <c r="P496" s="7">
        <f t="shared" si="1223"/>
        <v>11318</v>
      </c>
      <c r="Q496" s="7">
        <f t="shared" si="1224"/>
        <v>94.316666666666663</v>
      </c>
      <c r="R496" s="7">
        <f t="shared" ref="R496:R499" si="1246">IF(O496&gt;0,0,IF(OR(AD496&gt;AE496,AF496&lt;AG496),0,IF(AND(AF496&gt;=AG496,AF496&lt;=AE496),Q496*((AF496-AG496)*12),IF(AND(AG496&lt;=AD496,AE496&gt;=AD496),((AE496-AD496)*12)*Q496,IF(AF496&gt;AE496,12*Q496,0)))))</f>
        <v>1131.8</v>
      </c>
      <c r="T496" s="7">
        <f t="shared" ref="T496" si="1247">IF(S496&gt;0,S496,R496)</f>
        <v>1131.8</v>
      </c>
      <c r="U496" s="7">
        <v>1</v>
      </c>
      <c r="V496" s="7">
        <f t="shared" ref="V496" si="1248">U496*SUM(R496:S496)</f>
        <v>1131.8</v>
      </c>
      <c r="W496" s="7"/>
      <c r="X496" s="7">
        <f t="shared" ref="X496" si="1249">IF(AD496&gt;AE496,0,IF(AF496&lt;AG496,P496,IF(AND(AF496&gt;=AG496,AF496&lt;=AE496),(P496-T496),IF(AND(AG496&lt;=AD496,AE496&gt;=AD496),0,IF(AF496&gt;AE496,((AG496-AD496)*12)*Q496,0)))))</f>
        <v>4810.1499999999996</v>
      </c>
      <c r="Y496" s="7">
        <f t="shared" ref="Y496" si="1250">X496*U496</f>
        <v>4810.1499999999996</v>
      </c>
      <c r="Z496" s="7">
        <v>1</v>
      </c>
      <c r="AA496" s="7">
        <f t="shared" ref="AA496" si="1251">Y496*Z496</f>
        <v>4810.1499999999996</v>
      </c>
      <c r="AB496" s="7">
        <f t="shared" ref="AB496" si="1252">IF(O496&gt;0,0,AA496+V496*Z496)*Z496</f>
        <v>5941.95</v>
      </c>
      <c r="AC496" s="7">
        <f t="shared" ref="AC496" si="1253">IF(O496&gt;0,(N496-AA496)/2,IF(AD496&gt;=AG496,(((N496*U496)*Z496)-AB496)/2,((((N496*U496)*Z496)-AA496)+(((N496*U496)*Z496)-AB496))/2))</f>
        <v>5941.9500000000007</v>
      </c>
      <c r="AD496" s="7">
        <f t="shared" si="1233"/>
        <v>2012.75</v>
      </c>
      <c r="AE496" s="7">
        <f t="shared" si="1234"/>
        <v>2018</v>
      </c>
      <c r="AF496" s="7">
        <f t="shared" si="1235"/>
        <v>2022.75</v>
      </c>
      <c r="AG496" s="7">
        <f t="shared" si="1236"/>
        <v>2017</v>
      </c>
      <c r="AH496" s="7">
        <f t="shared" si="1237"/>
        <v>-8.3333333333333329E-2</v>
      </c>
      <c r="AJ496" s="144">
        <f t="shared" si="1217"/>
        <v>0</v>
      </c>
      <c r="AL496" s="144">
        <f t="shared" si="1218"/>
        <v>1131.8</v>
      </c>
      <c r="AN496" s="144">
        <f t="shared" si="1219"/>
        <v>0</v>
      </c>
      <c r="AP496" s="144">
        <f t="shared" si="1220"/>
        <v>0</v>
      </c>
      <c r="AR496" s="144">
        <f t="shared" si="1221"/>
        <v>5941.9500000000007</v>
      </c>
    </row>
    <row r="497" spans="1:44">
      <c r="A497" s="1">
        <v>97148</v>
      </c>
      <c r="D497" s="29" t="s">
        <v>293</v>
      </c>
      <c r="E497" s="3">
        <v>2012</v>
      </c>
      <c r="F497" s="4">
        <v>10</v>
      </c>
      <c r="G497" s="30">
        <v>0</v>
      </c>
      <c r="I497" s="14" t="s">
        <v>86</v>
      </c>
      <c r="J497" s="5">
        <v>10</v>
      </c>
      <c r="K497" s="13">
        <f t="shared" si="1222"/>
        <v>2022</v>
      </c>
      <c r="M497" s="1">
        <v>2409</v>
      </c>
      <c r="N497" s="48">
        <v>2409</v>
      </c>
      <c r="P497" s="7">
        <f t="shared" si="1223"/>
        <v>2409</v>
      </c>
      <c r="Q497" s="7">
        <f t="shared" si="1224"/>
        <v>20.074999999999999</v>
      </c>
      <c r="R497" s="7">
        <f t="shared" si="1246"/>
        <v>240.89999999999998</v>
      </c>
      <c r="T497" s="7">
        <f t="shared" ref="T497" si="1254">IF(S497&gt;0,S497,R497)</f>
        <v>240.89999999999998</v>
      </c>
      <c r="U497" s="7">
        <v>1</v>
      </c>
      <c r="V497" s="7">
        <f t="shared" ref="V497" si="1255">U497*SUM(R497:S497)</f>
        <v>240.89999999999998</v>
      </c>
      <c r="W497" s="7"/>
      <c r="X497" s="7">
        <f t="shared" ref="X497" si="1256">IF(AD497&gt;AE497,0,IF(AF497&lt;AG497,P497,IF(AND(AF497&gt;=AG497,AF497&lt;=AE497),(P497-T497),IF(AND(AG497&lt;=AD497,AE497&gt;=AD497),0,IF(AF497&gt;AE497,((AG497-AD497)*12)*Q497,0)))))</f>
        <v>1023.8249999999999</v>
      </c>
      <c r="Y497" s="7">
        <f t="shared" ref="Y497" si="1257">X497*U497</f>
        <v>1023.8249999999999</v>
      </c>
      <c r="Z497" s="7">
        <v>1</v>
      </c>
      <c r="AA497" s="7">
        <f t="shared" ref="AA497" si="1258">Y497*Z497</f>
        <v>1023.8249999999999</v>
      </c>
      <c r="AB497" s="7">
        <f t="shared" ref="AB497" si="1259">IF(O497&gt;0,0,AA497+V497*Z497)*Z497</f>
        <v>1264.7249999999999</v>
      </c>
      <c r="AC497" s="7">
        <f t="shared" ref="AC497" si="1260">IF(O497&gt;0,(N497-AA497)/2,IF(AD497&gt;=AG497,(((N497*U497)*Z497)-AB497)/2,((((N497*U497)*Z497)-AA497)+(((N497*U497)*Z497)-AB497))/2))</f>
        <v>1264.7250000000001</v>
      </c>
      <c r="AD497" s="7">
        <f t="shared" si="1233"/>
        <v>2012.75</v>
      </c>
      <c r="AE497" s="7">
        <f t="shared" si="1234"/>
        <v>2018</v>
      </c>
      <c r="AF497" s="7">
        <f t="shared" si="1235"/>
        <v>2022.75</v>
      </c>
      <c r="AG497" s="7">
        <f t="shared" si="1236"/>
        <v>2017</v>
      </c>
      <c r="AH497" s="7">
        <f t="shared" si="1237"/>
        <v>200.66666666666666</v>
      </c>
      <c r="AJ497" s="144">
        <f t="shared" si="1217"/>
        <v>0</v>
      </c>
      <c r="AL497" s="144">
        <f t="shared" si="1218"/>
        <v>240.89999999999998</v>
      </c>
      <c r="AN497" s="144">
        <f t="shared" si="1219"/>
        <v>0</v>
      </c>
      <c r="AP497" s="144">
        <f t="shared" si="1220"/>
        <v>0</v>
      </c>
      <c r="AR497" s="144">
        <f t="shared" si="1221"/>
        <v>1264.7250000000001</v>
      </c>
    </row>
    <row r="498" spans="1:44">
      <c r="A498" s="1">
        <v>109576</v>
      </c>
      <c r="D498" s="29" t="s">
        <v>304</v>
      </c>
      <c r="E498" s="3">
        <v>2014</v>
      </c>
      <c r="F498" s="4">
        <v>1</v>
      </c>
      <c r="G498" s="30">
        <v>0</v>
      </c>
      <c r="I498" s="14" t="s">
        <v>86</v>
      </c>
      <c r="J498" s="5">
        <v>15</v>
      </c>
      <c r="K498" s="13">
        <f t="shared" si="1222"/>
        <v>2029</v>
      </c>
      <c r="N498" s="48">
        <f>17617.71+1022.03+14778.49+55756.7+317+10412.07+2675.38+1884</f>
        <v>104463.38</v>
      </c>
      <c r="P498" s="7">
        <f t="shared" ref="P498" si="1261">N498-N498*G498</f>
        <v>104463.38</v>
      </c>
      <c r="Q498" s="7">
        <f t="shared" ref="Q498" si="1262">P498/J498/12</f>
        <v>580.35211111111118</v>
      </c>
      <c r="R498" s="7">
        <f t="shared" si="1246"/>
        <v>6964.2253333333338</v>
      </c>
      <c r="T498" s="7">
        <f t="shared" ref="T498" si="1263">IF(S498&gt;0,S498,R498)</f>
        <v>6964.2253333333338</v>
      </c>
      <c r="U498" s="7">
        <v>1</v>
      </c>
      <c r="V498" s="7">
        <f t="shared" ref="V498" si="1264">U498*SUM(R498:S498)</f>
        <v>6964.2253333333338</v>
      </c>
      <c r="W498" s="7"/>
      <c r="X498" s="7">
        <f t="shared" ref="X498" si="1265">IF(AD498&gt;AE498,0,IF(AF498&lt;AG498,P498,IF(AND(AF498&gt;=AG498,AF498&lt;=AE498),(P498-T498),IF(AND(AG498&lt;=AD498,AE498&gt;=AD498),0,IF(AF498&gt;AE498,((AG498-AD498)*12)*Q498,0)))))</f>
        <v>20892.676000000003</v>
      </c>
      <c r="Y498" s="7">
        <f t="shared" ref="Y498" si="1266">X498*U498</f>
        <v>20892.676000000003</v>
      </c>
      <c r="Z498" s="7">
        <v>1</v>
      </c>
      <c r="AA498" s="7">
        <f t="shared" ref="AA498" si="1267">Y498*Z498</f>
        <v>20892.676000000003</v>
      </c>
      <c r="AB498" s="7">
        <f t="shared" ref="AB498" si="1268">IF(O498&gt;0,0,AA498+V498*Z498)*Z498</f>
        <v>27856.901333333335</v>
      </c>
      <c r="AC498" s="7">
        <f t="shared" ref="AC498" si="1269">IF(O498&gt;0,(N498-AA498)/2,IF(AD498&gt;=AG498,(((N498*U498)*Z498)-AB498)/2,((((N498*U498)*Z498)-AA498)+(((N498*U498)*Z498)-AB498))/2))</f>
        <v>80088.59133333333</v>
      </c>
      <c r="AD498" s="7">
        <f t="shared" si="1233"/>
        <v>2014</v>
      </c>
      <c r="AE498" s="7">
        <f t="shared" si="1234"/>
        <v>2018</v>
      </c>
      <c r="AF498" s="7">
        <f t="shared" si="1235"/>
        <v>2029</v>
      </c>
      <c r="AG498" s="7">
        <f t="shared" si="1236"/>
        <v>2017</v>
      </c>
      <c r="AH498" s="7">
        <f t="shared" si="1237"/>
        <v>-8.3333333333333329E-2</v>
      </c>
      <c r="AJ498" s="144">
        <f t="shared" si="1217"/>
        <v>0</v>
      </c>
      <c r="AL498" s="144">
        <f t="shared" si="1218"/>
        <v>6964.2253333333338</v>
      </c>
      <c r="AN498" s="144">
        <f t="shared" si="1219"/>
        <v>0</v>
      </c>
      <c r="AP498" s="144">
        <f t="shared" si="1220"/>
        <v>0</v>
      </c>
      <c r="AR498" s="144">
        <f t="shared" si="1221"/>
        <v>80088.59133333333</v>
      </c>
    </row>
    <row r="499" spans="1:44">
      <c r="A499" s="1">
        <v>110007</v>
      </c>
      <c r="D499" s="29" t="s">
        <v>282</v>
      </c>
      <c r="E499" s="3">
        <v>2013</v>
      </c>
      <c r="F499" s="4">
        <v>12</v>
      </c>
      <c r="G499" s="30">
        <v>0</v>
      </c>
      <c r="I499" s="14" t="s">
        <v>86</v>
      </c>
      <c r="J499" s="5">
        <v>20</v>
      </c>
      <c r="K499" s="13">
        <f t="shared" si="1222"/>
        <v>2033</v>
      </c>
      <c r="N499" s="48">
        <v>4622.1000000000004</v>
      </c>
      <c r="P499" s="7">
        <f t="shared" ref="P499:P500" si="1270">N499-N499*G499</f>
        <v>4622.1000000000004</v>
      </c>
      <c r="Q499" s="7">
        <f t="shared" ref="Q499:Q500" si="1271">P499/J499/12</f>
        <v>19.258750000000003</v>
      </c>
      <c r="R499" s="7">
        <f t="shared" si="1246"/>
        <v>231.10500000000002</v>
      </c>
      <c r="T499" s="7">
        <f t="shared" ref="T499" si="1272">IF(S499&gt;0,S499,R499)</f>
        <v>231.10500000000002</v>
      </c>
      <c r="U499" s="7">
        <v>1</v>
      </c>
      <c r="V499" s="7">
        <f t="shared" ref="V499" si="1273">U499*SUM(R499:S499)</f>
        <v>231.10500000000002</v>
      </c>
      <c r="W499" s="7"/>
      <c r="X499" s="7">
        <f t="shared" ref="X499" si="1274">IF(AD499&gt;AE499,0,IF(AF499&lt;AG499,P499,IF(AND(AF499&gt;=AG499,AF499&lt;=AE499),(P499-T499),IF(AND(AG499&lt;=AD499,AE499&gt;=AD499),0,IF(AF499&gt;AE499,((AG499-AD499)*12)*Q499,0)))))</f>
        <v>712.57374999998262</v>
      </c>
      <c r="Y499" s="7">
        <f t="shared" ref="Y499" si="1275">X499*U499</f>
        <v>712.57374999998262</v>
      </c>
      <c r="Z499" s="7">
        <v>1</v>
      </c>
      <c r="AA499" s="7">
        <f t="shared" ref="AA499" si="1276">Y499*Z499</f>
        <v>712.57374999998262</v>
      </c>
      <c r="AB499" s="7">
        <f t="shared" ref="AB499" si="1277">IF(O499&gt;0,0,AA499+V499*Z499)*Z499</f>
        <v>943.67874999998264</v>
      </c>
      <c r="AC499" s="7">
        <f t="shared" ref="AC499" si="1278">IF(O499&gt;0,(N499-AA499)/2,IF(AD499&gt;=AG499,(((N499*U499)*Z499)-AB499)/2,((((N499*U499)*Z499)-AA499)+(((N499*U499)*Z499)-AB499))/2))</f>
        <v>3793.9737500000174</v>
      </c>
      <c r="AD499" s="7">
        <f t="shared" si="1233"/>
        <v>2013.9166666666667</v>
      </c>
      <c r="AE499" s="7">
        <f t="shared" si="1234"/>
        <v>2018</v>
      </c>
      <c r="AF499" s="7">
        <f t="shared" si="1235"/>
        <v>2033.9166666666667</v>
      </c>
      <c r="AG499" s="7">
        <f t="shared" si="1236"/>
        <v>2017</v>
      </c>
      <c r="AH499" s="7">
        <f t="shared" si="1237"/>
        <v>-8.3333333333333329E-2</v>
      </c>
      <c r="AJ499" s="144">
        <f t="shared" si="1217"/>
        <v>0</v>
      </c>
      <c r="AL499" s="144">
        <f t="shared" si="1218"/>
        <v>231.10500000000002</v>
      </c>
      <c r="AN499" s="144">
        <f t="shared" si="1219"/>
        <v>0</v>
      </c>
      <c r="AP499" s="144">
        <f t="shared" si="1220"/>
        <v>0</v>
      </c>
      <c r="AR499" s="144">
        <f t="shared" si="1221"/>
        <v>3793.9737500000174</v>
      </c>
    </row>
    <row r="500" spans="1:44">
      <c r="A500" s="1">
        <v>116395</v>
      </c>
      <c r="D500" s="29" t="s">
        <v>322</v>
      </c>
      <c r="E500" s="3">
        <v>2014</v>
      </c>
      <c r="F500" s="4">
        <v>10</v>
      </c>
      <c r="G500" s="30">
        <v>0</v>
      </c>
      <c r="I500" s="14" t="s">
        <v>86</v>
      </c>
      <c r="J500" s="5">
        <v>5</v>
      </c>
      <c r="K500" s="13">
        <f t="shared" si="1222"/>
        <v>2019</v>
      </c>
      <c r="N500" s="48">
        <v>3942.89</v>
      </c>
      <c r="P500" s="7">
        <f t="shared" si="1270"/>
        <v>3942.89</v>
      </c>
      <c r="Q500" s="7">
        <f t="shared" si="1271"/>
        <v>65.714833333333331</v>
      </c>
      <c r="R500" s="7">
        <f t="shared" ref="R500" si="1279">IF(O500&gt;0,0,IF(OR(AD500&gt;AE500,AF500&lt;AG500),0,IF(AND(AF500&gt;=AG500,AF500&lt;=AE500),Q500*((AF500-AG500)*12),IF(AND(AG500&lt;=AD500,AE500&gt;=AD500),((AE500-AD500)*12)*Q500,IF(AF500&gt;AE500,12*Q500,0)))))</f>
        <v>788.57799999999997</v>
      </c>
      <c r="T500" s="7">
        <f t="shared" ref="T500" si="1280">IF(S500&gt;0,S500,R500)</f>
        <v>788.57799999999997</v>
      </c>
      <c r="U500" s="7">
        <v>1</v>
      </c>
      <c r="V500" s="7">
        <f t="shared" ref="V500" si="1281">U500*SUM(R500:S500)</f>
        <v>788.57799999999997</v>
      </c>
      <c r="W500" s="7"/>
      <c r="X500" s="7">
        <f t="shared" ref="X500" si="1282">IF(AD500&gt;AE500,0,IF(AF500&lt;AG500,P500,IF(AND(AF500&gt;=AG500,AF500&lt;=AE500),(P500-T500),IF(AND(AG500&lt;=AD500,AE500&gt;=AD500),0,IF(AF500&gt;AE500,((AG500-AD500)*12)*Q500,0)))))</f>
        <v>1774.3004999999998</v>
      </c>
      <c r="Y500" s="7">
        <f t="shared" ref="Y500" si="1283">X500*U500</f>
        <v>1774.3004999999998</v>
      </c>
      <c r="Z500" s="7">
        <v>1</v>
      </c>
      <c r="AA500" s="7">
        <f t="shared" ref="AA500" si="1284">Y500*Z500</f>
        <v>1774.3004999999998</v>
      </c>
      <c r="AB500" s="7">
        <f t="shared" ref="AB500" si="1285">IF(O500&gt;0,0,AA500+V500*Z500)*Z500</f>
        <v>2562.8784999999998</v>
      </c>
      <c r="AC500" s="7">
        <f t="shared" ref="AC500" si="1286">IF(O500&gt;0,(N500-AA500)/2,IF(AD500&gt;=AG500,(((N500*U500)*Z500)-AB500)/2,((((N500*U500)*Z500)-AA500)+(((N500*U500)*Z500)-AB500))/2))</f>
        <v>1774.3005000000001</v>
      </c>
      <c r="AD500" s="7">
        <f t="shared" si="1233"/>
        <v>2014.75</v>
      </c>
      <c r="AE500" s="7">
        <f t="shared" si="1234"/>
        <v>2018</v>
      </c>
      <c r="AF500" s="7">
        <f t="shared" si="1235"/>
        <v>2019.75</v>
      </c>
      <c r="AG500" s="7">
        <f t="shared" si="1236"/>
        <v>2017</v>
      </c>
      <c r="AH500" s="7">
        <f t="shared" si="1237"/>
        <v>-8.3333333333333329E-2</v>
      </c>
      <c r="AJ500" s="144">
        <f t="shared" si="1217"/>
        <v>0</v>
      </c>
      <c r="AL500" s="144">
        <f t="shared" si="1218"/>
        <v>788.57799999999997</v>
      </c>
      <c r="AN500" s="144">
        <f t="shared" si="1219"/>
        <v>0</v>
      </c>
      <c r="AP500" s="144">
        <f t="shared" si="1220"/>
        <v>0</v>
      </c>
      <c r="AR500" s="144">
        <f t="shared" si="1221"/>
        <v>1774.3005000000001</v>
      </c>
    </row>
    <row r="501" spans="1:44">
      <c r="D501" s="29"/>
      <c r="G501" s="30"/>
      <c r="I501" s="14"/>
      <c r="K501" s="13"/>
      <c r="N501" s="48"/>
      <c r="P501" s="7"/>
      <c r="Q501" s="7"/>
      <c r="R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</row>
    <row r="502" spans="1:44">
      <c r="C502" s="35"/>
      <c r="D502" s="53" t="s">
        <v>285</v>
      </c>
      <c r="E502" s="41"/>
      <c r="F502" s="15"/>
      <c r="G502" s="15"/>
      <c r="J502" s="17"/>
      <c r="K502" s="41"/>
      <c r="L502" s="35"/>
      <c r="M502" s="35"/>
      <c r="N502" s="108">
        <f>SUM(N485:N501)</f>
        <v>415446.32</v>
      </c>
      <c r="O502" s="106"/>
      <c r="P502" s="108">
        <f t="shared" ref="P502:R502" si="1287">SUM(P485:P501)</f>
        <v>415446.32</v>
      </c>
      <c r="Q502" s="108">
        <f t="shared" si="1287"/>
        <v>2534.7408154761906</v>
      </c>
      <c r="R502" s="108">
        <f t="shared" si="1287"/>
        <v>27696.751119047618</v>
      </c>
      <c r="S502" s="100">
        <f t="shared" ref="S502:W502" si="1288">SUM(S485:S497)</f>
        <v>0</v>
      </c>
      <c r="T502" s="108">
        <f t="shared" ref="T502:V502" si="1289">SUM(T485:T501)</f>
        <v>27696.751119047618</v>
      </c>
      <c r="U502" s="108">
        <f t="shared" si="1289"/>
        <v>16</v>
      </c>
      <c r="V502" s="108">
        <f t="shared" si="1289"/>
        <v>27696.751119047618</v>
      </c>
      <c r="W502" s="100">
        <f t="shared" si="1288"/>
        <v>0</v>
      </c>
      <c r="X502" s="108">
        <f t="shared" ref="X502:AC502" si="1290">SUM(X485:X501)</f>
        <v>162353.02610714221</v>
      </c>
      <c r="Y502" s="108">
        <f t="shared" si="1290"/>
        <v>162353.02610714221</v>
      </c>
      <c r="Z502" s="108">
        <f t="shared" si="1290"/>
        <v>16</v>
      </c>
      <c r="AA502" s="108">
        <f t="shared" si="1290"/>
        <v>162353.02610714221</v>
      </c>
      <c r="AB502" s="108">
        <f t="shared" si="1290"/>
        <v>190049.77722618982</v>
      </c>
      <c r="AC502" s="108">
        <f t="shared" si="1290"/>
        <v>239244.91833333403</v>
      </c>
      <c r="AD502" s="106"/>
      <c r="AE502" s="106"/>
      <c r="AF502" s="106"/>
      <c r="AG502" s="106"/>
      <c r="AH502" s="106"/>
      <c r="AJ502" s="140">
        <f t="shared" ref="AJ502:AR502" si="1291">SUM(AJ485:AJ501)</f>
        <v>0</v>
      </c>
      <c r="AK502" s="140">
        <f t="shared" si="1291"/>
        <v>0</v>
      </c>
      <c r="AL502" s="140">
        <f t="shared" si="1291"/>
        <v>27696.751119047618</v>
      </c>
      <c r="AM502" s="140">
        <f t="shared" si="1291"/>
        <v>0</v>
      </c>
      <c r="AN502" s="140">
        <f t="shared" si="1291"/>
        <v>0</v>
      </c>
      <c r="AO502" s="140">
        <f t="shared" si="1291"/>
        <v>0</v>
      </c>
      <c r="AP502" s="140">
        <f t="shared" si="1291"/>
        <v>0</v>
      </c>
      <c r="AQ502" s="140">
        <f t="shared" si="1291"/>
        <v>0</v>
      </c>
      <c r="AR502" s="140">
        <f t="shared" si="1291"/>
        <v>239244.91833333403</v>
      </c>
    </row>
    <row r="504" spans="1:44" s="35" customFormat="1">
      <c r="D504" s="35" t="s">
        <v>286</v>
      </c>
      <c r="E504" s="41"/>
      <c r="F504" s="15"/>
      <c r="G504" s="15"/>
      <c r="I504" s="15"/>
      <c r="J504" s="17"/>
      <c r="K504" s="41"/>
      <c r="N504" s="102">
        <f>N37+N52+N69+N86+N102+N230+N278+N324+N339+N356+N397+N445+N482+N502+N364+N370+N377+N382+N387+N116</f>
        <v>9141238.5295726527</v>
      </c>
      <c r="O504" s="107"/>
      <c r="P504" s="102">
        <f>P37+P52+P69+P86+P102+P230+P278+P324+P339+P356+P397+P445+P482+P502+P364+P370+P377+P382+P387+P116</f>
        <v>8273534.2928726496</v>
      </c>
      <c r="Q504" s="102">
        <f>Q37+Q52+Q69+Q86+Q102+Q230+Q278+Q324+Q339+Q356+Q397+Q445+Q482+Q502+Q364+Q370+Q377+Q382+Q387+Q116</f>
        <v>92749.546073872305</v>
      </c>
      <c r="R504" s="102">
        <f>R37+R52+R69+R86+R102+R230+R278+R324+R339+R356+R397+R445+R482+R502+R364+R370+R377+R382+R387+R116</f>
        <v>462501.21453049016</v>
      </c>
      <c r="S504" s="102">
        <f>S37+S52+S69+S86+S102+S230+S278+S324+S339+S356+S397+S445+S482+S502</f>
        <v>0</v>
      </c>
      <c r="T504" s="102">
        <f t="shared" ref="T504:AC504" si="1292">T37+T52+T69+T86+T102+T230+T278+T324+T339+T356+T397+T445+T482+T502+T364+T370+T377+T382+T387+T116</f>
        <v>408555.72381620627</v>
      </c>
      <c r="U504" s="102">
        <f t="shared" si="1292"/>
        <v>155</v>
      </c>
      <c r="V504" s="102">
        <f t="shared" si="1292"/>
        <v>462501.21453049016</v>
      </c>
      <c r="W504" s="102">
        <f t="shared" si="1292"/>
        <v>0</v>
      </c>
      <c r="X504" s="102">
        <f t="shared" si="1292"/>
        <v>4083724.1362807802</v>
      </c>
      <c r="Y504" s="102">
        <f t="shared" si="1292"/>
        <v>4083724.1362807802</v>
      </c>
      <c r="Z504" s="102">
        <f t="shared" si="1292"/>
        <v>280</v>
      </c>
      <c r="AA504" s="102">
        <f t="shared" si="1292"/>
        <v>4937072.2112193406</v>
      </c>
      <c r="AB504" s="102">
        <f t="shared" si="1292"/>
        <v>5399573.4257498318</v>
      </c>
      <c r="AC504" s="102">
        <f t="shared" si="1292"/>
        <v>3105351.5410880628</v>
      </c>
      <c r="AD504" s="107"/>
      <c r="AE504" s="107"/>
      <c r="AF504" s="107"/>
      <c r="AG504" s="107"/>
      <c r="AH504" s="107"/>
      <c r="AJ504" s="102">
        <f>AJ37+AJ52+AJ69+AJ86+AJ102+AJ230+AJ278+AJ324+AJ339+AJ356+AJ397+AJ445+AJ482+AJ502+AJ364+AJ370+AJ377+AJ382+AJ387+AJ116</f>
        <v>273496.91288841725</v>
      </c>
      <c r="AK504" s="141">
        <f>AK37+AK52+AK69+AK86+AK102+AK230+AK278+AK324+AK339+AK356+AK397+AK445+AK482+AK502+AK364+AK370+AK377+AK382+AK387</f>
        <v>0</v>
      </c>
      <c r="AL504" s="102">
        <f>AL37+AL52+AL69+AL86+AL102+AL230+AL278+AL324+AL339+AL356+AL397+AL445+AL482+AL502+AL364+AL370+AL377+AL382+AL387+AL116</f>
        <v>716122.85741890734</v>
      </c>
      <c r="AM504" s="141">
        <f>AM37+AM52+AM69+AM86+AM102+AM230+AM278+AM324+AM339+AM356+AM397+AM445+AM482+AM502+AM364+AM370+AM377+AM382+AM387</f>
        <v>0</v>
      </c>
      <c r="AN504" s="102">
        <f>AN37+AN52+AN69+AN86+AN102+AN230+AN278+AN324+AN339+AN356+AN397+AN445+AN482+AN502+AN364+AN370+AN377+AN382+AN387+AN116</f>
        <v>-677917.62249999994</v>
      </c>
      <c r="AO504" s="141">
        <f>AO37+AO52+AO69+AO86+AO102+AO230+AO278+AO324+AO339+AO356+AO397+AO445+AO482+AO502+AO364+AO370+AO377+AO382+AO387</f>
        <v>0</v>
      </c>
      <c r="AP504" s="102">
        <f>AP37+AP52+AP69+AP86+AP102+AP230+AP278+AP324+AP339+AP356+AP397+AP445+AP482+AP502+AP364+AP370+AP377+AP382+AP387+AP116</f>
        <v>456839.44318179751</v>
      </c>
      <c r="AQ504" s="141">
        <f>AQ37+AQ52+AQ69+AQ86+AQ102+AQ230+AQ278+AQ324+AQ339+AQ356+AQ397+AQ445+AQ482+AQ502+AQ364+AQ370+AQ377+AQ382+AQ387</f>
        <v>0</v>
      </c>
      <c r="AR504" s="102">
        <f>AR37+AR52+AR69+AR86+AR102+AR230+AR278+AR324+AR339+AR356+AR397+AR445+AR482+AR502+AR364+AR370+AR377+AR382+AR387+AR116</f>
        <v>2248653.662560523</v>
      </c>
    </row>
    <row r="505" spans="1:44">
      <c r="D505" s="39"/>
      <c r="G505" s="30"/>
      <c r="H505" s="63"/>
      <c r="M505" s="31"/>
      <c r="O505" s="31"/>
      <c r="P505" s="31"/>
      <c r="Q505" s="31"/>
      <c r="R505" s="31"/>
      <c r="S505" s="65"/>
      <c r="W505" s="4"/>
      <c r="X505" s="4"/>
      <c r="Y505" s="4"/>
    </row>
    <row r="506" spans="1:44">
      <c r="A506" s="109"/>
      <c r="B506" s="109"/>
      <c r="C506" s="109"/>
      <c r="D506" s="53"/>
      <c r="M506" s="31"/>
      <c r="O506" s="31"/>
      <c r="P506" s="31"/>
      <c r="Q506" s="31"/>
      <c r="R506" s="31"/>
      <c r="S506" s="66"/>
      <c r="W506" s="4"/>
      <c r="X506" s="4"/>
      <c r="Y506" s="4"/>
    </row>
    <row r="507" spans="1:44">
      <c r="A507" s="109"/>
      <c r="B507" s="111" t="s">
        <v>444</v>
      </c>
      <c r="C507" s="149">
        <f>+SUMIF($K$1:$K$389,2016,$T$1:$T$389)</f>
        <v>0</v>
      </c>
      <c r="M507" s="31"/>
      <c r="O507" s="31"/>
      <c r="P507" s="31"/>
      <c r="Q507" s="31"/>
      <c r="R507" s="67"/>
      <c r="S507" s="66"/>
      <c r="W507" s="68"/>
      <c r="X507" s="68"/>
      <c r="Y507" s="68"/>
    </row>
    <row r="508" spans="1:44">
      <c r="A508" s="109"/>
      <c r="B508" s="111" t="s">
        <v>445</v>
      </c>
      <c r="C508" s="150">
        <f>+SUMIF($K$1:$K$389,2017,$T$1:$T$389)</f>
        <v>16971.069880951978</v>
      </c>
      <c r="D508" s="54"/>
      <c r="M508" s="31"/>
      <c r="S508" s="69"/>
    </row>
    <row r="509" spans="1:44">
      <c r="A509" s="109"/>
      <c r="B509" s="111" t="s">
        <v>446</v>
      </c>
      <c r="C509" s="151">
        <f>+C507+C508</f>
        <v>16971.069880951978</v>
      </c>
      <c r="D509" s="54"/>
      <c r="M509" s="31"/>
      <c r="N509" s="48"/>
      <c r="O509" s="31"/>
      <c r="P509" s="31"/>
      <c r="Q509" s="31"/>
      <c r="R509" s="31"/>
      <c r="S509" s="66"/>
      <c r="W509" s="31"/>
      <c r="X509" s="31"/>
      <c r="Y509" s="31"/>
      <c r="Z509" s="31"/>
      <c r="AA509" s="31"/>
      <c r="AB509" s="31"/>
      <c r="AC509" s="31"/>
    </row>
    <row r="510" spans="1:44">
      <c r="D510" s="54"/>
      <c r="M510" s="31"/>
      <c r="N510" s="48"/>
      <c r="O510" s="31"/>
      <c r="P510" s="31"/>
      <c r="Q510" s="31"/>
      <c r="R510" s="31"/>
      <c r="S510" s="66"/>
      <c r="W510" s="31"/>
      <c r="X510" s="31"/>
      <c r="Y510" s="31"/>
      <c r="Z510" s="31"/>
      <c r="AA510" s="31"/>
      <c r="AB510" s="31"/>
      <c r="AC510" s="31"/>
    </row>
    <row r="511" spans="1:44">
      <c r="D511" s="54"/>
      <c r="M511" s="31"/>
      <c r="N511" s="48"/>
      <c r="O511" s="31"/>
      <c r="P511" s="31"/>
      <c r="Q511" s="31"/>
      <c r="R511" s="31"/>
      <c r="S511" s="66"/>
      <c r="W511" s="31"/>
      <c r="X511" s="31"/>
      <c r="Y511" s="31"/>
      <c r="Z511" s="31"/>
      <c r="AA511" s="31"/>
      <c r="AB511" s="31"/>
      <c r="AC511" s="31"/>
    </row>
    <row r="512" spans="1:44">
      <c r="D512" s="54"/>
      <c r="M512" s="31"/>
      <c r="N512" s="48"/>
      <c r="O512" s="31"/>
      <c r="P512" s="31"/>
      <c r="Q512" s="31"/>
      <c r="R512" s="31"/>
      <c r="S512" s="66"/>
      <c r="W512" s="31"/>
      <c r="X512" s="31"/>
      <c r="Y512" s="31"/>
      <c r="Z512" s="31"/>
      <c r="AA512" s="31"/>
      <c r="AB512" s="31"/>
      <c r="AC512" s="31"/>
    </row>
    <row r="513" spans="2:76">
      <c r="B513" s="4"/>
      <c r="C513" s="32"/>
      <c r="D513" s="29"/>
      <c r="G513" s="30"/>
      <c r="H513" s="7"/>
      <c r="I513" s="14"/>
      <c r="K513" s="13"/>
      <c r="N513" s="43"/>
      <c r="O513" s="31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37"/>
      <c r="AD513" s="7"/>
      <c r="AE513" s="7"/>
      <c r="AF513" s="7"/>
      <c r="AG513" s="7"/>
      <c r="AH513" s="7"/>
    </row>
    <row r="514" spans="2:76">
      <c r="M514" s="31"/>
      <c r="N514" s="48"/>
      <c r="O514" s="31"/>
      <c r="P514" s="31"/>
      <c r="Q514" s="31"/>
      <c r="R514" s="31"/>
      <c r="S514" s="66"/>
      <c r="W514" s="31"/>
      <c r="X514" s="31"/>
      <c r="Y514" s="31"/>
      <c r="Z514" s="31"/>
      <c r="AA514" s="31"/>
      <c r="AB514" s="31"/>
      <c r="AC514" s="31"/>
    </row>
    <row r="515" spans="2:76">
      <c r="B515" s="4"/>
      <c r="D515" s="70"/>
      <c r="G515" s="30"/>
      <c r="H515" s="7"/>
      <c r="I515" s="14"/>
      <c r="J515" s="51"/>
      <c r="K515" s="13"/>
      <c r="N515" s="48"/>
      <c r="O515" s="31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</row>
    <row r="516" spans="2:76">
      <c r="D516" s="71" t="s">
        <v>294</v>
      </c>
      <c r="M516" s="31"/>
      <c r="N516" s="48"/>
      <c r="O516" s="31"/>
      <c r="P516" s="31"/>
      <c r="Q516" s="31"/>
      <c r="R516" s="31"/>
      <c r="S516" s="66"/>
      <c r="W516" s="31"/>
      <c r="X516" s="31"/>
      <c r="Y516" s="31"/>
      <c r="Z516" s="31"/>
      <c r="AA516" s="31"/>
      <c r="AB516" s="31"/>
      <c r="AC516" s="31"/>
    </row>
    <row r="517" spans="2:76" s="73" customFormat="1">
      <c r="B517" s="72"/>
      <c r="C517" s="73">
        <v>24</v>
      </c>
      <c r="D517" s="73" t="s">
        <v>16</v>
      </c>
      <c r="E517" s="74">
        <v>1989</v>
      </c>
      <c r="F517" s="75">
        <v>8</v>
      </c>
      <c r="G517" s="76">
        <v>0</v>
      </c>
      <c r="H517" s="72"/>
      <c r="I517" s="77" t="s">
        <v>86</v>
      </c>
      <c r="J517" s="78">
        <v>10</v>
      </c>
      <c r="K517" s="79">
        <f>E517+J517</f>
        <v>1999</v>
      </c>
      <c r="N517" s="80">
        <v>11891</v>
      </c>
      <c r="P517" s="72">
        <f>N517-N517*G517</f>
        <v>11891</v>
      </c>
      <c r="Q517" s="72">
        <f>P517/J517/12</f>
        <v>99.091666666666654</v>
      </c>
      <c r="R517" s="72">
        <f>IF(O517&gt;0,0,IF(OR(AD517&gt;AE517,AF517&lt;AG517),0,IF(AND(AF517&gt;=AG517,AF517&lt;=AE517),Q517*((AF517-AG517)*12),IF(AND(AG517&lt;=AD517,AE517&gt;=AD517),((AE517-AD517)*12)*Q517,IF(AF517&gt;AE517,12*Q517,0)))))</f>
        <v>0</v>
      </c>
      <c r="S517" s="81"/>
      <c r="T517" s="72">
        <f>IF(S517&gt;0,S517,R517)</f>
        <v>0</v>
      </c>
      <c r="U517" s="72">
        <v>1</v>
      </c>
      <c r="V517" s="72">
        <f>U517*SUM(R517:S517)</f>
        <v>0</v>
      </c>
      <c r="W517" s="72"/>
      <c r="X517" s="72">
        <f>IF(AD517&gt;AE517,0,IF(AF517&lt;AG517,P517,IF(AND(AF517&gt;=AG517,AF517&lt;=AE517),(P517-T517),IF(AND(AG517&lt;=AD517,AE517&gt;=AD517),0,IF(AF517&gt;AE517,((AG517-AD517)*12)*Q517,0)))))</f>
        <v>11891</v>
      </c>
      <c r="Y517" s="72">
        <f>X517*U517</f>
        <v>11891</v>
      </c>
      <c r="Z517" s="72">
        <v>1</v>
      </c>
      <c r="AA517" s="72">
        <f>Y517*Z517</f>
        <v>11891</v>
      </c>
      <c r="AB517" s="72">
        <f>IF(O517&gt;0,0,AA517+V517*Z517)*Z517</f>
        <v>11891</v>
      </c>
      <c r="AC517" s="72">
        <f>IF(O517&gt;0,(N517-AA517)/2,IF(AD517&gt;=AG517,(((N517*U517)*Z517)-AB517)/2,((((N517*U517)*Z517)-AA517)+(((N517*U517)*Z517)-AB517))/2))</f>
        <v>0</v>
      </c>
      <c r="AD517" s="72">
        <f>$E517+(($F517-1)/12)</f>
        <v>1989.5833333333333</v>
      </c>
      <c r="AE517" s="72">
        <f t="shared" si="429"/>
        <v>2018</v>
      </c>
      <c r="AF517" s="72">
        <f>$K517+(($F517-1)/12)</f>
        <v>1999.5833333333333</v>
      </c>
      <c r="AG517" s="72">
        <f t="shared" si="410"/>
        <v>2017</v>
      </c>
      <c r="AH517" s="72">
        <f>$L517+(($M517-1)/12)</f>
        <v>-8.3333333333333329E-2</v>
      </c>
      <c r="AJ517" s="138"/>
      <c r="AK517" s="138"/>
      <c r="AL517" s="138"/>
      <c r="AM517" s="138"/>
      <c r="AN517" s="138"/>
      <c r="AO517" s="138"/>
      <c r="AP517" s="138"/>
      <c r="AQ517" s="138"/>
      <c r="AR517" s="138"/>
    </row>
    <row r="518" spans="2:76" s="73" customFormat="1">
      <c r="B518" s="72"/>
      <c r="C518" s="73">
        <v>26</v>
      </c>
      <c r="D518" s="73" t="s">
        <v>16</v>
      </c>
      <c r="E518" s="74">
        <v>1990</v>
      </c>
      <c r="F518" s="75">
        <v>4</v>
      </c>
      <c r="G518" s="76">
        <v>0</v>
      </c>
      <c r="H518" s="72"/>
      <c r="I518" s="77" t="s">
        <v>86</v>
      </c>
      <c r="J518" s="78">
        <v>10</v>
      </c>
      <c r="K518" s="79">
        <f>E518+J518</f>
        <v>2000</v>
      </c>
      <c r="N518" s="80">
        <v>2000</v>
      </c>
      <c r="P518" s="72">
        <f>N518-N518*G518</f>
        <v>2000</v>
      </c>
      <c r="Q518" s="72">
        <f>P518/J518/12</f>
        <v>16.666666666666668</v>
      </c>
      <c r="R518" s="72">
        <f>IF(O518&gt;0,0,IF(OR(AD518&gt;AE518,AF518&lt;AG518),0,IF(AND(AF518&gt;=AG518,AF518&lt;=AE518),Q518*((AF518-AG518)*12),IF(AND(AG518&lt;=AD518,AE518&gt;=AD518),((AE518-AD518)*12)*Q518,IF(AF518&gt;AE518,12*Q518,0)))))</f>
        <v>0</v>
      </c>
      <c r="S518" s="72"/>
      <c r="T518" s="72">
        <f>IF(S518&gt;0,S518,R518)</f>
        <v>0</v>
      </c>
      <c r="U518" s="72">
        <v>1</v>
      </c>
      <c r="V518" s="72">
        <f>U518*SUM(R518:S518)</f>
        <v>0</v>
      </c>
      <c r="W518" s="72"/>
      <c r="X518" s="72">
        <f>IF(AD518&gt;AE518,0,IF(AF518&lt;AG518,P518,IF(AND(AF518&gt;=AG518,AF518&lt;=AE518),(P518-T518),IF(AND(AG518&lt;=AD518,AE518&gt;=AD518),0,IF(AF518&gt;AE518,((AG518-AD518)*12)*Q518,0)))))</f>
        <v>2000</v>
      </c>
      <c r="Y518" s="72">
        <f>X518*U518</f>
        <v>2000</v>
      </c>
      <c r="Z518" s="72">
        <v>1</v>
      </c>
      <c r="AA518" s="72">
        <f>Y518*Z518</f>
        <v>2000</v>
      </c>
      <c r="AB518" s="72">
        <f>IF(O518&gt;0,0,AA518+V518*Z518)*Z518</f>
        <v>2000</v>
      </c>
      <c r="AC518" s="72">
        <f>IF(O518&gt;0,(N518-AA518)/2,IF(AD518&gt;=AG518,(((N518*U518)*Z518)-AB518)/2,((((N518*U518)*Z518)-AA518)+(((N518*U518)*Z518)-AB518))/2))</f>
        <v>0</v>
      </c>
      <c r="AD518" s="72">
        <f>$E518+(($F518-1)/12)</f>
        <v>1990.25</v>
      </c>
      <c r="AE518" s="72">
        <f t="shared" si="429"/>
        <v>2018</v>
      </c>
      <c r="AF518" s="72">
        <f>$K518+(($F518-1)/12)</f>
        <v>2000.25</v>
      </c>
      <c r="AG518" s="72">
        <f t="shared" si="410"/>
        <v>2017</v>
      </c>
      <c r="AH518" s="72">
        <f>$L518+(($M518-1)/12)</f>
        <v>-8.3333333333333329E-2</v>
      </c>
      <c r="AJ518" s="138"/>
      <c r="AK518" s="138"/>
      <c r="AL518" s="138"/>
      <c r="AM518" s="138"/>
      <c r="AN518" s="138"/>
      <c r="AO518" s="138"/>
      <c r="AP518" s="138"/>
      <c r="AQ518" s="138"/>
      <c r="AR518" s="138"/>
    </row>
    <row r="519" spans="2:76" s="73" customFormat="1">
      <c r="B519" s="72"/>
      <c r="C519" s="73">
        <v>27</v>
      </c>
      <c r="D519" s="73" t="s">
        <v>16</v>
      </c>
      <c r="E519" s="74">
        <v>1990</v>
      </c>
      <c r="F519" s="75">
        <v>6</v>
      </c>
      <c r="G519" s="76">
        <v>0</v>
      </c>
      <c r="H519" s="72"/>
      <c r="I519" s="77" t="s">
        <v>86</v>
      </c>
      <c r="J519" s="78">
        <v>10</v>
      </c>
      <c r="K519" s="79">
        <f>E519+J519</f>
        <v>2000</v>
      </c>
      <c r="N519" s="80">
        <v>2870</v>
      </c>
      <c r="P519" s="72">
        <f>N519-N519*G519</f>
        <v>2870</v>
      </c>
      <c r="Q519" s="72">
        <f>P519/J519/12</f>
        <v>23.916666666666668</v>
      </c>
      <c r="R519" s="72">
        <f>IF(O519&gt;0,0,IF(OR(AD519&gt;AE519,AF519&lt;AG519),0,IF(AND(AF519&gt;=AG519,AF519&lt;=AE519),Q519*((AF519-AG519)*12),IF(AND(AG519&lt;=AD519,AE519&gt;=AD519),((AE519-AD519)*12)*Q519,IF(AF519&gt;AE519,12*Q519,0)))))</f>
        <v>0</v>
      </c>
      <c r="S519" s="81"/>
      <c r="T519" s="72">
        <f>IF(S519&gt;0,S519,R519)</f>
        <v>0</v>
      </c>
      <c r="U519" s="72">
        <v>1</v>
      </c>
      <c r="V519" s="72">
        <f>U519*SUM(R519:S519)</f>
        <v>0</v>
      </c>
      <c r="W519" s="72"/>
      <c r="X519" s="72">
        <f>IF(AD519&gt;AE519,0,IF(AF519&lt;AG519,P519,IF(AND(AF519&gt;=AG519,AF519&lt;=AE519),(P519-T519),IF(AND(AG519&lt;=AD519,AE519&gt;=AD519),0,IF(AF519&gt;AE519,((AG519-AD519)*12)*Q519,0)))))</f>
        <v>2870</v>
      </c>
      <c r="Y519" s="72">
        <f>X519*U519</f>
        <v>2870</v>
      </c>
      <c r="Z519" s="72">
        <v>1</v>
      </c>
      <c r="AA519" s="72">
        <f>Y519*Z519</f>
        <v>2870</v>
      </c>
      <c r="AB519" s="72">
        <f>IF(O519&gt;0,0,AA519+V519*Z519)*Z519</f>
        <v>2870</v>
      </c>
      <c r="AC519" s="72">
        <f>IF(O519&gt;0,(N519-AA519)/2,IF(AD519&gt;=AG519,(((N519*U519)*Z519)-AB519)/2,((((N519*U519)*Z519)-AA519)+(((N519*U519)*Z519)-AB519))/2))</f>
        <v>0</v>
      </c>
      <c r="AD519" s="72">
        <f>$E519+(($F519-1)/12)</f>
        <v>1990.4166666666667</v>
      </c>
      <c r="AE519" s="72">
        <f t="shared" si="429"/>
        <v>2018</v>
      </c>
      <c r="AF519" s="72">
        <f>$K519+(($F519-1)/12)</f>
        <v>2000.4166666666667</v>
      </c>
      <c r="AG519" s="72">
        <f t="shared" si="410"/>
        <v>2017</v>
      </c>
      <c r="AH519" s="72">
        <f>$L519+(($M519-1)/12)</f>
        <v>-8.3333333333333329E-2</v>
      </c>
      <c r="AJ519" s="138"/>
      <c r="AK519" s="138"/>
      <c r="AL519" s="138"/>
      <c r="AM519" s="138"/>
      <c r="AN519" s="138"/>
      <c r="AO519" s="138"/>
      <c r="AP519" s="138"/>
      <c r="AQ519" s="138"/>
      <c r="AR519" s="138"/>
    </row>
    <row r="520" spans="2:76" s="73" customFormat="1">
      <c r="C520" s="73">
        <v>28</v>
      </c>
      <c r="D520" s="73" t="s">
        <v>16</v>
      </c>
      <c r="E520" s="74">
        <v>1990</v>
      </c>
      <c r="F520" s="75">
        <v>10</v>
      </c>
      <c r="G520" s="76">
        <v>0</v>
      </c>
      <c r="H520" s="72"/>
      <c r="I520" s="77" t="s">
        <v>86</v>
      </c>
      <c r="J520" s="78">
        <v>10</v>
      </c>
      <c r="K520" s="79">
        <f>E520+J520</f>
        <v>2000</v>
      </c>
      <c r="N520" s="80">
        <v>8550</v>
      </c>
      <c r="P520" s="72">
        <f>N520-N520*G520</f>
        <v>8550</v>
      </c>
      <c r="Q520" s="72">
        <f>P520/J520/12</f>
        <v>71.25</v>
      </c>
      <c r="R520" s="72">
        <f>IF(O520&gt;0,0,IF(OR(AD520&gt;AE520,AF520&lt;AG520),0,IF(AND(AF520&gt;=AG520,AF520&lt;=AE520),Q520*((AF520-AG520)*12),IF(AND(AG520&lt;=AD520,AE520&gt;=AD520),((AE520-AD520)*12)*Q520,IF(AF520&gt;AE520,12*Q520,0)))))</f>
        <v>0</v>
      </c>
      <c r="T520" s="72">
        <f>IF(S520&gt;0,S520,R520)</f>
        <v>0</v>
      </c>
      <c r="U520" s="72">
        <v>1</v>
      </c>
      <c r="V520" s="72">
        <f>U520*SUM(R520:S520)</f>
        <v>0</v>
      </c>
      <c r="W520" s="72"/>
      <c r="X520" s="72">
        <f>IF(AD520&gt;AE520,0,IF(AF520&lt;AG520,P520,IF(AND(AF520&gt;=AG520,AF520&lt;=AE520),(P520-T520),IF(AND(AG520&lt;=AD520,AE520&gt;=AD520),0,IF(AF520&gt;AE520,((AG520-AD520)*12)*Q520,0)))))</f>
        <v>8550</v>
      </c>
      <c r="Y520" s="72">
        <f>X520*U520</f>
        <v>8550</v>
      </c>
      <c r="Z520" s="72">
        <v>1</v>
      </c>
      <c r="AA520" s="72">
        <f>Y520*Z520</f>
        <v>8550</v>
      </c>
      <c r="AB520" s="72">
        <f>IF(O520&gt;0,0,AA520+V520*Z520)*Z520</f>
        <v>8550</v>
      </c>
      <c r="AC520" s="72">
        <f>IF(O520&gt;0,(N520-AA520)/2,IF(AD520&gt;=AG520,(((N520*U520)*Z520)-AB520)/2,((((N520*U520)*Z520)-AA520)+(((N520*U520)*Z520)-AB520))/2))</f>
        <v>0</v>
      </c>
      <c r="AD520" s="72">
        <f>$E520+(($F520-1)/12)</f>
        <v>1990.75</v>
      </c>
      <c r="AE520" s="72">
        <f t="shared" si="429"/>
        <v>2018</v>
      </c>
      <c r="AF520" s="72">
        <f>$K520+(($F520-1)/12)</f>
        <v>2000.75</v>
      </c>
      <c r="AG520" s="72">
        <f t="shared" si="410"/>
        <v>2017</v>
      </c>
      <c r="AH520" s="72">
        <f>$L520+(($M520-1)/12)</f>
        <v>-8.3333333333333329E-2</v>
      </c>
      <c r="AJ520" s="138"/>
      <c r="AK520" s="138"/>
      <c r="AL520" s="138"/>
      <c r="AM520" s="138"/>
      <c r="AN520" s="138"/>
      <c r="AO520" s="138"/>
      <c r="AP520" s="138"/>
      <c r="AQ520" s="138"/>
      <c r="AR520" s="138"/>
    </row>
    <row r="521" spans="2:76" s="73" customFormat="1">
      <c r="C521" s="73">
        <v>54</v>
      </c>
      <c r="D521" s="82" t="s">
        <v>150</v>
      </c>
      <c r="E521" s="74">
        <v>2002</v>
      </c>
      <c r="F521" s="75">
        <v>12</v>
      </c>
      <c r="G521" s="76">
        <v>0</v>
      </c>
      <c r="H521" s="72"/>
      <c r="I521" s="77" t="s">
        <v>86</v>
      </c>
      <c r="J521" s="78">
        <v>10</v>
      </c>
      <c r="K521" s="79">
        <f>E521+J521</f>
        <v>2012</v>
      </c>
      <c r="N521" s="80">
        <v>3249</v>
      </c>
      <c r="P521" s="72">
        <f>N521-N521*G521</f>
        <v>3249</v>
      </c>
      <c r="Q521" s="72">
        <f>P521/J521/12</f>
        <v>27.074999999999999</v>
      </c>
      <c r="R521" s="72">
        <f>IF(O521&gt;0,0,IF(OR(AD521&gt;AE521,AF521&lt;AG521),0,IF(AND(AF521&gt;=AG521,AF521&lt;=AE521),Q521*((AF521-AG521)*12),IF(AND(AG521&lt;=AD521,AE521&gt;=AD521),((AE521-AD521)*12)*Q521,IF(AF521&gt;AE521,12*Q521,0)))))</f>
        <v>0</v>
      </c>
      <c r="T521" s="72">
        <f>IF(S521&gt;0,S521,R521)</f>
        <v>0</v>
      </c>
      <c r="U521" s="72">
        <v>1</v>
      </c>
      <c r="V521" s="72">
        <f>U521*SUM(R521:S521)</f>
        <v>0</v>
      </c>
      <c r="W521" s="72"/>
      <c r="X521" s="72">
        <f>IF(AD521&gt;AE521,0,IF(AF521&lt;AG521,P521,IF(AND(AF521&gt;=AG521,AF521&lt;=AE521),(P521-T521),IF(AND(AG521&lt;=AD521,AE521&gt;=AD521),0,IF(AF521&gt;AE521,((AG521-AD521)*12)*Q521,0)))))</f>
        <v>3249</v>
      </c>
      <c r="Y521" s="72">
        <f>X521*U521</f>
        <v>3249</v>
      </c>
      <c r="Z521" s="72">
        <v>1</v>
      </c>
      <c r="AA521" s="72">
        <f>Y521*Z521</f>
        <v>3249</v>
      </c>
      <c r="AB521" s="72">
        <f>IF(O521&gt;0,0,AA521+V521*Z521)*Z521</f>
        <v>3249</v>
      </c>
      <c r="AC521" s="72">
        <f>IF(O521&gt;0,(N521-AA521)/2,IF(AD521&gt;=AG521,(((N521*U521)*Z521)-AB521)/2,((((N521*U521)*Z521)-AA521)+(((N521*U521)*Z521)-AB521))/2))</f>
        <v>0</v>
      </c>
      <c r="AD521" s="72">
        <f>$E521+(($F521-1)/12)</f>
        <v>2002.9166666666667</v>
      </c>
      <c r="AE521" s="72">
        <f>($P$5+1)-($P$2/12)</f>
        <v>2018</v>
      </c>
      <c r="AF521" s="72">
        <f>$K521+(($F521-1)/12)</f>
        <v>2012.9166666666667</v>
      </c>
      <c r="AG521" s="72">
        <f t="shared" si="436"/>
        <v>2017</v>
      </c>
      <c r="AH521" s="72">
        <f>$L521+(($M521-1)/12)</f>
        <v>-8.3333333333333329E-2</v>
      </c>
      <c r="AJ521" s="138"/>
      <c r="AK521" s="138"/>
      <c r="AL521" s="138"/>
      <c r="AM521" s="138"/>
      <c r="AN521" s="138"/>
      <c r="AO521" s="138"/>
      <c r="AP521" s="138"/>
      <c r="AQ521" s="138"/>
      <c r="AR521" s="138"/>
    </row>
    <row r="522" spans="2:76">
      <c r="D522" s="54"/>
      <c r="M522" s="31"/>
      <c r="N522" s="48"/>
      <c r="O522" s="31"/>
      <c r="P522" s="31"/>
      <c r="Q522" s="31"/>
      <c r="R522" s="31"/>
      <c r="S522" s="66"/>
      <c r="W522" s="31"/>
      <c r="X522" s="31"/>
      <c r="Y522" s="31"/>
      <c r="Z522" s="31"/>
      <c r="AA522" s="31"/>
      <c r="AB522" s="31"/>
      <c r="AC522" s="31"/>
    </row>
    <row r="523" spans="2:76">
      <c r="D523" s="54"/>
      <c r="M523" s="31"/>
      <c r="N523" s="48"/>
      <c r="O523" s="31"/>
      <c r="P523" s="31"/>
      <c r="Q523" s="31"/>
      <c r="R523" s="31"/>
      <c r="S523" s="66"/>
      <c r="W523" s="31"/>
      <c r="X523" s="31"/>
      <c r="Y523" s="31"/>
      <c r="Z523" s="31"/>
      <c r="AA523" s="31"/>
      <c r="AB523" s="31"/>
      <c r="AC523" s="31"/>
    </row>
    <row r="524" spans="2:76" s="84" customFormat="1">
      <c r="B524" s="83"/>
      <c r="D524" s="85"/>
      <c r="E524" s="86"/>
      <c r="F524" s="83"/>
      <c r="G524" s="87"/>
      <c r="H524" s="88"/>
      <c r="I524" s="89"/>
      <c r="J524" s="90"/>
      <c r="K524" s="91"/>
      <c r="N524" s="92"/>
      <c r="O524" s="93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J524" s="137"/>
      <c r="AK524" s="137"/>
      <c r="AL524" s="137"/>
      <c r="AM524" s="137"/>
      <c r="AN524" s="137"/>
      <c r="AO524" s="137"/>
      <c r="AP524" s="137"/>
      <c r="AQ524" s="137"/>
      <c r="AR524" s="137"/>
    </row>
    <row r="525" spans="2:76">
      <c r="D525" s="71" t="s">
        <v>302</v>
      </c>
      <c r="M525" s="31"/>
      <c r="N525" s="48"/>
      <c r="O525" s="31"/>
      <c r="P525" s="31"/>
      <c r="Q525" s="31"/>
      <c r="R525" s="31"/>
      <c r="S525" s="66"/>
      <c r="W525" s="31"/>
      <c r="X525" s="31"/>
      <c r="Y525" s="31"/>
      <c r="Z525" s="31"/>
      <c r="AA525" s="31"/>
      <c r="AB525" s="31"/>
      <c r="AC525" s="31"/>
    </row>
    <row r="526" spans="2:76" s="73" customFormat="1">
      <c r="D526" s="94" t="s">
        <v>229</v>
      </c>
      <c r="E526" s="74">
        <v>1987</v>
      </c>
      <c r="F526" s="75">
        <v>6</v>
      </c>
      <c r="G526" s="76">
        <v>0</v>
      </c>
      <c r="H526" s="72"/>
      <c r="I526" s="77" t="s">
        <v>86</v>
      </c>
      <c r="J526" s="78">
        <v>5</v>
      </c>
      <c r="K526" s="79">
        <f>E526+J526</f>
        <v>1992</v>
      </c>
      <c r="N526" s="80">
        <v>970</v>
      </c>
      <c r="P526" s="72">
        <f>N526-N526*G526</f>
        <v>970</v>
      </c>
      <c r="Q526" s="72">
        <f>P526/J526/12</f>
        <v>16.166666666666668</v>
      </c>
      <c r="R526" s="72">
        <f>IF(O526&gt;0,0,IF(OR(AD526&gt;AE526,AF526&lt;AG526),0,IF(AND(AF526&gt;=AG526,AF526&lt;=AE526),Q526*((AF526-AG526)*12),IF(AND(AG526&lt;=AD526,AE526&gt;=AD526),((AE526-AD526)*12)*Q526,IF(AF526&gt;AE526,12*Q526,0)))))</f>
        <v>0</v>
      </c>
      <c r="T526" s="72">
        <f>IF(S526&gt;0,S526,R526)</f>
        <v>0</v>
      </c>
      <c r="U526" s="72">
        <v>1</v>
      </c>
      <c r="V526" s="72">
        <f>U526*SUM(R526:S526)</f>
        <v>0</v>
      </c>
      <c r="W526" s="72"/>
      <c r="X526" s="72">
        <f>IF(AD526&gt;AE526,0,IF(AF526&lt;AG526,P526,IF(AND(AF526&gt;=AG526,AF526&lt;=AE526),(P526-T526),IF(AND(AG526&lt;=AD526,AE526&gt;=AD526),0,IF(AF526&gt;AE526,((AG526-AD526)*12)*Q526,0)))))</f>
        <v>970</v>
      </c>
      <c r="Y526" s="72">
        <f>X526*U526</f>
        <v>970</v>
      </c>
      <c r="Z526" s="72">
        <v>1</v>
      </c>
      <c r="AA526" s="72">
        <f>Y526*Z526</f>
        <v>970</v>
      </c>
      <c r="AB526" s="72">
        <f>IF(O526&gt;0,0,AA526+V526*Z526)*Z526</f>
        <v>970</v>
      </c>
      <c r="AC526" s="72">
        <f>IF(O526&gt;0,(N526-AA526)/2,IF(AD526&gt;=AG526,(((N526*U526)*Z526)-AB526)/2,((((N526*U526)*Z526)-AA526)+(((N526*U526)*Z526)-AB526))/2))</f>
        <v>0</v>
      </c>
      <c r="AD526" s="72">
        <f>$E526+(($F526-1)/12)</f>
        <v>1987.4166666666667</v>
      </c>
      <c r="AE526" s="72">
        <f t="shared" si="292"/>
        <v>2018</v>
      </c>
      <c r="AF526" s="72">
        <f>$K526+(($F526-1)/12)</f>
        <v>1992.4166666666667</v>
      </c>
      <c r="AG526" s="72">
        <f t="shared" si="293"/>
        <v>2017</v>
      </c>
      <c r="AH526" s="72">
        <f>$L526+(($M526-1)/12)</f>
        <v>-8.3333333333333329E-2</v>
      </c>
      <c r="AJ526" s="138"/>
      <c r="AK526" s="138"/>
      <c r="AL526" s="138"/>
      <c r="AM526" s="138"/>
      <c r="AN526" s="138"/>
      <c r="AO526" s="138"/>
      <c r="AP526" s="138"/>
      <c r="AQ526" s="138"/>
      <c r="AR526" s="138"/>
    </row>
    <row r="527" spans="2:76" s="73" customFormat="1">
      <c r="B527" s="75" t="s">
        <v>84</v>
      </c>
      <c r="C527" s="73">
        <v>16</v>
      </c>
      <c r="D527" s="82" t="s">
        <v>85</v>
      </c>
      <c r="E527" s="74">
        <v>1994</v>
      </c>
      <c r="F527" s="75">
        <v>8</v>
      </c>
      <c r="G527" s="76">
        <v>0.2</v>
      </c>
      <c r="H527" s="72"/>
      <c r="I527" s="77" t="s">
        <v>86</v>
      </c>
      <c r="J527" s="78">
        <v>5</v>
      </c>
      <c r="K527" s="79">
        <f>E527+J527</f>
        <v>1999</v>
      </c>
      <c r="N527" s="80">
        <f>101658</f>
        <v>101658</v>
      </c>
      <c r="O527" s="95">
        <v>0</v>
      </c>
      <c r="P527" s="72">
        <f>N527-N527*G527</f>
        <v>81326.399999999994</v>
      </c>
      <c r="Q527" s="72">
        <f>P527/J527/12</f>
        <v>1355.4399999999998</v>
      </c>
      <c r="R527" s="72">
        <f>IF(O527&gt;0,0,IF(OR(AD527&gt;AE527,AF527&lt;AG527),0,IF(AND(AF527&gt;=AG527,AF527&lt;=AE527),Q527*((AF527-AG527)*12),IF(AND(AG527&lt;=AD527,AE527&gt;=AD527),((AE527-AD527)*12)*Q527,IF(AF527&gt;AE527,12*Q527,0)))))</f>
        <v>0</v>
      </c>
      <c r="S527" s="72">
        <f>IF(O527=0,0,IF(AND(AH527&gt;=AG527,AH527&lt;=AF527),((AH527-AG527)*12)*Q527,0))</f>
        <v>0</v>
      </c>
      <c r="T527" s="72">
        <f>IF(S527&gt;0,S527,R527)</f>
        <v>0</v>
      </c>
      <c r="U527" s="72">
        <v>1</v>
      </c>
      <c r="V527" s="72">
        <f>U527*SUM(R527:S527)</f>
        <v>0</v>
      </c>
      <c r="W527" s="72"/>
      <c r="X527" s="72">
        <f>IF(AD527&gt;AE527,0,IF(AF527&lt;AG527,P527,IF(AND(AF527&gt;=AG527,AF527&lt;=AE527),(P527-T527),IF(AND(AG527&lt;=AD527,AE527&gt;=AD527),0,IF(AF527&gt;AE527,((AG527-AD527)*12)*Q527,0)))))</f>
        <v>81326.399999999994</v>
      </c>
      <c r="Y527" s="72">
        <f>X527*U527</f>
        <v>81326.399999999994</v>
      </c>
      <c r="Z527" s="72">
        <v>1</v>
      </c>
      <c r="AA527" s="72">
        <f>Y527*Z527</f>
        <v>81326.399999999994</v>
      </c>
      <c r="AB527" s="72">
        <f>IF(O527&gt;0,0,AA527+V527*Z527)*Z527</f>
        <v>81326.399999999994</v>
      </c>
      <c r="AC527" s="72">
        <f>IF(O527&gt;0,(N527-AA527)/2,IF(AD527&gt;=AG527,(((N527*U527)*Z527)-AB527)/2,((((N527*U527)*Z527)-AA527)+(((N527*U527)*Z527)-AB527))/2))</f>
        <v>20331.600000000006</v>
      </c>
      <c r="AD527" s="72">
        <f>$E527+(($F527-1)/12)</f>
        <v>1994.5833333333333</v>
      </c>
      <c r="AE527" s="72">
        <f t="shared" si="12"/>
        <v>2018</v>
      </c>
      <c r="AF527" s="72">
        <f>$K527+(($F527-1)/12)</f>
        <v>1999.5833333333333</v>
      </c>
      <c r="AG527" s="72">
        <f t="shared" si="14"/>
        <v>2017</v>
      </c>
      <c r="AH527" s="72">
        <f>$L527+(($M527-1)/12)</f>
        <v>-8.3333333333333329E-2</v>
      </c>
      <c r="AJ527" s="138"/>
      <c r="AK527" s="138"/>
      <c r="AL527" s="138"/>
      <c r="AM527" s="138"/>
      <c r="AN527" s="138"/>
      <c r="AO527" s="138"/>
      <c r="AP527" s="138"/>
      <c r="AQ527" s="138"/>
      <c r="AR527" s="138"/>
      <c r="BX527" s="73" t="s">
        <v>87</v>
      </c>
    </row>
    <row r="528" spans="2:76">
      <c r="M528" s="31"/>
      <c r="N528" s="48"/>
      <c r="O528" s="31"/>
      <c r="P528" s="31"/>
      <c r="Q528" s="31"/>
      <c r="R528" s="31"/>
      <c r="S528" s="66"/>
      <c r="W528" s="31"/>
      <c r="X528" s="31"/>
      <c r="Y528" s="31"/>
      <c r="Z528" s="31"/>
      <c r="AA528" s="31"/>
      <c r="AB528" s="31"/>
      <c r="AC528" s="31"/>
    </row>
    <row r="529" spans="2:34">
      <c r="D529" s="53"/>
      <c r="M529" s="38"/>
      <c r="N529" s="59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</row>
    <row r="530" spans="2:34">
      <c r="D530" s="71" t="s">
        <v>321</v>
      </c>
      <c r="M530" s="38"/>
      <c r="N530" s="59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</row>
    <row r="531" spans="2:34">
      <c r="C531" s="1">
        <v>2</v>
      </c>
      <c r="D531" s="56" t="s">
        <v>192</v>
      </c>
      <c r="E531" s="3">
        <v>2006</v>
      </c>
      <c r="F531" s="4">
        <v>6</v>
      </c>
      <c r="G531" s="30">
        <v>0</v>
      </c>
      <c r="H531" s="7"/>
      <c r="I531" s="14" t="s">
        <v>86</v>
      </c>
      <c r="J531" s="5">
        <v>10</v>
      </c>
      <c r="K531" s="13">
        <f>E531+J531</f>
        <v>2016</v>
      </c>
      <c r="N531" s="48">
        <v>6600</v>
      </c>
      <c r="P531" s="7">
        <f>N531-N531*G531</f>
        <v>6600</v>
      </c>
      <c r="Q531" s="7">
        <f>P531/J531/12</f>
        <v>55</v>
      </c>
      <c r="R531" s="7">
        <f>IF(O531&gt;0,0,IF(OR(AD531&gt;AE531,AF531&lt;AG531),0,IF(AND(AF531&gt;=AG531,AF531&lt;=AE531),Q531*((AF531-AG531)*12),IF(AND(AG531&lt;=AD531,AE531&gt;=AD531),((AE531-AD531)*12)*Q531,IF(AF531&gt;AE531,12*Q531,0)))))</f>
        <v>0</v>
      </c>
      <c r="T531" s="7">
        <f>IF(S531&gt;0,S531,R531)</f>
        <v>0</v>
      </c>
      <c r="U531" s="7">
        <v>1</v>
      </c>
      <c r="V531" s="7">
        <f>U531*SUM(R531:S531)</f>
        <v>0</v>
      </c>
      <c r="W531" s="7"/>
      <c r="X531" s="7">
        <f>IF(AD531&gt;AE531,0,IF(AF531&lt;AG531,P531,IF(AND(AF531&gt;=AG531,AF531&lt;=AE531),(P531-T531),IF(AND(AG531&lt;=AD531,AE531&gt;=AD531),0,IF(AF531&gt;AE531,((AG531-AD531)*12)*Q531,0)))))</f>
        <v>6600</v>
      </c>
      <c r="Y531" s="7">
        <f>X531*U531</f>
        <v>6600</v>
      </c>
      <c r="Z531" s="7">
        <v>1</v>
      </c>
      <c r="AA531" s="7">
        <f>Y531*Z531</f>
        <v>6600</v>
      </c>
      <c r="AB531" s="7">
        <f>IF(O531&gt;0,0,AA531+V531*Z531)*Z531</f>
        <v>6600</v>
      </c>
      <c r="AC531" s="7">
        <f>IF(O531&gt;0,(N531-AA531)/2,IF(AD531&gt;=AG531,(((N531*U531)*Z531)-AB531)/2,((((N531*U531)*Z531)-AA531)+(((N531*U531)*Z531)-AB531))/2))</f>
        <v>0</v>
      </c>
      <c r="AD531" s="7">
        <f>$E531+(($F531-1)/12)</f>
        <v>2006.4166666666667</v>
      </c>
      <c r="AE531" s="7">
        <f t="shared" si="519"/>
        <v>2018</v>
      </c>
      <c r="AF531" s="7">
        <f>$K531+(($F531-1)/12)</f>
        <v>2016.4166666666667</v>
      </c>
      <c r="AG531" s="7">
        <f t="shared" si="521"/>
        <v>2017</v>
      </c>
      <c r="AH531" s="7">
        <f>$L531+(($M531-1)/12)</f>
        <v>-8.3333333333333329E-2</v>
      </c>
    </row>
    <row r="532" spans="2:34">
      <c r="B532" s="4" t="s">
        <v>99</v>
      </c>
      <c r="C532" s="1">
        <v>34</v>
      </c>
      <c r="D532" s="29" t="s">
        <v>103</v>
      </c>
      <c r="E532" s="3">
        <v>2009</v>
      </c>
      <c r="F532" s="4">
        <v>12</v>
      </c>
      <c r="G532" s="30">
        <v>0.2</v>
      </c>
      <c r="H532" s="7"/>
      <c r="I532" s="14" t="s">
        <v>86</v>
      </c>
      <c r="J532" s="5">
        <v>7</v>
      </c>
      <c r="K532" s="13">
        <f>E532+J532</f>
        <v>2016</v>
      </c>
      <c r="N532" s="6">
        <v>143203.54999999999</v>
      </c>
      <c r="O532" s="31"/>
      <c r="P532" s="7">
        <f>N532-N532*G532</f>
        <v>114562.84</v>
      </c>
      <c r="Q532" s="7">
        <f>P532/J532/12</f>
        <v>1363.8433333333332</v>
      </c>
      <c r="R532" s="7">
        <f>IF(O532&gt;0,0,IF(OR(AD532&gt;AE532,AF532&lt;AG532),0,IF(AND(AF532&gt;=AG532,AF532&lt;=AE532),Q532*((AF532-AG532)*12),IF(AND(AG532&lt;=AD532,AE532&gt;=AD532),((AE532-AD532)*12)*Q532,IF(AF532&gt;AE532,12*Q532,0)))))</f>
        <v>0</v>
      </c>
      <c r="S532" s="7"/>
      <c r="T532" s="7">
        <f>IF(S532&gt;0,S532,R532)</f>
        <v>0</v>
      </c>
      <c r="U532" s="7">
        <v>1</v>
      </c>
      <c r="V532" s="7">
        <f>U532*SUM(R532:S532)</f>
        <v>0</v>
      </c>
      <c r="W532" s="7"/>
      <c r="X532" s="7">
        <f>IF(AD532&gt;AE532,0,IF(AF532&lt;AG532,P532,IF(AND(AF532&gt;=AG532,AF532&lt;=AE532),(P532-T532),IF(AND(AG532&lt;=AD532,AE532&gt;=AD532),0,IF(AF532&gt;AE532,((AG532-AD532)*12)*Q532,0)))))</f>
        <v>114562.84</v>
      </c>
      <c r="Y532" s="7">
        <f>X532*U532</f>
        <v>114562.84</v>
      </c>
      <c r="Z532" s="7">
        <v>1</v>
      </c>
      <c r="AA532" s="7">
        <f>Y532*Z532</f>
        <v>114562.84</v>
      </c>
      <c r="AB532" s="7">
        <f>IF(O532&gt;0,0,AA532+V532*Z532)*Z532</f>
        <v>114562.84</v>
      </c>
      <c r="AC532" s="7">
        <f>IF(O532&gt;0,(N532-AA532)/2,IF(AD532&gt;=AG532,(((N532*U532)*Z532)-AB532)/2,((((N532*U532)*Z532)-AA532)+(((N532*U532)*Z532)-AB532))/2))</f>
        <v>28640.709999999992</v>
      </c>
      <c r="AD532" s="7">
        <f>$E532+(($F532-1)/12)</f>
        <v>2009.9166666666667</v>
      </c>
      <c r="AE532" s="7">
        <f t="shared" si="12"/>
        <v>2018</v>
      </c>
      <c r="AF532" s="7">
        <f>$K532+(($F532-1)/12)</f>
        <v>2016.9166666666667</v>
      </c>
      <c r="AG532" s="7">
        <f t="shared" si="14"/>
        <v>2017</v>
      </c>
      <c r="AH532" s="7">
        <f>$L532+(($M532-1)/12)</f>
        <v>-8.3333333333333329E-2</v>
      </c>
    </row>
    <row r="533" spans="2:34">
      <c r="D533" s="53"/>
      <c r="M533" s="38"/>
      <c r="N533" s="59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</row>
    <row r="534" spans="2:34">
      <c r="D534" s="53"/>
      <c r="M534" s="38"/>
      <c r="N534" s="59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</row>
    <row r="535" spans="2:34">
      <c r="D535" s="71" t="s">
        <v>326</v>
      </c>
      <c r="M535" s="38"/>
      <c r="N535" s="59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</row>
    <row r="536" spans="2:34">
      <c r="B536" s="4" t="s">
        <v>94</v>
      </c>
      <c r="C536" s="1">
        <v>13</v>
      </c>
      <c r="D536" s="29" t="s">
        <v>97</v>
      </c>
      <c r="E536" s="3">
        <v>2009</v>
      </c>
      <c r="F536" s="4">
        <v>3</v>
      </c>
      <c r="G536" s="30">
        <v>0.33</v>
      </c>
      <c r="H536" s="7"/>
      <c r="I536" s="14" t="s">
        <v>86</v>
      </c>
      <c r="J536" s="5">
        <v>5</v>
      </c>
      <c r="K536" s="13">
        <f>E536+J536</f>
        <v>2014</v>
      </c>
      <c r="N536" s="6">
        <v>25333.34</v>
      </c>
      <c r="O536" s="31"/>
      <c r="P536" s="7">
        <f>N536-N536*G536</f>
        <v>16973.337800000001</v>
      </c>
      <c r="Q536" s="7">
        <f>P536/J536/12</f>
        <v>282.88896333333338</v>
      </c>
      <c r="R536" s="7">
        <f>IF(O536&gt;0,0,IF(OR(AD536&gt;AE536,AF536&lt;AG536),0,IF(AND(AF536&gt;=AG536,AF536&lt;=AE536),Q536*((AF536-AG536)*12),IF(AND(AG536&lt;=AD536,AE536&gt;=AD536),((AE536-AD536)*12)*Q536,IF(AF536&gt;AE536,12*Q536,0)))))</f>
        <v>0</v>
      </c>
      <c r="S536" s="7"/>
      <c r="T536" s="7">
        <f>IF(S536&gt;0,S536,R536)</f>
        <v>0</v>
      </c>
      <c r="U536" s="7">
        <v>1</v>
      </c>
      <c r="V536" s="7">
        <f>U536*SUM(R536:S536)</f>
        <v>0</v>
      </c>
      <c r="W536" s="7"/>
      <c r="X536" s="7">
        <f>IF(AD536&gt;AE536,0,IF(AF536&lt;AG536,P536,IF(AND(AF536&gt;=AG536,AF536&lt;=AE536),(P536-T536),IF(AND(AG536&lt;=AD536,AE536&gt;=AD536),0,IF(AF536&gt;AE536,((AG536-AD536)*12)*Q536,0)))))</f>
        <v>16973.337800000001</v>
      </c>
      <c r="Y536" s="7">
        <f>X536*U536</f>
        <v>16973.337800000001</v>
      </c>
      <c r="Z536" s="7">
        <v>1</v>
      </c>
      <c r="AA536" s="7">
        <f>Y536*Z536</f>
        <v>16973.337800000001</v>
      </c>
      <c r="AB536" s="7">
        <f>IF(O536&gt;0,0,AA536+V536*Z536)*Z536</f>
        <v>16973.337800000001</v>
      </c>
      <c r="AC536" s="7">
        <f>IF(O536&gt;0,(N536-AA536)/2,IF(AD536&gt;=AG536,(((N536*U536)*Z536)-AB536)/2,((((N536*U536)*Z536)-AA536)+(((N536*U536)*Z536)-AB536))/2))</f>
        <v>8360.002199999999</v>
      </c>
      <c r="AD536" s="7">
        <f>$E536+(($F536-1)/12)</f>
        <v>2009.1666666666667</v>
      </c>
      <c r="AE536" s="7">
        <f t="shared" si="12"/>
        <v>2018</v>
      </c>
      <c r="AF536" s="7">
        <f>$K536+(($F536-1)/12)</f>
        <v>2014.1666666666667</v>
      </c>
      <c r="AG536" s="7">
        <f t="shared" si="14"/>
        <v>2017</v>
      </c>
      <c r="AH536" s="7">
        <f>$L536+(($M536-1)/12)</f>
        <v>-8.3333333333333329E-2</v>
      </c>
    </row>
    <row r="537" spans="2:34">
      <c r="B537" s="4" t="s">
        <v>88</v>
      </c>
      <c r="C537" s="1">
        <v>5</v>
      </c>
      <c r="D537" s="29" t="s">
        <v>134</v>
      </c>
      <c r="E537" s="3">
        <v>2006</v>
      </c>
      <c r="F537" s="4">
        <v>5</v>
      </c>
      <c r="G537" s="30">
        <v>0.2</v>
      </c>
      <c r="H537" s="7"/>
      <c r="I537" s="14" t="s">
        <v>86</v>
      </c>
      <c r="J537" s="5">
        <v>7</v>
      </c>
      <c r="K537" s="13">
        <f>E537+J537</f>
        <v>2013</v>
      </c>
      <c r="N537" s="6">
        <v>117561</v>
      </c>
      <c r="O537" s="31"/>
      <c r="P537" s="7">
        <f>N537-N537*G537</f>
        <v>94048.8</v>
      </c>
      <c r="Q537" s="7">
        <f>P537/J537/12</f>
        <v>1119.6285714285716</v>
      </c>
      <c r="R537" s="7">
        <f>IF(O537&gt;0,0,IF(OR(AD537&gt;AE537,AF537&lt;AG537),0,IF(AND(AF537&gt;=AG537,AF537&lt;=AE537),Q537*((AF537-AG537)*12),IF(AND(AG537&lt;=AD537,AE537&gt;=AD537),((AE537-AD537)*12)*Q537,IF(AF537&gt;AE537,12*Q537,0)))))</f>
        <v>0</v>
      </c>
      <c r="S537" s="7"/>
      <c r="T537" s="7">
        <f>IF(S537&gt;0,S537,R537)</f>
        <v>0</v>
      </c>
      <c r="U537" s="7">
        <v>1</v>
      </c>
      <c r="V537" s="7">
        <f>U537*SUM(R537:S537)</f>
        <v>0</v>
      </c>
      <c r="W537" s="7"/>
      <c r="X537" s="7">
        <f>IF(AD537&gt;AE537,0,IF(AF537&lt;AG537,P537,IF(AND(AF537&gt;=AG537,AF537&lt;=AE537),(P537-T537),IF(AND(AG537&lt;=AD537,AE537&gt;=AD537),0,IF(AF537&gt;AE537,((AG537-AD537)*12)*Q537,0)))))</f>
        <v>94048.8</v>
      </c>
      <c r="Y537" s="7">
        <f>X537*U537</f>
        <v>94048.8</v>
      </c>
      <c r="Z537" s="7">
        <v>1</v>
      </c>
      <c r="AA537" s="7">
        <f>Y537*Z537</f>
        <v>94048.8</v>
      </c>
      <c r="AB537" s="7">
        <f>IF(O537&gt;0,0,AA537+V537*Z537)*Z537</f>
        <v>94048.8</v>
      </c>
      <c r="AC537" s="7">
        <f>IF(O537&gt;0,(N537-AA537)/2,IF(AD537&gt;=AG537,(((N537*U537)*Z537)-AB537)/2,((((N537*U537)*Z537)-AA537)+(((N537*U537)*Z537)-AB537))/2))</f>
        <v>23512.199999999997</v>
      </c>
      <c r="AD537" s="7">
        <f>$E537+(($F537-1)/12)</f>
        <v>2006.3333333333333</v>
      </c>
      <c r="AE537" s="7">
        <f>($P$5+1)-($P$2/12)</f>
        <v>2018</v>
      </c>
      <c r="AF537" s="7">
        <f>$K537+(($F537-1)/12)</f>
        <v>2013.3333333333333</v>
      </c>
      <c r="AG537" s="7">
        <f>$P$4+($P$3/12)</f>
        <v>2017</v>
      </c>
      <c r="AH537" s="7">
        <f>$L537+(($M537-1)/12)</f>
        <v>-8.3333333333333329E-2</v>
      </c>
    </row>
    <row r="538" spans="2:34">
      <c r="D538" s="53"/>
      <c r="M538" s="38"/>
      <c r="N538" s="59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</row>
    <row r="539" spans="2:34">
      <c r="D539" s="53"/>
      <c r="M539" s="38"/>
      <c r="N539" s="59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</row>
    <row r="540" spans="2:34">
      <c r="D540" s="71" t="s">
        <v>430</v>
      </c>
      <c r="M540" s="96"/>
      <c r="N540" s="64"/>
      <c r="O540" s="96"/>
      <c r="P540" s="96"/>
      <c r="Q540" s="96"/>
      <c r="R540" s="96"/>
      <c r="S540" s="97"/>
    </row>
    <row r="541" spans="2:34">
      <c r="B541" s="4" t="s">
        <v>99</v>
      </c>
      <c r="C541" s="1">
        <v>32</v>
      </c>
      <c r="D541" s="29" t="s">
        <v>101</v>
      </c>
      <c r="E541" s="3">
        <v>2009</v>
      </c>
      <c r="F541" s="4">
        <v>12</v>
      </c>
      <c r="G541" s="30">
        <v>0.2</v>
      </c>
      <c r="H541" s="7"/>
      <c r="I541" s="14" t="s">
        <v>86</v>
      </c>
      <c r="J541" s="5">
        <v>7</v>
      </c>
      <c r="K541" s="13">
        <f>E541+J541</f>
        <v>2016</v>
      </c>
      <c r="N541" s="6">
        <v>143203.54999999999</v>
      </c>
      <c r="O541" s="31"/>
      <c r="P541" s="7">
        <f>N541-N541*G541</f>
        <v>114562.84</v>
      </c>
      <c r="Q541" s="7">
        <f>P541/J541/12</f>
        <v>1363.8433333333332</v>
      </c>
      <c r="R541" s="7">
        <f>IF(O541&gt;0,0,IF(OR(AD541&gt;AE541,AF541&lt;AG541),0,IF(AND(AF541&gt;=AG541,AF541&lt;=AE541),Q541*((AF541-AG541)*12),IF(AND(AG541&lt;=AD541,AE541&gt;=AD541),((AE541-AD541)*12)*Q541,IF(AF541&gt;AE541,12*Q541,0)))))</f>
        <v>0</v>
      </c>
      <c r="S541" s="7"/>
      <c r="T541" s="7">
        <f>IF(S541&gt;0,S541,R541)</f>
        <v>0</v>
      </c>
      <c r="U541" s="7">
        <v>1</v>
      </c>
      <c r="V541" s="7">
        <f>U541*SUM(R541:S541)</f>
        <v>0</v>
      </c>
      <c r="W541" s="7"/>
      <c r="X541" s="7">
        <f>IF(AD541&gt;AE541,0,IF(AF541&lt;AG541,P541,IF(AND(AF541&gt;=AG541,AF541&lt;=AE541),(P541-T541),IF(AND(AG541&lt;=AD541,AE541&gt;=AD541),0,IF(AF541&gt;AE541,((AG541-AD541)*12)*Q541,0)))))</f>
        <v>114562.84</v>
      </c>
      <c r="Y541" s="7">
        <f>X541*U541</f>
        <v>114562.84</v>
      </c>
      <c r="Z541" s="7">
        <v>1</v>
      </c>
      <c r="AA541" s="7">
        <f>Y541*Z541</f>
        <v>114562.84</v>
      </c>
      <c r="AB541" s="7">
        <f>IF(O541&gt;0,0,AA541+V541*Z541)*Z541</f>
        <v>114562.84</v>
      </c>
      <c r="AC541" s="7">
        <f>IF(O541&gt;0,(N541-AA541)/2,IF(AD541&gt;=AG541,(((N541*U541)*Z541)-AB541)/2,((((N541*U541)*Z541)-AA541)+(((N541*U541)*Z541)-AB541))/2))</f>
        <v>28640.709999999992</v>
      </c>
      <c r="AD541" s="7">
        <f>$E541+(($F541-1)/12)</f>
        <v>2009.9166666666667</v>
      </c>
      <c r="AE541" s="7">
        <f t="shared" si="12"/>
        <v>2018</v>
      </c>
      <c r="AF541" s="7">
        <f>$K541+(($F541-1)/12)</f>
        <v>2016.9166666666667</v>
      </c>
      <c r="AG541" s="7">
        <f t="shared" si="14"/>
        <v>2017</v>
      </c>
      <c r="AH541" s="7">
        <f>$L541+(($M541-1)/12)</f>
        <v>-8.3333333333333329E-2</v>
      </c>
    </row>
    <row r="543" spans="2:34">
      <c r="B543" s="4"/>
      <c r="D543" s="29"/>
      <c r="G543" s="30"/>
      <c r="H543" s="7"/>
      <c r="I543" s="14"/>
      <c r="K543" s="13"/>
      <c r="N543" s="52"/>
      <c r="O543" s="31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</row>
    <row r="544" spans="2:34">
      <c r="B544" s="4"/>
      <c r="D544" s="29"/>
      <c r="G544" s="30"/>
      <c r="H544" s="7"/>
      <c r="I544" s="14"/>
      <c r="K544" s="13"/>
      <c r="N544" s="52"/>
      <c r="O544" s="31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</row>
    <row r="545" spans="2:34">
      <c r="B545" s="4"/>
      <c r="D545" s="39"/>
      <c r="G545" s="30"/>
      <c r="H545" s="7"/>
      <c r="I545" s="14"/>
      <c r="J545" s="51"/>
      <c r="K545" s="13"/>
      <c r="N545" s="48"/>
      <c r="O545" s="31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</row>
    <row r="546" spans="2:34">
      <c r="B546" s="4"/>
      <c r="D546" s="29"/>
      <c r="G546" s="30"/>
      <c r="H546" s="7"/>
      <c r="I546" s="14"/>
      <c r="K546" s="13"/>
      <c r="N546" s="48"/>
      <c r="O546" s="31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</row>
    <row r="547" spans="2:34">
      <c r="B547" s="4"/>
      <c r="D547" s="54"/>
      <c r="G547" s="30"/>
      <c r="H547" s="7"/>
      <c r="I547" s="14"/>
      <c r="J547" s="51"/>
      <c r="K547" s="13"/>
      <c r="N547" s="48"/>
      <c r="O547" s="31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</row>
    <row r="548" spans="2:34">
      <c r="B548" s="4"/>
      <c r="D548" s="54"/>
      <c r="G548" s="30"/>
      <c r="H548" s="7"/>
      <c r="I548" s="14"/>
      <c r="J548" s="51"/>
      <c r="K548" s="13"/>
      <c r="N548" s="48"/>
      <c r="O548" s="31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</row>
    <row r="549" spans="2:34">
      <c r="B549" s="4"/>
      <c r="D549" s="39"/>
      <c r="G549" s="30"/>
      <c r="H549" s="7"/>
      <c r="I549" s="14"/>
      <c r="K549" s="13"/>
      <c r="N549" s="48"/>
      <c r="O549" s="31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</row>
    <row r="550" spans="2:34">
      <c r="B550" s="4"/>
      <c r="D550" s="39"/>
      <c r="G550" s="30"/>
      <c r="H550" s="7"/>
      <c r="I550" s="14"/>
      <c r="K550" s="13"/>
      <c r="N550" s="48"/>
      <c r="O550" s="31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</row>
    <row r="551" spans="2:34">
      <c r="B551" s="4"/>
      <c r="D551" s="54"/>
      <c r="G551" s="30"/>
      <c r="H551" s="7"/>
      <c r="I551" s="14"/>
      <c r="K551" s="13"/>
      <c r="N551" s="48"/>
      <c r="O551" s="31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</row>
    <row r="552" spans="2:34">
      <c r="B552" s="4"/>
      <c r="D552" s="54"/>
      <c r="G552" s="30"/>
      <c r="H552" s="7"/>
      <c r="I552" s="14"/>
      <c r="K552" s="13"/>
      <c r="N552" s="48"/>
      <c r="O552" s="31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</row>
    <row r="553" spans="2:34">
      <c r="B553" s="4"/>
      <c r="D553" s="39"/>
      <c r="G553" s="30"/>
      <c r="H553" s="7"/>
      <c r="I553" s="14"/>
      <c r="K553" s="13"/>
      <c r="N553" s="48"/>
      <c r="O553" s="31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</row>
    <row r="554" spans="2:34">
      <c r="B554" s="4"/>
      <c r="D554" s="29"/>
      <c r="G554" s="30"/>
      <c r="H554" s="7"/>
      <c r="I554" s="14"/>
      <c r="K554" s="13"/>
      <c r="N554" s="48"/>
      <c r="O554" s="31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</row>
    <row r="555" spans="2:34">
      <c r="B555" s="4"/>
      <c r="D555" s="39"/>
      <c r="G555" s="30"/>
      <c r="H555" s="7"/>
      <c r="I555" s="14"/>
      <c r="K555" s="13"/>
      <c r="N555" s="48"/>
      <c r="O555" s="31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</row>
    <row r="556" spans="2:34">
      <c r="B556" s="4"/>
      <c r="D556" s="29"/>
      <c r="G556" s="30"/>
      <c r="H556" s="7"/>
      <c r="I556" s="14"/>
      <c r="K556" s="13"/>
      <c r="N556" s="48"/>
      <c r="O556" s="31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</row>
    <row r="557" spans="2:34">
      <c r="B557" s="4"/>
      <c r="D557" s="29"/>
      <c r="G557" s="30"/>
      <c r="H557" s="7"/>
      <c r="I557" s="14"/>
      <c r="K557" s="13"/>
      <c r="N557" s="52"/>
      <c r="O557" s="31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</row>
    <row r="558" spans="2:34">
      <c r="B558" s="4"/>
      <c r="D558" s="29"/>
      <c r="G558" s="30"/>
      <c r="H558" s="7"/>
      <c r="I558" s="14"/>
      <c r="K558" s="13"/>
      <c r="O558" s="31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</row>
    <row r="559" spans="2:34">
      <c r="B559" s="4"/>
      <c r="D559" s="29"/>
      <c r="G559" s="30"/>
      <c r="H559" s="7"/>
      <c r="I559" s="14"/>
      <c r="K559" s="13"/>
      <c r="O559" s="31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</row>
    <row r="560" spans="2:34">
      <c r="B560" s="4"/>
      <c r="D560" s="29"/>
      <c r="G560" s="30"/>
      <c r="H560" s="7"/>
      <c r="I560" s="14"/>
      <c r="K560" s="13"/>
      <c r="O560" s="31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</row>
    <row r="561" spans="2:34">
      <c r="B561" s="4"/>
      <c r="D561" s="29"/>
      <c r="G561" s="30"/>
      <c r="H561" s="7"/>
      <c r="I561" s="14"/>
      <c r="K561" s="13"/>
      <c r="O561" s="31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</row>
    <row r="562" spans="2:34">
      <c r="B562" s="4"/>
      <c r="D562" s="29"/>
      <c r="G562" s="30"/>
      <c r="H562" s="7"/>
      <c r="I562" s="14"/>
      <c r="K562" s="13"/>
      <c r="O562" s="31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</row>
    <row r="563" spans="2:34">
      <c r="B563" s="4"/>
      <c r="D563" s="29"/>
      <c r="G563" s="30"/>
      <c r="H563" s="7"/>
      <c r="I563" s="14"/>
      <c r="K563" s="13"/>
      <c r="O563" s="31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</row>
    <row r="564" spans="2:34">
      <c r="B564" s="4"/>
      <c r="D564" s="29"/>
      <c r="G564" s="30"/>
      <c r="H564" s="7"/>
      <c r="I564" s="14"/>
      <c r="K564" s="13"/>
      <c r="N564" s="47"/>
      <c r="O564" s="31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</row>
    <row r="565" spans="2:34">
      <c r="B565" s="4"/>
      <c r="D565" s="29"/>
      <c r="G565" s="30"/>
      <c r="H565" s="7"/>
      <c r="I565" s="14"/>
      <c r="K565" s="13"/>
      <c r="N565" s="47"/>
      <c r="O565" s="31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</row>
    <row r="566" spans="2:34">
      <c r="B566" s="4"/>
      <c r="D566" s="29"/>
      <c r="G566" s="30"/>
      <c r="H566" s="7"/>
      <c r="I566" s="14"/>
      <c r="K566" s="13"/>
      <c r="O566" s="31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</row>
    <row r="567" spans="2:34">
      <c r="B567" s="4"/>
      <c r="D567" s="29"/>
      <c r="G567" s="30"/>
      <c r="H567" s="7"/>
      <c r="I567" s="14"/>
      <c r="K567" s="13"/>
      <c r="O567" s="31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</row>
    <row r="568" spans="2:34">
      <c r="B568" s="4"/>
      <c r="D568" s="39"/>
      <c r="G568" s="30"/>
      <c r="H568" s="7"/>
      <c r="I568" s="14"/>
      <c r="J568" s="51"/>
      <c r="K568" s="13"/>
      <c r="N568" s="48"/>
      <c r="O568" s="31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</row>
    <row r="569" spans="2:34"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</row>
  </sheetData>
  <mergeCells count="1">
    <mergeCell ref="AJ5:AR6"/>
  </mergeCells>
  <pageMargins left="0.5" right="0.5" top="0.5" bottom="0.55000000000000004" header="0.5" footer="0.5"/>
  <pageSetup scale="65" orientation="landscape" r:id="rId1"/>
  <headerFooter alignWithMargins="0"/>
  <rowBreaks count="5" manualBreakCount="5">
    <brk id="120" min="1" max="28" man="1"/>
    <brk id="172" min="1" max="28" man="1"/>
    <brk id="230" min="1" max="28" man="1"/>
    <brk id="339" min="1" max="28" man="1"/>
    <brk id="446" min="1" max="28" man="1"/>
  </rowBreaks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1</xdr:col>
                <xdr:colOff>104775</xdr:colOff>
                <xdr:row>7</xdr:row>
                <xdr:rowOff>0</xdr:rowOff>
              </from>
              <to>
                <xdr:col>1</xdr:col>
                <xdr:colOff>180975</xdr:colOff>
                <xdr:row>7</xdr:row>
                <xdr:rowOff>76200</xdr:rowOff>
              </to>
            </anchor>
          </controlPr>
        </control>
      </mc:Choice>
      <mc:Fallback>
        <control shapeId="1025" r:id="rId4" name="Check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050B59E411114797892F1D115E5C62" ma:contentTypeVersion="36" ma:contentTypeDescription="" ma:contentTypeScope="" ma:versionID="e21a021681ae1d98822d8a5e50f2e4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2021-01-15T08:00:00+00:00</OpenedDate>
    <SignificantOrder xmlns="dc463f71-b30c-4ab2-9473-d307f9d35888">false</SignificantOrder>
    <Date1 xmlns="dc463f71-b30c-4ab2-9473-d307f9d35888">2021-01-15T08:00:00+00:00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</CaseCompanyNames>
    <Nickname xmlns="http://schemas.microsoft.com/sharepoint/v3" xsi:nil="true"/>
    <DocketNumber xmlns="dc463f71-b30c-4ab2-9473-d307f9d35888">210038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FFC1A91-F227-4B31-B0DC-7D2E8DD4004F}"/>
</file>

<file path=customXml/itemProps2.xml><?xml version="1.0" encoding="utf-8"?>
<ds:datastoreItem xmlns:ds="http://schemas.openxmlformats.org/officeDocument/2006/customXml" ds:itemID="{BBEBBF3A-C68A-4869-9BBD-1CF97DBCB067}"/>
</file>

<file path=customXml/itemProps3.xml><?xml version="1.0" encoding="utf-8"?>
<ds:datastoreItem xmlns:ds="http://schemas.openxmlformats.org/officeDocument/2006/customXml" ds:itemID="{86270F8F-185B-4BBA-A5F6-C8BC7E9BF850}"/>
</file>

<file path=customXml/itemProps4.xml><?xml version="1.0" encoding="utf-8"?>
<ds:datastoreItem xmlns:ds="http://schemas.openxmlformats.org/officeDocument/2006/customXml" ds:itemID="{9153624F-CAC7-4AE6-99C0-8BB7A1326E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Depr Summary</vt:lpstr>
      <vt:lpstr>Depreciation</vt:lpstr>
      <vt:lpstr>Depreciation - Orig.</vt:lpstr>
      <vt:lpstr>'Depr Summary'!Print_Area</vt:lpstr>
      <vt:lpstr>Depreciation!Print_Area</vt:lpstr>
      <vt:lpstr>'Depreciation - Orig.'!Print_Area</vt:lpstr>
      <vt:lpstr>Depreciation!Print_Area_MI</vt:lpstr>
      <vt:lpstr>'Depreciation - Orig.'!Print_Area_MI</vt:lpstr>
      <vt:lpstr>Depreciation!Print_Titles</vt:lpstr>
      <vt:lpstr>'Depreciation - Orig.'!Print_Titles</vt:lpstr>
    </vt:vector>
  </TitlesOfParts>
  <Company>Waste Connections,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2021-01-15T23:14:57Z</cp:lastPrinted>
  <dcterms:created xsi:type="dcterms:W3CDTF">2013-04-10T23:02:45Z</dcterms:created>
  <dcterms:modified xsi:type="dcterms:W3CDTF">2021-01-15T23:15:09Z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0x0101006E56B4D1795A2E4DB2F0B01679ED314A001F050B59E411114797892F1D115E5C62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