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0-XX Electric Schedule 62 - Substation and Related Equipment Capacity (UE-20xxxx) (Eff. 01-01-21)\Workpapers\"/>
    </mc:Choice>
  </mc:AlternateContent>
  <bookViews>
    <workbookView xWindow="480" yWindow="465" windowWidth="17490" windowHeight="10890" tabRatio="856"/>
  </bookViews>
  <sheets>
    <sheet name="FCR Read Me" sheetId="1" r:id="rId1"/>
    <sheet name="Sch 62 FCR Table" sheetId="5" r:id="rId2"/>
    <sheet name="Workpapers -&gt;" sheetId="9" r:id="rId3"/>
    <sheet name="FCR Rates Feeder" sheetId="7" r:id="rId4"/>
    <sheet name="FCR Rates Sub" sheetId="2" r:id="rId5"/>
    <sheet name="Lvl FCR Sub Equip" sheetId="3" r:id="rId6"/>
    <sheet name="Lvl FCR Feeder" sheetId="6" r:id="rId7"/>
    <sheet name="LvlFCR Land" sheetId="4" r:id="rId8"/>
    <sheet name="Sub &amp; Feeder Depr Life" sheetId="8" r:id="rId9"/>
  </sheets>
  <definedNames>
    <definedName name="_Regression_Int" localSheetId="6" hidden="1">1</definedName>
    <definedName name="_Regression_Int" localSheetId="5" hidden="1">1</definedName>
    <definedName name="_xlnm.Print_Area" localSheetId="3">'FCR Rates Feeder'!$A$1:$D$40</definedName>
    <definedName name="_xlnm.Print_Area" localSheetId="4">'FCR Rates Sub'!$A$1:$H$55</definedName>
    <definedName name="_xlnm.Print_Area" localSheetId="0">'FCR Read Me'!$A$1:$C$22</definedName>
    <definedName name="_xlnm.Print_Area" localSheetId="6">'Lvl FCR Feeder'!$A$1:$M$56</definedName>
    <definedName name="_xlnm.Print_Area" localSheetId="5">'Lvl FCR Sub Equip'!$A$1:$M$70</definedName>
    <definedName name="_xlnm.Print_Area" localSheetId="7">'LvlFCR Land'!$A$1:$R$68</definedName>
    <definedName name="_xlnm.Print_Area" localSheetId="1">'Sch 62 FCR Table'!$A$1:$E$57</definedName>
    <definedName name="_xlnm.Print_Area" localSheetId="8">'Sub &amp; Feeder Depr Life'!$P$2:$AC$23</definedName>
  </definedNames>
  <calcPr calcId="162913" iterate="1" calcOnSave="0"/>
</workbook>
</file>

<file path=xl/calcChain.xml><?xml version="1.0" encoding="utf-8"?>
<calcChain xmlns="http://schemas.openxmlformats.org/spreadsheetml/2006/main">
  <c r="E54" i="6" l="1"/>
  <c r="C54" i="6"/>
  <c r="E52" i="6"/>
  <c r="A52" i="6"/>
  <c r="I66" i="4"/>
  <c r="E66" i="4"/>
  <c r="E64" i="4"/>
  <c r="B64" i="4"/>
  <c r="A64" i="4"/>
  <c r="C66" i="4" l="1"/>
  <c r="E68" i="3"/>
  <c r="C68" i="3"/>
  <c r="E12" i="4" l="1"/>
  <c r="E11" i="4"/>
  <c r="S13" i="3"/>
  <c r="S14" i="3" s="1"/>
  <c r="S15" i="3" l="1"/>
  <c r="S16" i="3" s="1"/>
  <c r="H13" i="3" s="1"/>
  <c r="H14" i="3"/>
  <c r="B15" i="4" l="1"/>
  <c r="B16" i="4" s="1"/>
  <c r="AA17" i="8" l="1"/>
  <c r="AB17" i="8" s="1"/>
  <c r="AA16" i="8"/>
  <c r="AB16" i="8" s="1"/>
  <c r="AA15" i="8"/>
  <c r="AB15" i="8" s="1"/>
  <c r="AA14" i="8"/>
  <c r="AB14" i="8" s="1"/>
  <c r="AB18" i="8" s="1"/>
  <c r="AA12" i="8"/>
  <c r="AB12" i="8" s="1"/>
  <c r="H12" i="3" l="1"/>
  <c r="I10" i="4"/>
  <c r="L29" i="8"/>
  <c r="N29" i="8"/>
  <c r="P29" i="8"/>
  <c r="R29" i="8"/>
  <c r="T29" i="8" l="1"/>
  <c r="L6" i="4"/>
  <c r="L5" i="4"/>
  <c r="L3" i="4"/>
  <c r="L2" i="4"/>
  <c r="L4" i="4" l="1"/>
  <c r="L8" i="4" s="1"/>
  <c r="I68" i="4" l="1"/>
  <c r="E68" i="4"/>
  <c r="H12" i="6"/>
  <c r="I52" i="6" s="1"/>
  <c r="I51" i="6" l="1"/>
  <c r="H14" i="6" l="1"/>
  <c r="F52" i="6" s="1"/>
  <c r="I12" i="4" l="1"/>
  <c r="F64" i="4" s="1"/>
  <c r="H11" i="6"/>
  <c r="H13" i="6"/>
  <c r="I11" i="4" l="1"/>
  <c r="I49" i="6"/>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54" i="6" l="1"/>
  <c r="I17" i="3"/>
  <c r="A7" i="7"/>
  <c r="A18" i="6"/>
  <c r="A19" i="6" s="1"/>
  <c r="D17" i="6"/>
  <c r="B17" i="6"/>
  <c r="J17" i="6" s="1"/>
  <c r="D13" i="6"/>
  <c r="D14" i="6"/>
  <c r="A8" i="7" l="1"/>
  <c r="A9" i="7" s="1"/>
  <c r="E51" i="6"/>
  <c r="F51" i="6" s="1"/>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E17" i="6"/>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F17" i="6" l="1"/>
  <c r="A10" i="7"/>
  <c r="B19" i="6"/>
  <c r="J19" i="6" s="1"/>
  <c r="A21" i="6"/>
  <c r="F54" i="6" l="1"/>
  <c r="A11" i="7"/>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J7" i="6"/>
  <c r="K7" i="6"/>
  <c r="K6" i="6"/>
  <c r="J6" i="6"/>
  <c r="J4" i="6"/>
  <c r="K4" i="6"/>
  <c r="K3" i="6"/>
  <c r="J3" i="6" l="1"/>
  <c r="J5" i="6" s="1"/>
  <c r="J4" i="4"/>
  <c r="A27" i="7"/>
  <c r="D34" i="6"/>
  <c r="B36" i="6"/>
  <c r="J36" i="6" s="1"/>
  <c r="A38" i="6"/>
  <c r="A12" i="5"/>
  <c r="K4" i="3"/>
  <c r="K3" i="3"/>
  <c r="J4" i="3"/>
  <c r="J3" i="3"/>
  <c r="A28" i="7" l="1"/>
  <c r="A39" i="6"/>
  <c r="D35" i="6"/>
  <c r="B37" i="6"/>
  <c r="J37" i="6" s="1"/>
  <c r="A13" i="5"/>
  <c r="J5" i="3"/>
  <c r="L6" i="6"/>
  <c r="B17" i="4"/>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E30" i="4"/>
  <c r="F30" i="4" s="1"/>
  <c r="E32" i="4"/>
  <c r="F32" i="4" s="1"/>
  <c r="E34" i="4"/>
  <c r="F34" i="4" s="1"/>
  <c r="E36" i="4"/>
  <c r="F36" i="4" s="1"/>
  <c r="E38" i="4"/>
  <c r="F38" i="4" s="1"/>
  <c r="E40" i="4"/>
  <c r="F40" i="4" s="1"/>
  <c r="E42" i="4"/>
  <c r="F42" i="4" s="1"/>
  <c r="E44" i="4"/>
  <c r="F44" i="4" s="1"/>
  <c r="E46" i="4"/>
  <c r="F46" i="4" s="1"/>
  <c r="E48" i="4"/>
  <c r="F48" i="4" s="1"/>
  <c r="E50" i="4"/>
  <c r="F50" i="4" s="1"/>
  <c r="E52" i="4"/>
  <c r="F52" i="4" s="1"/>
  <c r="J6" i="3"/>
  <c r="K6" i="3"/>
  <c r="J7" i="3"/>
  <c r="K7" i="3"/>
  <c r="D14" i="3"/>
  <c r="D13" i="3"/>
  <c r="B17" i="3"/>
  <c r="D17" i="3"/>
  <c r="A18" i="3"/>
  <c r="E23"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E27" i="3" l="1"/>
  <c r="E55" i="3"/>
  <c r="E59" i="3"/>
  <c r="E63" i="3"/>
  <c r="E58" i="3"/>
  <c r="E64" i="3"/>
  <c r="E65" i="3"/>
  <c r="E52" i="3"/>
  <c r="E53" i="3"/>
  <c r="E61" i="3"/>
  <c r="E66" i="3"/>
  <c r="E54" i="3"/>
  <c r="E62" i="3"/>
  <c r="E57" i="3"/>
  <c r="E56" i="3"/>
  <c r="E60" i="3"/>
  <c r="E5" i="2"/>
  <c r="J17" i="3"/>
  <c r="E24" i="3"/>
  <c r="E35" i="3"/>
  <c r="E31" i="3"/>
  <c r="E60" i="4"/>
  <c r="F60" i="4" s="1"/>
  <c r="E61" i="4"/>
  <c r="F61" i="4" s="1"/>
  <c r="E62" i="4"/>
  <c r="F62"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38" i="3"/>
  <c r="E40" i="3"/>
  <c r="E42" i="3"/>
  <c r="E44" i="3"/>
  <c r="E46" i="3"/>
  <c r="E48" i="3"/>
  <c r="E50" i="3"/>
  <c r="E37" i="3"/>
  <c r="E39" i="3"/>
  <c r="E41" i="3"/>
  <c r="E43" i="3"/>
  <c r="E45" i="3"/>
  <c r="E47" i="3"/>
  <c r="E49" i="3"/>
  <c r="E51" i="3"/>
  <c r="E57" i="4"/>
  <c r="F57" i="4" s="1"/>
  <c r="E55" i="4"/>
  <c r="F55" i="4" s="1"/>
  <c r="E58" i="4"/>
  <c r="F58" i="4" s="1"/>
  <c r="E56" i="4"/>
  <c r="F56" i="4" s="1"/>
  <c r="E54" i="4"/>
  <c r="F54" i="4" s="1"/>
  <c r="L7" i="3"/>
  <c r="L7" i="6"/>
  <c r="H18" i="6" s="1"/>
  <c r="A29" i="7"/>
  <c r="D36" i="6"/>
  <c r="A40" i="6"/>
  <c r="B38" i="6"/>
  <c r="J38" i="6" s="1"/>
  <c r="A14" i="5"/>
  <c r="H15" i="4"/>
  <c r="L6" i="3"/>
  <c r="B19" i="4"/>
  <c r="B20" i="4" s="1"/>
  <c r="B21" i="4" s="1"/>
  <c r="B22" i="4" s="1"/>
  <c r="E17" i="3"/>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66" i="4" l="1"/>
  <c r="F68" i="4"/>
  <c r="F17" i="3"/>
  <c r="J15" i="4"/>
  <c r="K18" i="6"/>
  <c r="F19" i="3"/>
  <c r="A20" i="3"/>
  <c r="I20" i="3" s="1"/>
  <c r="F20" i="3" s="1"/>
  <c r="F18" i="3"/>
  <c r="H35" i="6"/>
  <c r="K35" i="6" s="1"/>
  <c r="D16" i="4"/>
  <c r="H17" i="3"/>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21" i="3"/>
  <c r="I21" i="3" s="1"/>
  <c r="F21" i="3" s="1"/>
  <c r="B23" i="4"/>
  <c r="B18" i="3"/>
  <c r="E6" i="2" s="1"/>
  <c r="K17" i="3" l="1"/>
  <c r="J18" i="3"/>
  <c r="A31" i="7"/>
  <c r="A42" i="6"/>
  <c r="B40" i="6"/>
  <c r="J40" i="6" s="1"/>
  <c r="D38" i="6"/>
  <c r="H37" i="6"/>
  <c r="K37" i="6" s="1"/>
  <c r="A16" i="5"/>
  <c r="B24" i="4"/>
  <c r="A22" i="3"/>
  <c r="I22" i="3" s="1"/>
  <c r="F22" i="3" s="1"/>
  <c r="B19" i="3"/>
  <c r="E7" i="2" s="1"/>
  <c r="H16" i="4"/>
  <c r="D17" i="4"/>
  <c r="D18" i="3"/>
  <c r="J19" i="3" l="1"/>
  <c r="A32" i="7"/>
  <c r="B41" i="6"/>
  <c r="J41" i="6" s="1"/>
  <c r="D39" i="6"/>
  <c r="H38" i="6"/>
  <c r="A43" i="6"/>
  <c r="A17" i="5"/>
  <c r="A23" i="3"/>
  <c r="I23" i="3" s="1"/>
  <c r="F23" i="3" s="1"/>
  <c r="B25" i="4"/>
  <c r="J16" i="4"/>
  <c r="B20" i="3"/>
  <c r="E8" i="2" s="1"/>
  <c r="H18" i="3"/>
  <c r="D19" i="3"/>
  <c r="H17" i="4"/>
  <c r="J17" i="4" s="1"/>
  <c r="D18" i="4"/>
  <c r="K18" i="3" l="1"/>
  <c r="K38" i="6"/>
  <c r="J20" i="3"/>
  <c r="A33" i="7"/>
  <c r="A44" i="6"/>
  <c r="D40" i="6"/>
  <c r="H39" i="6"/>
  <c r="K39" i="6" s="1"/>
  <c r="B42" i="6"/>
  <c r="J42" i="6" s="1"/>
  <c r="A18" i="5"/>
  <c r="B26" i="4"/>
  <c r="A24" i="3"/>
  <c r="I24" i="3" s="1"/>
  <c r="F24" i="3" s="1"/>
  <c r="H18" i="4"/>
  <c r="D19" i="4"/>
  <c r="B21" i="3"/>
  <c r="E9" i="2" s="1"/>
  <c r="H19" i="3"/>
  <c r="K19" i="3" s="1"/>
  <c r="D20" i="3"/>
  <c r="J18" i="4" l="1"/>
  <c r="J21" i="3"/>
  <c r="A34" i="7"/>
  <c r="D41" i="6"/>
  <c r="H40" i="6"/>
  <c r="A45" i="6"/>
  <c r="B43" i="6"/>
  <c r="J43" i="6" s="1"/>
  <c r="A19" i="5"/>
  <c r="A25" i="3"/>
  <c r="I25" i="3" s="1"/>
  <c r="F25" i="3" s="1"/>
  <c r="B27" i="4"/>
  <c r="H20" i="3"/>
  <c r="K20" i="3" s="1"/>
  <c r="D21" i="3"/>
  <c r="H19" i="4"/>
  <c r="D20" i="4"/>
  <c r="B22" i="3"/>
  <c r="E10" i="2" s="1"/>
  <c r="K40" i="6" l="1"/>
  <c r="J22" i="3"/>
  <c r="A35" i="7"/>
  <c r="A46" i="6"/>
  <c r="D42" i="6"/>
  <c r="H41" i="6"/>
  <c r="K41" i="6" s="1"/>
  <c r="B44" i="6"/>
  <c r="J44" i="6" s="1"/>
  <c r="A20" i="5"/>
  <c r="B28" i="4"/>
  <c r="A26" i="3"/>
  <c r="I26" i="3" s="1"/>
  <c r="F26" i="3" s="1"/>
  <c r="J19" i="4"/>
  <c r="H21" i="3"/>
  <c r="K21" i="3" s="1"/>
  <c r="D22" i="3"/>
  <c r="B23" i="3"/>
  <c r="E11" i="2" s="1"/>
  <c r="H20" i="4"/>
  <c r="D21" i="4"/>
  <c r="J23" i="3" l="1"/>
  <c r="A36" i="7"/>
  <c r="D43" i="6"/>
  <c r="H42" i="6"/>
  <c r="K42" i="6" s="1"/>
  <c r="B45" i="6"/>
  <c r="J45" i="6" s="1"/>
  <c r="A47" i="6"/>
  <c r="A21" i="5"/>
  <c r="A27" i="3"/>
  <c r="I27" i="3" s="1"/>
  <c r="F27" i="3" s="1"/>
  <c r="B29" i="4"/>
  <c r="J20" i="4"/>
  <c r="B24" i="3"/>
  <c r="E12" i="2" s="1"/>
  <c r="H21" i="4"/>
  <c r="J21" i="4" s="1"/>
  <c r="D22" i="4"/>
  <c r="H22" i="3"/>
  <c r="K22" i="3" s="1"/>
  <c r="D23" i="3"/>
  <c r="J24" i="3" l="1"/>
  <c r="A37" i="7"/>
  <c r="A48" i="6"/>
  <c r="B46" i="6"/>
  <c r="J46" i="6" s="1"/>
  <c r="D44" i="6"/>
  <c r="D45" i="6" s="1"/>
  <c r="H43" i="6"/>
  <c r="K43" i="6" s="1"/>
  <c r="A22" i="5"/>
  <c r="B30" i="4"/>
  <c r="A28" i="3"/>
  <c r="I28" i="3" s="1"/>
  <c r="F28" i="3" s="1"/>
  <c r="H23" i="3"/>
  <c r="K23" i="3" s="1"/>
  <c r="D24" i="3"/>
  <c r="B25" i="3"/>
  <c r="E13" i="2" s="1"/>
  <c r="H22" i="4"/>
  <c r="D23" i="4"/>
  <c r="A38" i="7" l="1"/>
  <c r="J25" i="3"/>
  <c r="H44" i="6"/>
  <c r="K44" i="6" s="1"/>
  <c r="B47" i="6"/>
  <c r="J47" i="6" s="1"/>
  <c r="A49" i="6"/>
  <c r="A23" i="5"/>
  <c r="A29" i="3"/>
  <c r="I29" i="3" s="1"/>
  <c r="F29" i="3" s="1"/>
  <c r="B31" i="4"/>
  <c r="H23" i="4"/>
  <c r="D24" i="4"/>
  <c r="H24" i="3"/>
  <c r="K24" i="3" s="1"/>
  <c r="D25" i="3"/>
  <c r="J22" i="4"/>
  <c r="B26" i="3"/>
  <c r="E14" i="2" s="1"/>
  <c r="A39" i="7" l="1"/>
  <c r="J26" i="3"/>
  <c r="A50" i="6"/>
  <c r="A51" i="6" s="1"/>
  <c r="D46" i="6"/>
  <c r="H45" i="6"/>
  <c r="K45" i="6" s="1"/>
  <c r="B48" i="6"/>
  <c r="J48" i="6" s="1"/>
  <c r="A24" i="5"/>
  <c r="B32" i="4"/>
  <c r="A30" i="3"/>
  <c r="I30" i="3" s="1"/>
  <c r="F30" i="3" s="1"/>
  <c r="B27" i="3"/>
  <c r="E15" i="2" s="1"/>
  <c r="H24" i="4"/>
  <c r="J24" i="4" s="1"/>
  <c r="D25" i="4"/>
  <c r="H25" i="3"/>
  <c r="K25" i="3" s="1"/>
  <c r="D26" i="3"/>
  <c r="J23" i="4"/>
  <c r="A40" i="7" l="1"/>
  <c r="J27" i="3"/>
  <c r="D47" i="6"/>
  <c r="H46" i="6"/>
  <c r="K46" i="6" s="1"/>
  <c r="B49" i="6"/>
  <c r="J49" i="6" s="1"/>
  <c r="A25" i="5"/>
  <c r="A31" i="3"/>
  <c r="I31" i="3" s="1"/>
  <c r="F31" i="3" s="1"/>
  <c r="B33" i="4"/>
  <c r="H25" i="4"/>
  <c r="J25" i="4" s="1"/>
  <c r="D26" i="4"/>
  <c r="H26" i="3"/>
  <c r="K26" i="3" s="1"/>
  <c r="D27" i="3"/>
  <c r="B28" i="3"/>
  <c r="E16" i="2" s="1"/>
  <c r="J28" i="3" l="1"/>
  <c r="D48" i="6"/>
  <c r="H47" i="6"/>
  <c r="K47" i="6" s="1"/>
  <c r="B50" i="6"/>
  <c r="A26" i="5"/>
  <c r="B34" i="4"/>
  <c r="A32" i="3"/>
  <c r="I32" i="3" s="1"/>
  <c r="F32" i="3" s="1"/>
  <c r="H26" i="4"/>
  <c r="J26" i="4" s="1"/>
  <c r="D27" i="4"/>
  <c r="H27" i="3"/>
  <c r="K27" i="3" s="1"/>
  <c r="D28" i="3"/>
  <c r="B29" i="3"/>
  <c r="E17" i="2" s="1"/>
  <c r="J50" i="6" l="1"/>
  <c r="B51" i="6"/>
  <c r="B52" i="6" s="1"/>
  <c r="J52" i="6" s="1"/>
  <c r="J29" i="3"/>
  <c r="D49" i="6"/>
  <c r="H48" i="6"/>
  <c r="K48" i="6" s="1"/>
  <c r="A27" i="5"/>
  <c r="A33" i="3"/>
  <c r="I33" i="3" s="1"/>
  <c r="F33" i="3" s="1"/>
  <c r="B35" i="4"/>
  <c r="H27" i="4"/>
  <c r="J27" i="4" s="1"/>
  <c r="D28" i="4"/>
  <c r="H28" i="3"/>
  <c r="K28" i="3" s="1"/>
  <c r="D29" i="3"/>
  <c r="B30" i="3"/>
  <c r="E18" i="2" s="1"/>
  <c r="J51" i="6" l="1"/>
  <c r="J30" i="3"/>
  <c r="D50" i="6"/>
  <c r="D51" i="6" s="1"/>
  <c r="D52" i="6" s="1"/>
  <c r="H49" i="6"/>
  <c r="K49" i="6" s="1"/>
  <c r="A28" i="5"/>
  <c r="B36" i="4"/>
  <c r="A34" i="3"/>
  <c r="I34" i="3" s="1"/>
  <c r="F34" i="3" s="1"/>
  <c r="H29" i="3"/>
  <c r="K29" i="3" s="1"/>
  <c r="D30" i="3"/>
  <c r="B31" i="3"/>
  <c r="E19" i="2" s="1"/>
  <c r="H28" i="4"/>
  <c r="J28" i="4" s="1"/>
  <c r="D29" i="4"/>
  <c r="H52" i="6" l="1"/>
  <c r="K52" i="6" s="1"/>
  <c r="J54" i="6"/>
  <c r="H51" i="6"/>
  <c r="J31" i="3"/>
  <c r="H50" i="6"/>
  <c r="K50" i="6" s="1"/>
  <c r="A29" i="5"/>
  <c r="A35" i="3"/>
  <c r="I35" i="3" s="1"/>
  <c r="F35" i="3" s="1"/>
  <c r="B37" i="4"/>
  <c r="H30" i="3"/>
  <c r="K30" i="3" s="1"/>
  <c r="D31" i="3"/>
  <c r="B32" i="3"/>
  <c r="E20" i="2" s="1"/>
  <c r="H29" i="4"/>
  <c r="J29" i="4" s="1"/>
  <c r="D30" i="4"/>
  <c r="K51" i="6" l="1"/>
  <c r="H54" i="6"/>
  <c r="J32" i="3"/>
  <c r="A30" i="5"/>
  <c r="B38" i="4"/>
  <c r="A36" i="3"/>
  <c r="I36" i="3" s="1"/>
  <c r="F36" i="3" s="1"/>
  <c r="H31" i="3"/>
  <c r="K31" i="3" s="1"/>
  <c r="D32" i="3"/>
  <c r="H30" i="4"/>
  <c r="J30" i="4" s="1"/>
  <c r="D31" i="4"/>
  <c r="B33" i="3"/>
  <c r="E21" i="2" s="1"/>
  <c r="K54" i="6" l="1"/>
  <c r="J33" i="3"/>
  <c r="A31" i="5"/>
  <c r="A37" i="3"/>
  <c r="I37" i="3" s="1"/>
  <c r="F37" i="3" s="1"/>
  <c r="B39" i="4"/>
  <c r="B34" i="3"/>
  <c r="E22" i="2" s="1"/>
  <c r="H32" i="3"/>
  <c r="K32" i="3" s="1"/>
  <c r="D33" i="3"/>
  <c r="H31" i="4"/>
  <c r="J31" i="4" s="1"/>
  <c r="D32" i="4"/>
  <c r="J34" i="3" l="1"/>
  <c r="A32" i="5"/>
  <c r="B40" i="4"/>
  <c r="A38" i="3"/>
  <c r="I38" i="3" s="1"/>
  <c r="F38" i="3" s="1"/>
  <c r="H32" i="4"/>
  <c r="J32" i="4" s="1"/>
  <c r="D33" i="4"/>
  <c r="B35" i="3"/>
  <c r="E23" i="2" s="1"/>
  <c r="H33" i="3"/>
  <c r="K33" i="3" s="1"/>
  <c r="D34" i="3"/>
  <c r="J35" i="3" l="1"/>
  <c r="A33" i="5"/>
  <c r="B41" i="4"/>
  <c r="A39" i="3"/>
  <c r="I39" i="3" s="1"/>
  <c r="F39" i="3" s="1"/>
  <c r="H33" i="4"/>
  <c r="J33" i="4" s="1"/>
  <c r="D34" i="4"/>
  <c r="H34" i="3"/>
  <c r="K34" i="3" s="1"/>
  <c r="D35" i="3"/>
  <c r="B36" i="3"/>
  <c r="E24" i="2" s="1"/>
  <c r="J36" i="3" l="1"/>
  <c r="B37" i="3"/>
  <c r="E25" i="2" s="1"/>
  <c r="A34" i="5"/>
  <c r="B42" i="4"/>
  <c r="A40" i="3"/>
  <c r="I40" i="3" s="1"/>
  <c r="F40" i="3" s="1"/>
  <c r="H34" i="4"/>
  <c r="J34" i="4" s="1"/>
  <c r="D35" i="4"/>
  <c r="H35" i="3"/>
  <c r="K35" i="3" s="1"/>
  <c r="D36" i="3"/>
  <c r="J37" i="3" l="1"/>
  <c r="D37" i="3"/>
  <c r="H37" i="3" s="1"/>
  <c r="B38" i="3"/>
  <c r="E26" i="2" s="1"/>
  <c r="A35" i="5"/>
  <c r="A41" i="3"/>
  <c r="I41" i="3" s="1"/>
  <c r="F41" i="3" s="1"/>
  <c r="B43" i="4"/>
  <c r="H35" i="4"/>
  <c r="J35" i="4" s="1"/>
  <c r="D36" i="4"/>
  <c r="H36" i="3"/>
  <c r="K36" i="3" s="1"/>
  <c r="K37" i="3" l="1"/>
  <c r="B39" i="3"/>
  <c r="E27" i="2" s="1"/>
  <c r="J38" i="3"/>
  <c r="D38" i="3"/>
  <c r="A36" i="5"/>
  <c r="B44" i="4"/>
  <c r="A42" i="3"/>
  <c r="I42" i="3" s="1"/>
  <c r="F42" i="3" s="1"/>
  <c r="H36" i="4"/>
  <c r="J36" i="4" s="1"/>
  <c r="D37" i="4"/>
  <c r="B40" i="3" l="1"/>
  <c r="E28" i="2" s="1"/>
  <c r="J39" i="3"/>
  <c r="H38" i="3"/>
  <c r="K38" i="3" s="1"/>
  <c r="D39" i="3"/>
  <c r="D40" i="3" s="1"/>
  <c r="A37" i="5"/>
  <c r="B41" i="3"/>
  <c r="E29" i="2" s="1"/>
  <c r="A43" i="3"/>
  <c r="I43" i="3" s="1"/>
  <c r="F43" i="3" s="1"/>
  <c r="B45" i="4"/>
  <c r="H37" i="4"/>
  <c r="J37" i="4" s="1"/>
  <c r="D38" i="4"/>
  <c r="J40" i="3" l="1"/>
  <c r="J41" i="3"/>
  <c r="H39" i="3"/>
  <c r="K39" i="3" s="1"/>
  <c r="A38" i="5"/>
  <c r="B42" i="3"/>
  <c r="E30" i="2" s="1"/>
  <c r="D41" i="3"/>
  <c r="H40" i="3"/>
  <c r="B46" i="4"/>
  <c r="A44" i="3"/>
  <c r="I44" i="3" s="1"/>
  <c r="F44" i="3" s="1"/>
  <c r="H38" i="4"/>
  <c r="J38" i="4" s="1"/>
  <c r="D39" i="4"/>
  <c r="K40" i="3" l="1"/>
  <c r="J42" i="3"/>
  <c r="A39" i="5"/>
  <c r="D42" i="3"/>
  <c r="H41" i="3"/>
  <c r="K41" i="3" s="1"/>
  <c r="B43" i="3"/>
  <c r="E31" i="2" s="1"/>
  <c r="A45" i="3"/>
  <c r="I45" i="3" s="1"/>
  <c r="F45" i="3" s="1"/>
  <c r="B47" i="4"/>
  <c r="H39" i="4"/>
  <c r="J39" i="4" s="1"/>
  <c r="D40" i="4"/>
  <c r="J43" i="3" l="1"/>
  <c r="A40" i="5"/>
  <c r="B44" i="3"/>
  <c r="E32" i="2" s="1"/>
  <c r="D43" i="3"/>
  <c r="H42" i="3"/>
  <c r="K42" i="3" s="1"/>
  <c r="B48" i="4"/>
  <c r="A46" i="3"/>
  <c r="I46" i="3" s="1"/>
  <c r="F46" i="3" s="1"/>
  <c r="H40" i="4"/>
  <c r="J40" i="4" s="1"/>
  <c r="D41" i="4"/>
  <c r="J44" i="3" l="1"/>
  <c r="A41" i="5"/>
  <c r="D44" i="3"/>
  <c r="H43" i="3"/>
  <c r="K43" i="3" s="1"/>
  <c r="B45" i="3"/>
  <c r="E33" i="2" s="1"/>
  <c r="A47" i="3"/>
  <c r="I47" i="3" s="1"/>
  <c r="F47" i="3" s="1"/>
  <c r="B49" i="4"/>
  <c r="H41" i="4"/>
  <c r="J41" i="4" s="1"/>
  <c r="D42" i="4"/>
  <c r="J45" i="3" l="1"/>
  <c r="A42" i="5"/>
  <c r="D45" i="3"/>
  <c r="H44" i="3"/>
  <c r="K44" i="3" s="1"/>
  <c r="B46" i="3"/>
  <c r="E34" i="2" s="1"/>
  <c r="B50" i="4"/>
  <c r="A48" i="3"/>
  <c r="I48" i="3" s="1"/>
  <c r="F48" i="3" s="1"/>
  <c r="H42" i="4"/>
  <c r="J42" i="4" s="1"/>
  <c r="D43" i="4"/>
  <c r="J46" i="3" l="1"/>
  <c r="A43" i="5"/>
  <c r="D46" i="3"/>
  <c r="H45" i="3"/>
  <c r="K45" i="3" s="1"/>
  <c r="B47" i="3"/>
  <c r="E35" i="2" s="1"/>
  <c r="A49" i="3"/>
  <c r="I49" i="3" s="1"/>
  <c r="F49" i="3" s="1"/>
  <c r="B51" i="4"/>
  <c r="H43" i="4"/>
  <c r="J43" i="4" s="1"/>
  <c r="D44" i="4"/>
  <c r="J47" i="3" l="1"/>
  <c r="A44" i="5"/>
  <c r="D47" i="3"/>
  <c r="H46" i="3"/>
  <c r="K46" i="3" s="1"/>
  <c r="B48" i="3"/>
  <c r="E36" i="2" s="1"/>
  <c r="B52" i="4"/>
  <c r="A50" i="3"/>
  <c r="I50" i="3" s="1"/>
  <c r="F50" i="3" s="1"/>
  <c r="H44" i="4"/>
  <c r="J44" i="4" s="1"/>
  <c r="D45" i="4"/>
  <c r="J48" i="3" l="1"/>
  <c r="A45" i="5"/>
  <c r="A46" i="5" s="1"/>
  <c r="A47" i="5" s="1"/>
  <c r="A48" i="5" s="1"/>
  <c r="A49" i="5" s="1"/>
  <c r="A50" i="5" s="1"/>
  <c r="A51" i="5" s="1"/>
  <c r="A52" i="5" s="1"/>
  <c r="A53" i="5" s="1"/>
  <c r="A54" i="5" s="1"/>
  <c r="A55" i="5" s="1"/>
  <c r="A56" i="5" s="1"/>
  <c r="B49" i="3"/>
  <c r="E37" i="2" s="1"/>
  <c r="D48" i="3"/>
  <c r="H47" i="3"/>
  <c r="K47" i="3" s="1"/>
  <c r="A51" i="3"/>
  <c r="B53" i="4"/>
  <c r="B54" i="4" s="1"/>
  <c r="H45" i="4"/>
  <c r="J45" i="4" s="1"/>
  <c r="D46" i="4"/>
  <c r="I51" i="3" l="1"/>
  <c r="F51" i="3" s="1"/>
  <c r="A52" i="3"/>
  <c r="J49" i="3"/>
  <c r="B55" i="4"/>
  <c r="D49" i="3"/>
  <c r="H48" i="3"/>
  <c r="K48" i="3" s="1"/>
  <c r="B50" i="3"/>
  <c r="E38" i="2" s="1"/>
  <c r="H46" i="4"/>
  <c r="J46" i="4" s="1"/>
  <c r="D47" i="4"/>
  <c r="A53" i="3" l="1"/>
  <c r="I52" i="3"/>
  <c r="J50" i="3"/>
  <c r="B56" i="4"/>
  <c r="B51" i="3"/>
  <c r="E39" i="2" s="1"/>
  <c r="H49" i="3"/>
  <c r="K49" i="3" s="1"/>
  <c r="D50" i="3"/>
  <c r="H47" i="4"/>
  <c r="J47" i="4" s="1"/>
  <c r="D48" i="4"/>
  <c r="F52" i="3" l="1"/>
  <c r="B52" i="3"/>
  <c r="A54" i="3"/>
  <c r="I53" i="3"/>
  <c r="F53" i="3" s="1"/>
  <c r="J51" i="3"/>
  <c r="B57" i="4"/>
  <c r="H50" i="3"/>
  <c r="K50" i="3" s="1"/>
  <c r="D51" i="3"/>
  <c r="D52" i="3" s="1"/>
  <c r="H48" i="4"/>
  <c r="J48" i="4" s="1"/>
  <c r="D49" i="4"/>
  <c r="J52" i="3" l="1"/>
  <c r="E40" i="2"/>
  <c r="H52" i="3"/>
  <c r="D53" i="3"/>
  <c r="I54" i="3"/>
  <c r="F54" i="3" s="1"/>
  <c r="A55" i="3"/>
  <c r="B53" i="3"/>
  <c r="E41" i="2" s="1"/>
  <c r="B58" i="4"/>
  <c r="B59" i="4" s="1"/>
  <c r="B60" i="4" s="1"/>
  <c r="B61" i="4" s="1"/>
  <c r="B62" i="4" s="1"/>
  <c r="B63" i="4" s="1"/>
  <c r="H51" i="3"/>
  <c r="K51" i="3" s="1"/>
  <c r="H49" i="4"/>
  <c r="J49" i="4" s="1"/>
  <c r="D50" i="4"/>
  <c r="K52" i="3" l="1"/>
  <c r="J53" i="3"/>
  <c r="B54" i="3"/>
  <c r="E42" i="2" s="1"/>
  <c r="A56" i="3"/>
  <c r="I55" i="3"/>
  <c r="F55" i="3" s="1"/>
  <c r="H53" i="3"/>
  <c r="K53" i="3" s="1"/>
  <c r="D54" i="3"/>
  <c r="H50" i="4"/>
  <c r="J50" i="4" s="1"/>
  <c r="D51" i="4"/>
  <c r="I56" i="3" l="1"/>
  <c r="F56" i="3" s="1"/>
  <c r="A57" i="3"/>
  <c r="H54" i="3"/>
  <c r="D55" i="3"/>
  <c r="J54" i="3"/>
  <c r="B55" i="3"/>
  <c r="E43" i="2" s="1"/>
  <c r="H51" i="4"/>
  <c r="J51" i="4" s="1"/>
  <c r="D52" i="4"/>
  <c r="K54" i="3" l="1"/>
  <c r="J55" i="3"/>
  <c r="B56" i="3"/>
  <c r="E44" i="2" s="1"/>
  <c r="A58" i="3"/>
  <c r="I57" i="3"/>
  <c r="F57" i="3" s="1"/>
  <c r="D56" i="3"/>
  <c r="H55" i="3"/>
  <c r="K55" i="3" s="1"/>
  <c r="H52" i="4"/>
  <c r="J52" i="4" s="1"/>
  <c r="D53" i="4"/>
  <c r="D54" i="4" s="1"/>
  <c r="I58" i="3" l="1"/>
  <c r="F58" i="3" s="1"/>
  <c r="A59" i="3"/>
  <c r="H56" i="3"/>
  <c r="D57" i="3"/>
  <c r="J56" i="3"/>
  <c r="B57" i="3"/>
  <c r="E45" i="2" s="1"/>
  <c r="H54" i="4"/>
  <c r="J54" i="4" s="1"/>
  <c r="D55" i="4"/>
  <c r="H53" i="4"/>
  <c r="J53" i="4" s="1"/>
  <c r="K56" i="3" l="1"/>
  <c r="H57" i="3"/>
  <c r="D58" i="3"/>
  <c r="J57" i="3"/>
  <c r="B58" i="3"/>
  <c r="E46" i="2" s="1"/>
  <c r="I59" i="3"/>
  <c r="F59" i="3" s="1"/>
  <c r="A60" i="3"/>
  <c r="H55" i="4"/>
  <c r="J55" i="4" s="1"/>
  <c r="D56" i="4"/>
  <c r="J58" i="3" l="1"/>
  <c r="B59" i="3"/>
  <c r="E47" i="2" s="1"/>
  <c r="H58" i="3"/>
  <c r="D59" i="3"/>
  <c r="I60" i="3"/>
  <c r="F60" i="3" s="1"/>
  <c r="A61" i="3"/>
  <c r="K57" i="3"/>
  <c r="D57" i="4"/>
  <c r="H56" i="4"/>
  <c r="J56" i="4" s="1"/>
  <c r="K58" i="3" l="1"/>
  <c r="H59" i="3"/>
  <c r="D60" i="3"/>
  <c r="A62" i="3"/>
  <c r="I61" i="3"/>
  <c r="F61" i="3" s="1"/>
  <c r="B60" i="3"/>
  <c r="E48" i="2" s="1"/>
  <c r="J59" i="3"/>
  <c r="H57" i="4"/>
  <c r="D58" i="4"/>
  <c r="D59" i="4" s="1"/>
  <c r="I62" i="3" l="1"/>
  <c r="F62" i="3" s="1"/>
  <c r="A63" i="3"/>
  <c r="H60" i="3"/>
  <c r="D61" i="3"/>
  <c r="B61" i="3"/>
  <c r="E49" i="2" s="1"/>
  <c r="J60" i="3"/>
  <c r="K59" i="3"/>
  <c r="D60" i="4"/>
  <c r="H59" i="4"/>
  <c r="J59" i="4" s="1"/>
  <c r="J57" i="4"/>
  <c r="H58" i="4"/>
  <c r="J58" i="4" s="1"/>
  <c r="K60" i="3" l="1"/>
  <c r="A64" i="3"/>
  <c r="I63" i="3"/>
  <c r="F63" i="3" s="1"/>
  <c r="B62" i="3"/>
  <c r="E50" i="2" s="1"/>
  <c r="J61" i="3"/>
  <c r="H61" i="3"/>
  <c r="D62" i="3"/>
  <c r="H60" i="4"/>
  <c r="J60" i="4" s="1"/>
  <c r="D61" i="4"/>
  <c r="L3" i="6"/>
  <c r="L4" i="3"/>
  <c r="L4" i="6"/>
  <c r="L3" i="3"/>
  <c r="K61" i="3" l="1"/>
  <c r="B63" i="3"/>
  <c r="E51" i="2" s="1"/>
  <c r="J62" i="3"/>
  <c r="D63" i="3"/>
  <c r="H62" i="3"/>
  <c r="A65" i="3"/>
  <c r="I64" i="3"/>
  <c r="F64" i="3" s="1"/>
  <c r="G15" i="4"/>
  <c r="G59" i="4"/>
  <c r="K59" i="4" s="1"/>
  <c r="G60" i="4"/>
  <c r="K60" i="4" s="1"/>
  <c r="G61" i="4"/>
  <c r="H61" i="4"/>
  <c r="J61" i="4" s="1"/>
  <c r="D62"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L5" i="3"/>
  <c r="L5" i="6"/>
  <c r="G52" i="6" s="1"/>
  <c r="L52" i="6" s="1"/>
  <c r="K16" i="4" l="1"/>
  <c r="K62" i="3"/>
  <c r="K15" i="4"/>
  <c r="D64" i="3"/>
  <c r="G64" i="3" s="1"/>
  <c r="H63" i="3"/>
  <c r="G52" i="3"/>
  <c r="L52" i="3" s="1"/>
  <c r="G53" i="3"/>
  <c r="L53" i="3" s="1"/>
  <c r="G54" i="3"/>
  <c r="L54" i="3" s="1"/>
  <c r="G55" i="3"/>
  <c r="L55" i="3" s="1"/>
  <c r="G56" i="3"/>
  <c r="L56" i="3" s="1"/>
  <c r="G57" i="3"/>
  <c r="L57" i="3" s="1"/>
  <c r="G58" i="3"/>
  <c r="L58" i="3" s="1"/>
  <c r="G59" i="3"/>
  <c r="L59" i="3" s="1"/>
  <c r="G60" i="3"/>
  <c r="L60" i="3" s="1"/>
  <c r="G61" i="3"/>
  <c r="L61" i="3" s="1"/>
  <c r="G62" i="3"/>
  <c r="G63" i="3"/>
  <c r="A66" i="3"/>
  <c r="I66" i="3" s="1"/>
  <c r="I65" i="3"/>
  <c r="F65" i="3" s="1"/>
  <c r="J63" i="3"/>
  <c r="B64" i="3"/>
  <c r="E52" i="2" s="1"/>
  <c r="K61" i="4"/>
  <c r="G17" i="6"/>
  <c r="L17" i="6" s="1"/>
  <c r="G51" i="6"/>
  <c r="L51" i="6" s="1"/>
  <c r="G37" i="3"/>
  <c r="L37" i="3" s="1"/>
  <c r="D63" i="4"/>
  <c r="D64" i="4" s="1"/>
  <c r="G62" i="4"/>
  <c r="H62" i="4"/>
  <c r="G50" i="6"/>
  <c r="L50" i="6" s="1"/>
  <c r="G42" i="6"/>
  <c r="L42" i="6" s="1"/>
  <c r="G27" i="6"/>
  <c r="L27" i="6" s="1"/>
  <c r="G35" i="6"/>
  <c r="L35" i="6" s="1"/>
  <c r="L9" i="3"/>
  <c r="G29" i="3"/>
  <c r="G24" i="3"/>
  <c r="G28" i="3"/>
  <c r="G18" i="3"/>
  <c r="G45" i="3"/>
  <c r="G46" i="6"/>
  <c r="G38" i="6"/>
  <c r="G31" i="6"/>
  <c r="G23" i="6"/>
  <c r="G32" i="3"/>
  <c r="G23" i="3"/>
  <c r="G21" i="3"/>
  <c r="G34" i="3"/>
  <c r="G25" i="3"/>
  <c r="G49" i="3"/>
  <c r="G41" i="3"/>
  <c r="G35" i="3"/>
  <c r="G30" i="3"/>
  <c r="G26" i="3"/>
  <c r="G33" i="3"/>
  <c r="G22" i="3"/>
  <c r="G20" i="3"/>
  <c r="G36" i="3"/>
  <c r="G31" i="3"/>
  <c r="G27" i="3"/>
  <c r="G19"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0" i="3"/>
  <c r="G48" i="3"/>
  <c r="G46" i="3"/>
  <c r="G44" i="3"/>
  <c r="G42" i="3"/>
  <c r="G40" i="3"/>
  <c r="G38" i="3"/>
  <c r="G17" i="3"/>
  <c r="E56" i="6" l="1"/>
  <c r="I56" i="6"/>
  <c r="F56" i="6"/>
  <c r="J56" i="6"/>
  <c r="H56" i="6"/>
  <c r="K56" i="6"/>
  <c r="M52" i="6"/>
  <c r="G56" i="6"/>
  <c r="G54" i="6"/>
  <c r="H64" i="4"/>
  <c r="G64" i="4"/>
  <c r="F66" i="3"/>
  <c r="F68" i="3" s="1"/>
  <c r="I68" i="3"/>
  <c r="M51" i="6"/>
  <c r="M50" i="6"/>
  <c r="B38" i="7"/>
  <c r="C38" i="7" s="1"/>
  <c r="B39" i="7"/>
  <c r="C39" i="7" s="1"/>
  <c r="D39" i="7" s="1"/>
  <c r="D41" i="5" s="1"/>
  <c r="A2" i="5"/>
  <c r="A2" i="7"/>
  <c r="M52" i="3"/>
  <c r="F40" i="2" s="1"/>
  <c r="G40" i="2" s="1"/>
  <c r="H40" i="2" s="1"/>
  <c r="E42" i="5" s="1"/>
  <c r="A2" i="2"/>
  <c r="I70" i="3"/>
  <c r="E70" i="3"/>
  <c r="L62" i="3"/>
  <c r="M53" i="3" s="1"/>
  <c r="F41" i="2" s="1"/>
  <c r="G41" i="2" s="1"/>
  <c r="H41" i="2" s="1"/>
  <c r="E43" i="5" s="1"/>
  <c r="K63" i="3"/>
  <c r="L63" i="3" s="1"/>
  <c r="J64" i="3"/>
  <c r="B65" i="3"/>
  <c r="E53" i="2" s="1"/>
  <c r="H64" i="3"/>
  <c r="D65" i="3"/>
  <c r="L17" i="3"/>
  <c r="B19" i="1"/>
  <c r="J62" i="4"/>
  <c r="K62" i="4" s="1"/>
  <c r="G63" i="4"/>
  <c r="G66" i="4" s="1"/>
  <c r="H63" i="4"/>
  <c r="L18" i="6"/>
  <c r="L22" i="6"/>
  <c r="L26" i="6"/>
  <c r="L30" i="6"/>
  <c r="L34" i="6"/>
  <c r="L37" i="6"/>
  <c r="L41" i="6"/>
  <c r="L45" i="6"/>
  <c r="L49" i="6"/>
  <c r="M49" i="6" s="1"/>
  <c r="L19" i="6"/>
  <c r="L25" i="6"/>
  <c r="L33" i="6"/>
  <c r="L40" i="6"/>
  <c r="L48" i="6"/>
  <c r="L31" i="6"/>
  <c r="L46" i="6"/>
  <c r="L20" i="6"/>
  <c r="L24" i="6"/>
  <c r="L28" i="6"/>
  <c r="L32" i="6"/>
  <c r="L39" i="6"/>
  <c r="L43" i="6"/>
  <c r="L47" i="6"/>
  <c r="L21" i="6"/>
  <c r="L29" i="6"/>
  <c r="L36" i="6"/>
  <c r="L44" i="6"/>
  <c r="L23" i="6"/>
  <c r="L38" i="6"/>
  <c r="L38" i="3"/>
  <c r="L42" i="3"/>
  <c r="L46" i="3"/>
  <c r="L50" i="3"/>
  <c r="L39" i="3"/>
  <c r="L47" i="3"/>
  <c r="L19" i="3"/>
  <c r="L31" i="3"/>
  <c r="L20" i="3"/>
  <c r="L33" i="3"/>
  <c r="L30" i="3"/>
  <c r="L41" i="3"/>
  <c r="L34" i="3"/>
  <c r="L23" i="3"/>
  <c r="L45" i="3"/>
  <c r="L18" i="3"/>
  <c r="L24" i="3"/>
  <c r="L40" i="3"/>
  <c r="L44" i="3"/>
  <c r="L48" i="3"/>
  <c r="L43" i="3"/>
  <c r="L51" i="3"/>
  <c r="L27" i="3"/>
  <c r="L36" i="3"/>
  <c r="L22" i="3"/>
  <c r="L26" i="3"/>
  <c r="L35" i="3"/>
  <c r="L49" i="3"/>
  <c r="L25" i="3"/>
  <c r="L21" i="3"/>
  <c r="L32" i="3"/>
  <c r="L28" i="3"/>
  <c r="L29" i="3"/>
  <c r="L56" i="6" l="1"/>
  <c r="F70" i="3"/>
  <c r="L54" i="6"/>
  <c r="K64" i="4"/>
  <c r="G68" i="4"/>
  <c r="J64" i="4"/>
  <c r="H66" i="4"/>
  <c r="H68" i="4"/>
  <c r="M35" i="3"/>
  <c r="B36" i="7"/>
  <c r="M50" i="3"/>
  <c r="F38" i="2" s="1"/>
  <c r="M49" i="3"/>
  <c r="F37" i="2" s="1"/>
  <c r="M45" i="3"/>
  <c r="F33" i="2" s="1"/>
  <c r="M28" i="3"/>
  <c r="F16" i="2" s="1"/>
  <c r="M18" i="3"/>
  <c r="F6" i="2" s="1"/>
  <c r="B27" i="7"/>
  <c r="B22" i="7"/>
  <c r="B18" i="7"/>
  <c r="M31" i="3"/>
  <c r="F19" i="2" s="1"/>
  <c r="B26" i="7"/>
  <c r="B5" i="7"/>
  <c r="B34" i="7"/>
  <c r="M26" i="3"/>
  <c r="F14" i="2" s="1"/>
  <c r="B32" i="7"/>
  <c r="B37" i="7"/>
  <c r="C37" i="7" s="1"/>
  <c r="M21" i="3"/>
  <c r="F9" i="2" s="1"/>
  <c r="G9" i="2" s="1"/>
  <c r="H9" i="2" s="1"/>
  <c r="E11" i="5" s="1"/>
  <c r="M20" i="3"/>
  <c r="F8" i="2" s="1"/>
  <c r="M51" i="3"/>
  <c r="F39" i="2" s="1"/>
  <c r="M48" i="3"/>
  <c r="F36" i="2" s="1"/>
  <c r="M40" i="3"/>
  <c r="F28" i="2" s="1"/>
  <c r="M36" i="3"/>
  <c r="F24" i="2" s="1"/>
  <c r="M23" i="3"/>
  <c r="F11" i="2" s="1"/>
  <c r="M33" i="3"/>
  <c r="F21" i="2" s="1"/>
  <c r="M32" i="3"/>
  <c r="F20" i="2" s="1"/>
  <c r="M44" i="3"/>
  <c r="F32" i="2" s="1"/>
  <c r="G32" i="2" s="1"/>
  <c r="H32" i="2" s="1"/>
  <c r="E34" i="5" s="1"/>
  <c r="M47" i="3"/>
  <c r="F35" i="2" s="1"/>
  <c r="M42" i="3"/>
  <c r="F30" i="2" s="1"/>
  <c r="M41" i="3"/>
  <c r="F29" i="2" s="1"/>
  <c r="B35" i="7"/>
  <c r="B33" i="7"/>
  <c r="B15" i="7"/>
  <c r="B16" i="7"/>
  <c r="B19" i="7"/>
  <c r="B17" i="7"/>
  <c r="B8" i="7"/>
  <c r="B13" i="7"/>
  <c r="B28" i="7"/>
  <c r="B21" i="7"/>
  <c r="B25" i="7"/>
  <c r="B29" i="7"/>
  <c r="B14" i="7"/>
  <c r="M34" i="3"/>
  <c r="F22" i="2" s="1"/>
  <c r="M29" i="3"/>
  <c r="F17" i="2" s="1"/>
  <c r="M27" i="3"/>
  <c r="F15" i="2" s="1"/>
  <c r="M25" i="3"/>
  <c r="F13" i="2" s="1"/>
  <c r="M22" i="3"/>
  <c r="F10" i="2" s="1"/>
  <c r="M43" i="3"/>
  <c r="F31" i="2" s="1"/>
  <c r="M24" i="3"/>
  <c r="F12" i="2" s="1"/>
  <c r="M19" i="3"/>
  <c r="F7" i="2" s="1"/>
  <c r="M39" i="3"/>
  <c r="F27" i="2" s="1"/>
  <c r="M37" i="3"/>
  <c r="F25" i="2" s="1"/>
  <c r="B23" i="7"/>
  <c r="B30" i="7"/>
  <c r="B11" i="7"/>
  <c r="B7" i="7"/>
  <c r="B10" i="7"/>
  <c r="M46" i="3"/>
  <c r="F34" i="2" s="1"/>
  <c r="M38" i="3"/>
  <c r="F26" i="2" s="1"/>
  <c r="G26" i="2" s="1"/>
  <c r="H26" i="2" s="1"/>
  <c r="E28" i="5" s="1"/>
  <c r="B24" i="7"/>
  <c r="B20" i="7"/>
  <c r="B12" i="7"/>
  <c r="B9" i="7"/>
  <c r="B6" i="7"/>
  <c r="M30" i="3"/>
  <c r="F18" i="2" s="1"/>
  <c r="B31" i="7"/>
  <c r="K64" i="3"/>
  <c r="M54" i="3"/>
  <c r="F42" i="2" s="1"/>
  <c r="G42" i="2" s="1"/>
  <c r="H42" i="2" s="1"/>
  <c r="E44" i="5" s="1"/>
  <c r="D66" i="3"/>
  <c r="H65" i="3"/>
  <c r="G65" i="3"/>
  <c r="J65" i="3"/>
  <c r="B66" i="3"/>
  <c r="J66" i="3" s="1"/>
  <c r="M36" i="6"/>
  <c r="M43" i="6"/>
  <c r="M24" i="6"/>
  <c r="M48" i="6"/>
  <c r="F23" i="2"/>
  <c r="M19" i="6"/>
  <c r="M22" i="6"/>
  <c r="M35" i="6"/>
  <c r="M38" i="6"/>
  <c r="M29" i="6"/>
  <c r="M39" i="6"/>
  <c r="M20" i="6"/>
  <c r="M40" i="6"/>
  <c r="M34" i="6"/>
  <c r="M18" i="6"/>
  <c r="M27" i="6"/>
  <c r="M17" i="3"/>
  <c r="F5" i="2" s="1"/>
  <c r="G5" i="2" s="1"/>
  <c r="M37" i="6"/>
  <c r="M23" i="6"/>
  <c r="M21" i="6"/>
  <c r="M32" i="6"/>
  <c r="M46" i="6"/>
  <c r="M33" i="6"/>
  <c r="M45" i="6"/>
  <c r="M30" i="6"/>
  <c r="M44" i="6"/>
  <c r="M47" i="6"/>
  <c r="M28" i="6"/>
  <c r="M31" i="6"/>
  <c r="M25" i="6"/>
  <c r="M41" i="6"/>
  <c r="M26" i="6"/>
  <c r="M42" i="6"/>
  <c r="D38" i="7"/>
  <c r="D40" i="5" s="1"/>
  <c r="M17" i="6"/>
  <c r="J63" i="4"/>
  <c r="K63" i="4" s="1"/>
  <c r="K66" i="4" l="1"/>
  <c r="K68" i="4"/>
  <c r="J66" i="4"/>
  <c r="J68" i="4"/>
  <c r="J68" i="3"/>
  <c r="J70" i="3"/>
  <c r="L64" i="3"/>
  <c r="K65" i="3"/>
  <c r="L65" i="3" s="1"/>
  <c r="M65" i="3" s="1"/>
  <c r="F53" i="2" s="1"/>
  <c r="G53" i="2" s="1"/>
  <c r="H53" i="2" s="1"/>
  <c r="E55" i="5" s="1"/>
  <c r="H66" i="3"/>
  <c r="G66" i="3"/>
  <c r="G70" i="3" s="1"/>
  <c r="G12" i="2"/>
  <c r="H12" i="2" s="1"/>
  <c r="E14" i="5" s="1"/>
  <c r="G37" i="2"/>
  <c r="H37" i="2" s="1"/>
  <c r="E39" i="5" s="1"/>
  <c r="G33" i="2"/>
  <c r="H33" i="2" s="1"/>
  <c r="E35" i="5" s="1"/>
  <c r="G10" i="2"/>
  <c r="H10" i="2" s="1"/>
  <c r="E12" i="5" s="1"/>
  <c r="G13" i="2"/>
  <c r="H13" i="2" s="1"/>
  <c r="E15" i="5" s="1"/>
  <c r="G14" i="2"/>
  <c r="H14" i="2" s="1"/>
  <c r="E16" i="5" s="1"/>
  <c r="G22" i="2"/>
  <c r="H22" i="2" s="1"/>
  <c r="E24" i="5" s="1"/>
  <c r="G18" i="2"/>
  <c r="H18" i="2" s="1"/>
  <c r="E20" i="5" s="1"/>
  <c r="G36" i="2"/>
  <c r="H36" i="2" s="1"/>
  <c r="E38" i="5" s="1"/>
  <c r="G30" i="2"/>
  <c r="H30" i="2" s="1"/>
  <c r="E32" i="5" s="1"/>
  <c r="G24" i="2"/>
  <c r="H24" i="2" s="1"/>
  <c r="E26" i="5" s="1"/>
  <c r="G28" i="2"/>
  <c r="H28" i="2" s="1"/>
  <c r="E30" i="5" s="1"/>
  <c r="G8" i="2"/>
  <c r="H8" i="2" s="1"/>
  <c r="E10" i="5" s="1"/>
  <c r="G17" i="2"/>
  <c r="H17" i="2" s="1"/>
  <c r="E19" i="5" s="1"/>
  <c r="G15" i="2"/>
  <c r="H15" i="2" s="1"/>
  <c r="E17" i="5" s="1"/>
  <c r="G39" i="2"/>
  <c r="H39" i="2" s="1"/>
  <c r="E41" i="5" s="1"/>
  <c r="G27" i="2"/>
  <c r="H27" i="2" s="1"/>
  <c r="E29" i="5" s="1"/>
  <c r="G35" i="2"/>
  <c r="H35" i="2" s="1"/>
  <c r="E37" i="5" s="1"/>
  <c r="G29" i="2"/>
  <c r="H29" i="2" s="1"/>
  <c r="E31" i="5" s="1"/>
  <c r="G38" i="2"/>
  <c r="H38" i="2" s="1"/>
  <c r="E40" i="5" s="1"/>
  <c r="G19" i="2"/>
  <c r="H19" i="2" s="1"/>
  <c r="E21" i="5" s="1"/>
  <c r="G20" i="2"/>
  <c r="H20" i="2" s="1"/>
  <c r="E22" i="5" s="1"/>
  <c r="G6" i="2"/>
  <c r="H6" i="2" s="1"/>
  <c r="E8" i="5" s="1"/>
  <c r="G21" i="2"/>
  <c r="H21" i="2" s="1"/>
  <c r="E23" i="5" s="1"/>
  <c r="G23" i="2"/>
  <c r="H23" i="2" s="1"/>
  <c r="E25" i="5" s="1"/>
  <c r="G11" i="2"/>
  <c r="H11" i="2" s="1"/>
  <c r="E13" i="5" s="1"/>
  <c r="G34" i="2"/>
  <c r="H34" i="2" s="1"/>
  <c r="E36" i="5" s="1"/>
  <c r="G16" i="2"/>
  <c r="H16" i="2" s="1"/>
  <c r="E18" i="5" s="1"/>
  <c r="G25" i="2"/>
  <c r="H25" i="2" s="1"/>
  <c r="E27" i="5" s="1"/>
  <c r="G31" i="2"/>
  <c r="H31" i="2" s="1"/>
  <c r="E33" i="5" s="1"/>
  <c r="G7" i="2"/>
  <c r="H7" i="2" s="1"/>
  <c r="E9" i="5" s="1"/>
  <c r="C27" i="7"/>
  <c r="D27" i="7" s="1"/>
  <c r="D29" i="5" s="1"/>
  <c r="C32" i="7"/>
  <c r="D32" i="7" s="1"/>
  <c r="D34" i="5" s="1"/>
  <c r="C23" i="7"/>
  <c r="D23" i="7" s="1"/>
  <c r="D25" i="5" s="1"/>
  <c r="C33" i="7"/>
  <c r="D33" i="7" s="1"/>
  <c r="D35" i="5" s="1"/>
  <c r="C34" i="7"/>
  <c r="D34" i="7" s="1"/>
  <c r="D36" i="5" s="1"/>
  <c r="C35" i="7"/>
  <c r="D35" i="7" s="1"/>
  <c r="D37" i="5" s="1"/>
  <c r="C24" i="7"/>
  <c r="D24" i="7" s="1"/>
  <c r="D26" i="5" s="1"/>
  <c r="C26" i="7"/>
  <c r="D26" i="7" s="1"/>
  <c r="D28" i="5" s="1"/>
  <c r="C28" i="7"/>
  <c r="D28" i="7" s="1"/>
  <c r="D30" i="5" s="1"/>
  <c r="C31" i="7"/>
  <c r="D31" i="7" s="1"/>
  <c r="D33" i="5" s="1"/>
  <c r="C29" i="7"/>
  <c r="D29" i="7" s="1"/>
  <c r="D31" i="5" s="1"/>
  <c r="C30" i="7"/>
  <c r="D30" i="7" s="1"/>
  <c r="D32" i="5" s="1"/>
  <c r="C25" i="7"/>
  <c r="D25" i="7" s="1"/>
  <c r="D27" i="5" s="1"/>
  <c r="C36" i="7"/>
  <c r="D36" i="7" s="1"/>
  <c r="D38" i="5" s="1"/>
  <c r="C9" i="7"/>
  <c r="D9" i="7" s="1"/>
  <c r="D11" i="5" s="1"/>
  <c r="C19" i="7"/>
  <c r="D19" i="7" s="1"/>
  <c r="D21" i="5" s="1"/>
  <c r="C17" i="7"/>
  <c r="D17" i="7" s="1"/>
  <c r="D19" i="5" s="1"/>
  <c r="C8" i="7"/>
  <c r="D8" i="7" s="1"/>
  <c r="D10" i="5" s="1"/>
  <c r="C11" i="7"/>
  <c r="D11" i="7" s="1"/>
  <c r="D13" i="5" s="1"/>
  <c r="C16" i="7"/>
  <c r="D16" i="7" s="1"/>
  <c r="D18" i="5" s="1"/>
  <c r="C14" i="7"/>
  <c r="D14" i="7" s="1"/>
  <c r="D16" i="5" s="1"/>
  <c r="C13" i="7"/>
  <c r="D13" i="7" s="1"/>
  <c r="D15" i="5" s="1"/>
  <c r="C20" i="7"/>
  <c r="D20" i="7" s="1"/>
  <c r="D22" i="5" s="1"/>
  <c r="C10" i="7"/>
  <c r="D10" i="7" s="1"/>
  <c r="D12" i="5" s="1"/>
  <c r="C7" i="7"/>
  <c r="D7" i="7" s="1"/>
  <c r="D9" i="5" s="1"/>
  <c r="C15" i="7"/>
  <c r="D15" i="7" s="1"/>
  <c r="D17" i="5" s="1"/>
  <c r="C22" i="7"/>
  <c r="D22" i="7" s="1"/>
  <c r="D24" i="5" s="1"/>
  <c r="C12" i="7"/>
  <c r="D12" i="7" s="1"/>
  <c r="D14" i="5" s="1"/>
  <c r="C18" i="7"/>
  <c r="D18" i="7" s="1"/>
  <c r="D20" i="5" s="1"/>
  <c r="C21" i="7"/>
  <c r="D21" i="7" s="1"/>
  <c r="D23" i="5" s="1"/>
  <c r="H5" i="2"/>
  <c r="E7" i="5" s="1"/>
  <c r="D37" i="7"/>
  <c r="D39" i="5" s="1"/>
  <c r="C5" i="7"/>
  <c r="E7" i="6"/>
  <c r="G68" i="3" l="1"/>
  <c r="M64" i="3"/>
  <c r="F52" i="2" s="1"/>
  <c r="G52" i="2" s="1"/>
  <c r="H52" i="2" s="1"/>
  <c r="E54" i="5" s="1"/>
  <c r="M58" i="3"/>
  <c r="F46" i="2" s="1"/>
  <c r="G46" i="2" s="1"/>
  <c r="H46" i="2" s="1"/>
  <c r="E48" i="5" s="1"/>
  <c r="M61" i="3"/>
  <c r="F49" i="2" s="1"/>
  <c r="G49" i="2" s="1"/>
  <c r="H49" i="2" s="1"/>
  <c r="E51" i="5" s="1"/>
  <c r="M55" i="3"/>
  <c r="F43" i="2" s="1"/>
  <c r="G43" i="2" s="1"/>
  <c r="H43" i="2" s="1"/>
  <c r="E45" i="5" s="1"/>
  <c r="M60" i="3"/>
  <c r="F48" i="2" s="1"/>
  <c r="G48" i="2" s="1"/>
  <c r="H48" i="2" s="1"/>
  <c r="E50" i="5" s="1"/>
  <c r="M59" i="3"/>
  <c r="F47" i="2" s="1"/>
  <c r="G47" i="2" s="1"/>
  <c r="H47" i="2" s="1"/>
  <c r="E49" i="5" s="1"/>
  <c r="M57" i="3"/>
  <c r="F45" i="2" s="1"/>
  <c r="G45" i="2" s="1"/>
  <c r="H45" i="2" s="1"/>
  <c r="E47" i="5" s="1"/>
  <c r="M63" i="3"/>
  <c r="F51" i="2" s="1"/>
  <c r="G51" i="2" s="1"/>
  <c r="H51" i="2" s="1"/>
  <c r="E53" i="5" s="1"/>
  <c r="M56" i="3"/>
  <c r="F44" i="2" s="1"/>
  <c r="G44" i="2" s="1"/>
  <c r="H44" i="2" s="1"/>
  <c r="E46" i="5" s="1"/>
  <c r="M62" i="3"/>
  <c r="F50" i="2" s="1"/>
  <c r="G50" i="2" s="1"/>
  <c r="H50" i="2" s="1"/>
  <c r="E52" i="5" s="1"/>
  <c r="K66" i="3"/>
  <c r="K68" i="3" s="1"/>
  <c r="H68" i="3"/>
  <c r="H70" i="3"/>
  <c r="D5" i="7"/>
  <c r="D7" i="5" s="1"/>
  <c r="C6" i="7"/>
  <c r="D6" i="7" s="1"/>
  <c r="D8" i="5" s="1"/>
  <c r="E8" i="6"/>
  <c r="E9" i="6" s="1"/>
  <c r="K70" i="3" l="1"/>
  <c r="L66" i="3"/>
  <c r="E5" i="4"/>
  <c r="E6" i="4" l="1"/>
  <c r="E7" i="4" s="1"/>
  <c r="G7" i="4" s="1"/>
  <c r="B7" i="5" s="1"/>
  <c r="M66" i="3"/>
  <c r="L70" i="3"/>
  <c r="E7" i="3" s="1"/>
  <c r="E8" i="3" s="1"/>
  <c r="E9" i="3" s="1"/>
  <c r="L68" i="3"/>
  <c r="B5" i="2"/>
  <c r="C5" i="2" s="1"/>
  <c r="D5" i="2" s="1"/>
  <c r="C7" i="5" s="1"/>
</calcChain>
</file>

<file path=xl/sharedStrings.xml><?xml version="1.0" encoding="utf-8"?>
<sst xmlns="http://schemas.openxmlformats.org/spreadsheetml/2006/main" count="297" uniqueCount="153">
  <si>
    <t>Notes:</t>
  </si>
  <si>
    <t>Once the cost of capital and capital structure for the rate case has been determined, those numbers should be entered in the top of the tab LvlFCR.</t>
  </si>
  <si>
    <t>Inputs</t>
  </si>
  <si>
    <t>Background</t>
  </si>
  <si>
    <t>Annual</t>
  </si>
  <si>
    <t>FCR ON 10 Year  Terms</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</si>
  <si>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</si>
  <si>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</si>
  <si>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</si>
  <si>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</si>
  <si>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</si>
  <si>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</si>
  <si>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</si>
  <si>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</si>
  <si>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</si>
  <si>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</si>
  <si>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</si>
  <si>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</si>
  <si>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</si>
  <si>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</si>
  <si>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</si>
  <si>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</si>
  <si>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COMMON</t>
  </si>
  <si>
    <t>NPV Revenue Req.</t>
  </si>
  <si>
    <t>PREFERRED</t>
  </si>
  <si>
    <t>Book Life</t>
  </si>
  <si>
    <t>S.T. Debt</t>
  </si>
  <si>
    <t>L.T. Debt</t>
  </si>
  <si>
    <t>Insurance Rate</t>
  </si>
  <si>
    <t>CAPITAL STRUCTURE:</t>
  </si>
  <si>
    <t>For Substations and Feeder Lines at Primary Service Voltage</t>
  </si>
  <si>
    <t>DEBT (LT)</t>
  </si>
  <si>
    <t>DEBT (ST)</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</si>
  <si>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</si>
  <si>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</si>
  <si>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</si>
  <si>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</si>
  <si>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</si>
  <si>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</si>
  <si>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</si>
  <si>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</si>
  <si>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</si>
  <si>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</si>
  <si>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</si>
  <si>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</si>
  <si>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</si>
  <si>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</si>
  <si>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</si>
  <si>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</si>
  <si>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</si>
  <si>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</si>
  <si>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</si>
  <si>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</si>
  <si>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</si>
  <si>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</si>
  <si>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</si>
  <si>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</si>
  <si>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</si>
  <si>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</si>
  <si>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</si>
  <si>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</si>
  <si>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 xml:space="preserve">362 Sub Life = </t>
  </si>
  <si>
    <t>364 OH Pole Life</t>
  </si>
  <si>
    <t>365 OH Conductor Life</t>
  </si>
  <si>
    <t>367 UG Conductor Life</t>
  </si>
  <si>
    <t>366 UG Conduit Life</t>
  </si>
  <si>
    <t>Average Life of Feeders</t>
  </si>
  <si>
    <t>Years</t>
  </si>
  <si>
    <t>Replacement Coverage FCR</t>
  </si>
  <si>
    <r>
      <rPr>
        <b/>
        <sz val="15"/>
        <color rgb="FF0033CC"/>
        <rFont val="Arial"/>
        <family val="2"/>
      </rPr>
      <t>UE-190529</t>
    </r>
    <r>
      <rPr>
        <b/>
        <sz val="15"/>
        <rFont val="Arial"/>
        <family val="2"/>
      </rPr>
      <t xml:space="preserve"> Electric Rate Design Work Paper</t>
    </r>
  </si>
  <si>
    <t>PUGET SOUND ENERGY</t>
  </si>
  <si>
    <t>ELECTRIC PLANT</t>
  </si>
  <si>
    <t>TABLE 1.  SUMMARY OF ESTIMATED SURVIVOR CURVES, NET SALVAGE PERCENT, ORIGINAL COST, BOOK DEPRECIATION RESERVE</t>
  </si>
  <si>
    <t>AND CALCULATED ANNUAL DEPRECIATION RATES BY COMPONENT AS OF SEPTEMBER 30, 2016</t>
  </si>
  <si>
    <t>CAPITAL</t>
  </si>
  <si>
    <t>RECOVERY/</t>
  </si>
  <si>
    <t>PROBABLE</t>
  </si>
  <si>
    <t>NET</t>
  </si>
  <si>
    <t>ORIGINAL COST</t>
  </si>
  <si>
    <t>BOOK</t>
  </si>
  <si>
    <t xml:space="preserve">CALCULATED ANNUAL </t>
  </si>
  <si>
    <t xml:space="preserve">GROSS </t>
  </si>
  <si>
    <t>COST OF</t>
  </si>
  <si>
    <t>RETIREMENT</t>
  </si>
  <si>
    <t>SURVIVOR</t>
  </si>
  <si>
    <t>SALVAGE</t>
  </si>
  <si>
    <t>AS OF</t>
  </si>
  <si>
    <t>DEPRECIATION</t>
  </si>
  <si>
    <t>FUTURE</t>
  </si>
  <si>
    <t xml:space="preserve">ACCRUAL </t>
  </si>
  <si>
    <t>ACCRUAL</t>
  </si>
  <si>
    <t>REMOVAL</t>
  </si>
  <si>
    <t>ACCOUNT</t>
  </si>
  <si>
    <t>DATE</t>
  </si>
  <si>
    <t>CURVE</t>
  </si>
  <si>
    <t>PERCENT</t>
  </si>
  <si>
    <t>SEPTEMBER 30, 2016</t>
  </si>
  <si>
    <t>RESERVE</t>
  </si>
  <si>
    <t>ACCRUALS</t>
  </si>
  <si>
    <t>AMOUNT</t>
  </si>
  <si>
    <t>RATE</t>
  </si>
  <si>
    <t>(9)=(8)/(5)</t>
  </si>
  <si>
    <t xml:space="preserve">ELECTRIC PLANT </t>
  </si>
  <si>
    <t>EASEMENTS</t>
  </si>
  <si>
    <t xml:space="preserve">STRUCTURES AND IMPROVEMENTS          </t>
  </si>
  <si>
    <t xml:space="preserve">STATION EQUIPMENT                   </t>
  </si>
  <si>
    <t>BATTERY STORAGE EQUIPMENT</t>
  </si>
  <si>
    <t xml:space="preserve">POLES, TOWERS AND FIXTURES          </t>
  </si>
  <si>
    <t xml:space="preserve">OVERHEAD CONDUCTORS AND DEVICES     </t>
  </si>
  <si>
    <t xml:space="preserve">UNDERGROUND CONDUIT                 </t>
  </si>
  <si>
    <t xml:space="preserve">UNDERGROUND CONDUCTORS AND DEVICES  </t>
  </si>
  <si>
    <t xml:space="preserve">LINE TRANSFORMERS                   </t>
  </si>
  <si>
    <t xml:space="preserve">SERVICES                            </t>
  </si>
  <si>
    <t>METERS</t>
  </si>
  <si>
    <t xml:space="preserve">STREET LIGHTING AND SIGNAL SYSTEMS  </t>
  </si>
  <si>
    <t xml:space="preserve">    TOTAL DISTRIBUTION PLANT </t>
  </si>
  <si>
    <t xml:space="preserve">DISTRIBUTION PLANT </t>
  </si>
  <si>
    <t>PUGET SOUND ENERGY-ELECTRIC</t>
  </si>
  <si>
    <t>CONVERSION FACTOR</t>
  </si>
  <si>
    <t>FOR THE TWELVE MONTHS ENDED DECEMBER 31, 2018</t>
  </si>
  <si>
    <t>2019 GENERAL RATE CASE</t>
  </si>
  <si>
    <t>LINE</t>
  </si>
  <si>
    <t>NO.</t>
  </si>
  <si>
    <t>DESCRIPTION</t>
  </si>
  <si>
    <t>%'s</t>
  </si>
  <si>
    <t>BAD DEBTS</t>
  </si>
  <si>
    <t>ANNUAL FILING FEE</t>
  </si>
  <si>
    <t>SUM OF TAXES OTHER</t>
  </si>
  <si>
    <t>CONVERSION FACTOR EXCLUDING FEDERAL INCOME TAX ( 1 - LINE 5)</t>
  </si>
  <si>
    <t>FEDERAL INCOME TAX</t>
  </si>
  <si>
    <t xml:space="preserve">CONVERSION FACTOR INCL FEDERAL INCOME TAX ( LINE 5 + LINE 8 ) </t>
  </si>
  <si>
    <t>STATE UTILITY TAX - NET OF BAD DEBTS ( 3.8734% - ( LINE 1 * 3.8734%) )</t>
  </si>
  <si>
    <t>Rate</t>
  </si>
  <si>
    <t>Asset</t>
  </si>
  <si>
    <t>Life</t>
  </si>
  <si>
    <r>
      <t xml:space="preserve">SCHEDULE 62 UPDATE </t>
    </r>
    <r>
      <rPr>
        <b/>
        <sz val="22"/>
        <color rgb="FF0033CC"/>
        <rFont val="Arial"/>
        <family val="2"/>
      </rPr>
      <t>January 1, 2021</t>
    </r>
  </si>
  <si>
    <r>
      <t>Effective</t>
    </r>
    <r>
      <rPr>
        <b/>
        <sz val="15"/>
        <color rgb="FF0033CC"/>
        <rFont val="Arial"/>
        <family val="2"/>
      </rPr>
      <t xml:space="preserve"> October 15, 2020</t>
    </r>
  </si>
  <si>
    <t xml:space="preserve">2019 GRC Compliance Filing </t>
  </si>
  <si>
    <t>Based upon the depreciation study, gross plant, and plant in service assume all facilities under the Special Contract distribution rate have an original life of 49 years for substation equipment and 35 years for OH/UG Feeder</t>
  </si>
  <si>
    <t>Special Contract Analysis</t>
  </si>
  <si>
    <t>Special Contract Fixed Charge Rates For Land and Depreciable Plant</t>
  </si>
  <si>
    <t>Special Contract Fixed Charge Rates For Depreciable Plant</t>
  </si>
  <si>
    <t>Special Contrct Analysis</t>
  </si>
  <si>
    <t>65-R4</t>
  </si>
  <si>
    <t>60-R2</t>
  </si>
  <si>
    <t>52-S0</t>
  </si>
  <si>
    <t>20-S3</t>
  </si>
  <si>
    <t>46-R1.5</t>
  </si>
  <si>
    <t>38-R2.5</t>
  </si>
  <si>
    <t>55-R3</t>
  </si>
  <si>
    <t>44-R2</t>
  </si>
  <si>
    <t>20-L1</t>
  </si>
  <si>
    <t>31-S0.5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</si>
</sst>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_);\(0.00\)"/>
    <numFmt numFmtId="175" formatCode="0_);\(0\)"/>
    <numFmt numFmtId="176" formatCode="[$-409]mmmm\ d\,\ yyyy;@"/>
    <numFmt numFmtId="177" formatCode="0.000000"/>
  </numFmts>
  <fonts count="25" x14ac:knownFonts="1">
    <font>
      <sz val="11"/>
      <color theme="1"/>
      <name val="Calibri"/>
      <family val="2"/>
      <scheme val="minor"/>
    </font>
    <font>
      <sz val="10"/>
      <name val="Courier"/>
      <family val="3"/>
    </font>
    <font>
      <sz val="10"/>
      <name val="Arial"/>
      <family val="2"/>
    </font>
    <font>
      <b/>
      <sz val="15"/>
      <name val="Arial"/>
      <family val="2"/>
    </font>
    <font>
      <b/>
      <sz val="10"/>
      <name val="Arial"/>
      <family val="2"/>
    </font>
    <font>
      <sz val="10"/>
      <name val="Helv"/>
    </font>
    <font>
      <sz val="8"/>
      <name val="Arial"/>
      <family val="2"/>
    </font>
    <font>
      <sz val="10"/>
      <name val="MS Sans Serif"/>
      <family val="2"/>
    </font>
    <font>
      <sz val="12"/>
      <name val="Arial"/>
      <family val="2"/>
    </font>
    <font>
      <sz val="11"/>
      <color theme="1"/>
      <name val="Calibri"/>
      <family val="2"/>
      <scheme val="minor"/>
    </font>
    <font>
      <b/>
      <sz val="22"/>
      <name val="Arial"/>
      <family val="2"/>
    </font>
    <font>
      <b/>
      <sz val="22"/>
      <color rgb="FF0033CC"/>
      <name val="Arial"/>
      <family val="2"/>
    </font>
    <font>
      <b/>
      <sz val="15"/>
      <color rgb="FF0033CC"/>
      <name val="Arial"/>
      <family val="2"/>
    </font>
    <font>
      <sz val="10"/>
      <color rgb="FFFF0000"/>
      <name val="Arial"/>
      <family val="2"/>
    </font>
    <font>
      <b/>
      <sz val="8"/>
      <name val="Arial"/>
      <family val="2"/>
    </font>
    <font>
      <sz val="8"/>
      <color theme="1"/>
      <name val="Arial"/>
      <family val="2"/>
    </font>
    <font>
      <sz val="8"/>
      <color rgb="FF009999"/>
      <name val="Arial"/>
      <family val="2"/>
    </font>
    <font>
      <b/>
      <sz val="8"/>
      <color theme="1"/>
      <name val="Arial"/>
      <family val="2"/>
    </font>
    <font>
      <u/>
      <sz val="8"/>
      <color theme="1"/>
      <name val="Arial"/>
      <family val="2"/>
    </font>
    <font>
      <b/>
      <u/>
      <sz val="8"/>
      <name val="Arial"/>
      <family val="2"/>
    </font>
    <font>
      <b/>
      <sz val="8"/>
      <color rgb="FF008080"/>
      <name val="Arial"/>
      <family val="2"/>
    </font>
    <font>
      <b/>
      <sz val="8"/>
      <color rgb="FF009999"/>
      <name val="Arial"/>
      <family val="2"/>
    </font>
    <font>
      <sz val="8"/>
      <color indexed="10"/>
      <name val="Arial"/>
      <family val="2"/>
    </font>
    <font>
      <sz val="8"/>
      <color rgb="FF0033CC"/>
      <name val="Arial"/>
      <family val="2"/>
    </font>
    <font>
      <b/>
      <sz val="8"/>
      <color rgb="FF00B0F0"/>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7" tint="0.79998168889431442"/>
        <bgColor indexed="64"/>
      </patternFill>
    </fill>
  </fills>
  <borders count="2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8"/>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0" fontId="1" fillId="0" borderId="0"/>
    <xf numFmtId="4" fontId="5" fillId="0" borderId="0" applyFont="0" applyFill="0" applyBorder="0" applyAlignment="0" applyProtection="0"/>
    <xf numFmtId="43" fontId="2" fillId="0" borderId="0" applyFont="0" applyFill="0" applyBorder="0" applyAlignment="0" applyProtection="0"/>
    <xf numFmtId="8" fontId="5"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xf numFmtId="0" fontId="7" fillId="0" borderId="0"/>
    <xf numFmtId="0" fontId="8" fillId="0" borderId="0"/>
    <xf numFmtId="9" fontId="5" fillId="0" borderId="0" applyFont="0" applyFill="0" applyBorder="0" applyAlignment="0" applyProtection="0"/>
    <xf numFmtId="9"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2" fillId="0" borderId="0"/>
  </cellStyleXfs>
  <cellXfs count="281">
    <xf numFmtId="0" fontId="0" fillId="0" borderId="0" xfId="0"/>
    <xf numFmtId="0" fontId="2" fillId="2" borderId="0" xfId="1" applyFont="1" applyFill="1" applyBorder="1"/>
    <xf numFmtId="0" fontId="2" fillId="0" borderId="0" xfId="1" applyFont="1"/>
    <xf numFmtId="0" fontId="2" fillId="2" borderId="0" xfId="1" quotePrefix="1" applyFont="1" applyFill="1" applyBorder="1" applyAlignment="1">
      <alignment horizontal="left"/>
    </xf>
    <xf numFmtId="0" fontId="2" fillId="2" borderId="0" xfId="1" applyFont="1" applyFill="1" applyBorder="1" applyAlignment="1">
      <alignment wrapText="1"/>
    </xf>
    <xf numFmtId="0" fontId="2" fillId="3" borderId="0" xfId="1" applyFont="1" applyFill="1" applyBorder="1"/>
    <xf numFmtId="14" fontId="3" fillId="3" borderId="0" xfId="1" quotePrefix="1" applyNumberFormat="1" applyFont="1" applyFill="1" applyBorder="1" applyAlignment="1">
      <alignment horizontal="center"/>
    </xf>
    <xf numFmtId="0" fontId="2" fillId="2" borderId="0" xfId="1" applyFont="1" applyFill="1" applyBorder="1" applyAlignment="1">
      <alignment horizontal="center"/>
    </xf>
    <xf numFmtId="0" fontId="4" fillId="3" borderId="0" xfId="1" applyFont="1" applyFill="1" applyBorder="1"/>
    <xf numFmtId="0" fontId="3" fillId="3" borderId="0" xfId="1" quotePrefix="1" applyFont="1" applyFill="1" applyBorder="1" applyAlignment="1">
      <alignment horizontal="center"/>
    </xf>
    <xf numFmtId="0" fontId="2" fillId="2" borderId="0" xfId="1" quotePrefix="1" applyFont="1" applyFill="1" applyBorder="1" applyAlignment="1">
      <alignment horizontal="left" wrapText="1"/>
    </xf>
    <xf numFmtId="0" fontId="10" fillId="3" borderId="0" xfId="1" quotePrefix="1" applyFont="1" applyFill="1" applyBorder="1" applyAlignment="1">
      <alignment horizontal="center"/>
    </xf>
    <xf numFmtId="0" fontId="13" fillId="2" borderId="0" xfId="1" quotePrefix="1" applyFont="1" applyFill="1" applyBorder="1" applyAlignment="1">
      <alignment horizontal="left"/>
    </xf>
    <xf numFmtId="0" fontId="14" fillId="0" borderId="0" xfId="0" applyFont="1" applyFill="1" applyBorder="1" applyAlignment="1">
      <alignment horizontal="center"/>
    </xf>
    <xf numFmtId="37" fontId="14" fillId="0" borderId="20" xfId="0" applyNumberFormat="1" applyFont="1" applyFill="1" applyBorder="1" applyAlignment="1">
      <alignment horizontal="center"/>
    </xf>
    <xf numFmtId="0" fontId="14" fillId="0" borderId="20" xfId="0" applyFont="1" applyFill="1" applyBorder="1" applyAlignment="1">
      <alignment horizontal="center"/>
    </xf>
    <xf numFmtId="0" fontId="14" fillId="0" borderId="20" xfId="0" applyNumberFormat="1" applyFont="1" applyFill="1" applyBorder="1" applyAlignment="1">
      <alignment horizontal="center"/>
    </xf>
    <xf numFmtId="0" fontId="14" fillId="0" borderId="6" xfId="0" applyFont="1" applyFill="1" applyBorder="1" applyAlignment="1">
      <alignment horizontal="center"/>
    </xf>
    <xf numFmtId="174" fontId="14" fillId="0" borderId="6" xfId="0" applyNumberFormat="1" applyFont="1" applyFill="1" applyBorder="1" applyAlignment="1">
      <alignment horizontal="center"/>
    </xf>
    <xf numFmtId="175" fontId="14" fillId="0" borderId="20" xfId="0" applyNumberFormat="1" applyFont="1" applyFill="1" applyBorder="1" applyAlignment="1">
      <alignment horizontal="center"/>
    </xf>
    <xf numFmtId="3" fontId="14" fillId="0" borderId="20" xfId="0" applyNumberFormat="1" applyFont="1" applyFill="1" applyBorder="1" applyAlignment="1">
      <alignment horizontal="center"/>
    </xf>
    <xf numFmtId="37" fontId="14" fillId="0" borderId="0" xfId="0" applyNumberFormat="1" applyFont="1" applyFill="1" applyBorder="1" applyAlignment="1">
      <alignment horizontal="center"/>
    </xf>
    <xf numFmtId="175" fontId="14" fillId="0" borderId="0" xfId="0" applyNumberFormat="1" applyFont="1" applyFill="1" applyBorder="1" applyAlignment="1">
      <alignment horizontal="center"/>
    </xf>
    <xf numFmtId="3" fontId="14" fillId="0" borderId="0" xfId="0" applyNumberFormat="1" applyFont="1" applyFill="1" applyBorder="1" applyAlignment="1">
      <alignment horizontal="center"/>
    </xf>
    <xf numFmtId="39" fontId="14" fillId="0" borderId="0" xfId="14" applyNumberFormat="1" applyFont="1" applyFill="1" applyBorder="1"/>
    <xf numFmtId="0" fontId="14" fillId="0" borderId="0" xfId="0" applyFont="1" applyFill="1" applyBorder="1" applyAlignment="1"/>
    <xf numFmtId="37" fontId="14" fillId="0" borderId="0" xfId="14" applyNumberFormat="1" applyFont="1" applyFill="1" applyBorder="1"/>
    <xf numFmtId="37" fontId="14" fillId="0" borderId="0" xfId="0" applyNumberFormat="1" applyFont="1" applyFill="1" applyBorder="1" applyAlignment="1"/>
    <xf numFmtId="2" fontId="14" fillId="0" borderId="0" xfId="0" applyNumberFormat="1" applyFont="1" applyFill="1" applyBorder="1"/>
    <xf numFmtId="0" fontId="15" fillId="0" borderId="0" xfId="0" applyFont="1" applyFill="1" applyBorder="1" applyAlignment="1"/>
    <xf numFmtId="0" fontId="14" fillId="0" borderId="6" xfId="0" applyNumberFormat="1" applyFont="1" applyFill="1" applyBorder="1" applyAlignment="1">
      <alignment horizontal="center"/>
    </xf>
    <xf numFmtId="0" fontId="15" fillId="0" borderId="0" xfId="0" applyFont="1"/>
    <xf numFmtId="0" fontId="14" fillId="0" borderId="21" xfId="0" applyFont="1" applyFill="1" applyBorder="1" applyAlignment="1">
      <alignment horizontal="centerContinuous"/>
    </xf>
    <xf numFmtId="0" fontId="14" fillId="0" borderId="22" xfId="0" applyFont="1" applyFill="1" applyBorder="1" applyAlignment="1">
      <alignment horizontal="centerContinuous"/>
    </xf>
    <xf numFmtId="174" fontId="15" fillId="0" borderId="22" xfId="0" applyNumberFormat="1" applyFont="1" applyFill="1" applyBorder="1" applyAlignment="1">
      <alignment horizontal="centerContinuous"/>
    </xf>
    <xf numFmtId="174" fontId="15" fillId="0" borderId="23" xfId="0" applyNumberFormat="1" applyFont="1" applyFill="1" applyBorder="1" applyAlignment="1">
      <alignment horizontal="centerContinuous"/>
    </xf>
    <xf numFmtId="0" fontId="14" fillId="0" borderId="11" xfId="0" applyFont="1" applyFill="1" applyBorder="1" applyAlignment="1">
      <alignment horizontal="centerContinuous"/>
    </xf>
    <xf numFmtId="0" fontId="14" fillId="0" borderId="0" xfId="0" applyFont="1" applyFill="1" applyBorder="1" applyAlignment="1">
      <alignment horizontal="centerContinuous"/>
    </xf>
    <xf numFmtId="174" fontId="15" fillId="0" borderId="0" xfId="0" applyNumberFormat="1" applyFont="1" applyFill="1" applyBorder="1" applyAlignment="1">
      <alignment horizontal="centerContinuous"/>
    </xf>
    <xf numFmtId="174" fontId="15" fillId="0" borderId="4" xfId="0" applyNumberFormat="1" applyFont="1" applyFill="1" applyBorder="1" applyAlignment="1">
      <alignment horizontal="centerContinuous"/>
    </xf>
    <xf numFmtId="175" fontId="14" fillId="0" borderId="11" xfId="0" applyNumberFormat="1" applyFont="1" applyFill="1" applyBorder="1" applyAlignment="1">
      <alignment horizontal="centerContinuous"/>
    </xf>
    <xf numFmtId="175" fontId="14" fillId="0" borderId="0" xfId="0" applyNumberFormat="1" applyFont="1" applyFill="1" applyBorder="1" applyAlignment="1">
      <alignment horizontal="centerContinuous"/>
    </xf>
    <xf numFmtId="174" fontId="14" fillId="0" borderId="0" xfId="0" applyNumberFormat="1" applyFont="1" applyFill="1" applyBorder="1" applyAlignment="1">
      <alignment horizontal="center"/>
    </xf>
    <xf numFmtId="174" fontId="15" fillId="0" borderId="0" xfId="0" applyNumberFormat="1" applyFont="1" applyFill="1" applyBorder="1"/>
    <xf numFmtId="174" fontId="15" fillId="0" borderId="4" xfId="0" applyNumberFormat="1" applyFont="1" applyFill="1" applyBorder="1"/>
    <xf numFmtId="0" fontId="14" fillId="0" borderId="11" xfId="0" applyNumberFormat="1" applyFont="1" applyFill="1" applyBorder="1" applyAlignment="1">
      <alignment horizontal="centerContinuous"/>
    </xf>
    <xf numFmtId="0" fontId="15" fillId="0" borderId="0" xfId="0" applyNumberFormat="1" applyFont="1" applyFill="1" applyBorder="1" applyAlignment="1">
      <alignment horizontal="centerContinuous"/>
    </xf>
    <xf numFmtId="0" fontId="15" fillId="0" borderId="0" xfId="0" applyNumberFormat="1" applyFont="1" applyFill="1" applyBorder="1" applyAlignment="1">
      <alignment horizontal="center"/>
    </xf>
    <xf numFmtId="175" fontId="15" fillId="0" borderId="0" xfId="0" applyNumberFormat="1" applyFont="1" applyFill="1" applyBorder="1" applyAlignment="1">
      <alignment horizontal="centerContinuous"/>
    </xf>
    <xf numFmtId="37" fontId="15" fillId="0" borderId="0" xfId="0" applyNumberFormat="1" applyFont="1" applyFill="1" applyBorder="1" applyAlignment="1">
      <alignment horizontal="centerContinuous"/>
    </xf>
    <xf numFmtId="37" fontId="15" fillId="0" borderId="0" xfId="0" applyNumberFormat="1" applyFont="1" applyFill="1" applyBorder="1" applyAlignment="1"/>
    <xf numFmtId="0" fontId="15" fillId="0" borderId="11" xfId="0" applyFont="1" applyFill="1" applyBorder="1"/>
    <xf numFmtId="0" fontId="14" fillId="0" borderId="0" xfId="0" applyNumberFormat="1" applyFont="1" applyFill="1" applyBorder="1" applyAlignment="1">
      <alignment horizontal="center"/>
    </xf>
    <xf numFmtId="37" fontId="14" fillId="0" borderId="0" xfId="0" applyNumberFormat="1" applyFont="1" applyFill="1" applyBorder="1" applyAlignment="1">
      <alignment horizontal="centerContinuous"/>
    </xf>
    <xf numFmtId="0" fontId="6" fillId="0" borderId="0" xfId="0" applyNumberFormat="1" applyFont="1" applyFill="1" applyBorder="1" applyAlignment="1">
      <alignment horizontal="centerContinuous"/>
    </xf>
    <xf numFmtId="0" fontId="6" fillId="0" borderId="0" xfId="0" applyFont="1" applyFill="1" applyBorder="1" applyAlignment="1">
      <alignment horizontal="center"/>
    </xf>
    <xf numFmtId="174" fontId="14" fillId="0" borderId="4" xfId="0" applyNumberFormat="1" applyFont="1" applyFill="1" applyBorder="1" applyAlignment="1">
      <alignment horizontal="center"/>
    </xf>
    <xf numFmtId="176" fontId="14" fillId="0" borderId="0" xfId="0" quotePrefix="1" applyNumberFormat="1" applyFont="1" applyBorder="1" applyAlignment="1">
      <alignment horizontal="center"/>
    </xf>
    <xf numFmtId="174" fontId="14" fillId="0" borderId="24" xfId="0" applyNumberFormat="1" applyFont="1" applyFill="1" applyBorder="1" applyAlignment="1">
      <alignment horizontal="center"/>
    </xf>
    <xf numFmtId="37" fontId="14" fillId="0" borderId="25" xfId="0" applyNumberFormat="1" applyFont="1" applyFill="1" applyBorder="1" applyAlignment="1">
      <alignment horizontal="center"/>
    </xf>
    <xf numFmtId="0" fontId="15" fillId="0" borderId="21" xfId="0" applyFont="1" applyBorder="1"/>
    <xf numFmtId="0" fontId="15" fillId="0" borderId="23" xfId="0" applyFont="1" applyBorder="1"/>
    <xf numFmtId="0" fontId="15" fillId="0" borderId="11" xfId="0" applyFont="1" applyBorder="1"/>
    <xf numFmtId="164" fontId="15" fillId="0" borderId="0" xfId="12" applyNumberFormat="1" applyFont="1" applyBorder="1"/>
    <xf numFmtId="0" fontId="15" fillId="0" borderId="4" xfId="0" applyFont="1" applyBorder="1"/>
    <xf numFmtId="0" fontId="14" fillId="0" borderId="0" xfId="0" applyNumberFormat="1" applyFont="1" applyFill="1" applyBorder="1" applyAlignment="1">
      <alignment horizontal="left"/>
    </xf>
    <xf numFmtId="0" fontId="15" fillId="0" borderId="0" xfId="0" applyFont="1" applyFill="1" applyBorder="1" applyAlignment="1">
      <alignment horizontal="center"/>
    </xf>
    <xf numFmtId="175" fontId="15" fillId="0" borderId="0" xfId="0" applyNumberFormat="1" applyFont="1" applyFill="1" applyBorder="1" applyAlignment="1"/>
    <xf numFmtId="37" fontId="15" fillId="0" borderId="0" xfId="0" applyNumberFormat="1" applyFont="1" applyFill="1" applyBorder="1"/>
    <xf numFmtId="0" fontId="15" fillId="0" borderId="11" xfId="0" quotePrefix="1" applyFont="1" applyBorder="1" applyAlignment="1">
      <alignment horizontal="left"/>
    </xf>
    <xf numFmtId="0" fontId="15" fillId="0" borderId="0" xfId="0" applyFont="1" applyBorder="1"/>
    <xf numFmtId="2" fontId="15" fillId="0" borderId="11" xfId="0" applyNumberFormat="1" applyFont="1" applyFill="1" applyBorder="1"/>
    <xf numFmtId="0" fontId="6" fillId="0" borderId="0" xfId="0" applyNumberFormat="1" applyFont="1" applyFill="1" applyBorder="1" applyAlignment="1">
      <alignment horizontal="left"/>
    </xf>
    <xf numFmtId="0" fontId="16" fillId="0" borderId="0" xfId="0" applyFont="1" applyBorder="1" applyAlignment="1">
      <alignment horizontal="center"/>
    </xf>
    <xf numFmtId="0" fontId="15" fillId="0" borderId="0" xfId="0" applyFont="1" applyBorder="1" applyAlignment="1">
      <alignment horizontal="center"/>
    </xf>
    <xf numFmtId="175" fontId="16" fillId="0" borderId="0" xfId="0" applyNumberFormat="1" applyFont="1" applyBorder="1" applyAlignment="1">
      <alignment horizontal="center"/>
    </xf>
    <xf numFmtId="43" fontId="16" fillId="0" borderId="0" xfId="12" applyFont="1" applyBorder="1"/>
    <xf numFmtId="43" fontId="15" fillId="0" borderId="0" xfId="12" applyFont="1" applyBorder="1"/>
    <xf numFmtId="164" fontId="16" fillId="0" borderId="0" xfId="12" applyNumberFormat="1" applyFont="1" applyBorder="1"/>
    <xf numFmtId="2" fontId="16" fillId="0" borderId="0" xfId="0" applyNumberFormat="1" applyFont="1" applyBorder="1"/>
    <xf numFmtId="2" fontId="15" fillId="0" borderId="0" xfId="0" applyNumberFormat="1" applyFont="1" applyBorder="1"/>
    <xf numFmtId="2" fontId="16" fillId="0" borderId="4" xfId="0" applyNumberFormat="1" applyFont="1" applyBorder="1"/>
    <xf numFmtId="0" fontId="17" fillId="0" borderId="10" xfId="0" applyFont="1" applyBorder="1" applyAlignment="1">
      <alignment horizontal="left"/>
    </xf>
    <xf numFmtId="0" fontId="17" fillId="0" borderId="9" xfId="0" applyFont="1" applyBorder="1"/>
    <xf numFmtId="164" fontId="17" fillId="0" borderId="9" xfId="0" applyNumberFormat="1" applyFont="1" applyBorder="1"/>
    <xf numFmtId="0" fontId="17" fillId="0" borderId="2" xfId="0" applyFont="1" applyBorder="1"/>
    <xf numFmtId="0" fontId="6" fillId="0" borderId="0" xfId="0" applyFont="1" applyFill="1" applyBorder="1" applyAlignment="1"/>
    <xf numFmtId="175" fontId="16" fillId="0" borderId="0" xfId="0" applyNumberFormat="1" applyFont="1" applyBorder="1"/>
    <xf numFmtId="0" fontId="18" fillId="0" borderId="0" xfId="0" applyFont="1" applyBorder="1"/>
    <xf numFmtId="0" fontId="15" fillId="0" borderId="10" xfId="0" applyFont="1" applyBorder="1"/>
    <xf numFmtId="0" fontId="15" fillId="0" borderId="9" xfId="0" applyFont="1" applyBorder="1"/>
    <xf numFmtId="0" fontId="15" fillId="0" borderId="2" xfId="0" applyFont="1" applyBorder="1"/>
    <xf numFmtId="10" fontId="15" fillId="0" borderId="0" xfId="13" applyNumberFormat="1" applyFont="1"/>
    <xf numFmtId="0" fontId="17" fillId="0" borderId="0" xfId="0" applyFont="1" applyAlignment="1">
      <alignment horizontal="center"/>
    </xf>
    <xf numFmtId="164" fontId="6" fillId="0" borderId="0" xfId="12" applyNumberFormat="1" applyFont="1" applyFill="1" applyBorder="1"/>
    <xf numFmtId="9" fontId="15" fillId="0" borderId="0" xfId="13" applyFont="1" applyFill="1" applyBorder="1"/>
    <xf numFmtId="10" fontId="16" fillId="0" borderId="22" xfId="13" applyNumberFormat="1" applyFont="1" applyFill="1" applyBorder="1"/>
    <xf numFmtId="164" fontId="6" fillId="0" borderId="22" xfId="12" applyNumberFormat="1" applyFont="1" applyFill="1" applyBorder="1"/>
    <xf numFmtId="10" fontId="16" fillId="0" borderId="0" xfId="13" applyNumberFormat="1" applyFont="1" applyFill="1" applyBorder="1"/>
    <xf numFmtId="0" fontId="6" fillId="0" borderId="0" xfId="1" applyFont="1"/>
    <xf numFmtId="0" fontId="14" fillId="0" borderId="0" xfId="1" applyFont="1" applyFill="1" applyAlignment="1">
      <alignment horizontal="center"/>
    </xf>
    <xf numFmtId="0" fontId="6" fillId="0" borderId="0" xfId="1" applyFont="1" applyFill="1"/>
    <xf numFmtId="0" fontId="6" fillId="0" borderId="9" xfId="1" applyFont="1" applyBorder="1" applyAlignment="1">
      <alignment horizontal="center" wrapText="1"/>
    </xf>
    <xf numFmtId="0" fontId="6" fillId="0" borderId="8" xfId="1" quotePrefix="1" applyFont="1" applyBorder="1" applyAlignment="1">
      <alignment horizontal="center" wrapText="1"/>
    </xf>
    <xf numFmtId="0" fontId="6" fillId="0" borderId="7" xfId="1" quotePrefix="1" applyFont="1" applyBorder="1" applyAlignment="1">
      <alignment horizontal="center" wrapText="1"/>
    </xf>
    <xf numFmtId="0" fontId="6" fillId="0" borderId="0" xfId="1" applyFont="1" applyAlignment="1">
      <alignment horizontal="center"/>
    </xf>
    <xf numFmtId="166" fontId="16" fillId="0" borderId="14" xfId="10" applyNumberFormat="1" applyFont="1" applyBorder="1"/>
    <xf numFmtId="166" fontId="16" fillId="0" borderId="4" xfId="10" applyNumberFormat="1" applyFont="1" applyBorder="1"/>
    <xf numFmtId="166" fontId="16" fillId="0" borderId="3" xfId="10" applyNumberFormat="1" applyFont="1" applyBorder="1"/>
    <xf numFmtId="164" fontId="6" fillId="0" borderId="0" xfId="1" applyNumberFormat="1" applyFont="1"/>
    <xf numFmtId="0" fontId="6" fillId="0" borderId="3" xfId="1" applyFont="1" applyBorder="1"/>
    <xf numFmtId="0" fontId="6" fillId="0" borderId="4" xfId="1" applyFont="1" applyBorder="1"/>
    <xf numFmtId="166" fontId="6" fillId="0" borderId="4" xfId="10" applyNumberFormat="1" applyFont="1" applyBorder="1"/>
    <xf numFmtId="166" fontId="6" fillId="0" borderId="3" xfId="10" applyNumberFormat="1" applyFont="1" applyBorder="1"/>
    <xf numFmtId="0" fontId="6" fillId="0" borderId="1" xfId="1" applyFont="1" applyBorder="1"/>
    <xf numFmtId="0" fontId="6" fillId="0" borderId="2" xfId="1" applyFont="1" applyBorder="1"/>
    <xf numFmtId="166" fontId="6" fillId="0" borderId="2" xfId="10" applyNumberFormat="1" applyFont="1" applyBorder="1"/>
    <xf numFmtId="166" fontId="6" fillId="0" borderId="1" xfId="10" applyNumberFormat="1" applyFont="1" applyBorder="1"/>
    <xf numFmtId="0" fontId="14" fillId="0" borderId="9" xfId="1" quotePrefix="1" applyFont="1" applyBorder="1" applyAlignment="1">
      <alignment horizontal="center" wrapText="1"/>
    </xf>
    <xf numFmtId="0" fontId="14" fillId="0" borderId="9" xfId="1" applyFont="1" applyBorder="1" applyAlignment="1">
      <alignment horizontal="center" wrapText="1"/>
    </xf>
    <xf numFmtId="0" fontId="14" fillId="0" borderId="5" xfId="1" quotePrefix="1" applyFont="1" applyBorder="1" applyAlignment="1">
      <alignment horizontal="center" wrapText="1"/>
    </xf>
    <xf numFmtId="0" fontId="14" fillId="0" borderId="0" xfId="1" applyFont="1"/>
    <xf numFmtId="165" fontId="16" fillId="0" borderId="0" xfId="5" applyNumberFormat="1" applyFont="1"/>
    <xf numFmtId="0" fontId="14" fillId="0" borderId="8" xfId="1" applyFont="1" applyBorder="1" applyAlignment="1">
      <alignment horizontal="center" wrapText="1"/>
    </xf>
    <xf numFmtId="0" fontId="14" fillId="0" borderId="6" xfId="1" applyFont="1" applyBorder="1" applyAlignment="1">
      <alignment horizontal="center"/>
    </xf>
    <xf numFmtId="0" fontId="14" fillId="0" borderId="6" xfId="1" applyFont="1" applyBorder="1" applyAlignment="1">
      <alignment horizontal="center" wrapText="1"/>
    </xf>
    <xf numFmtId="166" fontId="21" fillId="0" borderId="1" xfId="10" applyNumberFormat="1" applyFont="1" applyBorder="1"/>
    <xf numFmtId="5" fontId="16" fillId="0" borderId="0" xfId="1" applyNumberFormat="1" applyFont="1"/>
    <xf numFmtId="164" fontId="16" fillId="0" borderId="0" xfId="3" applyNumberFormat="1" applyFont="1"/>
    <xf numFmtId="166" fontId="14" fillId="0" borderId="3" xfId="10" applyNumberFormat="1" applyFont="1" applyBorder="1"/>
    <xf numFmtId="165" fontId="6" fillId="0" borderId="0" xfId="5" applyNumberFormat="1" applyFont="1"/>
    <xf numFmtId="164" fontId="6" fillId="0" borderId="0" xfId="3" applyNumberFormat="1" applyFont="1"/>
    <xf numFmtId="166" fontId="14" fillId="0" borderId="1" xfId="10" applyNumberFormat="1" applyFont="1" applyBorder="1"/>
    <xf numFmtId="0" fontId="14" fillId="0" borderId="0" xfId="1" quotePrefix="1" applyFont="1" applyAlignment="1"/>
    <xf numFmtId="5" fontId="6" fillId="0" borderId="0" xfId="1" applyNumberFormat="1" applyFont="1" applyProtection="1"/>
    <xf numFmtId="0" fontId="6" fillId="0" borderId="0" xfId="1" applyFont="1" applyAlignment="1" applyProtection="1">
      <alignment horizontal="left"/>
    </xf>
    <xf numFmtId="0" fontId="6" fillId="0" borderId="22" xfId="0" applyNumberFormat="1" applyFont="1" applyBorder="1" applyAlignment="1">
      <alignment horizontal="centerContinuous"/>
    </xf>
    <xf numFmtId="0" fontId="14" fillId="0" borderId="0" xfId="1" applyFont="1" applyFill="1"/>
    <xf numFmtId="0" fontId="6" fillId="0" borderId="11" xfId="1" applyFont="1" applyFill="1" applyBorder="1" applyAlignment="1" applyProtection="1">
      <alignment horizontal="left" indent="1"/>
    </xf>
    <xf numFmtId="167" fontId="16" fillId="0" borderId="0" xfId="13" applyNumberFormat="1" applyFont="1" applyFill="1" applyBorder="1" applyProtection="1"/>
    <xf numFmtId="10" fontId="16" fillId="0" borderId="0" xfId="13" applyNumberFormat="1" applyFont="1" applyFill="1" applyBorder="1" applyProtection="1"/>
    <xf numFmtId="10" fontId="6" fillId="0" borderId="4" xfId="13" applyNumberFormat="1" applyFont="1" applyFill="1" applyBorder="1" applyAlignment="1" applyProtection="1">
      <alignment horizontal="center"/>
    </xf>
    <xf numFmtId="0" fontId="6" fillId="0" borderId="0" xfId="0" applyNumberFormat="1" applyFont="1" applyBorder="1" applyAlignment="1">
      <alignment horizontal="centerContinuous"/>
    </xf>
    <xf numFmtId="0" fontId="22" fillId="0" borderId="0" xfId="1" applyFont="1"/>
    <xf numFmtId="0" fontId="6" fillId="0" borderId="11" xfId="1" applyFont="1" applyFill="1" applyBorder="1" applyAlignment="1" applyProtection="1">
      <alignment horizontal="left"/>
    </xf>
    <xf numFmtId="167" fontId="6" fillId="0" borderId="13" xfId="13" applyNumberFormat="1" applyFont="1" applyFill="1" applyBorder="1" applyProtection="1"/>
    <xf numFmtId="10" fontId="6" fillId="0" borderId="0" xfId="13" applyNumberFormat="1" applyFont="1" applyFill="1" applyBorder="1" applyProtection="1"/>
    <xf numFmtId="10" fontId="6" fillId="0" borderId="12" xfId="13" applyNumberFormat="1" applyFont="1" applyFill="1" applyBorder="1" applyAlignment="1" applyProtection="1">
      <alignment horizontal="center"/>
    </xf>
    <xf numFmtId="0" fontId="6" fillId="0" borderId="11" xfId="1" applyFont="1" applyFill="1" applyBorder="1"/>
    <xf numFmtId="168" fontId="6" fillId="0" borderId="0" xfId="1" applyNumberFormat="1" applyFont="1" applyFill="1" applyBorder="1" applyProtection="1"/>
    <xf numFmtId="168" fontId="6" fillId="0" borderId="4" xfId="1" applyNumberFormat="1" applyFont="1" applyFill="1" applyBorder="1" applyAlignment="1" applyProtection="1">
      <alignment horizontal="center"/>
    </xf>
    <xf numFmtId="170" fontId="6" fillId="0" borderId="9" xfId="1" applyNumberFormat="1" applyFont="1" applyBorder="1" applyProtection="1"/>
    <xf numFmtId="10" fontId="6" fillId="0" borderId="2" xfId="13" applyNumberFormat="1" applyFont="1" applyFill="1" applyBorder="1" applyAlignment="1" applyProtection="1">
      <alignment horizontal="center"/>
    </xf>
    <xf numFmtId="0" fontId="6" fillId="0" borderId="0" xfId="1" applyFont="1" applyFill="1" applyAlignment="1" applyProtection="1">
      <alignment horizontal="left"/>
    </xf>
    <xf numFmtId="0" fontId="6" fillId="0" borderId="0" xfId="1" applyFont="1" applyProtection="1"/>
    <xf numFmtId="10" fontId="16" fillId="0" borderId="0" xfId="8" applyNumberFormat="1" applyFont="1" applyFill="1" applyBorder="1" applyAlignment="1" applyProtection="1">
      <alignment horizontal="center"/>
      <protection locked="0"/>
    </xf>
    <xf numFmtId="168" fontId="6" fillId="0" borderId="0" xfId="1" applyNumberFormat="1" applyFont="1" applyAlignment="1" applyProtection="1">
      <alignment horizontal="center"/>
    </xf>
    <xf numFmtId="5" fontId="23" fillId="4" borderId="0" xfId="1" applyNumberFormat="1" applyFont="1" applyFill="1" applyProtection="1"/>
    <xf numFmtId="0" fontId="16" fillId="0" borderId="0" xfId="8" applyFont="1" applyFill="1" applyBorder="1" applyAlignment="1" applyProtection="1">
      <alignment horizontal="center"/>
      <protection locked="0"/>
    </xf>
    <xf numFmtId="5" fontId="6" fillId="0" borderId="0" xfId="1" applyNumberFormat="1" applyFont="1" applyFill="1" applyAlignment="1" applyProtection="1">
      <alignment horizontal="left"/>
    </xf>
    <xf numFmtId="167" fontId="6" fillId="0" borderId="0" xfId="10" applyNumberFormat="1" applyFont="1"/>
    <xf numFmtId="166" fontId="16" fillId="0" borderId="0" xfId="8" applyNumberFormat="1" applyFont="1" applyFill="1" applyBorder="1" applyAlignment="1" applyProtection="1">
      <alignment horizontal="center"/>
      <protection locked="0"/>
    </xf>
    <xf numFmtId="10" fontId="6" fillId="0" borderId="0" xfId="10" applyNumberFormat="1" applyFont="1" applyAlignment="1">
      <alignment horizontal="center"/>
    </xf>
    <xf numFmtId="166" fontId="6" fillId="0" borderId="0" xfId="8" applyNumberFormat="1" applyFont="1" applyFill="1" applyBorder="1" applyProtection="1">
      <protection locked="0"/>
    </xf>
    <xf numFmtId="0" fontId="6" fillId="0" borderId="9" xfId="1" applyFont="1" applyBorder="1" applyAlignment="1" applyProtection="1">
      <alignment horizontal="right" wrapText="1"/>
    </xf>
    <xf numFmtId="0" fontId="6" fillId="0" borderId="9" xfId="1" applyFont="1" applyFill="1" applyBorder="1" applyAlignment="1" applyProtection="1">
      <alignment horizontal="right" wrapText="1"/>
    </xf>
    <xf numFmtId="0" fontId="6" fillId="0" borderId="0" xfId="1" applyFont="1" applyAlignment="1" applyProtection="1">
      <alignment horizontal="right"/>
    </xf>
    <xf numFmtId="171" fontId="6" fillId="0" borderId="0" xfId="1" applyNumberFormat="1" applyFont="1" applyAlignment="1" applyProtection="1">
      <alignment horizontal="right"/>
    </xf>
    <xf numFmtId="172" fontId="6" fillId="0" borderId="0" xfId="12" applyNumberFormat="1" applyFont="1" applyFill="1" applyAlignment="1" applyProtection="1">
      <alignment horizontal="right"/>
    </xf>
    <xf numFmtId="171" fontId="6" fillId="0" borderId="0" xfId="11" applyNumberFormat="1" applyFont="1" applyAlignment="1" applyProtection="1">
      <alignment horizontal="right"/>
    </xf>
    <xf numFmtId="171" fontId="6" fillId="0" borderId="0" xfId="11" applyNumberFormat="1" applyFont="1"/>
    <xf numFmtId="5" fontId="6" fillId="0" borderId="0" xfId="1" applyNumberFormat="1" applyFont="1"/>
    <xf numFmtId="8" fontId="6" fillId="0" borderId="0" xfId="1" applyNumberFormat="1" applyFont="1"/>
    <xf numFmtId="5" fontId="6" fillId="0" borderId="0" xfId="1" applyNumberFormat="1" applyFont="1" applyAlignment="1" applyProtection="1">
      <alignment horizontal="right"/>
    </xf>
    <xf numFmtId="171" fontId="6" fillId="0" borderId="0" xfId="1" applyNumberFormat="1" applyFont="1"/>
    <xf numFmtId="10" fontId="6" fillId="0" borderId="0" xfId="1" applyNumberFormat="1" applyFont="1" applyFill="1" applyAlignment="1" applyProtection="1">
      <alignment horizontal="right"/>
    </xf>
    <xf numFmtId="171" fontId="6" fillId="0" borderId="0" xfId="1" applyNumberFormat="1" applyFont="1" applyAlignment="1">
      <alignment horizontal="right"/>
    </xf>
    <xf numFmtId="0" fontId="6" fillId="0" borderId="0" xfId="1" applyFont="1" applyAlignment="1">
      <alignment horizontal="right"/>
    </xf>
    <xf numFmtId="0" fontId="6" fillId="0" borderId="0" xfId="1" applyFont="1" applyFill="1" applyAlignment="1" applyProtection="1">
      <alignment horizontal="right"/>
    </xf>
    <xf numFmtId="0" fontId="6" fillId="0" borderId="0" xfId="1" applyFont="1" applyFill="1" applyAlignment="1">
      <alignment horizontal="right"/>
    </xf>
    <xf numFmtId="0" fontId="14" fillId="0" borderId="21" xfId="0" applyNumberFormat="1" applyFont="1" applyFill="1" applyBorder="1" applyAlignment="1" applyProtection="1">
      <alignment horizontal="centerContinuous"/>
      <protection locked="0"/>
    </xf>
    <xf numFmtId="0" fontId="14" fillId="0" borderId="22" xfId="0" applyNumberFormat="1" applyFont="1" applyFill="1" applyBorder="1" applyAlignment="1" applyProtection="1">
      <alignment horizontal="centerContinuous"/>
      <protection locked="0"/>
    </xf>
    <xf numFmtId="0" fontId="14" fillId="0" borderId="23" xfId="0" applyNumberFormat="1" applyFont="1" applyFill="1" applyBorder="1" applyAlignment="1" applyProtection="1">
      <alignment horizontal="centerContinuous"/>
      <protection locked="0"/>
    </xf>
    <xf numFmtId="0" fontId="24" fillId="0" borderId="11" xfId="0" applyNumberFormat="1" applyFont="1" applyBorder="1" applyAlignment="1">
      <alignment horizontal="centerContinuous"/>
    </xf>
    <xf numFmtId="0" fontId="14" fillId="0" borderId="0" xfId="0" applyNumberFormat="1" applyFont="1" applyBorder="1" applyAlignment="1">
      <alignment horizontal="centerContinuous"/>
    </xf>
    <xf numFmtId="0" fontId="14" fillId="0" borderId="4" xfId="0" applyNumberFormat="1" applyFont="1" applyBorder="1" applyAlignment="1">
      <alignment horizontal="centerContinuous"/>
    </xf>
    <xf numFmtId="0" fontId="14" fillId="0" borderId="0" xfId="0" applyNumberFormat="1" applyFont="1" applyFill="1" applyBorder="1" applyAlignment="1">
      <alignment horizontal="centerContinuous"/>
    </xf>
    <xf numFmtId="0" fontId="14" fillId="0" borderId="4" xfId="0" applyNumberFormat="1" applyFont="1" applyFill="1" applyBorder="1" applyAlignment="1">
      <alignment horizontal="centerContinuous"/>
    </xf>
    <xf numFmtId="0" fontId="14" fillId="0" borderId="11" xfId="0" applyNumberFormat="1" applyFont="1" applyFill="1" applyBorder="1" applyAlignment="1"/>
    <xf numFmtId="0" fontId="14" fillId="0" borderId="0" xfId="0" applyNumberFormat="1" applyFont="1" applyFill="1" applyBorder="1" applyAlignment="1"/>
    <xf numFmtId="0" fontId="14" fillId="0" borderId="4" xfId="0" applyNumberFormat="1" applyFont="1" applyFill="1" applyBorder="1" applyAlignment="1"/>
    <xf numFmtId="0" fontId="14" fillId="0" borderId="11"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26" xfId="0" applyNumberFormat="1" applyFont="1" applyFill="1" applyBorder="1" applyAlignment="1">
      <alignment horizontal="center"/>
    </xf>
    <xf numFmtId="0" fontId="14" fillId="0" borderId="6" xfId="0" applyNumberFormat="1" applyFont="1" applyFill="1" applyBorder="1" applyAlignment="1" applyProtection="1">
      <alignment horizontal="center"/>
      <protection locked="0"/>
    </xf>
    <xf numFmtId="0" fontId="14" fillId="0" borderId="24" xfId="0" applyNumberFormat="1" applyFont="1" applyFill="1" applyBorder="1" applyAlignment="1">
      <alignment horizontal="center"/>
    </xf>
    <xf numFmtId="0" fontId="6" fillId="0" borderId="11" xfId="0" applyNumberFormat="1" applyFont="1" applyFill="1" applyBorder="1" applyAlignment="1"/>
    <xf numFmtId="0" fontId="6" fillId="0" borderId="0" xfId="0" applyNumberFormat="1" applyFont="1" applyFill="1" applyBorder="1" applyAlignment="1"/>
    <xf numFmtId="0" fontId="6" fillId="0" borderId="4" xfId="0" applyNumberFormat="1" applyFont="1" applyFill="1" applyBorder="1" applyAlignment="1">
      <alignment horizontal="center"/>
    </xf>
    <xf numFmtId="0" fontId="6" fillId="0" borderId="11" xfId="0" applyNumberFormat="1" applyFont="1" applyFill="1" applyBorder="1" applyAlignment="1">
      <alignment horizontal="center"/>
    </xf>
    <xf numFmtId="0" fontId="16" fillId="0" borderId="0" xfId="0" applyNumberFormat="1" applyFont="1" applyFill="1" applyBorder="1" applyAlignment="1"/>
    <xf numFmtId="177" fontId="16" fillId="0" borderId="4" xfId="0" applyNumberFormat="1" applyFont="1" applyFill="1" applyBorder="1" applyAlignment="1"/>
    <xf numFmtId="166" fontId="16" fillId="0" borderId="0" xfId="0" applyNumberFormat="1" applyFont="1" applyFill="1" applyBorder="1" applyAlignment="1">
      <alignment horizontal="center"/>
    </xf>
    <xf numFmtId="177" fontId="16" fillId="0" borderId="24" xfId="0" applyNumberFormat="1" applyFont="1" applyFill="1" applyBorder="1" applyAlignment="1"/>
    <xf numFmtId="0" fontId="6" fillId="0" borderId="0" xfId="0" applyNumberFormat="1" applyFont="1" applyFill="1" applyBorder="1" applyAlignment="1">
      <alignment horizontal="center"/>
    </xf>
    <xf numFmtId="177" fontId="6" fillId="0" borderId="4" xfId="0" applyNumberFormat="1" applyFont="1" applyFill="1" applyBorder="1" applyAlignment="1"/>
    <xf numFmtId="9" fontId="16" fillId="0" borderId="0" xfId="0" applyNumberFormat="1" applyFont="1" applyFill="1" applyBorder="1" applyAlignment="1">
      <alignment horizontal="center"/>
    </xf>
    <xf numFmtId="0" fontId="6" fillId="0" borderId="10" xfId="0" applyNumberFormat="1" applyFont="1" applyFill="1" applyBorder="1" applyAlignment="1">
      <alignment horizontal="center"/>
    </xf>
    <xf numFmtId="0" fontId="6" fillId="0" borderId="9" xfId="0" applyNumberFormat="1" applyFont="1" applyFill="1" applyBorder="1" applyAlignment="1">
      <alignment horizontal="left"/>
    </xf>
    <xf numFmtId="0" fontId="6" fillId="0" borderId="9" xfId="0" applyNumberFormat="1" applyFont="1" applyFill="1" applyBorder="1" applyAlignment="1"/>
    <xf numFmtId="177" fontId="6" fillId="0" borderId="27" xfId="0" applyNumberFormat="1" applyFont="1" applyFill="1" applyBorder="1" applyAlignment="1" applyProtection="1">
      <protection locked="0"/>
    </xf>
    <xf numFmtId="10" fontId="16" fillId="0" borderId="4" xfId="13" applyNumberFormat="1" applyFont="1" applyFill="1" applyBorder="1" applyAlignment="1" applyProtection="1">
      <alignment horizontal="center"/>
    </xf>
    <xf numFmtId="0" fontId="22" fillId="0" borderId="0" xfId="1" applyFont="1" applyFill="1"/>
    <xf numFmtId="5" fontId="6" fillId="0" borderId="0" xfId="1" applyNumberFormat="1" applyFont="1" applyFill="1" applyProtection="1"/>
    <xf numFmtId="170" fontId="6" fillId="0" borderId="9" xfId="1" applyNumberFormat="1" applyFont="1" applyFill="1" applyBorder="1" applyProtection="1"/>
    <xf numFmtId="0" fontId="6" fillId="0" borderId="0" xfId="1" applyFont="1" applyFill="1" applyProtection="1"/>
    <xf numFmtId="167" fontId="6" fillId="0" borderId="0" xfId="10" applyNumberFormat="1" applyFont="1" applyFill="1"/>
    <xf numFmtId="9" fontId="6" fillId="0" borderId="0" xfId="13" applyFont="1" applyFill="1" applyBorder="1" applyProtection="1">
      <protection locked="0"/>
    </xf>
    <xf numFmtId="0" fontId="6" fillId="0" borderId="0" xfId="8" applyFont="1" applyFill="1" applyAlignment="1">
      <alignment horizontal="left"/>
    </xf>
    <xf numFmtId="0" fontId="14" fillId="0" borderId="0" xfId="1" applyFont="1" applyAlignment="1">
      <alignment horizontal="center"/>
    </xf>
    <xf numFmtId="5" fontId="6" fillId="0" borderId="0" xfId="1" applyNumberFormat="1" applyFont="1" applyFill="1" applyAlignment="1" applyProtection="1">
      <alignment horizontal="right"/>
    </xf>
    <xf numFmtId="172" fontId="23" fillId="0" borderId="0" xfId="12" applyNumberFormat="1" applyFont="1" applyFill="1" applyAlignment="1" applyProtection="1">
      <alignment horizontal="right"/>
    </xf>
    <xf numFmtId="171" fontId="6" fillId="0" borderId="0" xfId="1" applyNumberFormat="1" applyFont="1" applyFill="1" applyAlignment="1" applyProtection="1">
      <alignment horizontal="right"/>
    </xf>
    <xf numFmtId="173" fontId="6" fillId="0" borderId="0" xfId="11" applyNumberFormat="1" applyFont="1" applyFill="1" applyAlignment="1" applyProtection="1">
      <alignment horizontal="right"/>
    </xf>
    <xf numFmtId="171" fontId="6" fillId="0" borderId="0" xfId="11" applyNumberFormat="1" applyFont="1" applyFill="1"/>
    <xf numFmtId="171" fontId="6" fillId="0" borderId="0" xfId="11" applyNumberFormat="1" applyFont="1" applyFill="1" applyAlignment="1" applyProtection="1">
      <alignment horizontal="right"/>
    </xf>
    <xf numFmtId="171" fontId="6" fillId="0" borderId="0" xfId="1" applyNumberFormat="1" applyFont="1" applyFill="1"/>
    <xf numFmtId="171" fontId="6" fillId="0" borderId="0" xfId="1" applyNumberFormat="1" applyFont="1" applyFill="1" applyAlignment="1">
      <alignment horizontal="right"/>
    </xf>
    <xf numFmtId="10" fontId="6" fillId="0" borderId="0" xfId="1" applyNumberFormat="1" applyFont="1" applyAlignment="1" applyProtection="1">
      <alignment horizontal="right"/>
    </xf>
    <xf numFmtId="0" fontId="6" fillId="4" borderId="11" xfId="1" quotePrefix="1" applyFont="1" applyFill="1" applyBorder="1" applyAlignment="1" applyProtection="1">
      <alignment horizontal="left"/>
    </xf>
    <xf numFmtId="167" fontId="16" fillId="4" borderId="0" xfId="13" applyNumberFormat="1" applyFont="1" applyFill="1" applyBorder="1" applyProtection="1"/>
    <xf numFmtId="10" fontId="16" fillId="4" borderId="0" xfId="1" applyNumberFormat="1" applyFont="1" applyFill="1" applyBorder="1" applyProtection="1"/>
    <xf numFmtId="10" fontId="6" fillId="4" borderId="4" xfId="13" applyNumberFormat="1" applyFont="1" applyFill="1" applyBorder="1" applyAlignment="1" applyProtection="1">
      <alignment horizontal="center"/>
    </xf>
    <xf numFmtId="167" fontId="23" fillId="4" borderId="0" xfId="13" applyNumberFormat="1" applyFont="1" applyFill="1" applyBorder="1" applyProtection="1"/>
    <xf numFmtId="10" fontId="23" fillId="4" borderId="0" xfId="1" applyNumberFormat="1" applyFont="1" applyFill="1" applyBorder="1" applyProtection="1"/>
    <xf numFmtId="0" fontId="6" fillId="4" borderId="11" xfId="1" applyFont="1" applyFill="1" applyBorder="1" applyAlignment="1" applyProtection="1">
      <alignment horizontal="left"/>
    </xf>
    <xf numFmtId="167" fontId="6" fillId="4" borderId="13" xfId="13" applyNumberFormat="1" applyFont="1" applyFill="1" applyBorder="1" applyProtection="1"/>
    <xf numFmtId="10" fontId="6" fillId="4" borderId="0" xfId="1" applyNumberFormat="1" applyFont="1" applyFill="1" applyBorder="1" applyProtection="1"/>
    <xf numFmtId="10" fontId="6" fillId="4" borderId="12" xfId="13" applyNumberFormat="1" applyFont="1" applyFill="1" applyBorder="1" applyAlignment="1" applyProtection="1">
      <alignment horizontal="center"/>
    </xf>
    <xf numFmtId="169" fontId="6" fillId="0" borderId="0" xfId="3" applyNumberFormat="1" applyFont="1"/>
    <xf numFmtId="0" fontId="6" fillId="4" borderId="11" xfId="1" applyFont="1" applyFill="1" applyBorder="1"/>
    <xf numFmtId="10" fontId="14" fillId="4" borderId="2" xfId="13" applyNumberFormat="1" applyFont="1" applyFill="1" applyBorder="1" applyAlignment="1" applyProtection="1">
      <alignment horizontal="center"/>
    </xf>
    <xf numFmtId="1" fontId="16" fillId="0" borderId="0" xfId="1" applyNumberFormat="1" applyFont="1" applyFill="1" applyAlignment="1" applyProtection="1">
      <alignment horizontal="center"/>
    </xf>
    <xf numFmtId="166" fontId="16" fillId="0" borderId="0" xfId="1" applyNumberFormat="1" applyFont="1" applyAlignment="1" applyProtection="1">
      <alignment horizontal="center"/>
    </xf>
    <xf numFmtId="0" fontId="23" fillId="0" borderId="0" xfId="1" applyFont="1" applyAlignment="1" applyProtection="1">
      <alignment horizontal="right"/>
    </xf>
    <xf numFmtId="171" fontId="23" fillId="0" borderId="0" xfId="1" applyNumberFormat="1" applyFont="1" applyAlignment="1" applyProtection="1">
      <alignment horizontal="right"/>
    </xf>
    <xf numFmtId="171" fontId="6" fillId="0" borderId="0" xfId="1" applyNumberFormat="1" applyFont="1" applyProtection="1"/>
    <xf numFmtId="0" fontId="6" fillId="0" borderId="0" xfId="1" applyFont="1" applyAlignment="1" applyProtection="1">
      <alignment horizontal="right"/>
    </xf>
    <xf numFmtId="0" fontId="6" fillId="0" borderId="0" xfId="1" applyFont="1" applyFill="1" applyAlignment="1" applyProtection="1">
      <alignment horizontal="right"/>
    </xf>
    <xf numFmtId="0" fontId="19" fillId="0" borderId="0" xfId="1" quotePrefix="1" applyFont="1" applyFill="1" applyAlignment="1">
      <alignment horizontal="center"/>
    </xf>
    <xf numFmtId="0" fontId="19" fillId="0" borderId="0" xfId="1" applyFont="1" applyFill="1" applyAlignment="1">
      <alignment horizontal="center"/>
    </xf>
    <xf numFmtId="0" fontId="20" fillId="4" borderId="0" xfId="1" applyFont="1" applyFill="1" applyAlignment="1">
      <alignment horizontal="center" wrapText="1"/>
    </xf>
    <xf numFmtId="0" fontId="14" fillId="0" borderId="0" xfId="1" applyFont="1" applyFill="1" applyAlignment="1">
      <alignment horizontal="center"/>
    </xf>
    <xf numFmtId="0" fontId="6" fillId="0" borderId="9" xfId="1" quotePrefix="1" applyFont="1" applyFill="1" applyBorder="1" applyAlignment="1">
      <alignment horizontal="center"/>
    </xf>
    <xf numFmtId="0" fontId="19" fillId="0" borderId="0" xfId="1" quotePrefix="1" applyFont="1" applyAlignment="1">
      <alignment horizontal="center"/>
    </xf>
    <xf numFmtId="0" fontId="19" fillId="0" borderId="0" xfId="1" applyFont="1" applyAlignment="1">
      <alignment horizontal="center"/>
    </xf>
    <xf numFmtId="0" fontId="6" fillId="0" borderId="0" xfId="1" applyFont="1" applyAlignment="1" applyProtection="1">
      <alignment horizontal="right"/>
    </xf>
    <xf numFmtId="0" fontId="4" fillId="0" borderId="0" xfId="0" quotePrefix="1" applyFont="1" applyFill="1" applyAlignment="1">
      <alignment horizontal="left"/>
    </xf>
    <xf numFmtId="0" fontId="14" fillId="0" borderId="0" xfId="1" quotePrefix="1" applyFont="1" applyAlignment="1">
      <alignment horizontal="left"/>
    </xf>
    <xf numFmtId="0" fontId="6" fillId="0" borderId="10" xfId="1" applyFont="1" applyFill="1" applyBorder="1" applyAlignment="1">
      <alignment horizontal="right"/>
    </xf>
    <xf numFmtId="0" fontId="6" fillId="0" borderId="9" xfId="1" applyFont="1" applyFill="1" applyBorder="1" applyAlignment="1">
      <alignment horizontal="right"/>
    </xf>
    <xf numFmtId="0" fontId="6" fillId="0" borderId="0" xfId="8" applyFont="1" applyAlignment="1">
      <alignment horizontal="left"/>
    </xf>
    <xf numFmtId="0" fontId="6" fillId="0" borderId="0" xfId="8" quotePrefix="1" applyFont="1" applyAlignment="1">
      <alignment horizontal="left"/>
    </xf>
    <xf numFmtId="0" fontId="6" fillId="0" borderId="0" xfId="1" applyFont="1" applyAlignment="1" applyProtection="1">
      <alignment horizontal="left"/>
    </xf>
    <xf numFmtId="0" fontId="6" fillId="0" borderId="17" xfId="1" applyFont="1" applyFill="1" applyBorder="1" applyAlignment="1" applyProtection="1">
      <alignment horizontal="center"/>
    </xf>
    <xf numFmtId="0" fontId="6" fillId="0" borderId="18" xfId="1" applyFont="1" applyFill="1" applyBorder="1" applyAlignment="1" applyProtection="1">
      <alignment horizontal="center"/>
    </xf>
    <xf numFmtId="0" fontId="6" fillId="0" borderId="19" xfId="1" applyFont="1" applyFill="1" applyBorder="1" applyAlignment="1" applyProtection="1">
      <alignment horizontal="center"/>
    </xf>
    <xf numFmtId="0" fontId="14" fillId="0" borderId="0" xfId="1" quotePrefix="1" applyFont="1" applyFill="1" applyAlignment="1">
      <alignment horizontal="left"/>
    </xf>
    <xf numFmtId="0" fontId="6" fillId="0" borderId="0" xfId="8" applyFont="1" applyFill="1" applyAlignment="1">
      <alignment horizontal="left"/>
    </xf>
    <xf numFmtId="0" fontId="6" fillId="0" borderId="17" xfId="1" quotePrefix="1" applyFont="1" applyFill="1" applyBorder="1" applyAlignment="1" applyProtection="1">
      <alignment horizontal="center"/>
    </xf>
    <xf numFmtId="0" fontId="6" fillId="0" borderId="18" xfId="1" quotePrefix="1" applyFont="1" applyFill="1" applyBorder="1" applyAlignment="1" applyProtection="1">
      <alignment horizontal="center"/>
    </xf>
    <xf numFmtId="0" fontId="6" fillId="0" borderId="19" xfId="1" quotePrefix="1" applyFont="1" applyFill="1" applyBorder="1" applyAlignment="1" applyProtection="1">
      <alignment horizontal="center"/>
    </xf>
    <xf numFmtId="0" fontId="6" fillId="0" borderId="0" xfId="1" applyFont="1" applyFill="1" applyAlignment="1" applyProtection="1">
      <alignment horizontal="right"/>
    </xf>
    <xf numFmtId="0" fontId="6" fillId="0" borderId="0" xfId="1" applyFont="1" applyFill="1" applyAlignment="1" applyProtection="1">
      <alignment horizontal="left"/>
    </xf>
    <xf numFmtId="0" fontId="14" fillId="0" borderId="0" xfId="1" applyFont="1" applyAlignment="1">
      <alignment horizontal="center"/>
    </xf>
    <xf numFmtId="0" fontId="14" fillId="4" borderId="10" xfId="1" applyFont="1" applyFill="1" applyBorder="1" applyAlignment="1">
      <alignment horizontal="right"/>
    </xf>
    <xf numFmtId="0" fontId="14" fillId="4" borderId="9" xfId="1" applyFont="1" applyFill="1" applyBorder="1" applyAlignment="1">
      <alignment horizontal="right"/>
    </xf>
    <xf numFmtId="0" fontId="6" fillId="4" borderId="15" xfId="1" quotePrefix="1" applyFont="1" applyFill="1" applyBorder="1" applyAlignment="1" applyProtection="1">
      <alignment horizontal="center"/>
    </xf>
    <xf numFmtId="0" fontId="6" fillId="4" borderId="16" xfId="1" quotePrefix="1" applyFont="1" applyFill="1" applyBorder="1" applyAlignment="1" applyProtection="1">
      <alignment horizontal="center"/>
    </xf>
    <xf numFmtId="0" fontId="6" fillId="4" borderId="7" xfId="1" quotePrefix="1" applyFont="1" applyFill="1" applyBorder="1" applyAlignment="1" applyProtection="1">
      <alignment horizontal="center"/>
    </xf>
    <xf numFmtId="0" fontId="6" fillId="0" borderId="0" xfId="1" quotePrefix="1" applyFont="1" applyAlignment="1">
      <alignment horizontal="left" wrapText="1"/>
    </xf>
  </cellXfs>
  <cellStyles count="15">
    <cellStyle name="Comma" xfId="12" builtinId="3"/>
    <cellStyle name="Comma 2" xfId="2"/>
    <cellStyle name="Comma 3" xfId="3"/>
    <cellStyle name="Currency" xfId="11" builtinId="4"/>
    <cellStyle name="Currency 2" xfId="4"/>
    <cellStyle name="Currency 3" xfId="5"/>
    <cellStyle name="Normal" xfId="0" builtinId="0"/>
    <cellStyle name="Normal 2" xfId="6"/>
    <cellStyle name="Normal 3" xfId="7"/>
    <cellStyle name="Normal 4" xfId="1"/>
    <cellStyle name="Normal_Iowa ASL GPAMORT" xfId="14"/>
    <cellStyle name="Normal_Nonreplacement Modelweyerhaeuser" xfId="8"/>
    <cellStyle name="Percent" xfId="13" builtinId="5"/>
    <cellStyle name="Percent 2" xfId="9"/>
    <cellStyle name="Percent 3" xfId="10"/>
  </cellStyles>
  <dxfs count="0"/>
  <tableStyles count="0" defaultTableStyle="TableStyleMedium9" defaultPivotStyle="PivotStyleLight16"/>
  <colors>
    <mruColors>
      <color rgb="FF0099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0"/>
  <sheetViews>
    <sheetView tabSelected="1" zoomScaleNormal="100" workbookViewId="0">
      <selection activeCell="B15" sqref="B15"/>
    </sheetView>
  </sheetViews>
  <sheetFormatPr defaultColWidth="9.140625" defaultRowHeight="12.75" x14ac:dyDescent="0.2"/>
  <cols>
    <col min="1" max="1" width="19" style="1" customWidth="1"/>
    <col min="2" max="2" width="88.140625" style="1" customWidth="1"/>
    <col min="3" max="3" width="9.140625" style="1"/>
    <col min="4" max="4" width="9.140625" style="2"/>
    <col min="5" max="5" width="16.140625" style="2" customWidth="1"/>
    <col min="6" max="9" width="9.140625" style="2"/>
    <col min="10" max="16384" width="9.140625" style="1"/>
  </cols>
  <sheetData>
    <row r="1" spans="1:11" x14ac:dyDescent="0.2">
      <c r="A1" s="5"/>
      <c r="B1" s="5"/>
      <c r="C1" s="5"/>
    </row>
    <row r="2" spans="1:11" x14ac:dyDescent="0.2">
      <c r="A2" s="5"/>
      <c r="B2" s="5"/>
      <c r="C2" s="5"/>
    </row>
    <row r="3" spans="1:11" ht="27.75" x14ac:dyDescent="0.4">
      <c r="A3" s="5"/>
      <c r="B3" s="11" t="s">
        <v>135</v>
      </c>
      <c r="C3" s="5"/>
    </row>
    <row r="4" spans="1:11" x14ac:dyDescent="0.2">
      <c r="A4" s="5"/>
      <c r="B4" s="8"/>
      <c r="C4" s="8"/>
    </row>
    <row r="5" spans="1:11" x14ac:dyDescent="0.2">
      <c r="A5" s="5"/>
      <c r="B5" s="8"/>
      <c r="C5" s="8"/>
      <c r="J5" s="7"/>
      <c r="K5" s="7"/>
    </row>
    <row r="6" spans="1:11" ht="19.5" x14ac:dyDescent="0.3">
      <c r="A6" s="5"/>
      <c r="B6" s="9" t="s">
        <v>69</v>
      </c>
      <c r="C6" s="8"/>
      <c r="J6" s="7"/>
      <c r="K6" s="7"/>
    </row>
    <row r="7" spans="1:11" ht="19.5" x14ac:dyDescent="0.3">
      <c r="A7" s="5"/>
      <c r="B7" s="6" t="s">
        <v>137</v>
      </c>
      <c r="C7" s="8"/>
      <c r="J7" s="7"/>
      <c r="K7" s="7"/>
    </row>
    <row r="8" spans="1:11" ht="19.5" x14ac:dyDescent="0.3">
      <c r="A8" s="5"/>
      <c r="B8" s="6" t="s">
        <v>136</v>
      </c>
      <c r="C8" s="5"/>
    </row>
    <row r="9" spans="1:11" x14ac:dyDescent="0.2">
      <c r="A9" s="5"/>
      <c r="B9" s="5"/>
      <c r="C9" s="5"/>
    </row>
    <row r="10" spans="1:11" x14ac:dyDescent="0.2">
      <c r="A10" s="5"/>
      <c r="B10" s="5"/>
      <c r="C10" s="5"/>
    </row>
    <row r="13" spans="1:11" ht="38.25" x14ac:dyDescent="0.2">
      <c r="A13" s="1" t="s">
        <v>3</v>
      </c>
      <c r="B13" s="10" t="s">
        <v>44</v>
      </c>
    </row>
    <row r="15" spans="1:11" ht="25.5" x14ac:dyDescent="0.2">
      <c r="A15" s="1" t="s">
        <v>2</v>
      </c>
      <c r="B15" s="4" t="s">
        <v>1</v>
      </c>
    </row>
    <row r="17" spans="1:9" ht="38.25" x14ac:dyDescent="0.2">
      <c r="A17" s="1" t="s">
        <v>0</v>
      </c>
      <c r="B17" s="10" t="s">
        <v>138</v>
      </c>
      <c r="F17" s="1"/>
      <c r="G17" s="1"/>
      <c r="H17" s="1"/>
      <c r="I17" s="1"/>
    </row>
    <row r="19" spans="1:9" x14ac:dyDescent="0.2">
      <c r="B19" s="12" t="str">
        <f>CONCATENATE("Cost of Capital updated for Docket No. UE-190529 @ ",('Lvl FCR Sub Equip'!L9*100),"0%")</f>
        <v>Cost of Capital updated for Docket No. UE-190529 @ 7.390%</v>
      </c>
      <c r="F19" s="1"/>
      <c r="G19" s="1"/>
      <c r="H19" s="1"/>
      <c r="I19" s="1"/>
    </row>
    <row r="20" spans="1:9" x14ac:dyDescent="0.2">
      <c r="C20" s="3"/>
    </row>
  </sheetData>
  <printOptions horizontalCentered="1"/>
  <pageMargins left="0.25" right="0.25" top="0.75" bottom="0.75" header="0.3" footer="0.3"/>
  <pageSetup orientation="landscape" r:id="rId1"/>
  <headerFooter alignWithMargins="0">
    <oddFooter>&amp;L&amp;"Arial,Regular"&amp;8&amp;F&amp;C&amp;A&amp;R&amp;"Arial,Regular"Advice No. 18-xxxx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workbookViewId="0">
      <pane ySplit="6" topLeftCell="A7" activePane="bottomLeft" state="frozen"/>
      <selection pane="bottomLeft" activeCell="E42" sqref="E42"/>
    </sheetView>
  </sheetViews>
  <sheetFormatPr defaultColWidth="9.140625" defaultRowHeight="11.25" x14ac:dyDescent="0.2"/>
  <cols>
    <col min="1" max="1" width="14.5703125" style="99" customWidth="1"/>
    <col min="2" max="2" width="14.5703125" style="99" bestFit="1" customWidth="1"/>
    <col min="3" max="3" width="11" style="99" bestFit="1" customWidth="1"/>
    <col min="4" max="4" width="10.5703125" style="99" bestFit="1" customWidth="1"/>
    <col min="5" max="5" width="12.42578125" style="99" bestFit="1" customWidth="1"/>
    <col min="6" max="16384" width="9.140625" style="99"/>
  </cols>
  <sheetData>
    <row r="1" spans="1:6" x14ac:dyDescent="0.2">
      <c r="A1" s="249" t="s">
        <v>140</v>
      </c>
      <c r="B1" s="249"/>
      <c r="C1" s="249"/>
      <c r="D1" s="250"/>
      <c r="E1" s="250"/>
    </row>
    <row r="2" spans="1:6" ht="25.15" customHeight="1" x14ac:dyDescent="0.2">
      <c r="A2" s="251" t="str">
        <f>CONCATENATE("Docket No. UE-190529 + Weighted Cost of Capital = ",('Lvl FCR Sub Equip'!L9*100),"0% + 49 Year Substation Plant Life + 35 Year Feeder Plant Life")</f>
        <v>Docket No. UE-190529 + Weighted Cost of Capital = 7.390% + 49 Year Substation Plant Life + 35 Year Feeder Plant Life</v>
      </c>
      <c r="B2" s="251"/>
      <c r="C2" s="251"/>
      <c r="D2" s="251"/>
      <c r="E2" s="251"/>
    </row>
    <row r="3" spans="1:6" x14ac:dyDescent="0.2">
      <c r="A3" s="252"/>
      <c r="B3" s="252"/>
      <c r="C3" s="252"/>
      <c r="D3" s="252"/>
      <c r="E3" s="252"/>
    </row>
    <row r="4" spans="1:6" x14ac:dyDescent="0.2">
      <c r="A4" s="100"/>
      <c r="B4" s="100"/>
      <c r="C4" s="100"/>
      <c r="D4" s="100"/>
      <c r="E4" s="100"/>
    </row>
    <row r="5" spans="1:6" ht="15" customHeight="1" thickBot="1" x14ac:dyDescent="0.25">
      <c r="A5" s="101"/>
      <c r="B5" s="253" t="s">
        <v>42</v>
      </c>
      <c r="C5" s="253"/>
      <c r="D5" s="253"/>
      <c r="E5" s="253"/>
    </row>
    <row r="6" spans="1:6" ht="34.5" thickBot="1" x14ac:dyDescent="0.25">
      <c r="A6" s="102" t="s">
        <v>25</v>
      </c>
      <c r="B6" s="103" t="s">
        <v>36</v>
      </c>
      <c r="C6" s="103" t="s">
        <v>68</v>
      </c>
      <c r="D6" s="104" t="s">
        <v>34</v>
      </c>
      <c r="E6" s="104" t="s">
        <v>35</v>
      </c>
    </row>
    <row r="7" spans="1:6" x14ac:dyDescent="0.2">
      <c r="A7" s="105">
        <v>0</v>
      </c>
      <c r="B7" s="106">
        <f>+'LvlFCR Land'!G7</f>
        <v>8.9180203175745251E-2</v>
      </c>
      <c r="C7" s="107">
        <f ca="1">+'FCR Rates Sub'!D5</f>
        <v>8.1933769161108172E-2</v>
      </c>
      <c r="D7" s="107">
        <f ca="1">+'FCR Rates Feeder'!D5</f>
        <v>8.7420166656312831E-2</v>
      </c>
      <c r="E7" s="108">
        <f>+'FCR Rates Sub'!H5</f>
        <v>9.8400367863036173E-2</v>
      </c>
      <c r="F7" s="109"/>
    </row>
    <row r="8" spans="1:6" x14ac:dyDescent="0.2">
      <c r="A8" s="105">
        <v>1</v>
      </c>
      <c r="B8" s="110"/>
      <c r="C8" s="111"/>
      <c r="D8" s="107">
        <f ca="1">+'FCR Rates Feeder'!D6</f>
        <v>8.7471766400041354E-2</v>
      </c>
      <c r="E8" s="108">
        <f>+'FCR Rates Sub'!H6</f>
        <v>9.7851754754931131E-2</v>
      </c>
      <c r="F8" s="109"/>
    </row>
    <row r="9" spans="1:6" x14ac:dyDescent="0.2">
      <c r="A9" s="105">
        <f t="shared" ref="A9:A56" si="0">A8+1</f>
        <v>2</v>
      </c>
      <c r="B9" s="110"/>
      <c r="C9" s="111"/>
      <c r="D9" s="107">
        <f ca="1">+'FCR Rates Feeder'!D7</f>
        <v>8.7683882910403674E-2</v>
      </c>
      <c r="E9" s="108">
        <f>+'FCR Rates Sub'!H7</f>
        <v>9.7504156728916838E-2</v>
      </c>
      <c r="F9" s="109"/>
    </row>
    <row r="10" spans="1:6" x14ac:dyDescent="0.2">
      <c r="A10" s="105">
        <f t="shared" si="0"/>
        <v>3</v>
      </c>
      <c r="B10" s="110"/>
      <c r="C10" s="111"/>
      <c r="D10" s="107">
        <f ca="1">+'FCR Rates Feeder'!D8</f>
        <v>8.7962771262829767E-2</v>
      </c>
      <c r="E10" s="108">
        <f>+'FCR Rates Sub'!H8</f>
        <v>9.7176220041642475E-2</v>
      </c>
      <c r="F10" s="109"/>
    </row>
    <row r="11" spans="1:6" x14ac:dyDescent="0.2">
      <c r="A11" s="105">
        <f t="shared" si="0"/>
        <v>4</v>
      </c>
      <c r="B11" s="110"/>
      <c r="C11" s="111"/>
      <c r="D11" s="107">
        <f ca="1">+'FCR Rates Feeder'!D9</f>
        <v>8.8310144297247942E-2</v>
      </c>
      <c r="E11" s="108">
        <f>+'FCR Rates Sub'!H9</f>
        <v>9.6857134181602508E-2</v>
      </c>
      <c r="F11" s="109"/>
    </row>
    <row r="12" spans="1:6" x14ac:dyDescent="0.2">
      <c r="A12" s="105">
        <f t="shared" si="0"/>
        <v>5</v>
      </c>
      <c r="B12" s="110"/>
      <c r="C12" s="111"/>
      <c r="D12" s="107">
        <f ca="1">+'FCR Rates Feeder'!D10</f>
        <v>8.8727388481476099E-2</v>
      </c>
      <c r="E12" s="108">
        <f>+'FCR Rates Sub'!H10</f>
        <v>9.6534189743636409E-2</v>
      </c>
      <c r="F12" s="109"/>
    </row>
    <row r="13" spans="1:6" x14ac:dyDescent="0.2">
      <c r="A13" s="105">
        <f t="shared" si="0"/>
        <v>6</v>
      </c>
      <c r="B13" s="110"/>
      <c r="C13" s="111"/>
      <c r="D13" s="107">
        <f ca="1">+'FCR Rates Feeder'!D11</f>
        <v>8.9220665373864652E-2</v>
      </c>
      <c r="E13" s="108">
        <f>+'FCR Rates Sub'!H11</f>
        <v>9.6200978235847279E-2</v>
      </c>
      <c r="F13" s="109"/>
    </row>
    <row r="14" spans="1:6" x14ac:dyDescent="0.2">
      <c r="A14" s="105">
        <f t="shared" si="0"/>
        <v>7</v>
      </c>
      <c r="B14" s="110"/>
      <c r="C14" s="111"/>
      <c r="D14" s="107">
        <f ca="1">+'FCR Rates Feeder'!D12</f>
        <v>8.9793360478107584E-2</v>
      </c>
      <c r="E14" s="108">
        <f>+'FCR Rates Sub'!H12</f>
        <v>9.584448464130628E-2</v>
      </c>
      <c r="F14" s="109"/>
    </row>
    <row r="15" spans="1:6" x14ac:dyDescent="0.2">
      <c r="A15" s="105">
        <f t="shared" si="0"/>
        <v>8</v>
      </c>
      <c r="B15" s="110"/>
      <c r="C15" s="111"/>
      <c r="D15" s="107">
        <f ca="1">+'FCR Rates Feeder'!D13</f>
        <v>9.0448726531363863E-2</v>
      </c>
      <c r="E15" s="108">
        <f>+'FCR Rates Sub'!H13</f>
        <v>9.544949443411202E-2</v>
      </c>
      <c r="F15" s="109"/>
    </row>
    <row r="16" spans="1:6" x14ac:dyDescent="0.2">
      <c r="A16" s="105">
        <f t="shared" si="0"/>
        <v>9</v>
      </c>
      <c r="B16" s="110"/>
      <c r="C16" s="111"/>
      <c r="D16" s="107">
        <f ca="1">+'FCR Rates Feeder'!D14</f>
        <v>9.1213991367585304E-2</v>
      </c>
      <c r="E16" s="108">
        <f>+'FCR Rates Sub'!H14</f>
        <v>9.503475471655802E-2</v>
      </c>
      <c r="F16" s="109"/>
    </row>
    <row r="17" spans="1:6" x14ac:dyDescent="0.2">
      <c r="A17" s="105">
        <f t="shared" si="0"/>
        <v>10</v>
      </c>
      <c r="B17" s="110"/>
      <c r="C17" s="111"/>
      <c r="D17" s="107">
        <f ca="1">+'FCR Rates Feeder'!D15</f>
        <v>9.2106799331220998E-2</v>
      </c>
      <c r="E17" s="108">
        <f>+'FCR Rates Sub'!H15</f>
        <v>9.4598746295539701E-2</v>
      </c>
      <c r="F17" s="109"/>
    </row>
    <row r="18" spans="1:6" x14ac:dyDescent="0.2">
      <c r="A18" s="105">
        <f t="shared" si="0"/>
        <v>11</v>
      </c>
      <c r="B18" s="110"/>
      <c r="C18" s="111"/>
      <c r="D18" s="107">
        <f ca="1">+'FCR Rates Feeder'!D16</f>
        <v>9.3148351517042885E-2</v>
      </c>
      <c r="E18" s="108">
        <f>+'FCR Rates Sub'!H16</f>
        <v>9.4271647986893012E-2</v>
      </c>
      <c r="F18" s="109"/>
    </row>
    <row r="19" spans="1:6" x14ac:dyDescent="0.2">
      <c r="A19" s="105">
        <f t="shared" si="0"/>
        <v>12</v>
      </c>
      <c r="B19" s="110"/>
      <c r="C19" s="111"/>
      <c r="D19" s="107">
        <f ca="1">+'FCR Rates Feeder'!D17</f>
        <v>9.4364317815408619E-2</v>
      </c>
      <c r="E19" s="108">
        <f>+'FCR Rates Sub'!H17</f>
        <v>9.4068334508093904E-2</v>
      </c>
      <c r="F19" s="109"/>
    </row>
    <row r="20" spans="1:6" x14ac:dyDescent="0.2">
      <c r="A20" s="105">
        <f t="shared" si="0"/>
        <v>13</v>
      </c>
      <c r="B20" s="110"/>
      <c r="C20" s="111"/>
      <c r="D20" s="107">
        <f ca="1">+'FCR Rates Feeder'!D18</f>
        <v>9.5786037853141617E-2</v>
      </c>
      <c r="E20" s="108">
        <f>+'FCR Rates Sub'!H18</f>
        <v>9.3956086620392426E-2</v>
      </c>
      <c r="F20" s="109"/>
    </row>
    <row r="21" spans="1:6" x14ac:dyDescent="0.2">
      <c r="A21" s="105">
        <f t="shared" si="0"/>
        <v>14</v>
      </c>
      <c r="B21" s="110"/>
      <c r="C21" s="111"/>
      <c r="D21" s="107">
        <f ca="1">+'FCR Rates Feeder'!D19</f>
        <v>9.7452121181869994E-2</v>
      </c>
      <c r="E21" s="108">
        <f>+'FCR Rates Sub'!H19</f>
        <v>9.3950490535331888E-2</v>
      </c>
      <c r="F21" s="109"/>
    </row>
    <row r="22" spans="1:6" x14ac:dyDescent="0.2">
      <c r="A22" s="105">
        <f t="shared" si="0"/>
        <v>15</v>
      </c>
      <c r="B22" s="110"/>
      <c r="C22" s="111"/>
      <c r="D22" s="107">
        <f ca="1">+'FCR Rates Feeder'!D20</f>
        <v>9.9410607105562876E-2</v>
      </c>
      <c r="E22" s="108">
        <f>+'FCR Rates Sub'!H20</f>
        <v>9.4069558033302123E-2</v>
      </c>
      <c r="F22" s="109"/>
    </row>
    <row r="23" spans="1:6" x14ac:dyDescent="0.2">
      <c r="A23" s="105">
        <f t="shared" si="0"/>
        <v>16</v>
      </c>
      <c r="B23" s="110"/>
      <c r="C23" s="111"/>
      <c r="D23" s="107">
        <f ca="1">+'FCR Rates Feeder'!D21</f>
        <v>0.10172192122294864</v>
      </c>
      <c r="E23" s="108">
        <f>+'FCR Rates Sub'!H21</f>
        <v>9.4334139040642168E-2</v>
      </c>
      <c r="F23" s="109"/>
    </row>
    <row r="24" spans="1:6" x14ac:dyDescent="0.2">
      <c r="A24" s="105">
        <f t="shared" si="0"/>
        <v>17</v>
      </c>
      <c r="B24" s="110"/>
      <c r="C24" s="111"/>
      <c r="D24" s="107">
        <f ca="1">+'FCR Rates Feeder'!D22</f>
        <v>0.10446298561535351</v>
      </c>
      <c r="E24" s="108">
        <f>+'FCR Rates Sub'!H22</f>
        <v>9.4768414999452349E-2</v>
      </c>
      <c r="F24" s="109"/>
    </row>
    <row r="25" spans="1:6" x14ac:dyDescent="0.2">
      <c r="A25" s="105">
        <f t="shared" si="0"/>
        <v>18</v>
      </c>
      <c r="B25" s="110"/>
      <c r="C25" s="111"/>
      <c r="D25" s="107">
        <f ca="1">+'FCR Rates Feeder'!D23</f>
        <v>0.10773303103860972</v>
      </c>
      <c r="E25" s="108">
        <f>+'FCR Rates Sub'!H23</f>
        <v>9.5400491535628199E-2</v>
      </c>
      <c r="F25" s="109"/>
    </row>
    <row r="26" spans="1:6" x14ac:dyDescent="0.2">
      <c r="A26" s="105">
        <f t="shared" si="0"/>
        <v>19</v>
      </c>
      <c r="B26" s="110"/>
      <c r="C26" s="111"/>
      <c r="D26" s="107">
        <f ca="1">+'FCR Rates Feeder'!D24</f>
        <v>0.11166197260501154</v>
      </c>
      <c r="E26" s="108">
        <f>+'FCR Rates Sub'!H24</f>
        <v>9.6263113885438817E-2</v>
      </c>
      <c r="F26" s="109"/>
    </row>
    <row r="27" spans="1:6" x14ac:dyDescent="0.2">
      <c r="A27" s="105">
        <f t="shared" si="0"/>
        <v>20</v>
      </c>
      <c r="B27" s="110"/>
      <c r="C27" s="111"/>
      <c r="D27" s="107">
        <f ca="1">+'FCR Rates Feeder'!D25</f>
        <v>0.11642273637114478</v>
      </c>
      <c r="E27" s="108">
        <f>+'FCR Rates Sub'!H25</f>
        <v>9.7394535035011179E-2</v>
      </c>
      <c r="F27" s="109"/>
    </row>
    <row r="28" spans="1:6" x14ac:dyDescent="0.2">
      <c r="A28" s="105">
        <f t="shared" si="0"/>
        <v>21</v>
      </c>
      <c r="B28" s="110"/>
      <c r="C28" s="111"/>
      <c r="D28" s="107">
        <f ca="1">+'FCR Rates Feeder'!D26</f>
        <v>0.12182876818775273</v>
      </c>
      <c r="E28" s="108">
        <f>+'FCR Rates Sub'!H26</f>
        <v>9.8474510088993064E-2</v>
      </c>
      <c r="F28" s="109"/>
    </row>
    <row r="29" spans="1:6" x14ac:dyDescent="0.2">
      <c r="A29" s="105">
        <f t="shared" si="0"/>
        <v>22</v>
      </c>
      <c r="B29" s="110"/>
      <c r="C29" s="111"/>
      <c r="D29" s="107">
        <f ca="1">+'FCR Rates Feeder'!D27</f>
        <v>0.12802526950926746</v>
      </c>
      <c r="E29" s="108">
        <f>+'FCR Rates Sub'!H27</f>
        <v>9.9498267028409249E-2</v>
      </c>
      <c r="F29" s="109"/>
    </row>
    <row r="30" spans="1:6" x14ac:dyDescent="0.2">
      <c r="A30" s="105">
        <f t="shared" si="0"/>
        <v>23</v>
      </c>
      <c r="B30" s="110"/>
      <c r="C30" s="111"/>
      <c r="D30" s="107">
        <f ca="1">+'FCR Rates Feeder'!D28</f>
        <v>0.13539614880570316</v>
      </c>
      <c r="E30" s="108">
        <f>+'FCR Rates Sub'!H28</f>
        <v>0.10060077450162666</v>
      </c>
      <c r="F30" s="109"/>
    </row>
    <row r="31" spans="1:6" x14ac:dyDescent="0.2">
      <c r="A31" s="105">
        <f t="shared" si="0"/>
        <v>24</v>
      </c>
      <c r="B31" s="110"/>
      <c r="C31" s="111"/>
      <c r="D31" s="107">
        <f ca="1">+'FCR Rates Feeder'!D29</f>
        <v>0.14428563272851247</v>
      </c>
      <c r="E31" s="108">
        <f>+'FCR Rates Sub'!H29</f>
        <v>0.10179148257270147</v>
      </c>
      <c r="F31" s="109"/>
    </row>
    <row r="32" spans="1:6" x14ac:dyDescent="0.2">
      <c r="A32" s="105">
        <f t="shared" si="0"/>
        <v>25</v>
      </c>
      <c r="B32" s="110"/>
      <c r="C32" s="111"/>
      <c r="D32" s="107">
        <f ca="1">+'FCR Rates Feeder'!D30</f>
        <v>0.15518571194695691</v>
      </c>
      <c r="E32" s="108">
        <f>+'FCR Rates Sub'!H30</f>
        <v>0.10308141631636585</v>
      </c>
      <c r="F32" s="109"/>
    </row>
    <row r="33" spans="1:6" x14ac:dyDescent="0.2">
      <c r="A33" s="105">
        <f t="shared" si="0"/>
        <v>26</v>
      </c>
      <c r="B33" s="110"/>
      <c r="C33" s="111"/>
      <c r="D33" s="107">
        <f ca="1">+'FCR Rates Feeder'!D31</f>
        <v>0.16882448673015005</v>
      </c>
      <c r="E33" s="108">
        <f>+'FCR Rates Sub'!H31</f>
        <v>0.10448351821165321</v>
      </c>
      <c r="F33" s="109"/>
    </row>
    <row r="34" spans="1:6" x14ac:dyDescent="0.2">
      <c r="A34" s="105">
        <f t="shared" si="0"/>
        <v>27</v>
      </c>
      <c r="B34" s="110"/>
      <c r="C34" s="111"/>
      <c r="D34" s="107">
        <f ca="1">+'FCR Rates Feeder'!D32</f>
        <v>0.18632605204528047</v>
      </c>
      <c r="E34" s="108">
        <f>+'FCR Rates Sub'!H32</f>
        <v>0.1060130839156031</v>
      </c>
      <c r="F34" s="109"/>
    </row>
    <row r="35" spans="1:6" x14ac:dyDescent="0.2">
      <c r="A35" s="105">
        <f t="shared" si="0"/>
        <v>28</v>
      </c>
      <c r="B35" s="110"/>
      <c r="C35" s="111"/>
      <c r="D35" s="107">
        <f ca="1">+'FCR Rates Feeder'!D33</f>
        <v>0.20951949610796361</v>
      </c>
      <c r="E35" s="108">
        <f>+'FCR Rates Sub'!H33</f>
        <v>0.10768832254373865</v>
      </c>
      <c r="F35" s="109"/>
    </row>
    <row r="36" spans="1:6" x14ac:dyDescent="0.2">
      <c r="A36" s="105">
        <f t="shared" si="0"/>
        <v>29</v>
      </c>
      <c r="B36" s="110"/>
      <c r="C36" s="111"/>
      <c r="D36" s="107">
        <f ca="1">+'FCR Rates Feeder'!D34</f>
        <v>0.24158740506684434</v>
      </c>
      <c r="E36" s="108">
        <f>+'FCR Rates Sub'!H34</f>
        <v>0.10953108503468779</v>
      </c>
      <c r="F36" s="109"/>
    </row>
    <row r="37" spans="1:6" x14ac:dyDescent="0.2">
      <c r="A37" s="105">
        <f t="shared" si="0"/>
        <v>30</v>
      </c>
      <c r="B37" s="110"/>
      <c r="C37" s="111"/>
      <c r="D37" s="107">
        <f ca="1">+'FCR Rates Feeder'!D35</f>
        <v>0.28858043455357224</v>
      </c>
      <c r="E37" s="108">
        <f>+'FCR Rates Sub'!H35</f>
        <v>0.11156782252468418</v>
      </c>
      <c r="F37" s="109"/>
    </row>
    <row r="38" spans="1:6" x14ac:dyDescent="0.2">
      <c r="A38" s="105">
        <f t="shared" si="0"/>
        <v>31</v>
      </c>
      <c r="B38" s="110"/>
      <c r="C38" s="111"/>
      <c r="D38" s="107">
        <f ca="1">+'FCR Rates Feeder'!D36</f>
        <v>0.3635057605634327</v>
      </c>
      <c r="E38" s="108">
        <f>+'FCR Rates Sub'!H36</f>
        <v>0.11383086418023572</v>
      </c>
      <c r="F38" s="109"/>
    </row>
    <row r="39" spans="1:6" x14ac:dyDescent="0.2">
      <c r="A39" s="105">
        <f t="shared" si="0"/>
        <v>32</v>
      </c>
      <c r="B39" s="110"/>
      <c r="C39" s="111"/>
      <c r="D39" s="107">
        <f ca="1">+'FCR Rates Feeder'!D37</f>
        <v>0.49993475017014605</v>
      </c>
      <c r="E39" s="108">
        <f>+'FCR Rates Sub'!H37</f>
        <v>0.11636014603055807</v>
      </c>
      <c r="F39" s="109"/>
    </row>
    <row r="40" spans="1:6" x14ac:dyDescent="0.2">
      <c r="A40" s="105">
        <f t="shared" si="0"/>
        <v>33</v>
      </c>
      <c r="B40" s="110"/>
      <c r="C40" s="111"/>
      <c r="D40" s="107">
        <f ca="1">+'FCR Rates Feeder'!D38</f>
        <v>0.8154942867069197</v>
      </c>
      <c r="E40" s="108">
        <f>+'FCR Rates Sub'!H38</f>
        <v>0.11920558811217068</v>
      </c>
      <c r="F40" s="109"/>
    </row>
    <row r="41" spans="1:6" x14ac:dyDescent="0.2">
      <c r="A41" s="105">
        <f t="shared" si="0"/>
        <v>34</v>
      </c>
      <c r="B41" s="110"/>
      <c r="C41" s="111"/>
      <c r="D41" s="107">
        <f ca="1">+'FCR Rates Feeder'!D39</f>
        <v>2.1012763035493665</v>
      </c>
      <c r="E41" s="108">
        <f>+'FCR Rates Sub'!H39</f>
        <v>0.12243042247133161</v>
      </c>
      <c r="F41" s="109"/>
    </row>
    <row r="42" spans="1:6" x14ac:dyDescent="0.2">
      <c r="A42" s="105">
        <f t="shared" si="0"/>
        <v>35</v>
      </c>
      <c r="B42" s="110"/>
      <c r="C42" s="111"/>
      <c r="D42" s="112"/>
      <c r="E42" s="108">
        <f>+'FCR Rates Sub'!H40</f>
        <v>0.1261159474532299</v>
      </c>
      <c r="F42" s="109"/>
    </row>
    <row r="43" spans="1:6" x14ac:dyDescent="0.2">
      <c r="A43" s="105">
        <f t="shared" si="0"/>
        <v>36</v>
      </c>
      <c r="B43" s="110"/>
      <c r="C43" s="111"/>
      <c r="D43" s="112"/>
      <c r="E43" s="108">
        <f>+'FCR Rates Sub'!H41</f>
        <v>0.13036847627849707</v>
      </c>
      <c r="F43" s="109"/>
    </row>
    <row r="44" spans="1:6" x14ac:dyDescent="0.2">
      <c r="A44" s="105">
        <f t="shared" si="0"/>
        <v>37</v>
      </c>
      <c r="B44" s="110"/>
      <c r="C44" s="111"/>
      <c r="D44" s="112"/>
      <c r="E44" s="108">
        <f>+'FCR Rates Sub'!H42</f>
        <v>0.13532975990797549</v>
      </c>
      <c r="F44" s="109"/>
    </row>
    <row r="45" spans="1:6" x14ac:dyDescent="0.2">
      <c r="A45" s="105">
        <f t="shared" si="0"/>
        <v>38</v>
      </c>
      <c r="B45" s="110"/>
      <c r="C45" s="111"/>
      <c r="D45" s="112"/>
      <c r="E45" s="108">
        <f>+'FCR Rates Sub'!H43</f>
        <v>0.14119309510644998</v>
      </c>
      <c r="F45" s="109"/>
    </row>
    <row r="46" spans="1:6" x14ac:dyDescent="0.2">
      <c r="A46" s="105">
        <f t="shared" si="0"/>
        <v>39</v>
      </c>
      <c r="B46" s="110"/>
      <c r="C46" s="111"/>
      <c r="D46" s="112"/>
      <c r="E46" s="108">
        <f>+'FCR Rates Sub'!H44</f>
        <v>0.14822909734461936</v>
      </c>
      <c r="F46" s="109"/>
    </row>
    <row r="47" spans="1:6" x14ac:dyDescent="0.2">
      <c r="A47" s="105">
        <f t="shared" si="0"/>
        <v>40</v>
      </c>
      <c r="B47" s="110"/>
      <c r="C47" s="111"/>
      <c r="D47" s="112"/>
      <c r="E47" s="108">
        <f>+'FCR Rates Sub'!H45</f>
        <v>0.14852786850077071</v>
      </c>
      <c r="F47" s="109"/>
    </row>
    <row r="48" spans="1:6" x14ac:dyDescent="0.2">
      <c r="A48" s="105">
        <f t="shared" si="0"/>
        <v>41</v>
      </c>
      <c r="B48" s="110"/>
      <c r="C48" s="111"/>
      <c r="D48" s="112"/>
      <c r="E48" s="108">
        <f>+'FCR Rates Sub'!H46</f>
        <v>0.14884035663041162</v>
      </c>
      <c r="F48" s="109"/>
    </row>
    <row r="49" spans="1:6" x14ac:dyDescent="0.2">
      <c r="A49" s="105">
        <f t="shared" si="0"/>
        <v>42</v>
      </c>
      <c r="B49" s="110"/>
      <c r="C49" s="111"/>
      <c r="D49" s="112"/>
      <c r="E49" s="108">
        <f>+'FCR Rates Sub'!H47</f>
        <v>0.14916729059330155</v>
      </c>
      <c r="F49" s="109"/>
    </row>
    <row r="50" spans="1:6" x14ac:dyDescent="0.2">
      <c r="A50" s="105">
        <f t="shared" si="0"/>
        <v>43</v>
      </c>
      <c r="B50" s="110"/>
      <c r="C50" s="111"/>
      <c r="D50" s="112"/>
      <c r="E50" s="108">
        <f>+'FCR Rates Sub'!H48</f>
        <v>0.14950944115339493</v>
      </c>
      <c r="F50" s="109"/>
    </row>
    <row r="51" spans="1:6" x14ac:dyDescent="0.2">
      <c r="A51" s="105">
        <f t="shared" si="0"/>
        <v>44</v>
      </c>
      <c r="B51" s="110"/>
      <c r="C51" s="111"/>
      <c r="D51" s="112"/>
      <c r="E51" s="108">
        <f>+'FCR Rates Sub'!H49</f>
        <v>0.14986762350891078</v>
      </c>
      <c r="F51" s="109"/>
    </row>
    <row r="52" spans="1:6" x14ac:dyDescent="0.2">
      <c r="A52" s="105">
        <f t="shared" si="0"/>
        <v>45</v>
      </c>
      <c r="B52" s="110"/>
      <c r="C52" s="111"/>
      <c r="D52" s="112"/>
      <c r="E52" s="108">
        <f>+'FCR Rates Sub'!H50</f>
        <v>0.15024269998032266</v>
      </c>
      <c r="F52" s="109"/>
    </row>
    <row r="53" spans="1:6" x14ac:dyDescent="0.2">
      <c r="A53" s="105">
        <f t="shared" si="0"/>
        <v>46</v>
      </c>
      <c r="B53" s="110"/>
      <c r="C53" s="111"/>
      <c r="D53" s="112"/>
      <c r="E53" s="108">
        <f>+'FCR Rates Sub'!H51</f>
        <v>0.15063558286636441</v>
      </c>
      <c r="F53" s="109"/>
    </row>
    <row r="54" spans="1:6" x14ac:dyDescent="0.2">
      <c r="A54" s="105">
        <f t="shared" si="0"/>
        <v>47</v>
      </c>
      <c r="B54" s="110"/>
      <c r="C54" s="111"/>
      <c r="D54" s="112"/>
      <c r="E54" s="108">
        <f>+'FCR Rates Sub'!H52</f>
        <v>0.15104723747880525</v>
      </c>
      <c r="F54" s="109"/>
    </row>
    <row r="55" spans="1:6" x14ac:dyDescent="0.2">
      <c r="A55" s="105">
        <f t="shared" si="0"/>
        <v>48</v>
      </c>
      <c r="B55" s="110"/>
      <c r="C55" s="111"/>
      <c r="D55" s="112"/>
      <c r="E55" s="108">
        <f>+'FCR Rates Sub'!H53</f>
        <v>0.15147868536744727</v>
      </c>
      <c r="F55" s="109"/>
    </row>
    <row r="56" spans="1:6" x14ac:dyDescent="0.2">
      <c r="A56" s="105">
        <f t="shared" si="0"/>
        <v>49</v>
      </c>
      <c r="B56" s="110"/>
      <c r="C56" s="111"/>
      <c r="D56" s="112"/>
      <c r="E56" s="113"/>
      <c r="F56" s="109"/>
    </row>
    <row r="57" spans="1:6" ht="12" thickBot="1" x14ac:dyDescent="0.25">
      <c r="A57" s="105"/>
      <c r="B57" s="114"/>
      <c r="C57" s="115"/>
      <c r="D57" s="116"/>
      <c r="E57" s="117"/>
      <c r="F57" s="109"/>
    </row>
  </sheetData>
  <mergeCells count="4">
    <mergeCell ref="A1:E1"/>
    <mergeCell ref="A2:E2"/>
    <mergeCell ref="A3:E3"/>
    <mergeCell ref="B5:E5"/>
  </mergeCells>
  <printOptions horizontalCentered="1"/>
  <pageMargins left="0.25" right="0.25" top="0.75" bottom="0.75" header="0.3" footer="0.3"/>
  <pageSetup scale="60" orientation="landscape" r:id="rId1"/>
  <headerFooter alignWithMargins="0">
    <oddFooter>&amp;L&amp;"Arial,Regular"&amp;8&amp;F&amp;C&amp;A&amp;R&amp;"Arial,Regular"Advice No. 18-xxxx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
  <sheetViews>
    <sheetView workbookViewId="0">
      <selection activeCell="I28" sqref="I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ySplit="4" topLeftCell="A5" activePane="bottomLeft" state="frozen"/>
      <selection pane="bottomLeft" activeCell="A2" sqref="A2:D2"/>
    </sheetView>
  </sheetViews>
  <sheetFormatPr defaultColWidth="9.140625" defaultRowHeight="11.25" x14ac:dyDescent="0.2"/>
  <cols>
    <col min="1" max="1" width="8" style="99" customWidth="1"/>
    <col min="2" max="2" width="16.140625" style="99" customWidth="1"/>
    <col min="3" max="3" width="9.7109375" style="99" bestFit="1" customWidth="1"/>
    <col min="4" max="4" width="14.28515625" style="99" bestFit="1" customWidth="1"/>
    <col min="5" max="16384" width="9.140625" style="99"/>
  </cols>
  <sheetData>
    <row r="1" spans="1:5" x14ac:dyDescent="0.2">
      <c r="A1" s="254" t="s">
        <v>141</v>
      </c>
      <c r="B1" s="255"/>
      <c r="C1" s="255"/>
      <c r="D1" s="255"/>
    </row>
    <row r="2" spans="1:5" ht="26.45" customHeight="1" x14ac:dyDescent="0.2">
      <c r="A2" s="251" t="str">
        <f>CONCATENATE("Docket No. UE-190529 + Weighted Cost of Capital = ",('Lvl FCR Sub Equip'!L9*100),"0% + 35 Year Feeder Plant Life")</f>
        <v>Docket No. UE-190529 + Weighted Cost of Capital = 7.390% + 35 Year Feeder Plant Life</v>
      </c>
      <c r="B2" s="251"/>
      <c r="C2" s="251"/>
      <c r="D2" s="251"/>
    </row>
    <row r="3" spans="1:5" ht="12" thickBot="1" x14ac:dyDescent="0.25"/>
    <row r="4" spans="1:5" s="121" customFormat="1" ht="23.25" thickBot="1" x14ac:dyDescent="0.25">
      <c r="A4" s="118" t="s">
        <v>59</v>
      </c>
      <c r="B4" s="119" t="s">
        <v>9</v>
      </c>
      <c r="C4" s="119" t="s">
        <v>8</v>
      </c>
      <c r="D4" s="120" t="s">
        <v>39</v>
      </c>
    </row>
    <row r="5" spans="1:5" x14ac:dyDescent="0.2">
      <c r="A5" s="105">
        <v>0</v>
      </c>
      <c r="B5" s="122">
        <f ca="1">NPV('Lvl FCR Feeder'!$L$9,OFFSET('Lvl FCR Feeder'!$L$17,A5,0,1,1):'Lvl FCR Feeder'!L$53)</f>
        <v>108540.09667615271</v>
      </c>
      <c r="C5" s="122">
        <f ca="1">-PMT('Lvl FCR Feeder'!$L$9,'Lvl FCR Feeder'!$H$12-A5,B5)</f>
        <v>8742.0166656312831</v>
      </c>
      <c r="D5" s="113">
        <f ca="1">C5/('Lvl FCR Feeder'!$D$12*('Lvl FCR Feeder'!$H$12-A5)/'Lvl FCR Feeder'!$H$12)</f>
        <v>8.7420166656312831E-2</v>
      </c>
      <c r="E5" s="109"/>
    </row>
    <row r="6" spans="1:5" x14ac:dyDescent="0.2">
      <c r="A6" s="105">
        <v>1</v>
      </c>
      <c r="B6" s="122">
        <f ca="1">NPV('Lvl FCR Feeder'!$L$9,OFFSET('Lvl FCR Feeder'!$L$17,A6,0,1,1):'Lvl FCR Feeder'!L$53)</f>
        <v>104800.46675256576</v>
      </c>
      <c r="C6" s="122">
        <f ca="1">-PMT('Lvl FCR Feeder'!$L$9,'Lvl FCR Feeder'!$H$12-A6,B6)</f>
        <v>8497.2573074325883</v>
      </c>
      <c r="D6" s="113">
        <f ca="1">C6/('Lvl FCR Feeder'!$D$12*('Lvl FCR Feeder'!$H$12-A6)/'Lvl FCR Feeder'!$H$12)</f>
        <v>8.7471766400041354E-2</v>
      </c>
      <c r="E6" s="109"/>
    </row>
    <row r="7" spans="1:5" x14ac:dyDescent="0.2">
      <c r="A7" s="105">
        <f t="shared" ref="A7:A40" si="0">A6+1</f>
        <v>2</v>
      </c>
      <c r="B7" s="122">
        <f ca="1">NPV('Lvl FCR Feeder'!$L$9,OFFSET('Lvl FCR Feeder'!$L$17,A7,0,1,1):'Lvl FCR Feeder'!L$53)</f>
        <v>101232.6220361756</v>
      </c>
      <c r="C7" s="122">
        <f ca="1">-PMT('Lvl FCR Feeder'!$L$9,'Lvl FCR Feeder'!$H$12-A7,B7)</f>
        <v>8267.3375315523463</v>
      </c>
      <c r="D7" s="113">
        <f ca="1">C7/('Lvl FCR Feeder'!$D$12*('Lvl FCR Feeder'!$H$12-A7)/'Lvl FCR Feeder'!$H$12)</f>
        <v>8.7683882910403674E-2</v>
      </c>
      <c r="E7" s="109"/>
    </row>
    <row r="8" spans="1:5" x14ac:dyDescent="0.2">
      <c r="A8" s="105">
        <f t="shared" si="0"/>
        <v>3</v>
      </c>
      <c r="B8" s="122">
        <f ca="1">NPV('Lvl FCR Feeder'!$L$9,OFFSET('Lvl FCR Feeder'!$L$17,A8,0,1,1):'Lvl FCR Feeder'!L$53)</f>
        <v>97712.345360944091</v>
      </c>
      <c r="C8" s="122">
        <f ca="1">-PMT('Lvl FCR Feeder'!$L$9,'Lvl FCR Feeder'!$H$12-A8,B8)</f>
        <v>8042.310515458722</v>
      </c>
      <c r="D8" s="113">
        <f ca="1">C8/('Lvl FCR Feeder'!$D$12*('Lvl FCR Feeder'!$H$12-A8)/'Lvl FCR Feeder'!$H$12)</f>
        <v>8.7962771262829767E-2</v>
      </c>
      <c r="E8" s="109"/>
    </row>
    <row r="9" spans="1:5" x14ac:dyDescent="0.2">
      <c r="A9" s="105">
        <f t="shared" si="0"/>
        <v>4</v>
      </c>
      <c r="B9" s="122">
        <f ca="1">NPV('Lvl FCR Feeder'!$L$9,OFFSET('Lvl FCR Feeder'!$L$17,A9,0,1,1):'Lvl FCR Feeder'!L$53)</f>
        <v>94233.808238579615</v>
      </c>
      <c r="C9" s="122">
        <f ca="1">-PMT('Lvl FCR Feeder'!$L$9,'Lvl FCR Feeder'!$H$12-A9,B9)</f>
        <v>7821.755637756246</v>
      </c>
      <c r="D9" s="113">
        <f ca="1">C9/('Lvl FCR Feeder'!$D$12*('Lvl FCR Feeder'!$H$12-A9)/'Lvl FCR Feeder'!$H$12)</f>
        <v>8.8310144297247942E-2</v>
      </c>
      <c r="E9" s="109"/>
    </row>
    <row r="10" spans="1:5" x14ac:dyDescent="0.2">
      <c r="A10" s="105">
        <f t="shared" si="0"/>
        <v>5</v>
      </c>
      <c r="B10" s="122">
        <f ca="1">NPV('Lvl FCR Feeder'!$L$9,OFFSET('Lvl FCR Feeder'!$L$17,A10,0,1,1):'Lvl FCR Feeder'!L$53)</f>
        <v>90790.751455505771</v>
      </c>
      <c r="C10" s="122">
        <f ca="1">-PMT('Lvl FCR Feeder'!$L$9,'Lvl FCR Feeder'!$H$12-A10,B10)</f>
        <v>7605.2047269836658</v>
      </c>
      <c r="D10" s="113">
        <f ca="1">C10/('Lvl FCR Feeder'!$D$12*('Lvl FCR Feeder'!$H$12-A10)/'Lvl FCR Feeder'!$H$12)</f>
        <v>8.8727388481476099E-2</v>
      </c>
      <c r="E10" s="109"/>
    </row>
    <row r="11" spans="1:5" x14ac:dyDescent="0.2">
      <c r="A11" s="105">
        <f t="shared" si="0"/>
        <v>6</v>
      </c>
      <c r="B11" s="122">
        <f ca="1">NPV('Lvl FCR Feeder'!$L$9,OFFSET('Lvl FCR Feeder'!$L$17,A11,0,1,1):'Lvl FCR Feeder'!L$53)</f>
        <v>87381.592978295637</v>
      </c>
      <c r="C11" s="122">
        <f ca="1">-PMT('Lvl FCR Feeder'!$L$9,'Lvl FCR Feeder'!$H$12-A11,B11)</f>
        <v>7392.5694166916428</v>
      </c>
      <c r="D11" s="113">
        <f ca="1">C11/('Lvl FCR Feeder'!$D$12*('Lvl FCR Feeder'!$H$12-A11)/'Lvl FCR Feeder'!$H$12)</f>
        <v>8.9220665373864652E-2</v>
      </c>
      <c r="E11" s="109"/>
    </row>
    <row r="12" spans="1:5" x14ac:dyDescent="0.2">
      <c r="A12" s="105">
        <f t="shared" si="0"/>
        <v>7</v>
      </c>
      <c r="B12" s="122">
        <f ca="1">NPV('Lvl FCR Feeder'!$L$9,OFFSET('Lvl FCR Feeder'!$L$17,A12,0,1,1):'Lvl FCR Feeder'!L$53)</f>
        <v>84001.362878526052</v>
      </c>
      <c r="C12" s="122">
        <f ca="1">-PMT('Lvl FCR Feeder'!$L$9,'Lvl FCR Feeder'!$H$12-A12,B12)</f>
        <v>7183.4688382486065</v>
      </c>
      <c r="D12" s="113">
        <f ca="1">C12/('Lvl FCR Feeder'!$D$12*('Lvl FCR Feeder'!$H$12-A12)/'Lvl FCR Feeder'!$H$12)</f>
        <v>8.9793360478107584E-2</v>
      </c>
      <c r="E12" s="109"/>
    </row>
    <row r="13" spans="1:5" x14ac:dyDescent="0.2">
      <c r="A13" s="105">
        <f t="shared" si="0"/>
        <v>8</v>
      </c>
      <c r="B13" s="122">
        <f ca="1">NPV('Lvl FCR Feeder'!$L$9,OFFSET('Lvl FCR Feeder'!$L$17,A13,0,1,1):'Lvl FCR Feeder'!L$53)</f>
        <v>80644.723950063199</v>
      </c>
      <c r="C13" s="122">
        <f ca="1">-PMT('Lvl FCR Feeder'!$L$9,'Lvl FCR Feeder'!$H$12-A13,B13)</f>
        <v>6977.4731895623554</v>
      </c>
      <c r="D13" s="113">
        <f ca="1">C13/('Lvl FCR Feeder'!$D$12*('Lvl FCR Feeder'!$H$12-A13)/'Lvl FCR Feeder'!$H$12)</f>
        <v>9.0448726531363863E-2</v>
      </c>
      <c r="E13" s="109"/>
    </row>
    <row r="14" spans="1:5" x14ac:dyDescent="0.2">
      <c r="A14" s="105">
        <f t="shared" si="0"/>
        <v>9</v>
      </c>
      <c r="B14" s="122">
        <f ca="1">NPV('Lvl FCR Feeder'!$L$9,OFFSET('Lvl FCR Feeder'!$L$17,A14,0,1,1):'Lvl FCR Feeder'!L$53)</f>
        <v>77326.503511370945</v>
      </c>
      <c r="C14" s="122">
        <f ca="1">-PMT('Lvl FCR Feeder'!$L$9,'Lvl FCR Feeder'!$H$12-A14,B14)</f>
        <v>6775.8965015920512</v>
      </c>
      <c r="D14" s="113">
        <f ca="1">C14/('Lvl FCR Feeder'!$D$12*('Lvl FCR Feeder'!$H$12-A14)/'Lvl FCR Feeder'!$H$12)</f>
        <v>9.1213991367585304E-2</v>
      </c>
      <c r="E14" s="109"/>
    </row>
    <row r="15" spans="1:5" x14ac:dyDescent="0.2">
      <c r="A15" s="105">
        <f t="shared" si="0"/>
        <v>10</v>
      </c>
      <c r="B15" s="122">
        <f ca="1">NPV('Lvl FCR Feeder'!$L$9,OFFSET('Lvl FCR Feeder'!$L$17,A15,0,1,1):'Lvl FCR Feeder'!L$53)</f>
        <v>74049.540688843394</v>
      </c>
      <c r="C15" s="122">
        <f ca="1">-PMT('Lvl FCR Feeder'!$L$9,'Lvl FCR Feeder'!$H$12-A15,B15)</f>
        <v>6579.0570950872152</v>
      </c>
      <c r="D15" s="113">
        <f ca="1">C15/('Lvl FCR Feeder'!$D$12*('Lvl FCR Feeder'!$H$12-A15)/'Lvl FCR Feeder'!$H$12)</f>
        <v>9.2106799331220998E-2</v>
      </c>
      <c r="E15" s="109"/>
    </row>
    <row r="16" spans="1:5" x14ac:dyDescent="0.2">
      <c r="A16" s="105">
        <f t="shared" si="0"/>
        <v>11</v>
      </c>
      <c r="B16" s="122">
        <f ca="1">NPV('Lvl FCR Feeder'!$L$9,OFFSET('Lvl FCR Feeder'!$L$17,A16,0,1,1):'Lvl FCR Feeder'!L$53)</f>
        <v>70816.884420315022</v>
      </c>
      <c r="C16" s="122">
        <f ca="1">-PMT('Lvl FCR Feeder'!$L$9,'Lvl FCR Feeder'!$H$12-A16,B16)</f>
        <v>6387.3155325972257</v>
      </c>
      <c r="D16" s="113">
        <f ca="1">C16/('Lvl FCR Feeder'!$D$12*('Lvl FCR Feeder'!$H$12-A16)/'Lvl FCR Feeder'!$H$12)</f>
        <v>9.3148351517042885E-2</v>
      </c>
      <c r="E16" s="109"/>
    </row>
    <row r="17" spans="1:5" x14ac:dyDescent="0.2">
      <c r="A17" s="105">
        <f t="shared" si="0"/>
        <v>12</v>
      </c>
      <c r="B17" s="122">
        <f ca="1">NPV('Lvl FCR Feeder'!$L$9,OFFSET('Lvl FCR Feeder'!$L$17,A17,0,1,1):'Lvl FCR Feeder'!L$53)</f>
        <v>67631.808960126538</v>
      </c>
      <c r="C17" s="122">
        <f ca="1">-PMT('Lvl FCR Feeder'!$L$9,'Lvl FCR Feeder'!$H$12-A17,B17)</f>
        <v>6201.0837421554234</v>
      </c>
      <c r="D17" s="113">
        <f ca="1">C17/('Lvl FCR Feeder'!$D$12*('Lvl FCR Feeder'!$H$12-A17)/'Lvl FCR Feeder'!$H$12)</f>
        <v>9.4364317815408619E-2</v>
      </c>
      <c r="E17" s="109"/>
    </row>
    <row r="18" spans="1:5" x14ac:dyDescent="0.2">
      <c r="A18" s="105">
        <f t="shared" si="0"/>
        <v>13</v>
      </c>
      <c r="B18" s="122">
        <f ca="1">NPV('Lvl FCR Feeder'!$L$9,OFFSET('Lvl FCR Feeder'!$L$17,A18,0,1,1):'Lvl FCR Feeder'!L$53)</f>
        <v>64497.830530014071</v>
      </c>
      <c r="C18" s="122">
        <f ca="1">-PMT('Lvl FCR Feeder'!$L$9,'Lvl FCR Feeder'!$H$12-A18,B18)</f>
        <v>6020.8366650546159</v>
      </c>
      <c r="D18" s="113">
        <f ca="1">C18/('Lvl FCR Feeder'!$D$12*('Lvl FCR Feeder'!$H$12-A18)/'Lvl FCR Feeder'!$H$12)</f>
        <v>9.5786037853141617E-2</v>
      </c>
      <c r="E18" s="109"/>
    </row>
    <row r="19" spans="1:5" x14ac:dyDescent="0.2">
      <c r="A19" s="105">
        <f t="shared" si="0"/>
        <v>14</v>
      </c>
      <c r="B19" s="122">
        <f ca="1">NPV('Lvl FCR Feeder'!$L$9,OFFSET('Lvl FCR Feeder'!$L$17,A19,0,1,1):'Lvl FCR Feeder'!L$53)</f>
        <v>61418.725200500332</v>
      </c>
      <c r="C19" s="122">
        <f ca="1">-PMT('Lvl FCR Feeder'!$L$9,'Lvl FCR Feeder'!$H$12-A19,B19)</f>
        <v>5847.1272709121995</v>
      </c>
      <c r="D19" s="113">
        <f ca="1">C19/('Lvl FCR Feeder'!$D$12*('Lvl FCR Feeder'!$H$12-A19)/'Lvl FCR Feeder'!$H$12)</f>
        <v>9.7452121181869994E-2</v>
      </c>
      <c r="E19" s="109"/>
    </row>
    <row r="20" spans="1:5" x14ac:dyDescent="0.2">
      <c r="A20" s="105">
        <f t="shared" si="0"/>
        <v>15</v>
      </c>
      <c r="B20" s="122">
        <f ca="1">NPV('Lvl FCR Feeder'!$L$9,OFFSET('Lvl FCR Feeder'!$L$17,A20,0,1,1):'Lvl FCR Feeder'!L$53)</f>
        <v>58398.548093719561</v>
      </c>
      <c r="C20" s="122">
        <f ca="1">-PMT('Lvl FCR Feeder'!$L$9,'Lvl FCR Feeder'!$H$12-A20,B20)</f>
        <v>5680.6061203178788</v>
      </c>
      <c r="D20" s="113">
        <f ca="1">C20/('Lvl FCR Feeder'!$D$12*('Lvl FCR Feeder'!$H$12-A20)/'Lvl FCR Feeder'!$H$12)</f>
        <v>9.9410607105562876E-2</v>
      </c>
      <c r="E20" s="109"/>
    </row>
    <row r="21" spans="1:5" x14ac:dyDescent="0.2">
      <c r="A21" s="105">
        <f t="shared" si="0"/>
        <v>16</v>
      </c>
      <c r="B21" s="122">
        <f ca="1">NPV('Lvl FCR Feeder'!$L$9,OFFSET('Lvl FCR Feeder'!$L$17,A21,0,1,1):'Lvl FCR Feeder'!L$53)</f>
        <v>55441.654005331729</v>
      </c>
      <c r="C21" s="122">
        <f ca="1">-PMT('Lvl FCR Feeder'!$L$9,'Lvl FCR Feeder'!$H$12-A21,B21)</f>
        <v>5522.0471521029258</v>
      </c>
      <c r="D21" s="113">
        <f ca="1">C21/('Lvl FCR Feeder'!$D$12*('Lvl FCR Feeder'!$H$12-A21)/'Lvl FCR Feeder'!$H$12)</f>
        <v>0.10172192122294864</v>
      </c>
      <c r="E21" s="109"/>
    </row>
    <row r="22" spans="1:5" x14ac:dyDescent="0.2">
      <c r="A22" s="105">
        <f t="shared" si="0"/>
        <v>17</v>
      </c>
      <c r="B22" s="122">
        <f ca="1">NPV('Lvl FCR Feeder'!$L$9,OFFSET('Lvl FCR Feeder'!$L$17,A22,0,1,1):'Lvl FCR Feeder'!L$53)</f>
        <v>52552.719550396076</v>
      </c>
      <c r="C22" s="122">
        <f ca="1">-PMT('Lvl FCR Feeder'!$L$9,'Lvl FCR Feeder'!$H$12-A22,B22)</f>
        <v>5372.3821173610377</v>
      </c>
      <c r="D22" s="113">
        <f ca="1">C22/('Lvl FCR Feeder'!$D$12*('Lvl FCR Feeder'!$H$12-A22)/'Lvl FCR Feeder'!$H$12)</f>
        <v>0.10446298561535351</v>
      </c>
      <c r="E22" s="109"/>
    </row>
    <row r="23" spans="1:5" x14ac:dyDescent="0.2">
      <c r="A23" s="105">
        <f t="shared" si="0"/>
        <v>18</v>
      </c>
      <c r="B23" s="122">
        <f ca="1">NPV('Lvl FCR Feeder'!$L$9,OFFSET('Lvl FCR Feeder'!$L$17,A23,0,1,1):'Lvl FCR Feeder'!L$53)</f>
        <v>49736.766945824689</v>
      </c>
      <c r="C23" s="122">
        <f ca="1">-PMT('Lvl FCR Feeder'!$L$9,'Lvl FCR Feeder'!$H$12-A23,B23)</f>
        <v>5232.7472218753292</v>
      </c>
      <c r="D23" s="113">
        <f ca="1">C23/('Lvl FCR Feeder'!$D$12*('Lvl FCR Feeder'!$H$12-A23)/'Lvl FCR Feeder'!$H$12)</f>
        <v>0.10773303103860972</v>
      </c>
      <c r="E23" s="109"/>
    </row>
    <row r="24" spans="1:5" x14ac:dyDescent="0.2">
      <c r="A24" s="105">
        <f t="shared" si="0"/>
        <v>19</v>
      </c>
      <c r="B24" s="122">
        <f ca="1">NPV('Lvl FCR Feeder'!$L$9,OFFSET('Lvl FCR Feeder'!$L$17,A24,0,1,1):'Lvl FCR Feeder'!L$53)</f>
        <v>46999.189550359508</v>
      </c>
      <c r="C24" s="122">
        <f ca="1">-PMT('Lvl FCR Feeder'!$L$9,'Lvl FCR Feeder'!$H$12-A24,B24)</f>
        <v>5104.5473190862422</v>
      </c>
      <c r="D24" s="113">
        <f ca="1">C24/('Lvl FCR Feeder'!$D$12*('Lvl FCR Feeder'!$H$12-A24)/'Lvl FCR Feeder'!$H$12)</f>
        <v>0.11166197260501154</v>
      </c>
      <c r="E24" s="109"/>
    </row>
    <row r="25" spans="1:5" x14ac:dyDescent="0.2">
      <c r="A25" s="105">
        <f t="shared" si="0"/>
        <v>20</v>
      </c>
      <c r="B25" s="122">
        <f ca="1">NPV('Lvl FCR Feeder'!$L$9,OFFSET('Lvl FCR Feeder'!$L$17,A25,0,1,1):'Lvl FCR Feeder'!L$53)</f>
        <v>44345.779291953484</v>
      </c>
      <c r="C25" s="122">
        <f ca="1">-PMT('Lvl FCR Feeder'!$L$9,'Lvl FCR Feeder'!$H$12-A25,B25)</f>
        <v>4989.5458444776332</v>
      </c>
      <c r="D25" s="113">
        <f ca="1">C25/('Lvl FCR Feeder'!$D$12*('Lvl FCR Feeder'!$H$12-A25)/'Lvl FCR Feeder'!$H$12)</f>
        <v>0.11642273637114478</v>
      </c>
      <c r="E25" s="109"/>
    </row>
    <row r="26" spans="1:5" x14ac:dyDescent="0.2">
      <c r="A26" s="105">
        <f t="shared" si="0"/>
        <v>21</v>
      </c>
      <c r="B26" s="122">
        <f ca="1">NPV('Lvl FCR Feeder'!$L$9,OFFSET('Lvl FCR Feeder'!$L$17,A26,0,1,1):'Lvl FCR Feeder'!L$53)</f>
        <v>41638.843513119158</v>
      </c>
      <c r="C26" s="122">
        <f ca="1">-PMT('Lvl FCR Feeder'!$L$9,'Lvl FCR Feeder'!$H$12-A26,B26)</f>
        <v>4873.1507275101094</v>
      </c>
      <c r="D26" s="113">
        <f ca="1">C26/('Lvl FCR Feeder'!$D$12*('Lvl FCR Feeder'!$H$12-A26)/'Lvl FCR Feeder'!$H$12)</f>
        <v>0.12182876818775273</v>
      </c>
      <c r="E26" s="109"/>
    </row>
    <row r="27" spans="1:5" x14ac:dyDescent="0.2">
      <c r="A27" s="105">
        <f t="shared" si="0"/>
        <v>22</v>
      </c>
      <c r="B27" s="122">
        <f ca="1">NPV('Lvl FCR Feeder'!$L$9,OFFSET('Lvl FCR Feeder'!$L$17,A27,0,1,1):'Lvl FCR Feeder'!L$53)</f>
        <v>38878.638681670767</v>
      </c>
      <c r="C27" s="122">
        <f ca="1">-PMT('Lvl FCR Feeder'!$L$9,'Lvl FCR Feeder'!$H$12-A27,B27)</f>
        <v>4755.2242960585063</v>
      </c>
      <c r="D27" s="113">
        <f ca="1">C27/('Lvl FCR Feeder'!$D$12*('Lvl FCR Feeder'!$H$12-A27)/'Lvl FCR Feeder'!$H$12)</f>
        <v>0.12802526950926746</v>
      </c>
      <c r="E27" s="109"/>
    </row>
    <row r="28" spans="1:5" x14ac:dyDescent="0.2">
      <c r="A28" s="105">
        <f t="shared" si="0"/>
        <v>23</v>
      </c>
      <c r="B28" s="122">
        <f ca="1">NPV('Lvl FCR Feeder'!$L$9,OFFSET('Lvl FCR Feeder'!$L$17,A28,0,1,1):'Lvl FCR Feeder'!L$53)</f>
        <v>36116.834920963331</v>
      </c>
      <c r="C28" s="122">
        <f ca="1">-PMT('Lvl FCR Feeder'!$L$9,'Lvl FCR Feeder'!$H$12-A28,B28)</f>
        <v>4642.1536733383937</v>
      </c>
      <c r="D28" s="113">
        <f ca="1">C28/('Lvl FCR Feeder'!$D$12*('Lvl FCR Feeder'!$H$12-A28)/'Lvl FCR Feeder'!$H$12)</f>
        <v>0.13539614880570316</v>
      </c>
      <c r="E28" s="109"/>
    </row>
    <row r="29" spans="1:5" x14ac:dyDescent="0.2">
      <c r="A29" s="105">
        <f t="shared" si="0"/>
        <v>24</v>
      </c>
      <c r="B29" s="122">
        <f ca="1">NPV('Lvl FCR Feeder'!$L$9,OFFSET('Lvl FCR Feeder'!$L$17,A29,0,1,1):'Lvl FCR Feeder'!L$53)</f>
        <v>33353.314070124638</v>
      </c>
      <c r="C29" s="122">
        <f ca="1">-PMT('Lvl FCR Feeder'!$L$9,'Lvl FCR Feeder'!$H$12-A29,B29)</f>
        <v>4534.6913143246775</v>
      </c>
      <c r="D29" s="113">
        <f ca="1">C29/('Lvl FCR Feeder'!$D$12*('Lvl FCR Feeder'!$H$12-A29)/'Lvl FCR Feeder'!$H$12)</f>
        <v>0.14428563272851247</v>
      </c>
      <c r="E29" s="109"/>
    </row>
    <row r="30" spans="1:5" x14ac:dyDescent="0.2">
      <c r="A30" s="105">
        <f t="shared" si="0"/>
        <v>25</v>
      </c>
      <c r="B30" s="122">
        <f ca="1">NPV('Lvl FCR Feeder'!$L$9,OFFSET('Lvl FCR Feeder'!$L$17,A30,0,1,1):'Lvl FCR Feeder'!L$53)</f>
        <v>30587.949236193988</v>
      </c>
      <c r="C30" s="122">
        <f ca="1">-PMT('Lvl FCR Feeder'!$L$9,'Lvl FCR Feeder'!$H$12-A30,B30)</f>
        <v>4433.8774841987688</v>
      </c>
      <c r="D30" s="113">
        <f ca="1">C30/('Lvl FCR Feeder'!$D$12*('Lvl FCR Feeder'!$H$12-A30)/'Lvl FCR Feeder'!$H$12)</f>
        <v>0.15518571194695691</v>
      </c>
      <c r="E30" s="109"/>
    </row>
    <row r="31" spans="1:5" x14ac:dyDescent="0.2">
      <c r="A31" s="105">
        <f t="shared" si="0"/>
        <v>26</v>
      </c>
      <c r="B31" s="122">
        <f ca="1">NPV('Lvl FCR Feeder'!$L$9,OFFSET('Lvl FCR Feeder'!$L$17,A31,0,1,1):'Lvl FCR Feeder'!L$53)</f>
        <v>27820.604148820879</v>
      </c>
      <c r="C31" s="122">
        <f ca="1">-PMT('Lvl FCR Feeder'!$L$9,'Lvl FCR Feeder'!$H$12-A31,B31)</f>
        <v>4341.2010873467152</v>
      </c>
      <c r="D31" s="113">
        <f ca="1">C31/('Lvl FCR Feeder'!$D$12*('Lvl FCR Feeder'!$H$12-A31)/'Lvl FCR Feeder'!$H$12)</f>
        <v>0.16882448673015005</v>
      </c>
      <c r="E31" s="109"/>
    </row>
    <row r="32" spans="1:5" x14ac:dyDescent="0.2">
      <c r="A32" s="105">
        <f t="shared" si="0"/>
        <v>27</v>
      </c>
      <c r="B32" s="122">
        <f ca="1">NPV('Lvl FCR Feeder'!$L$9,OFFSET('Lvl FCR Feeder'!$L$17,A32,0,1,1):'Lvl FCR Feeder'!L$53)</f>
        <v>25051.132467275907</v>
      </c>
      <c r="C32" s="122">
        <f ca="1">-PMT('Lvl FCR Feeder'!$L$9,'Lvl FCR Feeder'!$H$12-A32,B32)</f>
        <v>4258.8811896064108</v>
      </c>
      <c r="D32" s="113">
        <f ca="1">C32/('Lvl FCR Feeder'!$D$12*('Lvl FCR Feeder'!$H$12-A32)/'Lvl FCR Feeder'!$H$12)</f>
        <v>0.18632605204528047</v>
      </c>
      <c r="E32" s="109"/>
    </row>
    <row r="33" spans="1:5" x14ac:dyDescent="0.2">
      <c r="A33" s="105">
        <f t="shared" si="0"/>
        <v>28</v>
      </c>
      <c r="B33" s="122">
        <f ca="1">NPV('Lvl FCR Feeder'!$L$9,OFFSET('Lvl FCR Feeder'!$L$17,A33,0,1,1):'Lvl FCR Feeder'!L$53)</f>
        <v>22279.377036249785</v>
      </c>
      <c r="C33" s="122">
        <f ca="1">-PMT('Lvl FCR Feeder'!$L$9,'Lvl FCR Feeder'!$H$12-A33,B33)</f>
        <v>4190.3899221592719</v>
      </c>
      <c r="D33" s="113">
        <f ca="1">C33/('Lvl FCR Feeder'!$D$12*('Lvl FCR Feeder'!$H$12-A33)/'Lvl FCR Feeder'!$H$12)</f>
        <v>0.20951949610796361</v>
      </c>
      <c r="E33" s="109"/>
    </row>
    <row r="34" spans="1:5" x14ac:dyDescent="0.2">
      <c r="A34" s="105">
        <f t="shared" si="0"/>
        <v>29</v>
      </c>
      <c r="B34" s="122">
        <f ca="1">NPV('Lvl FCR Feeder'!$L$9,OFFSET('Lvl FCR Feeder'!$L$17,A34,0,1,1):'Lvl FCR Feeder'!L$53)</f>
        <v>19505.169086655853</v>
      </c>
      <c r="C34" s="122">
        <f ca="1">-PMT('Lvl FCR Feeder'!$L$9,'Lvl FCR Feeder'!$H$12-A34,B34)</f>
        <v>4141.4983725744742</v>
      </c>
      <c r="D34" s="113">
        <f ca="1">C34/('Lvl FCR Feeder'!$D$12*('Lvl FCR Feeder'!$H$12-A34)/'Lvl FCR Feeder'!$H$12)</f>
        <v>0.24158740506684434</v>
      </c>
      <c r="E34" s="109"/>
    </row>
    <row r="35" spans="1:5" x14ac:dyDescent="0.2">
      <c r="A35" s="105">
        <f t="shared" si="0"/>
        <v>30</v>
      </c>
      <c r="B35" s="122">
        <f ca="1">NPV('Lvl FCR Feeder'!$L$9,OFFSET('Lvl FCR Feeder'!$L$17,A35,0,1,1):'Lvl FCR Feeder'!L$53)</f>
        <v>16728.327377371945</v>
      </c>
      <c r="C35" s="122">
        <f ca="1">-PMT('Lvl FCR Feeder'!$L$9,'Lvl FCR Feeder'!$H$12-A35,B35)</f>
        <v>4122.5776364796038</v>
      </c>
      <c r="D35" s="113">
        <f ca="1">C35/('Lvl FCR Feeder'!$D$12*('Lvl FCR Feeder'!$H$12-A35)/'Lvl FCR Feeder'!$H$12)</f>
        <v>0.28858043455357224</v>
      </c>
      <c r="E35" s="109"/>
    </row>
    <row r="36" spans="1:5" x14ac:dyDescent="0.2">
      <c r="A36" s="105">
        <f t="shared" si="0"/>
        <v>31</v>
      </c>
      <c r="B36" s="122">
        <f ca="1">NPV('Lvl FCR Feeder'!$L$9,OFFSET('Lvl FCR Feeder'!$L$17,A36,0,1,1):'Lvl FCR Feeder'!L$53)</f>
        <v>13948.657273556975</v>
      </c>
      <c r="C36" s="122">
        <f ca="1">-PMT('Lvl FCR Feeder'!$L$9,'Lvl FCR Feeder'!$H$12-A36,B36)</f>
        <v>4154.3515492963743</v>
      </c>
      <c r="D36" s="113">
        <f ca="1">C36/('Lvl FCR Feeder'!$D$12*('Lvl FCR Feeder'!$H$12-A36)/'Lvl FCR Feeder'!$H$12)</f>
        <v>0.3635057605634327</v>
      </c>
      <c r="E36" s="109"/>
    </row>
    <row r="37" spans="1:5" x14ac:dyDescent="0.2">
      <c r="A37" s="105">
        <f t="shared" si="0"/>
        <v>32</v>
      </c>
      <c r="B37" s="122">
        <f ca="1">NPV('Lvl FCR Feeder'!$L$9,OFFSET('Lvl FCR Feeder'!$L$17,A37,0,1,1):'Lvl FCR Feeder'!L$53)</f>
        <v>11165.949756855094</v>
      </c>
      <c r="C37" s="122">
        <f ca="1">-PMT('Lvl FCR Feeder'!$L$9,'Lvl FCR Feeder'!$H$12-A37,B37)</f>
        <v>4285.1550014583945</v>
      </c>
      <c r="D37" s="113">
        <f ca="1">C37/('Lvl FCR Feeder'!$D$12*('Lvl FCR Feeder'!$H$12-A37)/'Lvl FCR Feeder'!$H$12)</f>
        <v>0.49993475017014605</v>
      </c>
      <c r="E37" s="109"/>
    </row>
    <row r="38" spans="1:5" x14ac:dyDescent="0.2">
      <c r="A38" s="105">
        <f t="shared" si="0"/>
        <v>33</v>
      </c>
      <c r="B38" s="122">
        <f ca="1">NPV('Lvl FCR Feeder'!$L$9,OFFSET('Lvl FCR Feeder'!$L$17,A38,0,1,1):'Lvl FCR Feeder'!L$53)</f>
        <v>8379.98036245396</v>
      </c>
      <c r="C38" s="122">
        <f ca="1">-PMT('Lvl FCR Feeder'!$L$9,'Lvl FCR Feeder'!$H$12-A38,B38)</f>
        <v>4659.96735261097</v>
      </c>
      <c r="D38" s="113">
        <f ca="1">C38/('Lvl FCR Feeder'!$D$12*('Lvl FCR Feeder'!$H$12-A38)/'Lvl FCR Feeder'!$H$12)</f>
        <v>0.8154942867069197</v>
      </c>
      <c r="E38" s="109"/>
    </row>
    <row r="39" spans="1:5" x14ac:dyDescent="0.2">
      <c r="A39" s="105">
        <f t="shared" si="0"/>
        <v>34</v>
      </c>
      <c r="B39" s="122">
        <f ca="1">NPV('Lvl FCR Feeder'!$L$9,OFFSET('Lvl FCR Feeder'!$L$17,A39,0,1,1):'Lvl FCR Feeder'!L$53)</f>
        <v>5590.5080375916004</v>
      </c>
      <c r="C39" s="122">
        <f ca="1">-PMT('Lvl FCR Feeder'!$L$9,'Lvl FCR Feeder'!$H$12-A39,B39)</f>
        <v>6003.6465815696192</v>
      </c>
      <c r="D39" s="113">
        <f ca="1">C39/('Lvl FCR Feeder'!$D$12*('Lvl FCR Feeder'!$H$12-A39)/'Lvl FCR Feeder'!$H$12)</f>
        <v>2.1012763035493665</v>
      </c>
      <c r="E39" s="109"/>
    </row>
    <row r="40" spans="1:5" ht="12" thickBot="1" x14ac:dyDescent="0.25">
      <c r="A40" s="105">
        <f t="shared" si="0"/>
        <v>35</v>
      </c>
      <c r="B40" s="122"/>
      <c r="C40" s="122"/>
      <c r="D40" s="117"/>
      <c r="E40" s="109"/>
    </row>
    <row r="41" spans="1:5" x14ac:dyDescent="0.2">
      <c r="A41" s="105"/>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&amp;L&amp;"Arial,Regular"&amp;8&amp;F&amp;C&amp;A&amp;R&amp;"Arial,Regular"Advice No. 18-xxxx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ySplit="4" topLeftCell="A23" activePane="bottomLeft" state="frozen"/>
      <selection pane="bottomLeft" activeCell="A41" sqref="A41"/>
    </sheetView>
  </sheetViews>
  <sheetFormatPr defaultColWidth="9.140625" defaultRowHeight="11.25" x14ac:dyDescent="0.2"/>
  <cols>
    <col min="1" max="1" width="9.140625" style="99"/>
    <col min="2" max="2" width="13.28515625" style="99" customWidth="1"/>
    <col min="3" max="3" width="10.140625" style="99" bestFit="1" customWidth="1"/>
    <col min="4" max="4" width="10.7109375" style="99" bestFit="1" customWidth="1"/>
    <col min="5" max="5" width="9.140625" style="99"/>
    <col min="6" max="6" width="11.140625" style="99" bestFit="1" customWidth="1"/>
    <col min="7" max="7" width="10.5703125" style="99" customWidth="1"/>
    <col min="8" max="8" width="11.28515625" style="99" bestFit="1" customWidth="1"/>
    <col min="9" max="16384" width="9.140625" style="99"/>
  </cols>
  <sheetData>
    <row r="1" spans="1:8" x14ac:dyDescent="0.2">
      <c r="A1" s="254" t="s">
        <v>141</v>
      </c>
      <c r="B1" s="255"/>
      <c r="C1" s="255"/>
      <c r="D1" s="255"/>
      <c r="E1" s="255"/>
      <c r="F1" s="255"/>
      <c r="G1" s="255"/>
      <c r="H1" s="255"/>
    </row>
    <row r="2" spans="1:8" x14ac:dyDescent="0.2">
      <c r="A2" s="251" t="str">
        <f>CONCATENATE("Docket No. UE-190529 + Weighted Cost of Capital = ",('Lvl FCR Sub Equip'!L9*100),"0% + 49 Year Sub Plant Life")</f>
        <v>Docket No. UE-190529 + Weighted Cost of Capital = 7.390% + 49 Year Sub Plant Life</v>
      </c>
      <c r="B2" s="251"/>
      <c r="C2" s="251"/>
      <c r="D2" s="251"/>
      <c r="E2" s="251"/>
      <c r="F2" s="251"/>
      <c r="G2" s="251"/>
      <c r="H2" s="251"/>
    </row>
    <row r="3" spans="1:8" ht="12" thickBot="1" x14ac:dyDescent="0.25"/>
    <row r="4" spans="1:8" ht="34.5" thickBot="1" x14ac:dyDescent="0.25">
      <c r="A4" s="119" t="s">
        <v>25</v>
      </c>
      <c r="B4" s="119" t="s">
        <v>9</v>
      </c>
      <c r="C4" s="119" t="s">
        <v>8</v>
      </c>
      <c r="D4" s="123" t="s">
        <v>7</v>
      </c>
      <c r="E4" s="124" t="s">
        <v>6</v>
      </c>
      <c r="F4" s="125" t="s">
        <v>5</v>
      </c>
      <c r="G4" s="124" t="s">
        <v>4</v>
      </c>
      <c r="H4" s="120" t="s">
        <v>38</v>
      </c>
    </row>
    <row r="5" spans="1:8" ht="12" thickBot="1" x14ac:dyDescent="0.25">
      <c r="A5" s="105">
        <v>0</v>
      </c>
      <c r="B5" s="122">
        <f ca="1">NPV('Lvl FCR Sub Equip'!$L$9,OFFSET('Lvl FCR Sub Equip'!$L$17,A5,0,1,1):'Lvl FCR Sub Equip'!L66)</f>
        <v>107501.44344154415</v>
      </c>
      <c r="C5" s="122">
        <f ca="1">-PMT('Lvl FCR Sub Equip'!$L$9,'Lvl FCR Sub Equip'!$H$12-A5,B5)</f>
        <v>8193.3769161108175</v>
      </c>
      <c r="D5" s="126">
        <f ca="1">C5/'Lvl FCR Sub Equip'!$D$12</f>
        <v>8.1933769161108172E-2</v>
      </c>
      <c r="E5" s="127">
        <f>'Lvl FCR Sub Equip'!B17</f>
        <v>100000</v>
      </c>
      <c r="F5" s="128">
        <f>'Lvl FCR Sub Equip'!M17</f>
        <v>67883.369979070761</v>
      </c>
      <c r="G5" s="128">
        <f>-PMT('Lvl FCR Sub Equip'!$L$9,10,F5)</f>
        <v>9840.0367863036172</v>
      </c>
      <c r="H5" s="129">
        <f t="shared" ref="H5:H36" si="0">G5/E5</f>
        <v>9.8400367863036173E-2</v>
      </c>
    </row>
    <row r="6" spans="1:8" x14ac:dyDescent="0.2">
      <c r="A6" s="105">
        <v>1</v>
      </c>
      <c r="B6" s="130"/>
      <c r="C6" s="130"/>
      <c r="D6" s="113"/>
      <c r="E6" s="127">
        <f>'Lvl FCR Sub Equip'!B18</f>
        <v>97959.183673469393</v>
      </c>
      <c r="F6" s="128">
        <f>'Lvl FCR Sub Equip'!M18</f>
        <v>66127.247770764254</v>
      </c>
      <c r="G6" s="128">
        <f>-PMT('Lvl FCR Sub Equip'!$L$9,10,F6)</f>
        <v>9585.4780168095804</v>
      </c>
      <c r="H6" s="129">
        <f t="shared" si="0"/>
        <v>9.7851754754931131E-2</v>
      </c>
    </row>
    <row r="7" spans="1:8" x14ac:dyDescent="0.2">
      <c r="A7" s="105">
        <f t="shared" ref="A7:A54" si="1">A6+1</f>
        <v>2</v>
      </c>
      <c r="B7" s="130"/>
      <c r="C7" s="130"/>
      <c r="D7" s="113"/>
      <c r="E7" s="127">
        <f>'Lvl FCR Sub Equip'!B19</f>
        <v>95918.367346938787</v>
      </c>
      <c r="F7" s="128">
        <f>'Lvl FCR Sub Equip'!M19</f>
        <v>64519.587287403927</v>
      </c>
      <c r="G7" s="128">
        <f>-PMT('Lvl FCR Sub Equip'!$L$9,10,F7)</f>
        <v>9352.4395229777383</v>
      </c>
      <c r="H7" s="129">
        <f t="shared" si="0"/>
        <v>9.7504156728916838E-2</v>
      </c>
    </row>
    <row r="8" spans="1:8" x14ac:dyDescent="0.2">
      <c r="A8" s="105">
        <f t="shared" si="1"/>
        <v>3</v>
      </c>
      <c r="B8" s="130"/>
      <c r="C8" s="130"/>
      <c r="D8" s="113"/>
      <c r="E8" s="127">
        <f>'Lvl FCR Sub Equip'!B20</f>
        <v>93877.55102040818</v>
      </c>
      <c r="F8" s="128">
        <f>'Lvl FCR Sub Equip'!M20</f>
        <v>62934.447757613278</v>
      </c>
      <c r="G8" s="128">
        <f>-PMT('Lvl FCR Sub Equip'!$L$9,10,F8)</f>
        <v>9122.6655549297029</v>
      </c>
      <c r="H8" s="129">
        <f t="shared" si="0"/>
        <v>9.7176220041642475E-2</v>
      </c>
    </row>
    <row r="9" spans="1:8" x14ac:dyDescent="0.2">
      <c r="A9" s="105">
        <f t="shared" si="1"/>
        <v>4</v>
      </c>
      <c r="B9" s="130"/>
      <c r="C9" s="130"/>
      <c r="D9" s="113"/>
      <c r="E9" s="127">
        <f>'Lvl FCR Sub Equip'!B21</f>
        <v>91836.734693877574</v>
      </c>
      <c r="F9" s="128">
        <f>'Lvl FCR Sub Equip'!M21</f>
        <v>61364.149713327795</v>
      </c>
      <c r="G9" s="128">
        <f>-PMT('Lvl FCR Sub Equip'!$L$9,10,F9)</f>
        <v>8895.0429350451304</v>
      </c>
      <c r="H9" s="129">
        <f t="shared" si="0"/>
        <v>9.6857134181602508E-2</v>
      </c>
    </row>
    <row r="10" spans="1:8" x14ac:dyDescent="0.2">
      <c r="A10" s="105">
        <f t="shared" si="1"/>
        <v>5</v>
      </c>
      <c r="B10" s="130"/>
      <c r="C10" s="130"/>
      <c r="D10" s="113"/>
      <c r="E10" s="127">
        <f>'Lvl FCR Sub Equip'!B22</f>
        <v>89795.918367346967</v>
      </c>
      <c r="F10" s="128">
        <f>'Lvl FCR Sub Equip'!M22</f>
        <v>59800.446173793134</v>
      </c>
      <c r="G10" s="128">
        <f>-PMT('Lvl FCR Sub Equip'!$L$9,10,F10)</f>
        <v>8668.3762218775573</v>
      </c>
      <c r="H10" s="129">
        <f t="shared" si="0"/>
        <v>9.6534189743636409E-2</v>
      </c>
    </row>
    <row r="11" spans="1:8" x14ac:dyDescent="0.2">
      <c r="A11" s="105">
        <f t="shared" si="1"/>
        <v>6</v>
      </c>
      <c r="B11" s="130"/>
      <c r="C11" s="130"/>
      <c r="D11" s="113"/>
      <c r="E11" s="127">
        <f>'Lvl FCR Sub Equip'!B23</f>
        <v>87755.10204081636</v>
      </c>
      <c r="F11" s="128">
        <f>'Lvl FCR Sub Equip'!M23</f>
        <v>58239.620442409876</v>
      </c>
      <c r="G11" s="128">
        <f>-PMT('Lvl FCR Sub Equip'!$L$9,10,F11)</f>
        <v>8442.1266615131317</v>
      </c>
      <c r="H11" s="129">
        <f t="shared" si="0"/>
        <v>9.6200978235847279E-2</v>
      </c>
    </row>
    <row r="12" spans="1:8" x14ac:dyDescent="0.2">
      <c r="A12" s="105">
        <f t="shared" si="1"/>
        <v>7</v>
      </c>
      <c r="B12" s="130"/>
      <c r="C12" s="130"/>
      <c r="D12" s="113"/>
      <c r="E12" s="127">
        <f>'Lvl FCR Sub Equip'!B24</f>
        <v>85714.285714285754</v>
      </c>
      <c r="F12" s="128">
        <f>'Lvl FCR Sub Equip'!M24</f>
        <v>56674.410175973819</v>
      </c>
      <c r="G12" s="128">
        <f>-PMT('Lvl FCR Sub Equip'!$L$9,10,F12)</f>
        <v>8215.2415406833989</v>
      </c>
      <c r="H12" s="129">
        <f t="shared" si="0"/>
        <v>9.584448464130628E-2</v>
      </c>
    </row>
    <row r="13" spans="1:8" x14ac:dyDescent="0.2">
      <c r="A13" s="105">
        <f t="shared" si="1"/>
        <v>8</v>
      </c>
      <c r="B13" s="130"/>
      <c r="C13" s="130"/>
      <c r="D13" s="113"/>
      <c r="E13" s="127">
        <f>'Lvl FCR Sub Equip'!B25</f>
        <v>83673.469387755147</v>
      </c>
      <c r="F13" s="128">
        <f>'Lvl FCR Sub Equip'!M25</f>
        <v>55097.016344118005</v>
      </c>
      <c r="G13" s="128">
        <f>-PMT('Lvl FCR Sub Equip'!$L$9,10,F13)</f>
        <v>7986.5903506093773</v>
      </c>
      <c r="H13" s="129">
        <f t="shared" si="0"/>
        <v>9.544949443411202E-2</v>
      </c>
    </row>
    <row r="14" spans="1:8" x14ac:dyDescent="0.2">
      <c r="A14" s="105">
        <f t="shared" si="1"/>
        <v>9</v>
      </c>
      <c r="B14" s="130"/>
      <c r="C14" s="130"/>
      <c r="D14" s="113"/>
      <c r="E14" s="127">
        <f>'Lvl FCR Sub Equip'!B26</f>
        <v>81632.653061224541</v>
      </c>
      <c r="F14" s="128">
        <f>'Lvl FCR Sub Equip'!M26</f>
        <v>53519.622512262176</v>
      </c>
      <c r="G14" s="128">
        <f>-PMT('Lvl FCR Sub Equip'!$L$9,10,F14)</f>
        <v>7757.9391605353539</v>
      </c>
      <c r="H14" s="129">
        <f t="shared" si="0"/>
        <v>9.503475471655802E-2</v>
      </c>
    </row>
    <row r="15" spans="1:8" x14ac:dyDescent="0.2">
      <c r="A15" s="105">
        <f t="shared" si="1"/>
        <v>10</v>
      </c>
      <c r="B15" s="130"/>
      <c r="C15" s="130"/>
      <c r="D15" s="113"/>
      <c r="E15" s="127">
        <f>'Lvl FCR Sub Equip'!B27</f>
        <v>79591.836734693934</v>
      </c>
      <c r="F15" s="128">
        <f>'Lvl FCR Sub Equip'!M27</f>
        <v>51942.228680406341</v>
      </c>
      <c r="G15" s="128">
        <f>-PMT('Lvl FCR Sub Equip'!$L$9,10,F15)</f>
        <v>7529.2879704613288</v>
      </c>
      <c r="H15" s="129">
        <f t="shared" si="0"/>
        <v>9.4598746295539701E-2</v>
      </c>
    </row>
    <row r="16" spans="1:8" x14ac:dyDescent="0.2">
      <c r="A16" s="105">
        <f t="shared" si="1"/>
        <v>11</v>
      </c>
      <c r="B16" s="130"/>
      <c r="C16" s="130"/>
      <c r="D16" s="113"/>
      <c r="E16" s="127">
        <f>'Lvl FCR Sub Equip'!B28</f>
        <v>77551.020408163327</v>
      </c>
      <c r="F16" s="128">
        <f>'Lvl FCR Sub Equip'!M28</f>
        <v>50435.37890395477</v>
      </c>
      <c r="G16" s="128">
        <f>-PMT('Lvl FCR Sub Equip'!$L$9,10,F16)</f>
        <v>7310.8624969427292</v>
      </c>
      <c r="H16" s="129">
        <f t="shared" si="0"/>
        <v>9.4271647986893012E-2</v>
      </c>
    </row>
    <row r="17" spans="1:8" x14ac:dyDescent="0.2">
      <c r="A17" s="105">
        <f t="shared" si="1"/>
        <v>12</v>
      </c>
      <c r="B17" s="130"/>
      <c r="C17" s="130"/>
      <c r="D17" s="113"/>
      <c r="E17" s="127">
        <f>'Lvl FCR Sub Equip'!B29</f>
        <v>75510.204081632721</v>
      </c>
      <c r="F17" s="128">
        <f>'Lvl FCR Sub Equip'!M29</f>
        <v>49002.221720121233</v>
      </c>
      <c r="G17" s="128">
        <f>-PMT('Lvl FCR Sub Equip'!$L$9,10,F17)</f>
        <v>7103.1191363254648</v>
      </c>
      <c r="H17" s="129">
        <f t="shared" si="0"/>
        <v>9.4068334508093904E-2</v>
      </c>
    </row>
    <row r="18" spans="1:8" x14ac:dyDescent="0.2">
      <c r="A18" s="105">
        <f t="shared" si="1"/>
        <v>13</v>
      </c>
      <c r="B18" s="130"/>
      <c r="C18" s="130"/>
      <c r="D18" s="113"/>
      <c r="E18" s="127">
        <f>'Lvl FCR Sub Equip'!B30</f>
        <v>73469.387755102114</v>
      </c>
      <c r="F18" s="128">
        <f>'Lvl FCR Sub Equip'!M30</f>
        <v>47620.945340315819</v>
      </c>
      <c r="G18" s="128">
        <f>-PMT('Lvl FCR Sub Equip'!$L$9,10,F18)</f>
        <v>6902.8961598655733</v>
      </c>
      <c r="H18" s="129">
        <f t="shared" si="0"/>
        <v>9.3956086620392426E-2</v>
      </c>
    </row>
    <row r="19" spans="1:8" x14ac:dyDescent="0.2">
      <c r="A19" s="105">
        <f t="shared" si="1"/>
        <v>14</v>
      </c>
      <c r="B19" s="130"/>
      <c r="C19" s="130"/>
      <c r="D19" s="113"/>
      <c r="E19" s="127">
        <f>'Lvl FCR Sub Equip'!B31</f>
        <v>71428.571428571508</v>
      </c>
      <c r="F19" s="128">
        <f>'Lvl FCR Sub Equip'!M31</f>
        <v>46295.383755956194</v>
      </c>
      <c r="G19" s="128">
        <f>-PMT('Lvl FCR Sub Equip'!$L$9,10,F19)</f>
        <v>6710.7493239522846</v>
      </c>
      <c r="H19" s="129">
        <f t="shared" si="0"/>
        <v>9.3950490535331888E-2</v>
      </c>
    </row>
    <row r="20" spans="1:8" x14ac:dyDescent="0.2">
      <c r="A20" s="105">
        <f t="shared" si="1"/>
        <v>15</v>
      </c>
      <c r="B20" s="130"/>
      <c r="C20" s="130"/>
      <c r="D20" s="113"/>
      <c r="E20" s="127">
        <f>'Lvl FCR Sub Equip'!B32</f>
        <v>69387.755102040901</v>
      </c>
      <c r="F20" s="128">
        <f>'Lvl FCR Sub Equip'!M32</f>
        <v>45029.654290425809</v>
      </c>
      <c r="G20" s="128">
        <f>-PMT('Lvl FCR Sub Equip'!$L$9,10,F20)</f>
        <v>6527.2754553719924</v>
      </c>
      <c r="H20" s="129">
        <f t="shared" si="0"/>
        <v>9.4069558033302123E-2</v>
      </c>
    </row>
    <row r="21" spans="1:8" x14ac:dyDescent="0.2">
      <c r="A21" s="105">
        <f t="shared" si="1"/>
        <v>16</v>
      </c>
      <c r="B21" s="130"/>
      <c r="C21" s="130"/>
      <c r="D21" s="113"/>
      <c r="E21" s="127">
        <f>'Lvl FCR Sub Equip'!B33</f>
        <v>67346.938775510294</v>
      </c>
      <c r="F21" s="128">
        <f>'Lvl FCR Sub Equip'!M33</f>
        <v>43828.178537306143</v>
      </c>
      <c r="G21" s="128">
        <f>-PMT('Lvl FCR Sub Equip'!$L$9,10,F21)</f>
        <v>6353.1154864106038</v>
      </c>
      <c r="H21" s="129">
        <f t="shared" si="0"/>
        <v>9.4334139040642168E-2</v>
      </c>
    </row>
    <row r="22" spans="1:8" x14ac:dyDescent="0.2">
      <c r="A22" s="105">
        <f t="shared" si="1"/>
        <v>17</v>
      </c>
      <c r="B22" s="130"/>
      <c r="C22" s="130"/>
      <c r="D22" s="113"/>
      <c r="E22" s="127">
        <f>'Lvl FCR Sub Equip'!B34</f>
        <v>65306.12244897968</v>
      </c>
      <c r="F22" s="128">
        <f>'Lvl FCR Sub Equip'!M34</f>
        <v>42695.704845944347</v>
      </c>
      <c r="G22" s="128">
        <f>-PMT('Lvl FCR Sub Equip'!$L$9,10,F22)</f>
        <v>6188.9577142499575</v>
      </c>
      <c r="H22" s="129">
        <f t="shared" si="0"/>
        <v>9.4768414999452349E-2</v>
      </c>
    </row>
    <row r="23" spans="1:8" x14ac:dyDescent="0.2">
      <c r="A23" s="105">
        <f t="shared" si="1"/>
        <v>18</v>
      </c>
      <c r="B23" s="130"/>
      <c r="C23" s="130"/>
      <c r="D23" s="113"/>
      <c r="E23" s="127">
        <f>'Lvl FCR Sub Equip'!B35</f>
        <v>63265.306122449067</v>
      </c>
      <c r="F23" s="128">
        <f>'Lvl FCR Sub Equip'!M35</f>
        <v>41637.332468704335</v>
      </c>
      <c r="G23" s="128">
        <f>-PMT('Lvl FCR Sub Equip'!$L$9,10,F23)</f>
        <v>6035.5413012336294</v>
      </c>
      <c r="H23" s="129">
        <f t="shared" si="0"/>
        <v>9.5400491535628199E-2</v>
      </c>
    </row>
    <row r="24" spans="1:8" x14ac:dyDescent="0.2">
      <c r="A24" s="105">
        <f t="shared" si="1"/>
        <v>19</v>
      </c>
      <c r="B24" s="130"/>
      <c r="C24" s="130"/>
      <c r="D24" s="113"/>
      <c r="E24" s="127">
        <f>'Lvl FCR Sub Equip'!B36</f>
        <v>61224.489795918453</v>
      </c>
      <c r="F24" s="128">
        <f>'Lvl FCR Sub Equip'!M36</f>
        <v>40658.537492699703</v>
      </c>
      <c r="G24" s="128">
        <f>-PMT('Lvl FCR Sub Equip'!$L$9,10,F24)</f>
        <v>5893.6600338023845</v>
      </c>
      <c r="H24" s="129">
        <f t="shared" si="0"/>
        <v>9.6263113885438817E-2</v>
      </c>
    </row>
    <row r="25" spans="1:8" x14ac:dyDescent="0.2">
      <c r="A25" s="105">
        <f t="shared" si="1"/>
        <v>20</v>
      </c>
      <c r="B25" s="130"/>
      <c r="C25" s="130"/>
      <c r="D25" s="113"/>
      <c r="E25" s="127">
        <f>'Lvl FCR Sub Equip'!B37</f>
        <v>59183.673469387839</v>
      </c>
      <c r="F25" s="128">
        <f>'Lvl FCR Sub Equip'!M37</f>
        <v>39765.200687881726</v>
      </c>
      <c r="G25" s="128">
        <f>-PMT('Lvl FCR Sub Equip'!$L$9,10,F25)</f>
        <v>5764.1663592149553</v>
      </c>
      <c r="H25" s="129">
        <f t="shared" si="0"/>
        <v>9.7394535035011179E-2</v>
      </c>
    </row>
    <row r="26" spans="1:8" x14ac:dyDescent="0.2">
      <c r="A26" s="105">
        <f t="shared" si="1"/>
        <v>21</v>
      </c>
      <c r="B26" s="130"/>
      <c r="C26" s="130"/>
      <c r="D26" s="113"/>
      <c r="E26" s="127">
        <f>'Lvl FCR Sub Equip'!B38</f>
        <v>57142.857142857225</v>
      </c>
      <c r="F26" s="128">
        <f>'Lvl FCR Sub Equip'!M38</f>
        <v>38819.724804185018</v>
      </c>
      <c r="G26" s="128">
        <f>-PMT('Lvl FCR Sub Equip'!$L$9,10,F26)</f>
        <v>5627.1148622281835</v>
      </c>
      <c r="H26" s="129">
        <f t="shared" si="0"/>
        <v>9.8474510088993064E-2</v>
      </c>
    </row>
    <row r="27" spans="1:8" x14ac:dyDescent="0.2">
      <c r="A27" s="105">
        <f t="shared" si="1"/>
        <v>22</v>
      </c>
      <c r="B27" s="130"/>
      <c r="C27" s="130"/>
      <c r="D27" s="113"/>
      <c r="E27" s="127">
        <f>'Lvl FCR Sub Equip'!B39</f>
        <v>55102.040816326611</v>
      </c>
      <c r="F27" s="128">
        <f>'Lvl FCR Sub Equip'!M39</f>
        <v>37822.468767454258</v>
      </c>
      <c r="G27" s="128">
        <f>-PMT('Lvl FCR Sub Equip'!$L$9,10,F27)</f>
        <v>5482.5575709531704</v>
      </c>
      <c r="H27" s="129">
        <f t="shared" si="0"/>
        <v>9.9498267028409249E-2</v>
      </c>
    </row>
    <row r="28" spans="1:8" x14ac:dyDescent="0.2">
      <c r="A28" s="105">
        <f t="shared" si="1"/>
        <v>23</v>
      </c>
      <c r="B28" s="130"/>
      <c r="C28" s="130"/>
      <c r="D28" s="113"/>
      <c r="E28" s="127">
        <f>'Lvl FCR Sub Equip'!B40</f>
        <v>53061.224489795997</v>
      </c>
      <c r="F28" s="128">
        <f>'Lvl FCR Sub Equip'!M40</f>
        <v>36825.212730723499</v>
      </c>
      <c r="G28" s="128">
        <f>-PMT('Lvl FCR Sub Equip'!$L$9,10,F28)</f>
        <v>5338.0002796781573</v>
      </c>
      <c r="H28" s="129">
        <f t="shared" si="0"/>
        <v>0.10060077450162666</v>
      </c>
    </row>
    <row r="29" spans="1:8" x14ac:dyDescent="0.2">
      <c r="A29" s="105">
        <f t="shared" si="1"/>
        <v>24</v>
      </c>
      <c r="B29" s="130"/>
      <c r="C29" s="130"/>
      <c r="D29" s="113"/>
      <c r="E29" s="127">
        <f>'Lvl FCR Sub Equip'!B41</f>
        <v>51020.408163265383</v>
      </c>
      <c r="F29" s="128">
        <f>'Lvl FCR Sub Equip'!M41</f>
        <v>35827.956693992739</v>
      </c>
      <c r="G29" s="128">
        <f>-PMT('Lvl FCR Sub Equip'!$L$9,10,F29)</f>
        <v>5193.4429884031442</v>
      </c>
      <c r="H29" s="129">
        <f t="shared" si="0"/>
        <v>0.10179148257270147</v>
      </c>
    </row>
    <row r="30" spans="1:8" x14ac:dyDescent="0.2">
      <c r="A30" s="105">
        <f t="shared" si="1"/>
        <v>25</v>
      </c>
      <c r="B30" s="130"/>
      <c r="C30" s="130"/>
      <c r="D30" s="113"/>
      <c r="E30" s="127">
        <f>'Lvl FCR Sub Equip'!B42</f>
        <v>48979.591836734769</v>
      </c>
      <c r="F30" s="128">
        <f>'Lvl FCR Sub Equip'!M42</f>
        <v>34830.700657261987</v>
      </c>
      <c r="G30" s="128">
        <f>-PMT('Lvl FCR Sub Equip'!$L$9,10,F30)</f>
        <v>5048.8856971281311</v>
      </c>
      <c r="H30" s="129">
        <f t="shared" si="0"/>
        <v>0.10308141631636585</v>
      </c>
    </row>
    <row r="31" spans="1:8" x14ac:dyDescent="0.2">
      <c r="A31" s="105">
        <f t="shared" si="1"/>
        <v>26</v>
      </c>
      <c r="B31" s="130"/>
      <c r="C31" s="130"/>
      <c r="D31" s="113"/>
      <c r="E31" s="127">
        <f>'Lvl FCR Sub Equip'!B43</f>
        <v>46938.775510204156</v>
      </c>
      <c r="F31" s="128">
        <f>'Lvl FCR Sub Equip'!M43</f>
        <v>33833.44462053122</v>
      </c>
      <c r="G31" s="128">
        <f>-PMT('Lvl FCR Sub Equip'!$L$9,10,F31)</f>
        <v>4904.3284058531171</v>
      </c>
      <c r="H31" s="129">
        <f t="shared" si="0"/>
        <v>0.10448351821165321</v>
      </c>
    </row>
    <row r="32" spans="1:8" x14ac:dyDescent="0.2">
      <c r="A32" s="105">
        <f t="shared" si="1"/>
        <v>27</v>
      </c>
      <c r="B32" s="130"/>
      <c r="C32" s="130"/>
      <c r="D32" s="113"/>
      <c r="E32" s="127">
        <f>'Lvl FCR Sub Equip'!B44</f>
        <v>44897.959183673542</v>
      </c>
      <c r="F32" s="128">
        <f>'Lvl FCR Sub Equip'!M44</f>
        <v>32836.188583800475</v>
      </c>
      <c r="G32" s="128">
        <f>-PMT('Lvl FCR Sub Equip'!$L$9,10,F32)</f>
        <v>4759.7711145781059</v>
      </c>
      <c r="H32" s="129">
        <f t="shared" si="0"/>
        <v>0.1060130839156031</v>
      </c>
    </row>
    <row r="33" spans="1:8" x14ac:dyDescent="0.2">
      <c r="A33" s="105">
        <f t="shared" si="1"/>
        <v>28</v>
      </c>
      <c r="B33" s="130"/>
      <c r="C33" s="130"/>
      <c r="D33" s="113"/>
      <c r="E33" s="127">
        <f>'Lvl FCR Sub Equip'!B45</f>
        <v>42857.142857142928</v>
      </c>
      <c r="F33" s="128">
        <f>'Lvl FCR Sub Equip'!M45</f>
        <v>31838.932547069719</v>
      </c>
      <c r="G33" s="128">
        <f>-PMT('Lvl FCR Sub Equip'!$L$9,10,F33)</f>
        <v>4615.2138233030928</v>
      </c>
      <c r="H33" s="129">
        <f t="shared" si="0"/>
        <v>0.10768832254373865</v>
      </c>
    </row>
    <row r="34" spans="1:8" x14ac:dyDescent="0.2">
      <c r="A34" s="105">
        <f t="shared" si="1"/>
        <v>29</v>
      </c>
      <c r="B34" s="130"/>
      <c r="C34" s="130"/>
      <c r="D34" s="113"/>
      <c r="E34" s="127">
        <f>'Lvl FCR Sub Equip'!B46</f>
        <v>40816.326530612314</v>
      </c>
      <c r="F34" s="128">
        <f>'Lvl FCR Sub Equip'!M46</f>
        <v>30841.676510338966</v>
      </c>
      <c r="G34" s="128">
        <f>-PMT('Lvl FCR Sub Equip'!$L$9,10,F34)</f>
        <v>4470.6565320280806</v>
      </c>
      <c r="H34" s="129">
        <f t="shared" si="0"/>
        <v>0.10953108503468779</v>
      </c>
    </row>
    <row r="35" spans="1:8" x14ac:dyDescent="0.2">
      <c r="A35" s="105">
        <f t="shared" si="1"/>
        <v>30</v>
      </c>
      <c r="B35" s="130"/>
      <c r="C35" s="130"/>
      <c r="D35" s="113"/>
      <c r="E35" s="127">
        <f>'Lvl FCR Sub Equip'!B47</f>
        <v>38775.5102040817</v>
      </c>
      <c r="F35" s="128">
        <f>'Lvl FCR Sub Equip'!M47</f>
        <v>29844.420473608207</v>
      </c>
      <c r="G35" s="128">
        <f>-PMT('Lvl FCR Sub Equip'!$L$9,10,F35)</f>
        <v>4326.0992407530675</v>
      </c>
      <c r="H35" s="129">
        <f t="shared" si="0"/>
        <v>0.11156782252468418</v>
      </c>
    </row>
    <row r="36" spans="1:8" x14ac:dyDescent="0.2">
      <c r="A36" s="105">
        <f t="shared" si="1"/>
        <v>31</v>
      </c>
      <c r="B36" s="130"/>
      <c r="C36" s="130"/>
      <c r="D36" s="113"/>
      <c r="E36" s="127">
        <f>'Lvl FCR Sub Equip'!B48</f>
        <v>36734.693877551086</v>
      </c>
      <c r="F36" s="128">
        <f>'Lvl FCR Sub Equip'!M48</f>
        <v>28847.16443687745</v>
      </c>
      <c r="G36" s="128">
        <f>-PMT('Lvl FCR Sub Equip'!$L$9,10,F36)</f>
        <v>4181.5419494780544</v>
      </c>
      <c r="H36" s="129">
        <f t="shared" si="0"/>
        <v>0.11383086418023572</v>
      </c>
    </row>
    <row r="37" spans="1:8" x14ac:dyDescent="0.2">
      <c r="A37" s="105">
        <f t="shared" si="1"/>
        <v>32</v>
      </c>
      <c r="B37" s="130"/>
      <c r="C37" s="130"/>
      <c r="D37" s="113"/>
      <c r="E37" s="127">
        <f>'Lvl FCR Sub Equip'!B49</f>
        <v>34693.877551020472</v>
      </c>
      <c r="F37" s="128">
        <f>'Lvl FCR Sub Equip'!M49</f>
        <v>27849.908400146698</v>
      </c>
      <c r="G37" s="128">
        <f>-PMT('Lvl FCR Sub Equip'!$L$9,10,F37)</f>
        <v>4036.9846582030423</v>
      </c>
      <c r="H37" s="129">
        <f t="shared" ref="H37:H53" si="2">G37/E37</f>
        <v>0.11636014603055807</v>
      </c>
    </row>
    <row r="38" spans="1:8" x14ac:dyDescent="0.2">
      <c r="A38" s="105">
        <f t="shared" si="1"/>
        <v>33</v>
      </c>
      <c r="B38" s="130"/>
      <c r="C38" s="130"/>
      <c r="D38" s="113"/>
      <c r="E38" s="127">
        <f>'Lvl FCR Sub Equip'!B50</f>
        <v>32653.061224489858</v>
      </c>
      <c r="F38" s="128">
        <f>'Lvl FCR Sub Equip'!M50</f>
        <v>26852.652363415942</v>
      </c>
      <c r="G38" s="128">
        <f>-PMT('Lvl FCR Sub Equip'!$L$9,10,F38)</f>
        <v>3892.4273669280296</v>
      </c>
      <c r="H38" s="129">
        <f t="shared" si="2"/>
        <v>0.11920558811217068</v>
      </c>
    </row>
    <row r="39" spans="1:8" x14ac:dyDescent="0.2">
      <c r="A39" s="105">
        <f t="shared" si="1"/>
        <v>34</v>
      </c>
      <c r="B39" s="130"/>
      <c r="C39" s="130"/>
      <c r="D39" s="113"/>
      <c r="E39" s="127">
        <f>'Lvl FCR Sub Equip'!B51</f>
        <v>30612.244897959245</v>
      </c>
      <c r="F39" s="128">
        <f>'Lvl FCR Sub Equip'!M51</f>
        <v>25855.396326685182</v>
      </c>
      <c r="G39" s="128">
        <f>-PMT('Lvl FCR Sub Equip'!$L$9,10,F39)</f>
        <v>3747.8700756530161</v>
      </c>
      <c r="H39" s="129">
        <f t="shared" si="2"/>
        <v>0.12243042247133161</v>
      </c>
    </row>
    <row r="40" spans="1:8" x14ac:dyDescent="0.2">
      <c r="A40" s="105">
        <f t="shared" si="1"/>
        <v>35</v>
      </c>
      <c r="B40" s="130"/>
      <c r="C40" s="130"/>
      <c r="D40" s="113"/>
      <c r="E40" s="127">
        <f>'Lvl FCR Sub Equip'!B52</f>
        <v>28571.428571428631</v>
      </c>
      <c r="F40" s="128">
        <f>'Lvl FCR Sub Equip'!M52</f>
        <v>24858.140289954434</v>
      </c>
      <c r="G40" s="128">
        <f>-PMT('Lvl FCR Sub Equip'!$L$9,10,F40)</f>
        <v>3603.3127843780044</v>
      </c>
      <c r="H40" s="129">
        <f t="shared" si="2"/>
        <v>0.1261159474532299</v>
      </c>
    </row>
    <row r="41" spans="1:8" x14ac:dyDescent="0.2">
      <c r="A41" s="105">
        <f t="shared" si="1"/>
        <v>36</v>
      </c>
      <c r="B41" s="130"/>
      <c r="C41" s="130"/>
      <c r="D41" s="113"/>
      <c r="E41" s="127">
        <f>'Lvl FCR Sub Equip'!B53</f>
        <v>26530.612244898017</v>
      </c>
      <c r="F41" s="128">
        <f>'Lvl FCR Sub Equip'!M53</f>
        <v>23860.884253223674</v>
      </c>
      <c r="G41" s="128">
        <f>-PMT('Lvl FCR Sub Equip'!$L$9,10,F41)</f>
        <v>3458.7554931029908</v>
      </c>
      <c r="H41" s="129">
        <f t="shared" si="2"/>
        <v>0.13036847627849707</v>
      </c>
    </row>
    <row r="42" spans="1:8" x14ac:dyDescent="0.2">
      <c r="A42" s="105">
        <f t="shared" si="1"/>
        <v>37</v>
      </c>
      <c r="B42" s="130"/>
      <c r="C42" s="130"/>
      <c r="D42" s="113"/>
      <c r="E42" s="127">
        <f>'Lvl FCR Sub Equip'!B54</f>
        <v>24489.795918367403</v>
      </c>
      <c r="F42" s="128">
        <f>'Lvl FCR Sub Equip'!M54</f>
        <v>22863.628216492922</v>
      </c>
      <c r="G42" s="128">
        <f>-PMT('Lvl FCR Sub Equip'!$L$9,10,F42)</f>
        <v>3314.1982018279791</v>
      </c>
      <c r="H42" s="129">
        <f t="shared" si="2"/>
        <v>0.13532975990797549</v>
      </c>
    </row>
    <row r="43" spans="1:8" x14ac:dyDescent="0.2">
      <c r="A43" s="105">
        <f t="shared" si="1"/>
        <v>38</v>
      </c>
      <c r="B43" s="130"/>
      <c r="C43" s="130"/>
      <c r="D43" s="113"/>
      <c r="E43" s="127">
        <f>'Lvl FCR Sub Equip'!B55</f>
        <v>22448.979591836789</v>
      </c>
      <c r="F43" s="128">
        <f>'Lvl FCR Sub Equip'!M55</f>
        <v>21866.372179762169</v>
      </c>
      <c r="G43" s="128">
        <f>-PMT('Lvl FCR Sub Equip'!$L$9,10,F43)</f>
        <v>3169.6409105529665</v>
      </c>
      <c r="H43" s="129">
        <f t="shared" si="2"/>
        <v>0.14119309510644998</v>
      </c>
    </row>
    <row r="44" spans="1:8" x14ac:dyDescent="0.2">
      <c r="A44" s="105">
        <f t="shared" si="1"/>
        <v>39</v>
      </c>
      <c r="B44" s="130"/>
      <c r="C44" s="130"/>
      <c r="D44" s="113"/>
      <c r="E44" s="127">
        <f>'Lvl FCR Sub Equip'!B56</f>
        <v>20408.163265306175</v>
      </c>
      <c r="F44" s="128">
        <f>'Lvl FCR Sub Equip'!M56</f>
        <v>20869.116143031413</v>
      </c>
      <c r="G44" s="128">
        <f>-PMT('Lvl FCR Sub Equip'!$L$9,10,F44)</f>
        <v>3025.0836192779539</v>
      </c>
      <c r="H44" s="129">
        <f t="shared" si="2"/>
        <v>0.14822909734461936</v>
      </c>
    </row>
    <row r="45" spans="1:8" x14ac:dyDescent="0.2">
      <c r="A45" s="105">
        <f t="shared" si="1"/>
        <v>40</v>
      </c>
      <c r="B45" s="130"/>
      <c r="C45" s="130"/>
      <c r="D45" s="113"/>
      <c r="E45" s="127">
        <f>'Lvl FCR Sub Equip'!B57</f>
        <v>18367.346938775561</v>
      </c>
      <c r="F45" s="128">
        <f>'Lvl FCR Sub Equip'!M57</f>
        <v>18820.0620146244</v>
      </c>
      <c r="G45" s="128">
        <f>-PMT('Lvl FCR Sub Equip'!$L$9,10,F45)</f>
        <v>2728.0628908304898</v>
      </c>
      <c r="H45" s="129">
        <f t="shared" si="2"/>
        <v>0.14852786850077071</v>
      </c>
    </row>
    <row r="46" spans="1:8" x14ac:dyDescent="0.2">
      <c r="A46" s="105">
        <f t="shared" si="1"/>
        <v>41</v>
      </c>
      <c r="B46" s="130"/>
      <c r="C46" s="130"/>
      <c r="D46" s="113"/>
      <c r="E46" s="127">
        <f>'Lvl FCR Sub Equip'!B58</f>
        <v>16326.530612244949</v>
      </c>
      <c r="F46" s="128">
        <f>'Lvl FCR Sub Equip'!M58</f>
        <v>16764.140077403121</v>
      </c>
      <c r="G46" s="128">
        <f>-PMT('Lvl FCR Sub Equip'!$L$9,10,F46)</f>
        <v>2430.0466388638706</v>
      </c>
      <c r="H46" s="129">
        <f t="shared" si="2"/>
        <v>0.14884035663041162</v>
      </c>
    </row>
    <row r="47" spans="1:8" x14ac:dyDescent="0.2">
      <c r="A47" s="105">
        <f t="shared" si="1"/>
        <v>42</v>
      </c>
      <c r="B47" s="130"/>
      <c r="C47" s="130"/>
      <c r="D47" s="113"/>
      <c r="E47" s="127">
        <f>'Lvl FCR Sub Equip'!B59</f>
        <v>14285.714285714337</v>
      </c>
      <c r="F47" s="128">
        <f>'Lvl FCR Sub Equip'!M59</f>
        <v>14700.842800296195</v>
      </c>
      <c r="G47" s="128">
        <f>-PMT('Lvl FCR Sub Equip'!$L$9,10,F47)</f>
        <v>2130.96129419003</v>
      </c>
      <c r="H47" s="129">
        <f t="shared" si="2"/>
        <v>0.14916729059330155</v>
      </c>
    </row>
    <row r="48" spans="1:8" x14ac:dyDescent="0.2">
      <c r="A48" s="105">
        <f t="shared" si="1"/>
        <v>43</v>
      </c>
      <c r="B48" s="130"/>
      <c r="C48" s="130"/>
      <c r="D48" s="113"/>
      <c r="E48" s="127">
        <f>'Lvl FCR Sub Equip'!B60</f>
        <v>12244.897959183725</v>
      </c>
      <c r="F48" s="128">
        <f>'Lvl FCR Sub Equip'!M60</f>
        <v>12629.625145686081</v>
      </c>
      <c r="G48" s="128">
        <f>-PMT('Lvl FCR Sub Equip'!$L$9,10,F48)</f>
        <v>1830.7278508579047</v>
      </c>
      <c r="H48" s="129">
        <f t="shared" si="2"/>
        <v>0.14950944115339493</v>
      </c>
    </row>
    <row r="49" spans="1:8" x14ac:dyDescent="0.2">
      <c r="A49" s="105">
        <f t="shared" si="1"/>
        <v>44</v>
      </c>
      <c r="B49" s="130"/>
      <c r="C49" s="130"/>
      <c r="D49" s="113"/>
      <c r="E49" s="127">
        <f>'Lvl FCR Sub Equip'!B61</f>
        <v>10204.081632653113</v>
      </c>
      <c r="F49" s="128">
        <f>'Lvl FCR Sub Equip'!M61</f>
        <v>10549.901797675297</v>
      </c>
      <c r="G49" s="128">
        <f>-PMT('Lvl FCR Sub Equip'!$L$9,10,F49)</f>
        <v>1529.2614643766485</v>
      </c>
      <c r="H49" s="129">
        <f t="shared" si="2"/>
        <v>0.14986762350891078</v>
      </c>
    </row>
    <row r="50" spans="1:8" x14ac:dyDescent="0.2">
      <c r="A50" s="105">
        <f t="shared" si="1"/>
        <v>45</v>
      </c>
      <c r="B50" s="130"/>
      <c r="C50" s="130"/>
      <c r="D50" s="113"/>
      <c r="E50" s="127">
        <f>'Lvl FCR Sub Equip'!B62</f>
        <v>8163.265306122501</v>
      </c>
      <c r="F50" s="128">
        <f>'Lvl FCR Sub Equip'!M62</f>
        <v>8461.0441855215249</v>
      </c>
      <c r="G50" s="128">
        <f>-PMT('Lvl FCR Sub Equip'!$L$9,10,F50)</f>
        <v>1226.4710202475399</v>
      </c>
      <c r="H50" s="129">
        <f t="shared" si="2"/>
        <v>0.15024269998032266</v>
      </c>
    </row>
    <row r="51" spans="1:8" x14ac:dyDescent="0.2">
      <c r="A51" s="105">
        <f t="shared" si="1"/>
        <v>46</v>
      </c>
      <c r="B51" s="130"/>
      <c r="C51" s="130"/>
      <c r="D51" s="113"/>
      <c r="E51" s="127">
        <f>'Lvl FCR Sub Equip'!B63</f>
        <v>6122.4489795918889</v>
      </c>
      <c r="F51" s="128">
        <f>'Lvl FCR Sub Equip'!M63</f>
        <v>6362.3772871046012</v>
      </c>
      <c r="G51" s="128">
        <f>-PMT('Lvl FCR Sub Equip'!$L$9,10,F51)</f>
        <v>922.25867061040219</v>
      </c>
      <c r="H51" s="129">
        <f t="shared" si="2"/>
        <v>0.15063558286636441</v>
      </c>
    </row>
    <row r="52" spans="1:8" x14ac:dyDescent="0.2">
      <c r="A52" s="105">
        <f t="shared" si="1"/>
        <v>47</v>
      </c>
      <c r="B52" s="130"/>
      <c r="C52" s="130"/>
      <c r="D52" s="113"/>
      <c r="E52" s="127">
        <f>'Lvl FCR Sub Equip'!B64</f>
        <v>4081.6326530612769</v>
      </c>
      <c r="F52" s="128">
        <f>'Lvl FCR Sub Equip'!M64</f>
        <v>4253.1761961696793</v>
      </c>
      <c r="G52" s="128">
        <f>-PMT('Lvl FCR Sub Equip'!$L$9,10,F52)</f>
        <v>616.51933664819262</v>
      </c>
      <c r="H52" s="129">
        <f t="shared" si="2"/>
        <v>0.15104723747880525</v>
      </c>
    </row>
    <row r="53" spans="1:8" x14ac:dyDescent="0.2">
      <c r="A53" s="105">
        <f t="shared" si="1"/>
        <v>48</v>
      </c>
      <c r="B53" s="130"/>
      <c r="C53" s="130"/>
      <c r="D53" s="113"/>
      <c r="E53" s="127">
        <f>'Lvl FCR Sub Equip'!B65</f>
        <v>2040.8163265306646</v>
      </c>
      <c r="F53" s="128">
        <f>'Lvl FCR Sub Equip'!M65</f>
        <v>2132.6624358896793</v>
      </c>
      <c r="G53" s="128">
        <f>-PMT('Lvl FCR Sub Equip'!$L$9,10,F53)</f>
        <v>309.14017421928804</v>
      </c>
      <c r="H53" s="129">
        <f t="shared" si="2"/>
        <v>0.15147868536744727</v>
      </c>
    </row>
    <row r="54" spans="1:8" x14ac:dyDescent="0.2">
      <c r="A54" s="105">
        <f t="shared" si="1"/>
        <v>49</v>
      </c>
      <c r="B54" s="130"/>
      <c r="C54" s="130"/>
      <c r="D54" s="113"/>
      <c r="E54" s="127"/>
      <c r="F54" s="128"/>
      <c r="G54" s="128"/>
      <c r="H54" s="129"/>
    </row>
    <row r="55" spans="1:8" ht="12" thickBot="1" x14ac:dyDescent="0.25">
      <c r="B55" s="130"/>
      <c r="C55" s="130"/>
      <c r="D55" s="117"/>
      <c r="E55" s="127"/>
      <c r="F55" s="131"/>
      <c r="G55" s="131"/>
      <c r="H55" s="132"/>
    </row>
  </sheetData>
  <mergeCells count="2">
    <mergeCell ref="A1:H1"/>
    <mergeCell ref="A2:H2"/>
  </mergeCells>
  <printOptions horizontalCentered="1"/>
  <pageMargins left="0.25" right="0.25" top="0.75" bottom="0.75" header="0.3" footer="0.3"/>
  <pageSetup scale="62" orientation="landscape" r:id="rId1"/>
  <headerFooter alignWithMargins="0">
    <oddFooter>&amp;L&amp;"Arial,Regular"&amp;8&amp;F&amp;C&amp;A&amp;R&amp;"Arial,Regular"Advice No. 18-xxxx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0" transitionEvaluation="1">
    <pageSetUpPr fitToPage="1"/>
  </sheetPr>
  <dimension ref="A1:AJ153"/>
  <sheetViews>
    <sheetView showGridLines="0" zoomScaleNormal="100" workbookViewId="0">
      <pane xSplit="1" ySplit="16" topLeftCell="B20" activePane="bottomRight" state="frozen"/>
      <selection activeCell="B7" sqref="B7"/>
      <selection pane="topRight" activeCell="B7" sqref="B7"/>
      <selection pane="bottomLeft" activeCell="B7" sqref="B7"/>
      <selection pane="bottomRight" activeCell="D41" sqref="D41"/>
    </sheetView>
  </sheetViews>
  <sheetFormatPr defaultColWidth="13.28515625" defaultRowHeight="11.25" x14ac:dyDescent="0.2"/>
  <cols>
    <col min="1" max="1" width="7.28515625" style="99" bestFit="1" customWidth="1"/>
    <col min="2" max="2" width="7.42578125" style="99" bestFit="1" customWidth="1"/>
    <col min="3" max="3" width="11" style="101" bestFit="1" customWidth="1"/>
    <col min="4" max="4" width="11.140625" style="99" bestFit="1" customWidth="1"/>
    <col min="5" max="5" width="9.5703125" style="99" bestFit="1" customWidth="1"/>
    <col min="6" max="6" width="7.28515625" style="99" bestFit="1" customWidth="1"/>
    <col min="7" max="7" width="9.140625" style="99" bestFit="1" customWidth="1"/>
    <col min="8" max="8" width="8" style="99" bestFit="1" customWidth="1"/>
    <col min="9" max="9" width="9.5703125" style="99" bestFit="1" customWidth="1"/>
    <col min="10" max="10" width="7.85546875" style="99" bestFit="1" customWidth="1"/>
    <col min="11" max="11" width="7.28515625" style="99" bestFit="1" customWidth="1"/>
    <col min="12" max="12" width="9.5703125" style="99" bestFit="1" customWidth="1"/>
    <col min="13" max="13" width="6.5703125" style="99" bestFit="1" customWidth="1"/>
    <col min="14" max="14" width="7" style="99" customWidth="1"/>
    <col min="15" max="15" width="4.28515625" style="99" bestFit="1" customWidth="1"/>
    <col min="16" max="16" width="55.140625" style="99" bestFit="1" customWidth="1"/>
    <col min="17" max="17" width="1.5703125" style="99" customWidth="1"/>
    <col min="18" max="18" width="7.140625" style="99" bestFit="1" customWidth="1"/>
    <col min="19" max="19" width="7.42578125" style="99" bestFit="1" customWidth="1"/>
    <col min="20" max="22" width="13.28515625" style="99"/>
    <col min="23" max="23" width="1.7109375" style="99" bestFit="1" customWidth="1"/>
    <col min="24" max="25" width="15.5703125" style="99" customWidth="1"/>
    <col min="26" max="200" width="13.28515625" style="99"/>
    <col min="201" max="201" width="83" style="99" customWidth="1"/>
    <col min="202" max="16384" width="13.28515625" style="99"/>
  </cols>
  <sheetData>
    <row r="1" spans="1:25" ht="13.5" thickBot="1" x14ac:dyDescent="0.25">
      <c r="A1" s="257" t="s">
        <v>139</v>
      </c>
      <c r="B1" s="257"/>
      <c r="C1" s="257"/>
      <c r="D1" s="257"/>
      <c r="E1" s="257"/>
      <c r="F1" s="257"/>
      <c r="G1" s="257"/>
      <c r="H1" s="133"/>
      <c r="I1" s="133"/>
      <c r="J1" s="133"/>
      <c r="K1" s="133"/>
      <c r="L1" s="133"/>
      <c r="M1" s="133"/>
      <c r="N1" s="133"/>
      <c r="Q1" s="134"/>
      <c r="R1" s="134"/>
      <c r="S1" s="134"/>
      <c r="W1" s="135" t="s">
        <v>14</v>
      </c>
    </row>
    <row r="2" spans="1:25" ht="14.45" customHeight="1" thickBot="1" x14ac:dyDescent="0.25">
      <c r="A2" s="258" t="s">
        <v>30</v>
      </c>
      <c r="B2" s="258"/>
      <c r="C2" s="258"/>
      <c r="D2" s="258"/>
      <c r="E2" s="258"/>
      <c r="F2" s="258"/>
      <c r="G2" s="258"/>
      <c r="I2" s="264" t="s">
        <v>29</v>
      </c>
      <c r="J2" s="265"/>
      <c r="K2" s="265"/>
      <c r="L2" s="266"/>
      <c r="O2" s="180" t="s">
        <v>117</v>
      </c>
      <c r="P2" s="136"/>
      <c r="Q2" s="181"/>
      <c r="R2" s="181"/>
      <c r="S2" s="182"/>
      <c r="W2" s="135" t="s">
        <v>14</v>
      </c>
    </row>
    <row r="3" spans="1:25" x14ac:dyDescent="0.2">
      <c r="A3" s="121"/>
      <c r="B3" s="121"/>
      <c r="C3" s="137"/>
      <c r="D3" s="121"/>
      <c r="E3" s="121"/>
      <c r="F3" s="121"/>
      <c r="I3" s="138" t="s">
        <v>27</v>
      </c>
      <c r="J3" s="139">
        <f>+'LvlFCR Land'!J2</f>
        <v>0.51500000000000001</v>
      </c>
      <c r="K3" s="140">
        <f>+'LvlFCR Land'!K2</f>
        <v>5.4951456310679617E-2</v>
      </c>
      <c r="L3" s="141">
        <f>+'LvlFCR Land'!L2</f>
        <v>2.8299999999999999E-2</v>
      </c>
      <c r="O3" s="183" t="s">
        <v>118</v>
      </c>
      <c r="P3" s="142"/>
      <c r="Q3" s="184"/>
      <c r="R3" s="184"/>
      <c r="S3" s="185"/>
      <c r="W3" s="135"/>
    </row>
    <row r="4" spans="1:25" x14ac:dyDescent="0.2">
      <c r="A4" s="121"/>
      <c r="B4" s="121"/>
      <c r="C4" s="137"/>
      <c r="D4" s="121"/>
      <c r="E4" s="121"/>
      <c r="F4" s="121"/>
      <c r="I4" s="138" t="s">
        <v>26</v>
      </c>
      <c r="J4" s="139">
        <f>+'LvlFCR Land'!J3</f>
        <v>0</v>
      </c>
      <c r="K4" s="140">
        <f>+'LvlFCR Land'!K3</f>
        <v>0</v>
      </c>
      <c r="L4" s="141">
        <f>+'LvlFCR Land'!L3</f>
        <v>0</v>
      </c>
      <c r="O4" s="45" t="s">
        <v>119</v>
      </c>
      <c r="P4" s="142"/>
      <c r="Q4" s="186"/>
      <c r="R4" s="186"/>
      <c r="S4" s="187"/>
      <c r="W4" s="135"/>
    </row>
    <row r="5" spans="1:25" x14ac:dyDescent="0.2">
      <c r="E5" s="143"/>
      <c r="I5" s="144" t="s">
        <v>33</v>
      </c>
      <c r="J5" s="145">
        <f>SUM(J3:J4)</f>
        <v>0.51500000000000001</v>
      </c>
      <c r="K5" s="146"/>
      <c r="L5" s="147">
        <f>SUM(L3:L4)</f>
        <v>2.8299999999999999E-2</v>
      </c>
      <c r="O5" s="45" t="s">
        <v>120</v>
      </c>
      <c r="P5" s="142"/>
      <c r="Q5" s="186"/>
      <c r="R5" s="186"/>
      <c r="S5" s="187"/>
      <c r="W5" s="135" t="s">
        <v>14</v>
      </c>
      <c r="X5" s="134"/>
      <c r="Y5" s="134"/>
    </row>
    <row r="6" spans="1:25" x14ac:dyDescent="0.2">
      <c r="I6" s="144" t="s">
        <v>24</v>
      </c>
      <c r="J6" s="139">
        <f>+'LvlFCR Land'!J5</f>
        <v>0</v>
      </c>
      <c r="K6" s="140">
        <f>+'LvlFCR Land'!K5</f>
        <v>0</v>
      </c>
      <c r="L6" s="141">
        <f>+'LvlFCR Land'!L5</f>
        <v>0</v>
      </c>
      <c r="O6" s="188"/>
      <c r="P6" s="189"/>
      <c r="Q6" s="189"/>
      <c r="R6" s="189"/>
      <c r="S6" s="190"/>
      <c r="W6" s="135" t="s">
        <v>14</v>
      </c>
      <c r="X6" s="134"/>
      <c r="Y6" s="134"/>
    </row>
    <row r="7" spans="1:25" x14ac:dyDescent="0.2">
      <c r="C7" s="263" t="s">
        <v>23</v>
      </c>
      <c r="D7" s="263"/>
      <c r="E7" s="134">
        <f>L70</f>
        <v>107501.44344154415</v>
      </c>
      <c r="I7" s="144" t="s">
        <v>22</v>
      </c>
      <c r="J7" s="139">
        <f>+'LvlFCR Land'!J6</f>
        <v>0.48499999999999999</v>
      </c>
      <c r="K7" s="140">
        <f>+'LvlFCR Land'!K6</f>
        <v>9.4E-2</v>
      </c>
      <c r="L7" s="141">
        <f>+'LvlFCR Land'!L6</f>
        <v>4.5600000000000002E-2</v>
      </c>
      <c r="O7" s="191" t="s">
        <v>121</v>
      </c>
      <c r="P7" s="52"/>
      <c r="Q7" s="52"/>
      <c r="R7" s="52"/>
      <c r="S7" s="192"/>
      <c r="W7" s="135" t="s">
        <v>14</v>
      </c>
      <c r="X7" s="134"/>
      <c r="Y7" s="134"/>
    </row>
    <row r="8" spans="1:25" x14ac:dyDescent="0.2">
      <c r="C8" s="263" t="s">
        <v>21</v>
      </c>
      <c r="D8" s="263"/>
      <c r="E8" s="134">
        <f>PMT(L9,H12,-E7)</f>
        <v>8193.3769161108175</v>
      </c>
      <c r="I8" s="148"/>
      <c r="J8" s="149"/>
      <c r="K8" s="149"/>
      <c r="L8" s="150" t="s">
        <v>13</v>
      </c>
      <c r="O8" s="193" t="s">
        <v>122</v>
      </c>
      <c r="P8" s="194" t="s">
        <v>123</v>
      </c>
      <c r="Q8" s="30"/>
      <c r="R8" s="30" t="s">
        <v>124</v>
      </c>
      <c r="S8" s="195" t="s">
        <v>100</v>
      </c>
      <c r="W8" s="135" t="s">
        <v>14</v>
      </c>
      <c r="X8" s="134"/>
      <c r="Y8" s="134"/>
    </row>
    <row r="9" spans="1:25" ht="12" thickBot="1" x14ac:dyDescent="0.25">
      <c r="C9" s="263" t="s">
        <v>20</v>
      </c>
      <c r="D9" s="263"/>
      <c r="E9" s="151">
        <f>($E$8/$D$12)*100</f>
        <v>8.1933769161108181</v>
      </c>
      <c r="I9" s="259" t="s">
        <v>19</v>
      </c>
      <c r="J9" s="260"/>
      <c r="K9" s="260"/>
      <c r="L9" s="152">
        <f>L7+L6+L5</f>
        <v>7.3899999999999993E-2</v>
      </c>
      <c r="O9" s="196"/>
      <c r="P9" s="197"/>
      <c r="Q9" s="197"/>
      <c r="R9" s="197"/>
      <c r="S9" s="198"/>
      <c r="W9" s="135" t="s">
        <v>14</v>
      </c>
      <c r="X9" s="134"/>
      <c r="Y9" s="134"/>
    </row>
    <row r="10" spans="1:25" x14ac:dyDescent="0.2">
      <c r="I10" s="101"/>
      <c r="J10" s="101"/>
      <c r="K10" s="101"/>
      <c r="L10" s="101"/>
      <c r="O10" s="199">
        <v>1</v>
      </c>
      <c r="P10" s="72" t="s">
        <v>125</v>
      </c>
      <c r="Q10" s="197"/>
      <c r="R10" s="200"/>
      <c r="S10" s="201">
        <v>8.4790000000000004E-3</v>
      </c>
      <c r="W10" s="135" t="s">
        <v>14</v>
      </c>
      <c r="X10" s="134"/>
      <c r="Y10" s="134"/>
    </row>
    <row r="11" spans="1:25" x14ac:dyDescent="0.2">
      <c r="C11" s="153" t="s">
        <v>18</v>
      </c>
      <c r="D11" s="154">
        <v>12</v>
      </c>
      <c r="H11" s="155">
        <v>4.0000000000000002E-4</v>
      </c>
      <c r="I11" s="261" t="s">
        <v>28</v>
      </c>
      <c r="J11" s="261"/>
      <c r="K11" s="261"/>
      <c r="L11" s="261"/>
      <c r="M11" s="261"/>
      <c r="N11" s="156"/>
      <c r="O11" s="199">
        <v>2</v>
      </c>
      <c r="P11" s="72" t="s">
        <v>126</v>
      </c>
      <c r="Q11" s="197"/>
      <c r="R11" s="200"/>
      <c r="S11" s="201">
        <v>2E-3</v>
      </c>
      <c r="W11" s="135" t="s">
        <v>14</v>
      </c>
      <c r="X11" s="134"/>
      <c r="Y11" s="134"/>
    </row>
    <row r="12" spans="1:25" x14ac:dyDescent="0.2">
      <c r="C12" s="153" t="s">
        <v>16</v>
      </c>
      <c r="D12" s="157">
        <v>100000</v>
      </c>
      <c r="E12" s="134"/>
      <c r="F12" s="135"/>
      <c r="G12" s="154"/>
      <c r="H12" s="158">
        <f>+'Sub &amp; Feeder Depr Life'!AB12</f>
        <v>49</v>
      </c>
      <c r="I12" s="261" t="s">
        <v>37</v>
      </c>
      <c r="J12" s="261"/>
      <c r="K12" s="261"/>
      <c r="L12" s="261"/>
      <c r="M12" s="261"/>
      <c r="O12" s="199">
        <v>3</v>
      </c>
      <c r="P12" s="72" t="s">
        <v>131</v>
      </c>
      <c r="Q12" s="197"/>
      <c r="R12" s="202">
        <v>3.8733999999999998E-2</v>
      </c>
      <c r="S12" s="203">
        <v>3.8406000000000003E-2</v>
      </c>
      <c r="W12" s="135" t="s">
        <v>14</v>
      </c>
      <c r="X12" s="134"/>
      <c r="Y12" s="134"/>
    </row>
    <row r="13" spans="1:25" x14ac:dyDescent="0.2">
      <c r="C13" s="159" t="s">
        <v>15</v>
      </c>
      <c r="D13" s="134">
        <f>D12</f>
        <v>100000</v>
      </c>
      <c r="E13" s="134"/>
      <c r="G13" s="160"/>
      <c r="H13" s="161">
        <f>1-S16</f>
        <v>0.24861900000000003</v>
      </c>
      <c r="I13" s="262" t="s">
        <v>60</v>
      </c>
      <c r="J13" s="261"/>
      <c r="K13" s="261"/>
      <c r="L13" s="261"/>
      <c r="M13" s="261"/>
      <c r="O13" s="199">
        <v>5</v>
      </c>
      <c r="P13" s="72" t="s">
        <v>127</v>
      </c>
      <c r="Q13" s="197"/>
      <c r="R13" s="204"/>
      <c r="S13" s="205">
        <f>ROUND(SUM(S10:S12),6)</f>
        <v>4.8884999999999998E-2</v>
      </c>
      <c r="W13" s="135" t="s">
        <v>14</v>
      </c>
      <c r="X13" s="134"/>
      <c r="Y13" s="134"/>
    </row>
    <row r="14" spans="1:25" x14ac:dyDescent="0.2">
      <c r="C14" s="153" t="s">
        <v>17</v>
      </c>
      <c r="D14" s="134">
        <f>D12</f>
        <v>100000</v>
      </c>
      <c r="H14" s="161">
        <f>R15</f>
        <v>0.21</v>
      </c>
      <c r="I14" s="261" t="s">
        <v>41</v>
      </c>
      <c r="J14" s="261"/>
      <c r="K14" s="261"/>
      <c r="L14" s="261"/>
      <c r="M14" s="261"/>
      <c r="N14" s="162"/>
      <c r="O14" s="199">
        <v>7</v>
      </c>
      <c r="P14" s="197" t="s">
        <v>128</v>
      </c>
      <c r="Q14" s="197"/>
      <c r="R14" s="204"/>
      <c r="S14" s="205">
        <f>ROUND(1-S13,6)</f>
        <v>0.95111500000000004</v>
      </c>
    </row>
    <row r="15" spans="1:25" x14ac:dyDescent="0.2">
      <c r="C15" s="100"/>
      <c r="H15" s="163"/>
      <c r="M15" s="162"/>
      <c r="N15" s="162"/>
      <c r="O15" s="199">
        <v>8</v>
      </c>
      <c r="P15" s="72" t="s">
        <v>129</v>
      </c>
      <c r="Q15" s="197"/>
      <c r="R15" s="206">
        <v>0.21</v>
      </c>
      <c r="S15" s="205">
        <f>ROUND((S14)*R15,6)</f>
        <v>0.19973399999999999</v>
      </c>
    </row>
    <row r="16" spans="1:25" ht="23.25" thickBot="1" x14ac:dyDescent="0.25">
      <c r="A16" s="164" t="s">
        <v>46</v>
      </c>
      <c r="B16" s="164" t="s">
        <v>47</v>
      </c>
      <c r="C16" s="165" t="s">
        <v>56</v>
      </c>
      <c r="D16" s="164" t="s">
        <v>48</v>
      </c>
      <c r="E16" s="164" t="s">
        <v>58</v>
      </c>
      <c r="F16" s="164" t="s">
        <v>55</v>
      </c>
      <c r="G16" s="164" t="s">
        <v>49</v>
      </c>
      <c r="H16" s="164" t="s">
        <v>50</v>
      </c>
      <c r="I16" s="164" t="s">
        <v>57</v>
      </c>
      <c r="J16" s="164" t="s">
        <v>51</v>
      </c>
      <c r="K16" s="164" t="s">
        <v>52</v>
      </c>
      <c r="L16" s="164" t="s">
        <v>53</v>
      </c>
      <c r="M16" s="164" t="s">
        <v>54</v>
      </c>
      <c r="O16" s="207">
        <v>9</v>
      </c>
      <c r="P16" s="208" t="s">
        <v>130</v>
      </c>
      <c r="Q16" s="209"/>
      <c r="R16" s="209"/>
      <c r="S16" s="210">
        <f>ROUND(1-S15-S13,6)</f>
        <v>0.75138099999999997</v>
      </c>
    </row>
    <row r="17" spans="1:36" x14ac:dyDescent="0.2">
      <c r="A17" s="166">
        <v>1</v>
      </c>
      <c r="B17" s="167">
        <f>D12</f>
        <v>100000</v>
      </c>
      <c r="C17" s="168">
        <v>3.7999999999999999E-2</v>
      </c>
      <c r="D17" s="169">
        <f>D12</f>
        <v>100000</v>
      </c>
      <c r="E17" s="169">
        <f t="shared" ref="E17:E51" si="0">D$13*C17</f>
        <v>3800</v>
      </c>
      <c r="F17" s="169">
        <f t="shared" ref="F17:F51" si="1">H$14*(E17-I17*D$13/D$12)</f>
        <v>369.42857142857133</v>
      </c>
      <c r="G17" s="169">
        <f>L$5*D17*(D11/12)</f>
        <v>2830</v>
      </c>
      <c r="H17" s="169">
        <f>D17*(L$6+L$7)*(D11/12)</f>
        <v>4560</v>
      </c>
      <c r="I17" s="169">
        <f>(D11/12)*D$12/H$12</f>
        <v>2040.8163265306123</v>
      </c>
      <c r="J17" s="169">
        <f>+B17*$H$11</f>
        <v>40</v>
      </c>
      <c r="K17" s="169">
        <f t="shared" ref="K17:K51" si="2">(H$13/(1-H$13))*(H17+I17-E17+F17+J17)</f>
        <v>1062.2146105447362</v>
      </c>
      <c r="L17" s="169">
        <f>SUM(F17:K17)</f>
        <v>10902.45950850392</v>
      </c>
      <c r="M17" s="170">
        <f>NPV($L$9,L17:L26)</f>
        <v>67883.369979070761</v>
      </c>
      <c r="O17" s="109"/>
      <c r="P17" s="131"/>
      <c r="Q17" s="171"/>
    </row>
    <row r="18" spans="1:36" x14ac:dyDescent="0.2">
      <c r="A18" s="166">
        <f t="shared" ref="A18:A66" si="3">A17+1</f>
        <v>2</v>
      </c>
      <c r="B18" s="167">
        <f t="shared" ref="B18:B51" si="4">B17-I17</f>
        <v>97959.183673469393</v>
      </c>
      <c r="C18" s="168">
        <v>7.1999999999999995E-2</v>
      </c>
      <c r="D18" s="169">
        <f t="shared" ref="D18:D51" si="5">D17-F17-I17</f>
        <v>97589.755102040828</v>
      </c>
      <c r="E18" s="169">
        <f t="shared" si="0"/>
        <v>7199.9999999999991</v>
      </c>
      <c r="F18" s="169">
        <f t="shared" si="1"/>
        <v>1083.4285714285711</v>
      </c>
      <c r="G18" s="169">
        <f t="shared" ref="G18:G49" si="6">L$5*D18</f>
        <v>2761.7900693877555</v>
      </c>
      <c r="H18" s="169">
        <f t="shared" ref="H18:H49" si="7">D18*(L$6+L$7)</f>
        <v>4450.092832653062</v>
      </c>
      <c r="I18" s="169">
        <f t="shared" ref="I18:I51" si="8">IF(A18-A$17&gt;H$12,0,IF(A18-A$17=H$12,(12-D$11)/12*$D$12/H$12,D$12/H$12))</f>
        <v>2040.8163265306123</v>
      </c>
      <c r="J18" s="169">
        <f t="shared" ref="J18:J51" si="9">+B18*$H$11</f>
        <v>39.183673469387756</v>
      </c>
      <c r="K18" s="169">
        <f t="shared" si="2"/>
        <v>136.82709299459495</v>
      </c>
      <c r="L18" s="169">
        <f t="shared" ref="L18:L51" si="10">SUM(F18:K18)</f>
        <v>10512.138566463984</v>
      </c>
      <c r="M18" s="170">
        <f t="shared" ref="M18:M56" si="11">NPV($L$9,L18:L27)</f>
        <v>66127.247770764254</v>
      </c>
      <c r="O18" s="109"/>
      <c r="P18" s="131"/>
      <c r="Q18" s="171"/>
    </row>
    <row r="19" spans="1:36" x14ac:dyDescent="0.2">
      <c r="A19" s="166">
        <f t="shared" si="3"/>
        <v>3</v>
      </c>
      <c r="B19" s="167">
        <f t="shared" si="4"/>
        <v>95918.367346938787</v>
      </c>
      <c r="C19" s="168">
        <v>6.7000000000000004E-2</v>
      </c>
      <c r="D19" s="169">
        <f t="shared" si="5"/>
        <v>94465.510204081656</v>
      </c>
      <c r="E19" s="169">
        <f t="shared" si="0"/>
        <v>6700</v>
      </c>
      <c r="F19" s="169">
        <f t="shared" si="1"/>
        <v>978.42857142857144</v>
      </c>
      <c r="G19" s="169">
        <f t="shared" si="6"/>
        <v>2673.3739387755109</v>
      </c>
      <c r="H19" s="169">
        <f t="shared" si="7"/>
        <v>4307.6272653061233</v>
      </c>
      <c r="I19" s="169">
        <f t="shared" si="8"/>
        <v>2040.8163265306123</v>
      </c>
      <c r="J19" s="169">
        <f t="shared" si="9"/>
        <v>38.367346938775519</v>
      </c>
      <c r="K19" s="169">
        <f t="shared" si="2"/>
        <v>220.11626829455199</v>
      </c>
      <c r="L19" s="169">
        <f t="shared" si="10"/>
        <v>10258.729717274146</v>
      </c>
      <c r="M19" s="170">
        <f t="shared" si="11"/>
        <v>64519.587287403927</v>
      </c>
      <c r="O19" s="109"/>
      <c r="P19" s="131"/>
      <c r="Q19" s="171"/>
    </row>
    <row r="20" spans="1:36" x14ac:dyDescent="0.2">
      <c r="A20" s="166">
        <f t="shared" si="3"/>
        <v>4</v>
      </c>
      <c r="B20" s="167">
        <f t="shared" si="4"/>
        <v>93877.55102040818</v>
      </c>
      <c r="C20" s="168">
        <v>6.2E-2</v>
      </c>
      <c r="D20" s="169">
        <f t="shared" si="5"/>
        <v>91446.265306122485</v>
      </c>
      <c r="E20" s="169">
        <f t="shared" si="0"/>
        <v>6200</v>
      </c>
      <c r="F20" s="169">
        <f t="shared" si="1"/>
        <v>873.42857142857144</v>
      </c>
      <c r="G20" s="169">
        <f t="shared" si="6"/>
        <v>2587.9293081632663</v>
      </c>
      <c r="H20" s="169">
        <f t="shared" si="7"/>
        <v>4169.9496979591859</v>
      </c>
      <c r="I20" s="169">
        <f t="shared" si="8"/>
        <v>2040.8163265306123</v>
      </c>
      <c r="J20" s="169">
        <f t="shared" si="9"/>
        <v>37.551020408163275</v>
      </c>
      <c r="K20" s="169">
        <f t="shared" si="2"/>
        <v>304.98971012773313</v>
      </c>
      <c r="L20" s="169">
        <f t="shared" si="10"/>
        <v>10014.664634617533</v>
      </c>
      <c r="M20" s="170">
        <f t="shared" si="11"/>
        <v>62934.447757613278</v>
      </c>
      <c r="O20" s="109"/>
      <c r="P20" s="131"/>
      <c r="Q20" s="171"/>
    </row>
    <row r="21" spans="1:36" x14ac:dyDescent="0.2">
      <c r="A21" s="166">
        <f t="shared" si="3"/>
        <v>5</v>
      </c>
      <c r="B21" s="167">
        <f t="shared" si="4"/>
        <v>91836.734693877574</v>
      </c>
      <c r="C21" s="168">
        <v>5.7000000000000002E-2</v>
      </c>
      <c r="D21" s="169">
        <f t="shared" si="5"/>
        <v>88532.020408163313</v>
      </c>
      <c r="E21" s="169">
        <f t="shared" si="0"/>
        <v>5700</v>
      </c>
      <c r="F21" s="169">
        <f t="shared" si="1"/>
        <v>768.42857142857133</v>
      </c>
      <c r="G21" s="169">
        <f t="shared" si="6"/>
        <v>2505.4561775510215</v>
      </c>
      <c r="H21" s="169">
        <f t="shared" si="7"/>
        <v>4037.0601306122471</v>
      </c>
      <c r="I21" s="169">
        <f t="shared" si="8"/>
        <v>2040.8163265306123</v>
      </c>
      <c r="J21" s="169">
        <f t="shared" si="9"/>
        <v>36.734693877551031</v>
      </c>
      <c r="K21" s="169">
        <f t="shared" si="2"/>
        <v>391.44741849413731</v>
      </c>
      <c r="L21" s="169">
        <f t="shared" si="10"/>
        <v>9779.9433184941408</v>
      </c>
      <c r="M21" s="170">
        <f t="shared" si="11"/>
        <v>61364.149713327795</v>
      </c>
      <c r="O21" s="109"/>
      <c r="P21" s="131"/>
      <c r="Q21" s="171"/>
    </row>
    <row r="22" spans="1:36" x14ac:dyDescent="0.2">
      <c r="A22" s="166">
        <f t="shared" si="3"/>
        <v>6</v>
      </c>
      <c r="B22" s="167">
        <f t="shared" si="4"/>
        <v>89795.918367346967</v>
      </c>
      <c r="C22" s="168">
        <v>5.2999999999999999E-2</v>
      </c>
      <c r="D22" s="169">
        <f t="shared" si="5"/>
        <v>85722.775510204141</v>
      </c>
      <c r="E22" s="169">
        <f t="shared" si="0"/>
        <v>5300</v>
      </c>
      <c r="F22" s="169">
        <f t="shared" si="1"/>
        <v>684.42857142857133</v>
      </c>
      <c r="G22" s="169">
        <f t="shared" si="6"/>
        <v>2425.9545469387772</v>
      </c>
      <c r="H22" s="169">
        <f t="shared" si="7"/>
        <v>3908.9585632653088</v>
      </c>
      <c r="I22" s="169">
        <f t="shared" si="8"/>
        <v>2040.8163265306123</v>
      </c>
      <c r="J22" s="169">
        <f t="shared" si="9"/>
        <v>35.918367346938787</v>
      </c>
      <c r="K22" s="169">
        <f t="shared" si="2"/>
        <v>453.34965736104675</v>
      </c>
      <c r="L22" s="169">
        <f t="shared" si="10"/>
        <v>9549.4260328712535</v>
      </c>
      <c r="M22" s="170">
        <f t="shared" si="11"/>
        <v>59800.446173793134</v>
      </c>
      <c r="O22" s="109"/>
      <c r="P22" s="131"/>
      <c r="Q22" s="171"/>
    </row>
    <row r="23" spans="1:36" x14ac:dyDescent="0.2">
      <c r="A23" s="166">
        <f t="shared" si="3"/>
        <v>7</v>
      </c>
      <c r="B23" s="167">
        <f t="shared" si="4"/>
        <v>87755.10204081636</v>
      </c>
      <c r="C23" s="168">
        <v>4.9000000000000002E-2</v>
      </c>
      <c r="D23" s="169">
        <f t="shared" si="5"/>
        <v>82997.530612244969</v>
      </c>
      <c r="E23" s="169">
        <f t="shared" si="0"/>
        <v>4900</v>
      </c>
      <c r="F23" s="169">
        <f t="shared" si="1"/>
        <v>600.42857142857133</v>
      </c>
      <c r="G23" s="169">
        <f t="shared" si="6"/>
        <v>2348.8301163265323</v>
      </c>
      <c r="H23" s="169">
        <f t="shared" si="7"/>
        <v>3784.6873959183708</v>
      </c>
      <c r="I23" s="169">
        <f t="shared" si="8"/>
        <v>2040.8163265306123</v>
      </c>
      <c r="J23" s="169">
        <f t="shared" si="9"/>
        <v>35.102040816326543</v>
      </c>
      <c r="K23" s="169">
        <f t="shared" si="2"/>
        <v>516.51930945453523</v>
      </c>
      <c r="L23" s="169">
        <f t="shared" si="10"/>
        <v>9326.3837604749478</v>
      </c>
      <c r="M23" s="170">
        <f t="shared" si="11"/>
        <v>58239.620442409876</v>
      </c>
      <c r="O23" s="109"/>
      <c r="P23" s="131"/>
      <c r="Q23" s="171"/>
    </row>
    <row r="24" spans="1:36" x14ac:dyDescent="0.2">
      <c r="A24" s="166">
        <f t="shared" si="3"/>
        <v>8</v>
      </c>
      <c r="B24" s="167">
        <f t="shared" si="4"/>
        <v>85714.285714285754</v>
      </c>
      <c r="C24" s="168">
        <v>4.4999999999999998E-2</v>
      </c>
      <c r="D24" s="169">
        <f t="shared" si="5"/>
        <v>80356.285714285797</v>
      </c>
      <c r="E24" s="169">
        <f t="shared" si="0"/>
        <v>4500</v>
      </c>
      <c r="F24" s="169">
        <f t="shared" si="1"/>
        <v>516.42857142857133</v>
      </c>
      <c r="G24" s="169">
        <f t="shared" si="6"/>
        <v>2274.0828857142878</v>
      </c>
      <c r="H24" s="169">
        <f t="shared" si="7"/>
        <v>3664.2466285714327</v>
      </c>
      <c r="I24" s="169">
        <f t="shared" si="8"/>
        <v>2040.8163265306123</v>
      </c>
      <c r="J24" s="169">
        <f t="shared" si="9"/>
        <v>34.285714285714306</v>
      </c>
      <c r="K24" s="169">
        <f t="shared" si="2"/>
        <v>580.95637477460207</v>
      </c>
      <c r="L24" s="169">
        <f t="shared" si="10"/>
        <v>9110.8165013052203</v>
      </c>
      <c r="M24" s="170">
        <f t="shared" si="11"/>
        <v>56674.410175973819</v>
      </c>
      <c r="O24" s="109"/>
      <c r="P24" s="131"/>
      <c r="Q24" s="171"/>
      <c r="R24" s="172"/>
      <c r="S24" s="172"/>
      <c r="T24" s="172"/>
    </row>
    <row r="25" spans="1:36" x14ac:dyDescent="0.2">
      <c r="A25" s="166">
        <f t="shared" si="3"/>
        <v>9</v>
      </c>
      <c r="B25" s="167">
        <f t="shared" si="4"/>
        <v>83673.469387755147</v>
      </c>
      <c r="C25" s="168">
        <v>4.4999999999999998E-2</v>
      </c>
      <c r="D25" s="169">
        <f t="shared" si="5"/>
        <v>77799.040816326626</v>
      </c>
      <c r="E25" s="169">
        <f t="shared" si="0"/>
        <v>4500</v>
      </c>
      <c r="F25" s="169">
        <f t="shared" si="1"/>
        <v>516.42857142857133</v>
      </c>
      <c r="G25" s="169">
        <f t="shared" si="6"/>
        <v>2201.7128551020432</v>
      </c>
      <c r="H25" s="169">
        <f t="shared" si="7"/>
        <v>3547.6362612244943</v>
      </c>
      <c r="I25" s="169">
        <f t="shared" si="8"/>
        <v>2040.8163265306123</v>
      </c>
      <c r="J25" s="169">
        <f t="shared" si="9"/>
        <v>33.469387755102062</v>
      </c>
      <c r="K25" s="169">
        <f t="shared" si="2"/>
        <v>542.10190919037439</v>
      </c>
      <c r="L25" s="169">
        <f t="shared" si="10"/>
        <v>8882.1653112311978</v>
      </c>
      <c r="M25" s="170">
        <f t="shared" si="11"/>
        <v>55097.016344118005</v>
      </c>
      <c r="O25" s="109"/>
      <c r="P25" s="131"/>
      <c r="Q25" s="171"/>
    </row>
    <row r="26" spans="1:36" x14ac:dyDescent="0.2">
      <c r="A26" s="166">
        <f t="shared" si="3"/>
        <v>10</v>
      </c>
      <c r="B26" s="167">
        <f t="shared" si="4"/>
        <v>81632.653061224541</v>
      </c>
      <c r="C26" s="168">
        <v>4.4999999999999998E-2</v>
      </c>
      <c r="D26" s="169">
        <f t="shared" si="5"/>
        <v>75241.795918367454</v>
      </c>
      <c r="E26" s="169">
        <f t="shared" si="0"/>
        <v>4500</v>
      </c>
      <c r="F26" s="169">
        <f t="shared" si="1"/>
        <v>516.42857142857133</v>
      </c>
      <c r="G26" s="169">
        <f t="shared" si="6"/>
        <v>2129.3428244897987</v>
      </c>
      <c r="H26" s="169">
        <f t="shared" si="7"/>
        <v>3431.025893877556</v>
      </c>
      <c r="I26" s="169">
        <f t="shared" si="8"/>
        <v>2040.8163265306123</v>
      </c>
      <c r="J26" s="169">
        <f t="shared" si="9"/>
        <v>32.653061224489818</v>
      </c>
      <c r="K26" s="169">
        <f t="shared" si="2"/>
        <v>503.24744360614631</v>
      </c>
      <c r="L26" s="169">
        <f t="shared" si="10"/>
        <v>8653.5141211571736</v>
      </c>
      <c r="M26" s="170">
        <f t="shared" si="11"/>
        <v>53519.622512262176</v>
      </c>
      <c r="O26" s="109"/>
      <c r="P26" s="131"/>
      <c r="Q26" s="171"/>
    </row>
    <row r="27" spans="1:36" x14ac:dyDescent="0.2">
      <c r="A27" s="166">
        <f t="shared" si="3"/>
        <v>11</v>
      </c>
      <c r="B27" s="167">
        <f t="shared" si="4"/>
        <v>79591.836734693934</v>
      </c>
      <c r="C27" s="168">
        <v>4.4999999999999998E-2</v>
      </c>
      <c r="D27" s="169">
        <f t="shared" si="5"/>
        <v>72684.551020408282</v>
      </c>
      <c r="E27" s="169">
        <f t="shared" si="0"/>
        <v>4500</v>
      </c>
      <c r="F27" s="169">
        <f t="shared" si="1"/>
        <v>516.42857142857133</v>
      </c>
      <c r="G27" s="169">
        <f t="shared" si="6"/>
        <v>2056.9727938775541</v>
      </c>
      <c r="H27" s="169">
        <f t="shared" si="7"/>
        <v>3314.4155265306176</v>
      </c>
      <c r="I27" s="169">
        <f t="shared" si="8"/>
        <v>2040.8163265306123</v>
      </c>
      <c r="J27" s="169">
        <f t="shared" si="9"/>
        <v>31.836734693877574</v>
      </c>
      <c r="K27" s="169">
        <f t="shared" si="2"/>
        <v>464.39297802191851</v>
      </c>
      <c r="L27" s="169">
        <f t="shared" si="10"/>
        <v>8424.8629310831511</v>
      </c>
      <c r="M27" s="170">
        <f t="shared" si="11"/>
        <v>51942.228680406341</v>
      </c>
      <c r="O27" s="109"/>
      <c r="P27" s="131"/>
      <c r="Q27" s="171"/>
    </row>
    <row r="28" spans="1:36" x14ac:dyDescent="0.2">
      <c r="A28" s="166">
        <f t="shared" si="3"/>
        <v>12</v>
      </c>
      <c r="B28" s="167">
        <f t="shared" si="4"/>
        <v>77551.020408163327</v>
      </c>
      <c r="C28" s="168">
        <v>4.4999999999999998E-2</v>
      </c>
      <c r="D28" s="169">
        <f t="shared" si="5"/>
        <v>70127.30612244911</v>
      </c>
      <c r="E28" s="169">
        <f t="shared" si="0"/>
        <v>4500</v>
      </c>
      <c r="F28" s="169">
        <f t="shared" si="1"/>
        <v>516.42857142857133</v>
      </c>
      <c r="G28" s="169">
        <f t="shared" si="6"/>
        <v>1984.6027632653097</v>
      </c>
      <c r="H28" s="169">
        <f t="shared" si="7"/>
        <v>3197.8051591836797</v>
      </c>
      <c r="I28" s="169">
        <f t="shared" si="8"/>
        <v>2040.8163265306123</v>
      </c>
      <c r="J28" s="169">
        <f t="shared" si="9"/>
        <v>31.020408163265333</v>
      </c>
      <c r="K28" s="169">
        <f t="shared" si="2"/>
        <v>425.53851243769071</v>
      </c>
      <c r="L28" s="169">
        <f t="shared" si="10"/>
        <v>8196.2117410091287</v>
      </c>
      <c r="M28" s="170">
        <f t="shared" si="11"/>
        <v>50435.37890395477</v>
      </c>
      <c r="O28" s="109"/>
      <c r="P28" s="131"/>
      <c r="Q28" s="171"/>
    </row>
    <row r="29" spans="1:36" x14ac:dyDescent="0.2">
      <c r="A29" s="166">
        <f t="shared" si="3"/>
        <v>13</v>
      </c>
      <c r="B29" s="167">
        <f t="shared" si="4"/>
        <v>75510.204081632721</v>
      </c>
      <c r="C29" s="168">
        <v>4.4999999999999998E-2</v>
      </c>
      <c r="D29" s="169">
        <f t="shared" si="5"/>
        <v>67570.061224489938</v>
      </c>
      <c r="E29" s="169">
        <f t="shared" si="0"/>
        <v>4500</v>
      </c>
      <c r="F29" s="169">
        <f t="shared" si="1"/>
        <v>516.42857142857133</v>
      </c>
      <c r="G29" s="169">
        <f t="shared" si="6"/>
        <v>1912.2327326530651</v>
      </c>
      <c r="H29" s="169">
        <f t="shared" si="7"/>
        <v>3081.1947918367414</v>
      </c>
      <c r="I29" s="169">
        <f t="shared" si="8"/>
        <v>2040.8163265306123</v>
      </c>
      <c r="J29" s="169">
        <f t="shared" si="9"/>
        <v>30.204081632653089</v>
      </c>
      <c r="K29" s="169">
        <f t="shared" si="2"/>
        <v>386.68404685346263</v>
      </c>
      <c r="L29" s="169">
        <f t="shared" si="10"/>
        <v>7967.5605509351062</v>
      </c>
      <c r="M29" s="170">
        <f t="shared" si="11"/>
        <v>49002.221720121233</v>
      </c>
      <c r="O29" s="109"/>
      <c r="P29" s="131"/>
      <c r="Q29" s="171"/>
    </row>
    <row r="30" spans="1:36" x14ac:dyDescent="0.2">
      <c r="A30" s="166">
        <f t="shared" si="3"/>
        <v>14</v>
      </c>
      <c r="B30" s="167">
        <f t="shared" si="4"/>
        <v>73469.387755102114</v>
      </c>
      <c r="C30" s="168">
        <v>4.4999999999999998E-2</v>
      </c>
      <c r="D30" s="169">
        <f t="shared" si="5"/>
        <v>65012.816326530759</v>
      </c>
      <c r="E30" s="169">
        <f t="shared" si="0"/>
        <v>4500</v>
      </c>
      <c r="F30" s="169">
        <f t="shared" si="1"/>
        <v>516.42857142857133</v>
      </c>
      <c r="G30" s="169">
        <f t="shared" si="6"/>
        <v>1839.8627020408205</v>
      </c>
      <c r="H30" s="169">
        <f t="shared" si="7"/>
        <v>2964.5844244898026</v>
      </c>
      <c r="I30" s="169">
        <f t="shared" si="8"/>
        <v>2040.8163265306123</v>
      </c>
      <c r="J30" s="169">
        <f t="shared" si="9"/>
        <v>29.387755102040845</v>
      </c>
      <c r="K30" s="169">
        <f t="shared" si="2"/>
        <v>347.82958126923467</v>
      </c>
      <c r="L30" s="169">
        <f t="shared" si="10"/>
        <v>7738.909360861082</v>
      </c>
      <c r="M30" s="170">
        <f t="shared" si="11"/>
        <v>47620.945340315819</v>
      </c>
      <c r="O30" s="109"/>
      <c r="P30" s="131"/>
      <c r="Q30" s="171"/>
    </row>
    <row r="31" spans="1:36" x14ac:dyDescent="0.2">
      <c r="A31" s="166">
        <f t="shared" si="3"/>
        <v>15</v>
      </c>
      <c r="B31" s="167">
        <f t="shared" si="4"/>
        <v>71428.571428571508</v>
      </c>
      <c r="C31" s="168">
        <v>4.4999999999999998E-2</v>
      </c>
      <c r="D31" s="169">
        <f t="shared" si="5"/>
        <v>62455.571428571573</v>
      </c>
      <c r="E31" s="169">
        <f t="shared" si="0"/>
        <v>4500</v>
      </c>
      <c r="F31" s="169">
        <f t="shared" si="1"/>
        <v>516.42857142857133</v>
      </c>
      <c r="G31" s="169">
        <f t="shared" si="6"/>
        <v>1767.4926714285755</v>
      </c>
      <c r="H31" s="169">
        <f t="shared" si="7"/>
        <v>2847.9740571428638</v>
      </c>
      <c r="I31" s="169">
        <f t="shared" si="8"/>
        <v>2040.8163265306123</v>
      </c>
      <c r="J31" s="169">
        <f t="shared" si="9"/>
        <v>28.571428571428605</v>
      </c>
      <c r="K31" s="169">
        <f t="shared" si="2"/>
        <v>308.97511568500653</v>
      </c>
      <c r="L31" s="169">
        <f t="shared" si="10"/>
        <v>7510.2581707870577</v>
      </c>
      <c r="M31" s="170">
        <f t="shared" si="11"/>
        <v>46295.383755956194</v>
      </c>
      <c r="O31" s="109"/>
      <c r="P31" s="131"/>
      <c r="Q31" s="171"/>
    </row>
    <row r="32" spans="1:36" x14ac:dyDescent="0.2">
      <c r="A32" s="166">
        <f t="shared" si="3"/>
        <v>16</v>
      </c>
      <c r="B32" s="167">
        <f t="shared" si="4"/>
        <v>69387.755102040901</v>
      </c>
      <c r="C32" s="168">
        <v>4.4999999999999998E-2</v>
      </c>
      <c r="D32" s="169">
        <f t="shared" si="5"/>
        <v>59898.326530612387</v>
      </c>
      <c r="E32" s="169">
        <f t="shared" si="0"/>
        <v>4500</v>
      </c>
      <c r="F32" s="169">
        <f t="shared" si="1"/>
        <v>516.42857142857133</v>
      </c>
      <c r="G32" s="169">
        <f t="shared" si="6"/>
        <v>1695.1226408163304</v>
      </c>
      <c r="H32" s="169">
        <f t="shared" si="7"/>
        <v>2731.363689795925</v>
      </c>
      <c r="I32" s="169">
        <f t="shared" si="8"/>
        <v>2040.8163265306123</v>
      </c>
      <c r="J32" s="169">
        <f t="shared" si="9"/>
        <v>27.755102040816361</v>
      </c>
      <c r="K32" s="169">
        <f t="shared" si="2"/>
        <v>270.12065010077851</v>
      </c>
      <c r="L32" s="169">
        <f t="shared" si="10"/>
        <v>7281.6069807130334</v>
      </c>
      <c r="M32" s="170">
        <f t="shared" si="11"/>
        <v>45029.654290425809</v>
      </c>
      <c r="O32" s="109"/>
      <c r="P32" s="131"/>
      <c r="Q32" s="171"/>
      <c r="AI32" s="134"/>
      <c r="AJ32" s="134"/>
    </row>
    <row r="33" spans="1:36" x14ac:dyDescent="0.2">
      <c r="A33" s="166">
        <f t="shared" si="3"/>
        <v>17</v>
      </c>
      <c r="B33" s="167">
        <f t="shared" si="4"/>
        <v>67346.938775510294</v>
      </c>
      <c r="C33" s="168">
        <v>4.4999999999999998E-2</v>
      </c>
      <c r="D33" s="169">
        <f t="shared" si="5"/>
        <v>57341.0816326532</v>
      </c>
      <c r="E33" s="169">
        <f t="shared" si="0"/>
        <v>4500</v>
      </c>
      <c r="F33" s="169">
        <f t="shared" si="1"/>
        <v>516.42857142857133</v>
      </c>
      <c r="G33" s="169">
        <f t="shared" si="6"/>
        <v>1622.7526102040856</v>
      </c>
      <c r="H33" s="169">
        <f t="shared" si="7"/>
        <v>2614.7533224489862</v>
      </c>
      <c r="I33" s="169">
        <f t="shared" si="8"/>
        <v>2040.8163265306123</v>
      </c>
      <c r="J33" s="169">
        <f t="shared" si="9"/>
        <v>26.93877551020412</v>
      </c>
      <c r="K33" s="169">
        <f t="shared" si="2"/>
        <v>231.26618451655042</v>
      </c>
      <c r="L33" s="169">
        <f t="shared" si="10"/>
        <v>7052.95579063901</v>
      </c>
      <c r="M33" s="170">
        <f t="shared" si="11"/>
        <v>43828.178537306143</v>
      </c>
      <c r="O33" s="109"/>
      <c r="P33" s="131"/>
      <c r="Q33" s="171"/>
      <c r="AI33" s="134"/>
      <c r="AJ33" s="134"/>
    </row>
    <row r="34" spans="1:36" x14ac:dyDescent="0.2">
      <c r="A34" s="166">
        <f t="shared" si="3"/>
        <v>18</v>
      </c>
      <c r="B34" s="167">
        <f t="shared" si="4"/>
        <v>65306.12244897968</v>
      </c>
      <c r="C34" s="168">
        <v>4.4999999999999998E-2</v>
      </c>
      <c r="D34" s="169">
        <f t="shared" si="5"/>
        <v>54783.836734694014</v>
      </c>
      <c r="E34" s="169">
        <f t="shared" si="0"/>
        <v>4500</v>
      </c>
      <c r="F34" s="169">
        <f t="shared" si="1"/>
        <v>516.42857142857133</v>
      </c>
      <c r="G34" s="169">
        <f t="shared" si="6"/>
        <v>1550.3825795918406</v>
      </c>
      <c r="H34" s="169">
        <f t="shared" si="7"/>
        <v>2498.1429551020469</v>
      </c>
      <c r="I34" s="169">
        <f t="shared" si="8"/>
        <v>2040.8163265306123</v>
      </c>
      <c r="J34" s="169">
        <f t="shared" si="9"/>
        <v>26.122448979591873</v>
      </c>
      <c r="K34" s="169">
        <f t="shared" si="2"/>
        <v>192.41171893232237</v>
      </c>
      <c r="L34" s="169">
        <f t="shared" si="10"/>
        <v>6824.3046005649858</v>
      </c>
      <c r="M34" s="170">
        <f t="shared" si="11"/>
        <v>42695.704845944347</v>
      </c>
      <c r="O34" s="109"/>
      <c r="P34" s="131"/>
      <c r="Q34" s="171"/>
      <c r="R34" s="172"/>
      <c r="S34" s="172"/>
      <c r="T34" s="172"/>
      <c r="AI34" s="134"/>
      <c r="AJ34" s="134"/>
    </row>
    <row r="35" spans="1:36" x14ac:dyDescent="0.2">
      <c r="A35" s="166">
        <f t="shared" si="3"/>
        <v>19</v>
      </c>
      <c r="B35" s="167">
        <f t="shared" si="4"/>
        <v>63265.306122449067</v>
      </c>
      <c r="C35" s="168">
        <v>4.4999999999999998E-2</v>
      </c>
      <c r="D35" s="169">
        <f t="shared" si="5"/>
        <v>52226.591836734828</v>
      </c>
      <c r="E35" s="169">
        <f t="shared" si="0"/>
        <v>4500</v>
      </c>
      <c r="F35" s="169">
        <f t="shared" si="1"/>
        <v>516.42857142857133</v>
      </c>
      <c r="G35" s="169">
        <f t="shared" si="6"/>
        <v>1478.0125489795955</v>
      </c>
      <c r="H35" s="169">
        <f t="shared" si="7"/>
        <v>2381.5325877551081</v>
      </c>
      <c r="I35" s="169">
        <f t="shared" si="8"/>
        <v>2040.8163265306123</v>
      </c>
      <c r="J35" s="169">
        <f t="shared" si="9"/>
        <v>25.306122448979629</v>
      </c>
      <c r="K35" s="169">
        <f t="shared" si="2"/>
        <v>153.55725334809429</v>
      </c>
      <c r="L35" s="169">
        <f t="shared" si="10"/>
        <v>6595.6534104909606</v>
      </c>
      <c r="M35" s="170">
        <f t="shared" si="11"/>
        <v>41637.332468704335</v>
      </c>
      <c r="O35" s="109"/>
      <c r="P35" s="131"/>
      <c r="Q35" s="171"/>
      <c r="AI35" s="134"/>
      <c r="AJ35" s="134"/>
    </row>
    <row r="36" spans="1:36" x14ac:dyDescent="0.2">
      <c r="A36" s="166">
        <f t="shared" si="3"/>
        <v>20</v>
      </c>
      <c r="B36" s="167">
        <f t="shared" si="4"/>
        <v>61224.489795918453</v>
      </c>
      <c r="C36" s="168">
        <v>4.4999999999999998E-2</v>
      </c>
      <c r="D36" s="169">
        <f t="shared" si="5"/>
        <v>49669.346938775641</v>
      </c>
      <c r="E36" s="169">
        <f t="shared" si="0"/>
        <v>4500</v>
      </c>
      <c r="F36" s="169">
        <f t="shared" si="1"/>
        <v>516.42857142857133</v>
      </c>
      <c r="G36" s="169">
        <f t="shared" si="6"/>
        <v>1405.6425183673505</v>
      </c>
      <c r="H36" s="169">
        <f t="shared" si="7"/>
        <v>2264.9222204081693</v>
      </c>
      <c r="I36" s="169">
        <f t="shared" si="8"/>
        <v>2040.8163265306123</v>
      </c>
      <c r="J36" s="169">
        <f t="shared" si="9"/>
        <v>24.489795918367381</v>
      </c>
      <c r="K36" s="169">
        <f t="shared" si="2"/>
        <v>114.70278776386624</v>
      </c>
      <c r="L36" s="169">
        <f t="shared" si="10"/>
        <v>6367.0022204169372</v>
      </c>
      <c r="M36" s="170">
        <f t="shared" si="11"/>
        <v>40658.537492699703</v>
      </c>
      <c r="O36" s="109"/>
      <c r="P36" s="131"/>
      <c r="Q36" s="171"/>
      <c r="AI36" s="134"/>
      <c r="AJ36" s="134"/>
    </row>
    <row r="37" spans="1:36" x14ac:dyDescent="0.2">
      <c r="A37" s="166">
        <f t="shared" si="3"/>
        <v>21</v>
      </c>
      <c r="B37" s="167">
        <f t="shared" si="4"/>
        <v>59183.673469387839</v>
      </c>
      <c r="C37" s="168">
        <v>1.7000000000000001E-2</v>
      </c>
      <c r="D37" s="169">
        <f t="shared" si="5"/>
        <v>47112.102040816455</v>
      </c>
      <c r="E37" s="169">
        <f t="shared" si="0"/>
        <v>1700.0000000000002</v>
      </c>
      <c r="F37" s="169">
        <f t="shared" si="1"/>
        <v>-71.571428571428584</v>
      </c>
      <c r="G37" s="169">
        <f t="shared" si="6"/>
        <v>1333.2724877551057</v>
      </c>
      <c r="H37" s="169">
        <f t="shared" si="7"/>
        <v>2148.3118530612305</v>
      </c>
      <c r="I37" s="169">
        <f t="shared" si="8"/>
        <v>2040.8163265306123</v>
      </c>
      <c r="J37" s="169">
        <f t="shared" si="9"/>
        <v>23.673469387755137</v>
      </c>
      <c r="K37" s="169">
        <f t="shared" si="2"/>
        <v>807.76093109575413</v>
      </c>
      <c r="L37" s="169">
        <f t="shared" si="10"/>
        <v>6282.2636392590293</v>
      </c>
      <c r="M37" s="170">
        <f t="shared" si="11"/>
        <v>39765.200687881726</v>
      </c>
      <c r="O37" s="109"/>
      <c r="P37" s="131"/>
      <c r="Q37" s="171"/>
    </row>
    <row r="38" spans="1:36" x14ac:dyDescent="0.2">
      <c r="A38" s="166">
        <f t="shared" si="3"/>
        <v>22</v>
      </c>
      <c r="B38" s="167">
        <f t="shared" si="4"/>
        <v>57142.857142857225</v>
      </c>
      <c r="C38" s="168">
        <v>0</v>
      </c>
      <c r="D38" s="169">
        <f t="shared" si="5"/>
        <v>45142.857142857269</v>
      </c>
      <c r="E38" s="169">
        <f t="shared" si="0"/>
        <v>0</v>
      </c>
      <c r="F38" s="169">
        <f t="shared" si="1"/>
        <v>-428.57142857142861</v>
      </c>
      <c r="G38" s="169">
        <f t="shared" si="6"/>
        <v>1277.5428571428606</v>
      </c>
      <c r="H38" s="169">
        <f t="shared" si="7"/>
        <v>2058.5142857142914</v>
      </c>
      <c r="I38" s="169">
        <f t="shared" si="8"/>
        <v>2040.8163265306123</v>
      </c>
      <c r="J38" s="169">
        <f t="shared" si="9"/>
        <v>22.85714285714289</v>
      </c>
      <c r="K38" s="169">
        <f t="shared" si="2"/>
        <v>1222.1538706537908</v>
      </c>
      <c r="L38" s="169">
        <f t="shared" si="10"/>
        <v>6193.3130543272691</v>
      </c>
      <c r="M38" s="170">
        <f t="shared" si="11"/>
        <v>38819.724804185018</v>
      </c>
      <c r="O38" s="109"/>
      <c r="P38" s="131"/>
      <c r="Q38" s="171"/>
    </row>
    <row r="39" spans="1:36" x14ac:dyDescent="0.2">
      <c r="A39" s="166">
        <f t="shared" si="3"/>
        <v>23</v>
      </c>
      <c r="B39" s="167">
        <f t="shared" si="4"/>
        <v>55102.040816326611</v>
      </c>
      <c r="C39" s="168">
        <v>0</v>
      </c>
      <c r="D39" s="169">
        <f t="shared" si="5"/>
        <v>43530.612244898082</v>
      </c>
      <c r="E39" s="169">
        <f t="shared" si="0"/>
        <v>0</v>
      </c>
      <c r="F39" s="169">
        <f t="shared" si="1"/>
        <v>-428.57142857142861</v>
      </c>
      <c r="G39" s="169">
        <f t="shared" si="6"/>
        <v>1231.9163265306156</v>
      </c>
      <c r="H39" s="169">
        <f t="shared" si="7"/>
        <v>1984.9959183673527</v>
      </c>
      <c r="I39" s="169">
        <f t="shared" si="8"/>
        <v>2040.8163265306123</v>
      </c>
      <c r="J39" s="169">
        <f t="shared" si="9"/>
        <v>22.040816326530646</v>
      </c>
      <c r="K39" s="169">
        <f t="shared" si="2"/>
        <v>1197.557803868574</v>
      </c>
      <c r="L39" s="169">
        <f t="shared" si="10"/>
        <v>6048.755763052257</v>
      </c>
      <c r="M39" s="170">
        <f t="shared" si="11"/>
        <v>37822.468767454258</v>
      </c>
      <c r="O39" s="109"/>
      <c r="P39" s="131"/>
      <c r="Q39" s="171"/>
    </row>
    <row r="40" spans="1:36" x14ac:dyDescent="0.2">
      <c r="A40" s="166">
        <f t="shared" si="3"/>
        <v>24</v>
      </c>
      <c r="B40" s="167">
        <f t="shared" si="4"/>
        <v>53061.224489795997</v>
      </c>
      <c r="C40" s="168">
        <v>0</v>
      </c>
      <c r="D40" s="169">
        <f t="shared" si="5"/>
        <v>41918.367346938896</v>
      </c>
      <c r="E40" s="169">
        <f t="shared" si="0"/>
        <v>0</v>
      </c>
      <c r="F40" s="169">
        <f t="shared" si="1"/>
        <v>-428.57142857142861</v>
      </c>
      <c r="G40" s="169">
        <f t="shared" si="6"/>
        <v>1186.2897959183706</v>
      </c>
      <c r="H40" s="169">
        <f t="shared" si="7"/>
        <v>1911.4775510204138</v>
      </c>
      <c r="I40" s="169">
        <f t="shared" si="8"/>
        <v>2040.8163265306123</v>
      </c>
      <c r="J40" s="169">
        <f t="shared" si="9"/>
        <v>21.224489795918402</v>
      </c>
      <c r="K40" s="169">
        <f t="shared" si="2"/>
        <v>1172.9617370833573</v>
      </c>
      <c r="L40" s="169">
        <f t="shared" si="10"/>
        <v>5904.1984717772439</v>
      </c>
      <c r="M40" s="170">
        <f t="shared" si="11"/>
        <v>36825.212730723499</v>
      </c>
      <c r="O40" s="109"/>
      <c r="P40" s="131"/>
      <c r="Q40" s="171"/>
    </row>
    <row r="41" spans="1:36" x14ac:dyDescent="0.2">
      <c r="A41" s="166">
        <f t="shared" si="3"/>
        <v>25</v>
      </c>
      <c r="B41" s="167">
        <f t="shared" si="4"/>
        <v>51020.408163265383</v>
      </c>
      <c r="C41" s="168">
        <v>0</v>
      </c>
      <c r="D41" s="169">
        <f t="shared" si="5"/>
        <v>40306.12244897971</v>
      </c>
      <c r="E41" s="169">
        <f t="shared" si="0"/>
        <v>0</v>
      </c>
      <c r="F41" s="169">
        <f t="shared" si="1"/>
        <v>-428.57142857142861</v>
      </c>
      <c r="G41" s="169">
        <f t="shared" si="6"/>
        <v>1140.6632653061258</v>
      </c>
      <c r="H41" s="169">
        <f t="shared" si="7"/>
        <v>1837.9591836734749</v>
      </c>
      <c r="I41" s="169">
        <f t="shared" si="8"/>
        <v>2040.8163265306123</v>
      </c>
      <c r="J41" s="169">
        <f t="shared" si="9"/>
        <v>20.408163265306154</v>
      </c>
      <c r="K41" s="169">
        <f t="shared" si="2"/>
        <v>1148.3656702981407</v>
      </c>
      <c r="L41" s="169">
        <f t="shared" si="10"/>
        <v>5759.6411805022308</v>
      </c>
      <c r="M41" s="170">
        <f t="shared" si="11"/>
        <v>35827.956693992739</v>
      </c>
      <c r="O41" s="109"/>
      <c r="P41" s="131"/>
      <c r="Q41" s="171"/>
    </row>
    <row r="42" spans="1:36" x14ac:dyDescent="0.2">
      <c r="A42" s="166">
        <f t="shared" si="3"/>
        <v>26</v>
      </c>
      <c r="B42" s="167">
        <f t="shared" si="4"/>
        <v>48979.591836734769</v>
      </c>
      <c r="C42" s="168">
        <v>0</v>
      </c>
      <c r="D42" s="169">
        <f t="shared" si="5"/>
        <v>38693.877551020523</v>
      </c>
      <c r="E42" s="169">
        <f t="shared" si="0"/>
        <v>0</v>
      </c>
      <c r="F42" s="169">
        <f t="shared" si="1"/>
        <v>-428.57142857142861</v>
      </c>
      <c r="G42" s="169">
        <f t="shared" si="6"/>
        <v>1095.0367346938808</v>
      </c>
      <c r="H42" s="169">
        <f t="shared" si="7"/>
        <v>1764.4408163265359</v>
      </c>
      <c r="I42" s="169">
        <f t="shared" si="8"/>
        <v>2040.8163265306123</v>
      </c>
      <c r="J42" s="169">
        <f t="shared" si="9"/>
        <v>19.59183673469391</v>
      </c>
      <c r="K42" s="169">
        <f t="shared" si="2"/>
        <v>1123.769603512924</v>
      </c>
      <c r="L42" s="169">
        <f t="shared" si="10"/>
        <v>5615.0838892272177</v>
      </c>
      <c r="M42" s="170">
        <f t="shared" si="11"/>
        <v>34830.700657261987</v>
      </c>
      <c r="O42" s="109"/>
      <c r="P42" s="131"/>
      <c r="Q42" s="171"/>
    </row>
    <row r="43" spans="1:36" x14ac:dyDescent="0.2">
      <c r="A43" s="166">
        <f t="shared" si="3"/>
        <v>27</v>
      </c>
      <c r="B43" s="167">
        <f t="shared" si="4"/>
        <v>46938.775510204156</v>
      </c>
      <c r="C43" s="168">
        <v>0</v>
      </c>
      <c r="D43" s="169">
        <f t="shared" si="5"/>
        <v>37081.632653061337</v>
      </c>
      <c r="E43" s="169">
        <f t="shared" si="0"/>
        <v>0</v>
      </c>
      <c r="F43" s="169">
        <f t="shared" si="1"/>
        <v>-428.57142857142861</v>
      </c>
      <c r="G43" s="169">
        <f t="shared" si="6"/>
        <v>1049.4102040816358</v>
      </c>
      <c r="H43" s="169">
        <f t="shared" si="7"/>
        <v>1690.922448979597</v>
      </c>
      <c r="I43" s="169">
        <f t="shared" si="8"/>
        <v>2040.8163265306123</v>
      </c>
      <c r="J43" s="169">
        <f t="shared" si="9"/>
        <v>18.775510204081662</v>
      </c>
      <c r="K43" s="169">
        <f t="shared" si="2"/>
        <v>1099.1735367277072</v>
      </c>
      <c r="L43" s="169">
        <f t="shared" si="10"/>
        <v>5470.5265979522055</v>
      </c>
      <c r="M43" s="170">
        <f t="shared" si="11"/>
        <v>33833.44462053122</v>
      </c>
      <c r="O43" s="109"/>
      <c r="P43" s="131"/>
      <c r="Q43" s="171"/>
      <c r="R43" s="172"/>
      <c r="S43" s="172"/>
      <c r="T43" s="172"/>
    </row>
    <row r="44" spans="1:36" x14ac:dyDescent="0.2">
      <c r="A44" s="166">
        <f t="shared" si="3"/>
        <v>28</v>
      </c>
      <c r="B44" s="167">
        <f t="shared" si="4"/>
        <v>44897.959183673542</v>
      </c>
      <c r="C44" s="168">
        <v>0</v>
      </c>
      <c r="D44" s="169">
        <f t="shared" si="5"/>
        <v>35469.387755102151</v>
      </c>
      <c r="E44" s="169">
        <f t="shared" si="0"/>
        <v>0</v>
      </c>
      <c r="F44" s="169">
        <f t="shared" si="1"/>
        <v>-428.57142857142861</v>
      </c>
      <c r="G44" s="169">
        <f t="shared" si="6"/>
        <v>1003.7836734693908</v>
      </c>
      <c r="H44" s="169">
        <f t="shared" si="7"/>
        <v>1617.4040816326581</v>
      </c>
      <c r="I44" s="169">
        <f t="shared" si="8"/>
        <v>2040.8163265306123</v>
      </c>
      <c r="J44" s="169">
        <f t="shared" si="9"/>
        <v>17.959183673469418</v>
      </c>
      <c r="K44" s="169">
        <f t="shared" si="2"/>
        <v>1074.5774699424906</v>
      </c>
      <c r="L44" s="169">
        <f t="shared" si="10"/>
        <v>5325.9693066771924</v>
      </c>
      <c r="M44" s="170">
        <f t="shared" si="11"/>
        <v>32836.188583800475</v>
      </c>
      <c r="O44" s="109"/>
      <c r="P44" s="131"/>
      <c r="Q44" s="171"/>
    </row>
    <row r="45" spans="1:36" x14ac:dyDescent="0.2">
      <c r="A45" s="166">
        <f t="shared" si="3"/>
        <v>29</v>
      </c>
      <c r="B45" s="167">
        <f t="shared" si="4"/>
        <v>42857.142857142928</v>
      </c>
      <c r="C45" s="168">
        <v>0</v>
      </c>
      <c r="D45" s="169">
        <f t="shared" si="5"/>
        <v>33857.142857142964</v>
      </c>
      <c r="E45" s="169">
        <f t="shared" si="0"/>
        <v>0</v>
      </c>
      <c r="F45" s="169">
        <f t="shared" si="1"/>
        <v>-428.57142857142861</v>
      </c>
      <c r="G45" s="169">
        <f t="shared" si="6"/>
        <v>958.1571428571458</v>
      </c>
      <c r="H45" s="169">
        <f t="shared" si="7"/>
        <v>1543.8857142857191</v>
      </c>
      <c r="I45" s="169">
        <f t="shared" si="8"/>
        <v>2040.8163265306123</v>
      </c>
      <c r="J45" s="169">
        <f t="shared" si="9"/>
        <v>17.142857142857171</v>
      </c>
      <c r="K45" s="169">
        <f t="shared" si="2"/>
        <v>1049.9814031572741</v>
      </c>
      <c r="L45" s="169">
        <f t="shared" si="10"/>
        <v>5181.4120154021793</v>
      </c>
      <c r="M45" s="170">
        <f t="shared" si="11"/>
        <v>31838.932547069719</v>
      </c>
      <c r="O45" s="109"/>
      <c r="P45" s="131"/>
      <c r="Q45" s="171"/>
    </row>
    <row r="46" spans="1:36" x14ac:dyDescent="0.2">
      <c r="A46" s="166">
        <f t="shared" si="3"/>
        <v>30</v>
      </c>
      <c r="B46" s="167">
        <f t="shared" si="4"/>
        <v>40816.326530612314</v>
      </c>
      <c r="C46" s="168">
        <v>0</v>
      </c>
      <c r="D46" s="169">
        <f t="shared" si="5"/>
        <v>32244.897959183778</v>
      </c>
      <c r="E46" s="169">
        <f t="shared" si="0"/>
        <v>0</v>
      </c>
      <c r="F46" s="169">
        <f t="shared" si="1"/>
        <v>-428.57142857142861</v>
      </c>
      <c r="G46" s="169">
        <f t="shared" si="6"/>
        <v>912.53061224490091</v>
      </c>
      <c r="H46" s="169">
        <f t="shared" si="7"/>
        <v>1470.3673469387804</v>
      </c>
      <c r="I46" s="169">
        <f t="shared" si="8"/>
        <v>2040.8163265306123</v>
      </c>
      <c r="J46" s="169">
        <f t="shared" si="9"/>
        <v>16.326530612244927</v>
      </c>
      <c r="K46" s="169">
        <f t="shared" si="2"/>
        <v>1025.3853363720573</v>
      </c>
      <c r="L46" s="169">
        <f t="shared" si="10"/>
        <v>5036.8547241271672</v>
      </c>
      <c r="M46" s="170">
        <f t="shared" si="11"/>
        <v>30841.676510338966</v>
      </c>
      <c r="O46" s="109"/>
      <c r="P46" s="131"/>
      <c r="Q46" s="171"/>
    </row>
    <row r="47" spans="1:36" x14ac:dyDescent="0.2">
      <c r="A47" s="166">
        <f t="shared" si="3"/>
        <v>31</v>
      </c>
      <c r="B47" s="167">
        <f t="shared" si="4"/>
        <v>38775.5102040817</v>
      </c>
      <c r="C47" s="168">
        <v>0</v>
      </c>
      <c r="D47" s="169">
        <f t="shared" si="5"/>
        <v>30632.653061224592</v>
      </c>
      <c r="E47" s="169">
        <f t="shared" si="0"/>
        <v>0</v>
      </c>
      <c r="F47" s="169">
        <f t="shared" si="1"/>
        <v>-428.57142857142861</v>
      </c>
      <c r="G47" s="169">
        <f t="shared" si="6"/>
        <v>866.9040816326559</v>
      </c>
      <c r="H47" s="169">
        <f t="shared" si="7"/>
        <v>1396.8489795918415</v>
      </c>
      <c r="I47" s="169">
        <f t="shared" si="8"/>
        <v>2040.8163265306123</v>
      </c>
      <c r="J47" s="169">
        <f t="shared" si="9"/>
        <v>15.510204081632681</v>
      </c>
      <c r="K47" s="169">
        <f t="shared" si="2"/>
        <v>1000.7892695868406</v>
      </c>
      <c r="L47" s="169">
        <f t="shared" si="10"/>
        <v>4892.2974328521541</v>
      </c>
      <c r="M47" s="170">
        <f t="shared" si="11"/>
        <v>29844.420473608207</v>
      </c>
      <c r="O47" s="109"/>
      <c r="P47" s="131"/>
      <c r="Q47" s="171"/>
    </row>
    <row r="48" spans="1:36" x14ac:dyDescent="0.2">
      <c r="A48" s="166">
        <f t="shared" si="3"/>
        <v>32</v>
      </c>
      <c r="B48" s="167">
        <f t="shared" si="4"/>
        <v>36734.693877551086</v>
      </c>
      <c r="C48" s="168">
        <v>0</v>
      </c>
      <c r="D48" s="169">
        <f t="shared" si="5"/>
        <v>29020.408163265405</v>
      </c>
      <c r="E48" s="169">
        <f t="shared" si="0"/>
        <v>0</v>
      </c>
      <c r="F48" s="169">
        <f t="shared" si="1"/>
        <v>-428.57142857142861</v>
      </c>
      <c r="G48" s="169">
        <f t="shared" si="6"/>
        <v>821.2775510204109</v>
      </c>
      <c r="H48" s="169">
        <f t="shared" si="7"/>
        <v>1323.3306122449026</v>
      </c>
      <c r="I48" s="169">
        <f t="shared" si="8"/>
        <v>2040.8163265306123</v>
      </c>
      <c r="J48" s="169">
        <f t="shared" si="9"/>
        <v>14.693877551020435</v>
      </c>
      <c r="K48" s="169">
        <f t="shared" si="2"/>
        <v>976.19320280162401</v>
      </c>
      <c r="L48" s="169">
        <f t="shared" si="10"/>
        <v>4747.7401415771419</v>
      </c>
      <c r="M48" s="170">
        <f t="shared" si="11"/>
        <v>28847.16443687745</v>
      </c>
      <c r="O48" s="109"/>
      <c r="P48" s="131"/>
      <c r="Q48" s="171"/>
    </row>
    <row r="49" spans="1:20" x14ac:dyDescent="0.2">
      <c r="A49" s="166">
        <f t="shared" si="3"/>
        <v>33</v>
      </c>
      <c r="B49" s="167">
        <f t="shared" si="4"/>
        <v>34693.877551020472</v>
      </c>
      <c r="C49" s="168">
        <v>0</v>
      </c>
      <c r="D49" s="169">
        <f t="shared" si="5"/>
        <v>27408.163265306219</v>
      </c>
      <c r="E49" s="169">
        <f t="shared" si="0"/>
        <v>0</v>
      </c>
      <c r="F49" s="169">
        <f t="shared" si="1"/>
        <v>-428.57142857142861</v>
      </c>
      <c r="G49" s="169">
        <f t="shared" si="6"/>
        <v>775.651020408166</v>
      </c>
      <c r="H49" s="169">
        <f t="shared" si="7"/>
        <v>1249.8122448979636</v>
      </c>
      <c r="I49" s="169">
        <f t="shared" si="8"/>
        <v>2040.8163265306123</v>
      </c>
      <c r="J49" s="169">
        <f t="shared" si="9"/>
        <v>13.877551020408189</v>
      </c>
      <c r="K49" s="169">
        <f t="shared" si="2"/>
        <v>951.59713601640726</v>
      </c>
      <c r="L49" s="169">
        <f t="shared" si="10"/>
        <v>4603.1828503021288</v>
      </c>
      <c r="M49" s="170">
        <f t="shared" si="11"/>
        <v>27849.908400146698</v>
      </c>
      <c r="O49" s="109"/>
      <c r="P49" s="131"/>
      <c r="Q49" s="171"/>
      <c r="R49" s="172"/>
      <c r="S49" s="172"/>
      <c r="T49" s="172"/>
    </row>
    <row r="50" spans="1:20" x14ac:dyDescent="0.2">
      <c r="A50" s="166">
        <f t="shared" si="3"/>
        <v>34</v>
      </c>
      <c r="B50" s="167">
        <f t="shared" si="4"/>
        <v>32653.061224489858</v>
      </c>
      <c r="C50" s="168">
        <v>0</v>
      </c>
      <c r="D50" s="169">
        <f t="shared" si="5"/>
        <v>25795.918367347032</v>
      </c>
      <c r="E50" s="169">
        <f t="shared" si="0"/>
        <v>0</v>
      </c>
      <c r="F50" s="169">
        <f t="shared" si="1"/>
        <v>-428.57142857142861</v>
      </c>
      <c r="G50" s="169">
        <f t="shared" ref="G50:G51" si="12">L$5*D50</f>
        <v>730.024489795921</v>
      </c>
      <c r="H50" s="169">
        <f t="shared" ref="H50:H51" si="13">D50*(L$6+L$7)</f>
        <v>1176.2938775510247</v>
      </c>
      <c r="I50" s="169">
        <f t="shared" si="8"/>
        <v>2040.8163265306123</v>
      </c>
      <c r="J50" s="169">
        <f t="shared" si="9"/>
        <v>13.061224489795944</v>
      </c>
      <c r="K50" s="169">
        <f t="shared" si="2"/>
        <v>927.00106923119051</v>
      </c>
      <c r="L50" s="169">
        <f t="shared" si="10"/>
        <v>4458.6255590271157</v>
      </c>
      <c r="M50" s="170">
        <f t="shared" si="11"/>
        <v>26852.652363415942</v>
      </c>
      <c r="O50" s="109"/>
      <c r="P50" s="131"/>
      <c r="Q50" s="171"/>
    </row>
    <row r="51" spans="1:20" x14ac:dyDescent="0.2">
      <c r="A51" s="166">
        <f t="shared" si="3"/>
        <v>35</v>
      </c>
      <c r="B51" s="167">
        <f t="shared" si="4"/>
        <v>30612.244897959245</v>
      </c>
      <c r="C51" s="168">
        <v>0</v>
      </c>
      <c r="D51" s="169">
        <f t="shared" si="5"/>
        <v>24183.673469387846</v>
      </c>
      <c r="E51" s="169">
        <f t="shared" si="0"/>
        <v>0</v>
      </c>
      <c r="F51" s="169">
        <f t="shared" si="1"/>
        <v>-428.57142857142861</v>
      </c>
      <c r="G51" s="169">
        <f t="shared" si="12"/>
        <v>684.39795918367599</v>
      </c>
      <c r="H51" s="169">
        <f t="shared" si="13"/>
        <v>1102.7755102040858</v>
      </c>
      <c r="I51" s="169">
        <f t="shared" si="8"/>
        <v>2040.8163265306123</v>
      </c>
      <c r="J51" s="169">
        <f t="shared" si="9"/>
        <v>12.244897959183698</v>
      </c>
      <c r="K51" s="169">
        <f t="shared" si="2"/>
        <v>902.40500244597388</v>
      </c>
      <c r="L51" s="169">
        <f t="shared" si="10"/>
        <v>4314.0682677521027</v>
      </c>
      <c r="M51" s="170">
        <f t="shared" si="11"/>
        <v>25855.396326685182</v>
      </c>
      <c r="O51" s="109"/>
      <c r="P51" s="131"/>
    </row>
    <row r="52" spans="1:20" x14ac:dyDescent="0.2">
      <c r="A52" s="166">
        <f t="shared" si="3"/>
        <v>36</v>
      </c>
      <c r="B52" s="167">
        <f t="shared" ref="B52:B64" si="14">B51-I51</f>
        <v>28571.428571428631</v>
      </c>
      <c r="C52" s="168">
        <v>0</v>
      </c>
      <c r="D52" s="169">
        <f t="shared" ref="D52:D64" si="15">D51-F51-I51</f>
        <v>22571.42857142866</v>
      </c>
      <c r="E52" s="169">
        <f t="shared" ref="E52:E64" si="16">D$13*C52</f>
        <v>0</v>
      </c>
      <c r="F52" s="169">
        <f t="shared" ref="F52:F64" si="17">H$14*(E52-I52*D$13/D$12)</f>
        <v>-428.57142857142861</v>
      </c>
      <c r="G52" s="169">
        <f t="shared" ref="G52:G64" si="18">L$5*D52</f>
        <v>638.77142857143099</v>
      </c>
      <c r="H52" s="169">
        <f t="shared" ref="H52:H64" si="19">D52*(L$6+L$7)</f>
        <v>1029.2571428571468</v>
      </c>
      <c r="I52" s="169">
        <f t="shared" ref="I52:I64" si="20">IF(A52-A$17&gt;H$12,0,IF(A52-A$17=H$12,(12-D$11)/12*$D$12/H$12,D$12/H$12))</f>
        <v>2040.8163265306123</v>
      </c>
      <c r="J52" s="169">
        <f t="shared" ref="J52:J64" si="21">+B52*$H$11</f>
        <v>11.428571428571454</v>
      </c>
      <c r="K52" s="169">
        <f t="shared" ref="K52:K64" si="22">(H$13/(1-H$13))*(H52+I52-E52+F52+J52)</f>
        <v>877.80893566075736</v>
      </c>
      <c r="L52" s="169">
        <f t="shared" ref="L52:L64" si="23">SUM(F52:K52)</f>
        <v>4169.5109764770905</v>
      </c>
      <c r="M52" s="170">
        <f t="shared" si="11"/>
        <v>24858.140289954434</v>
      </c>
      <c r="O52" s="109"/>
      <c r="P52" s="131"/>
    </row>
    <row r="53" spans="1:20" x14ac:dyDescent="0.2">
      <c r="A53" s="166">
        <f t="shared" si="3"/>
        <v>37</v>
      </c>
      <c r="B53" s="167">
        <f t="shared" si="14"/>
        <v>26530.612244898017</v>
      </c>
      <c r="C53" s="168">
        <v>0</v>
      </c>
      <c r="D53" s="169">
        <f t="shared" si="15"/>
        <v>20959.183673469473</v>
      </c>
      <c r="E53" s="169">
        <f t="shared" si="16"/>
        <v>0</v>
      </c>
      <c r="F53" s="169">
        <f t="shared" si="17"/>
        <v>-428.57142857142861</v>
      </c>
      <c r="G53" s="169">
        <f t="shared" si="18"/>
        <v>593.1448979591861</v>
      </c>
      <c r="H53" s="169">
        <f t="shared" si="19"/>
        <v>955.73877551020803</v>
      </c>
      <c r="I53" s="169">
        <f t="shared" si="20"/>
        <v>2040.8163265306123</v>
      </c>
      <c r="J53" s="169">
        <f t="shared" si="21"/>
        <v>10.612244897959208</v>
      </c>
      <c r="K53" s="169">
        <f t="shared" si="22"/>
        <v>853.21286887554049</v>
      </c>
      <c r="L53" s="169">
        <f t="shared" si="23"/>
        <v>4024.9536852020774</v>
      </c>
      <c r="M53" s="170">
        <f t="shared" si="11"/>
        <v>23860.884253223674</v>
      </c>
      <c r="O53" s="109"/>
      <c r="P53" s="131"/>
    </row>
    <row r="54" spans="1:20" x14ac:dyDescent="0.2">
      <c r="A54" s="166">
        <f t="shared" si="3"/>
        <v>38</v>
      </c>
      <c r="B54" s="167">
        <f t="shared" si="14"/>
        <v>24489.795918367403</v>
      </c>
      <c r="C54" s="168">
        <v>0</v>
      </c>
      <c r="D54" s="169">
        <f t="shared" si="15"/>
        <v>19346.938775510287</v>
      </c>
      <c r="E54" s="169">
        <f t="shared" si="16"/>
        <v>0</v>
      </c>
      <c r="F54" s="169">
        <f t="shared" si="17"/>
        <v>-428.57142857142861</v>
      </c>
      <c r="G54" s="169">
        <f t="shared" si="18"/>
        <v>547.51836734694109</v>
      </c>
      <c r="H54" s="169">
        <f t="shared" si="19"/>
        <v>882.2204081632691</v>
      </c>
      <c r="I54" s="169">
        <f t="shared" si="20"/>
        <v>2040.8163265306123</v>
      </c>
      <c r="J54" s="169">
        <f t="shared" si="21"/>
        <v>9.7959183673469621</v>
      </c>
      <c r="K54" s="169">
        <f t="shared" si="22"/>
        <v>828.61680209032397</v>
      </c>
      <c r="L54" s="169">
        <f t="shared" si="23"/>
        <v>3880.3963939270643</v>
      </c>
      <c r="M54" s="170">
        <f t="shared" si="11"/>
        <v>22863.628216492922</v>
      </c>
      <c r="O54" s="109"/>
      <c r="P54" s="131"/>
    </row>
    <row r="55" spans="1:20" x14ac:dyDescent="0.2">
      <c r="A55" s="166">
        <f t="shared" si="3"/>
        <v>39</v>
      </c>
      <c r="B55" s="167">
        <f t="shared" si="14"/>
        <v>22448.979591836789</v>
      </c>
      <c r="C55" s="168">
        <v>0</v>
      </c>
      <c r="D55" s="169">
        <f t="shared" si="15"/>
        <v>17734.693877551101</v>
      </c>
      <c r="E55" s="169">
        <f t="shared" si="16"/>
        <v>0</v>
      </c>
      <c r="F55" s="169">
        <f t="shared" si="17"/>
        <v>-428.57142857142861</v>
      </c>
      <c r="G55" s="169">
        <f t="shared" si="18"/>
        <v>501.89183673469614</v>
      </c>
      <c r="H55" s="169">
        <f t="shared" si="19"/>
        <v>808.70204081633017</v>
      </c>
      <c r="I55" s="169">
        <f t="shared" si="20"/>
        <v>2040.8163265306123</v>
      </c>
      <c r="J55" s="169">
        <f t="shared" si="21"/>
        <v>8.9795918367347163</v>
      </c>
      <c r="K55" s="169">
        <f t="shared" si="22"/>
        <v>804.02073530510722</v>
      </c>
      <c r="L55" s="169">
        <f t="shared" si="23"/>
        <v>3735.8391026520521</v>
      </c>
      <c r="M55" s="170">
        <f t="shared" si="11"/>
        <v>21866.372179762169</v>
      </c>
      <c r="O55" s="109"/>
      <c r="P55" s="131"/>
    </row>
    <row r="56" spans="1:20" x14ac:dyDescent="0.2">
      <c r="A56" s="166">
        <f t="shared" si="3"/>
        <v>40</v>
      </c>
      <c r="B56" s="167">
        <f t="shared" si="14"/>
        <v>20408.163265306175</v>
      </c>
      <c r="C56" s="168">
        <v>0</v>
      </c>
      <c r="D56" s="169">
        <f t="shared" si="15"/>
        <v>16122.448979591916</v>
      </c>
      <c r="E56" s="169">
        <f t="shared" si="16"/>
        <v>0</v>
      </c>
      <c r="F56" s="169">
        <f t="shared" si="17"/>
        <v>-428.57142857142861</v>
      </c>
      <c r="G56" s="169">
        <f t="shared" si="18"/>
        <v>456.26530612245119</v>
      </c>
      <c r="H56" s="169">
        <f t="shared" si="19"/>
        <v>735.18367346939135</v>
      </c>
      <c r="I56" s="169">
        <f t="shared" si="20"/>
        <v>2040.8163265306123</v>
      </c>
      <c r="J56" s="169">
        <f t="shared" si="21"/>
        <v>8.1632653061224705</v>
      </c>
      <c r="K56" s="169">
        <f t="shared" si="22"/>
        <v>779.42466851989047</v>
      </c>
      <c r="L56" s="169">
        <f t="shared" si="23"/>
        <v>3591.281811377039</v>
      </c>
      <c r="M56" s="170">
        <f t="shared" si="11"/>
        <v>20869.116143031413</v>
      </c>
      <c r="O56" s="109"/>
      <c r="P56" s="131"/>
    </row>
    <row r="57" spans="1:20" x14ac:dyDescent="0.2">
      <c r="A57" s="166">
        <f t="shared" si="3"/>
        <v>41</v>
      </c>
      <c r="B57" s="167">
        <f t="shared" si="14"/>
        <v>18367.346938775561</v>
      </c>
      <c r="C57" s="168">
        <v>0</v>
      </c>
      <c r="D57" s="169">
        <f t="shared" si="15"/>
        <v>14510.204081632734</v>
      </c>
      <c r="E57" s="169">
        <f t="shared" si="16"/>
        <v>0</v>
      </c>
      <c r="F57" s="169">
        <f t="shared" si="17"/>
        <v>-428.57142857142861</v>
      </c>
      <c r="G57" s="169">
        <f t="shared" si="18"/>
        <v>410.63877551020636</v>
      </c>
      <c r="H57" s="169">
        <f t="shared" si="19"/>
        <v>661.66530612245265</v>
      </c>
      <c r="I57" s="169">
        <f t="shared" si="20"/>
        <v>2040.8163265306123</v>
      </c>
      <c r="J57" s="169">
        <f t="shared" si="21"/>
        <v>7.3469387755102247</v>
      </c>
      <c r="K57" s="169">
        <f t="shared" si="22"/>
        <v>754.82860173467395</v>
      </c>
      <c r="L57" s="169">
        <f t="shared" si="23"/>
        <v>3446.7245201020273</v>
      </c>
      <c r="M57" s="170">
        <f>NPV($L$9,L57:L65)</f>
        <v>18820.0620146244</v>
      </c>
      <c r="O57" s="109"/>
      <c r="P57" s="131"/>
    </row>
    <row r="58" spans="1:20" x14ac:dyDescent="0.2">
      <c r="A58" s="166">
        <f t="shared" si="3"/>
        <v>42</v>
      </c>
      <c r="B58" s="167">
        <f t="shared" si="14"/>
        <v>16326.530612244949</v>
      </c>
      <c r="C58" s="168">
        <v>0</v>
      </c>
      <c r="D58" s="169">
        <f t="shared" si="15"/>
        <v>12897.959183673551</v>
      </c>
      <c r="E58" s="169">
        <f t="shared" si="16"/>
        <v>0</v>
      </c>
      <c r="F58" s="169">
        <f t="shared" si="17"/>
        <v>-428.57142857142861</v>
      </c>
      <c r="G58" s="169">
        <f t="shared" si="18"/>
        <v>365.01224489796147</v>
      </c>
      <c r="H58" s="169">
        <f t="shared" si="19"/>
        <v>588.14693877551395</v>
      </c>
      <c r="I58" s="169">
        <f t="shared" si="20"/>
        <v>2040.8163265306123</v>
      </c>
      <c r="J58" s="169">
        <f t="shared" si="21"/>
        <v>6.5306122448979798</v>
      </c>
      <c r="K58" s="169">
        <f t="shared" si="22"/>
        <v>730.23253494945732</v>
      </c>
      <c r="L58" s="169">
        <f t="shared" si="23"/>
        <v>3302.1672288270142</v>
      </c>
      <c r="M58" s="170">
        <f>NPV($L$9,L58:L65)</f>
        <v>16764.140077403121</v>
      </c>
      <c r="O58" s="109"/>
      <c r="P58" s="131"/>
    </row>
    <row r="59" spans="1:20" x14ac:dyDescent="0.2">
      <c r="A59" s="166">
        <f t="shared" si="3"/>
        <v>43</v>
      </c>
      <c r="B59" s="167">
        <f t="shared" si="14"/>
        <v>14285.714285714337</v>
      </c>
      <c r="C59" s="168">
        <v>0</v>
      </c>
      <c r="D59" s="169">
        <f t="shared" si="15"/>
        <v>11285.714285714368</v>
      </c>
      <c r="E59" s="169">
        <f t="shared" si="16"/>
        <v>0</v>
      </c>
      <c r="F59" s="169">
        <f t="shared" si="17"/>
        <v>-428.57142857142861</v>
      </c>
      <c r="G59" s="169">
        <f t="shared" si="18"/>
        <v>319.38571428571663</v>
      </c>
      <c r="H59" s="169">
        <f t="shared" si="19"/>
        <v>514.62857142857524</v>
      </c>
      <c r="I59" s="169">
        <f t="shared" si="20"/>
        <v>2040.8163265306123</v>
      </c>
      <c r="J59" s="169">
        <f t="shared" si="21"/>
        <v>5.7142857142857348</v>
      </c>
      <c r="K59" s="169">
        <f t="shared" si="22"/>
        <v>705.63646816424068</v>
      </c>
      <c r="L59" s="169">
        <f t="shared" si="23"/>
        <v>3157.6099375520021</v>
      </c>
      <c r="M59" s="170">
        <f>NPV($L$9,L59:L65)</f>
        <v>14700.842800296195</v>
      </c>
      <c r="O59" s="109"/>
      <c r="P59" s="131"/>
    </row>
    <row r="60" spans="1:20" x14ac:dyDescent="0.2">
      <c r="A60" s="166">
        <f t="shared" si="3"/>
        <v>44</v>
      </c>
      <c r="B60" s="167">
        <f t="shared" si="14"/>
        <v>12244.897959183725</v>
      </c>
      <c r="C60" s="168">
        <v>0</v>
      </c>
      <c r="D60" s="169">
        <f t="shared" si="15"/>
        <v>9673.4693877551854</v>
      </c>
      <c r="E60" s="169">
        <f t="shared" si="16"/>
        <v>0</v>
      </c>
      <c r="F60" s="169">
        <f t="shared" si="17"/>
        <v>-428.57142857142861</v>
      </c>
      <c r="G60" s="169">
        <f t="shared" si="18"/>
        <v>273.75918367347174</v>
      </c>
      <c r="H60" s="169">
        <f t="shared" si="19"/>
        <v>441.11020408163648</v>
      </c>
      <c r="I60" s="169">
        <f t="shared" si="20"/>
        <v>2040.8163265306123</v>
      </c>
      <c r="J60" s="169">
        <f t="shared" si="21"/>
        <v>4.8979591836734899</v>
      </c>
      <c r="K60" s="169">
        <f t="shared" si="22"/>
        <v>681.04040137902405</v>
      </c>
      <c r="L60" s="169">
        <f t="shared" si="23"/>
        <v>3013.052646276989</v>
      </c>
      <c r="M60" s="170">
        <f>NPV($L$9,L60:L65)</f>
        <v>12629.625145686081</v>
      </c>
      <c r="O60" s="109"/>
      <c r="P60" s="131"/>
    </row>
    <row r="61" spans="1:20" x14ac:dyDescent="0.2">
      <c r="A61" s="166">
        <f t="shared" si="3"/>
        <v>45</v>
      </c>
      <c r="B61" s="167">
        <f t="shared" si="14"/>
        <v>10204.081632653113</v>
      </c>
      <c r="C61" s="168">
        <v>0</v>
      </c>
      <c r="D61" s="169">
        <f t="shared" si="15"/>
        <v>8061.2244897960027</v>
      </c>
      <c r="E61" s="169">
        <f t="shared" si="16"/>
        <v>0</v>
      </c>
      <c r="F61" s="169">
        <f t="shared" si="17"/>
        <v>-428.57142857142861</v>
      </c>
      <c r="G61" s="169">
        <f t="shared" si="18"/>
        <v>228.13265306122688</v>
      </c>
      <c r="H61" s="169">
        <f t="shared" si="19"/>
        <v>367.59183673469772</v>
      </c>
      <c r="I61" s="169">
        <f t="shared" si="20"/>
        <v>2040.8163265306123</v>
      </c>
      <c r="J61" s="169">
        <f t="shared" si="21"/>
        <v>4.081632653061245</v>
      </c>
      <c r="K61" s="169">
        <f t="shared" si="22"/>
        <v>656.44433459380741</v>
      </c>
      <c r="L61" s="169">
        <f t="shared" si="23"/>
        <v>2868.4953550019768</v>
      </c>
      <c r="M61" s="170">
        <f>NPV($L$9,L61:L65)</f>
        <v>10549.901797675297</v>
      </c>
      <c r="O61" s="109"/>
      <c r="P61" s="131"/>
    </row>
    <row r="62" spans="1:20" x14ac:dyDescent="0.2">
      <c r="A62" s="166">
        <f t="shared" si="3"/>
        <v>46</v>
      </c>
      <c r="B62" s="167">
        <f t="shared" si="14"/>
        <v>8163.265306122501</v>
      </c>
      <c r="C62" s="168">
        <v>0</v>
      </c>
      <c r="D62" s="169">
        <f t="shared" si="15"/>
        <v>6448.97959183682</v>
      </c>
      <c r="E62" s="169">
        <f t="shared" si="16"/>
        <v>0</v>
      </c>
      <c r="F62" s="169">
        <f t="shared" si="17"/>
        <v>-428.57142857142861</v>
      </c>
      <c r="G62" s="169">
        <f t="shared" si="18"/>
        <v>182.50612244898198</v>
      </c>
      <c r="H62" s="169">
        <f t="shared" si="19"/>
        <v>294.07346938775902</v>
      </c>
      <c r="I62" s="169">
        <f t="shared" si="20"/>
        <v>2040.8163265306123</v>
      </c>
      <c r="J62" s="169">
        <f t="shared" si="21"/>
        <v>3.2653061224490005</v>
      </c>
      <c r="K62" s="169">
        <f t="shared" si="22"/>
        <v>631.84826780859078</v>
      </c>
      <c r="L62" s="169">
        <f t="shared" si="23"/>
        <v>2723.9380637269646</v>
      </c>
      <c r="M62" s="170">
        <f>NPV($L$9,L62:L65)</f>
        <v>8461.0441855215249</v>
      </c>
      <c r="O62" s="109"/>
      <c r="P62" s="131"/>
    </row>
    <row r="63" spans="1:20" x14ac:dyDescent="0.2">
      <c r="A63" s="166">
        <f t="shared" si="3"/>
        <v>47</v>
      </c>
      <c r="B63" s="167">
        <f t="shared" si="14"/>
        <v>6122.4489795918889</v>
      </c>
      <c r="C63" s="168">
        <v>0</v>
      </c>
      <c r="D63" s="169">
        <f t="shared" si="15"/>
        <v>4836.7346938776363</v>
      </c>
      <c r="E63" s="169">
        <f t="shared" si="16"/>
        <v>0</v>
      </c>
      <c r="F63" s="169">
        <f t="shared" si="17"/>
        <v>-428.57142857142861</v>
      </c>
      <c r="G63" s="169">
        <f t="shared" si="18"/>
        <v>136.87959183673709</v>
      </c>
      <c r="H63" s="169">
        <f t="shared" si="19"/>
        <v>220.55510204082023</v>
      </c>
      <c r="I63" s="169">
        <f t="shared" si="20"/>
        <v>2040.8163265306123</v>
      </c>
      <c r="J63" s="169">
        <f t="shared" si="21"/>
        <v>2.4489795918367556</v>
      </c>
      <c r="K63" s="169">
        <f t="shared" si="22"/>
        <v>607.25220102337425</v>
      </c>
      <c r="L63" s="169">
        <f t="shared" si="23"/>
        <v>2579.380772451952</v>
      </c>
      <c r="M63" s="170">
        <f>NPV($L$9,L63:L65)</f>
        <v>6362.3772871046012</v>
      </c>
      <c r="O63" s="109"/>
      <c r="P63" s="131"/>
    </row>
    <row r="64" spans="1:20" x14ac:dyDescent="0.2">
      <c r="A64" s="166">
        <f t="shared" si="3"/>
        <v>48</v>
      </c>
      <c r="B64" s="167">
        <f t="shared" si="14"/>
        <v>4081.6326530612769</v>
      </c>
      <c r="C64" s="168">
        <v>0</v>
      </c>
      <c r="D64" s="169">
        <f t="shared" si="15"/>
        <v>3224.4897959184527</v>
      </c>
      <c r="E64" s="169">
        <f t="shared" si="16"/>
        <v>0</v>
      </c>
      <c r="F64" s="169">
        <f t="shared" si="17"/>
        <v>-428.57142857142861</v>
      </c>
      <c r="G64" s="169">
        <f t="shared" si="18"/>
        <v>91.253061224492214</v>
      </c>
      <c r="H64" s="169">
        <f t="shared" si="19"/>
        <v>147.03673469388144</v>
      </c>
      <c r="I64" s="169">
        <f t="shared" si="20"/>
        <v>2040.8163265306123</v>
      </c>
      <c r="J64" s="169">
        <f t="shared" si="21"/>
        <v>1.6326530612245109</v>
      </c>
      <c r="K64" s="169">
        <f t="shared" si="22"/>
        <v>582.65613423815751</v>
      </c>
      <c r="L64" s="169">
        <f t="shared" si="23"/>
        <v>2434.8234811769394</v>
      </c>
      <c r="M64" s="170">
        <f>NPV($L$9,L64:L65)</f>
        <v>4253.1761961696793</v>
      </c>
      <c r="O64" s="109"/>
      <c r="P64" s="131"/>
    </row>
    <row r="65" spans="1:17" x14ac:dyDescent="0.2">
      <c r="A65" s="166">
        <f t="shared" si="3"/>
        <v>49</v>
      </c>
      <c r="B65" s="167">
        <f t="shared" ref="B65:B66" si="24">B64-I64</f>
        <v>2040.8163265306646</v>
      </c>
      <c r="C65" s="168">
        <v>0</v>
      </c>
      <c r="D65" s="169">
        <f t="shared" ref="D65:D66" si="25">D64-F64-I64</f>
        <v>1612.2448979592689</v>
      </c>
      <c r="E65" s="169">
        <f t="shared" ref="E65:E66" si="26">D$13*C65</f>
        <v>0</v>
      </c>
      <c r="F65" s="169">
        <f t="shared" ref="F65:F66" si="27">H$14*(E65-I65*D$13/D$12)</f>
        <v>-428.57142857142861</v>
      </c>
      <c r="G65" s="169">
        <f t="shared" ref="G65:G66" si="28">L$5*D65</f>
        <v>45.626530612247308</v>
      </c>
      <c r="H65" s="169">
        <f t="shared" ref="H65:H66" si="29">D65*(L$6+L$7)</f>
        <v>73.518367346942668</v>
      </c>
      <c r="I65" s="169">
        <f t="shared" ref="I65:I66" si="30">IF(A65-A$17&gt;H$12,0,IF(A65-A$17=H$12,(12-D$11)/12*$D$12/H$12,D$12/H$12))</f>
        <v>2040.8163265306123</v>
      </c>
      <c r="J65" s="169">
        <f t="shared" ref="J65:J66" si="31">+B65*$H$11</f>
        <v>0.8163265306122659</v>
      </c>
      <c r="K65" s="169">
        <f t="shared" ref="K65:K66" si="32">(H$13/(1-H$13))*(H65+I65-E65+F65+J65)</f>
        <v>558.06006745294087</v>
      </c>
      <c r="L65" s="169">
        <f t="shared" ref="L65:L66" si="33">SUM(F65:K65)</f>
        <v>2290.2661899019267</v>
      </c>
      <c r="M65" s="170">
        <f>NPV($L$9,L65)</f>
        <v>2132.6624358896793</v>
      </c>
      <c r="O65" s="109"/>
      <c r="P65" s="131"/>
    </row>
    <row r="66" spans="1:17" x14ac:dyDescent="0.2">
      <c r="A66" s="166">
        <f t="shared" si="3"/>
        <v>50</v>
      </c>
      <c r="B66" s="167">
        <f t="shared" si="24"/>
        <v>5.2295945351943374E-11</v>
      </c>
      <c r="C66" s="168">
        <v>0</v>
      </c>
      <c r="D66" s="169">
        <f t="shared" si="25"/>
        <v>8.5265128291212022E-11</v>
      </c>
      <c r="E66" s="169">
        <f t="shared" si="26"/>
        <v>0</v>
      </c>
      <c r="F66" s="169">
        <f t="shared" si="27"/>
        <v>0</v>
      </c>
      <c r="G66" s="169">
        <f t="shared" si="28"/>
        <v>2.4130031306413E-12</v>
      </c>
      <c r="H66" s="169">
        <f t="shared" si="29"/>
        <v>3.8880898500792685E-12</v>
      </c>
      <c r="I66" s="169">
        <f t="shared" si="30"/>
        <v>0</v>
      </c>
      <c r="J66" s="169">
        <f t="shared" si="31"/>
        <v>2.0918378140777349E-14</v>
      </c>
      <c r="K66" s="169">
        <f t="shared" si="32"/>
        <v>1.2934233320936245E-12</v>
      </c>
      <c r="L66" s="169">
        <f t="shared" si="33"/>
        <v>7.6154346909549705E-12</v>
      </c>
      <c r="M66" s="170">
        <f>NPV($L$9,L66)</f>
        <v>7.0913815913539158E-12</v>
      </c>
      <c r="O66" s="109"/>
      <c r="P66" s="131"/>
    </row>
    <row r="67" spans="1:17" x14ac:dyDescent="0.2">
      <c r="A67" s="166" t="s">
        <v>13</v>
      </c>
      <c r="B67" s="173"/>
      <c r="C67" s="168" t="s">
        <v>13</v>
      </c>
      <c r="D67" s="167" t="s">
        <v>13</v>
      </c>
      <c r="E67" s="167" t="s">
        <v>13</v>
      </c>
      <c r="F67" s="167" t="s">
        <v>13</v>
      </c>
      <c r="G67" s="167" t="s">
        <v>13</v>
      </c>
      <c r="H67" s="167" t="s">
        <v>13</v>
      </c>
      <c r="I67" s="167" t="s">
        <v>13</v>
      </c>
      <c r="J67" s="167" t="s">
        <v>13</v>
      </c>
      <c r="K67" s="167" t="s">
        <v>13</v>
      </c>
      <c r="L67" s="167" t="s">
        <v>13</v>
      </c>
      <c r="M67" s="170"/>
    </row>
    <row r="68" spans="1:17" x14ac:dyDescent="0.2">
      <c r="A68" s="166" t="s">
        <v>12</v>
      </c>
      <c r="B68" s="173"/>
      <c r="C68" s="168">
        <f>SUM(C17:C66)</f>
        <v>1.0000000000000002</v>
      </c>
      <c r="D68" s="167" t="s">
        <v>11</v>
      </c>
      <c r="E68" s="167">
        <f t="shared" ref="E68:L68" si="34">SUM(E17:E66)</f>
        <v>100000</v>
      </c>
      <c r="F68" s="167">
        <f t="shared" si="34"/>
        <v>-1.0118128557223827E-11</v>
      </c>
      <c r="G68" s="167">
        <f t="shared" si="34"/>
        <v>61909.193200000125</v>
      </c>
      <c r="H68" s="167">
        <f t="shared" si="34"/>
        <v>99754.742400000265</v>
      </c>
      <c r="I68" s="167">
        <f t="shared" si="34"/>
        <v>99999.999999999942</v>
      </c>
      <c r="J68" s="167">
        <f t="shared" si="34"/>
        <v>1000.0000000000013</v>
      </c>
      <c r="K68" s="167">
        <f t="shared" si="34"/>
        <v>33338.004688361376</v>
      </c>
      <c r="L68" s="167">
        <f t="shared" si="34"/>
        <v>296001.94028836174</v>
      </c>
      <c r="M68" s="174"/>
      <c r="O68" s="173"/>
      <c r="P68" s="173"/>
      <c r="Q68" s="173"/>
    </row>
    <row r="69" spans="1:17" x14ac:dyDescent="0.2">
      <c r="B69" s="173"/>
      <c r="C69" s="175"/>
      <c r="D69" s="176"/>
      <c r="E69" s="176"/>
      <c r="F69" s="167"/>
      <c r="G69" s="167"/>
      <c r="H69" s="167"/>
      <c r="I69" s="167"/>
      <c r="J69" s="167"/>
      <c r="K69" s="167"/>
      <c r="L69" s="167"/>
      <c r="M69" s="174"/>
      <c r="O69" s="166"/>
    </row>
    <row r="70" spans="1:17" x14ac:dyDescent="0.2">
      <c r="B70" s="173"/>
      <c r="C70" s="256" t="s">
        <v>10</v>
      </c>
      <c r="D70" s="256"/>
      <c r="E70" s="167">
        <f>NPV($L9,E17:E66)</f>
        <v>52990.352018016456</v>
      </c>
      <c r="F70" s="167">
        <f t="shared" ref="F70:L70" si="35">NPV($L9,F17:F66)</f>
        <v>5504.8898571099644</v>
      </c>
      <c r="G70" s="167">
        <f t="shared" si="35"/>
        <v>25932.802403011508</v>
      </c>
      <c r="H70" s="167">
        <f t="shared" si="35"/>
        <v>41785.716946195222</v>
      </c>
      <c r="I70" s="167">
        <f t="shared" si="35"/>
        <v>26776.59079368331</v>
      </c>
      <c r="J70" s="167">
        <f t="shared" si="35"/>
        <v>396.33780355245813</v>
      </c>
      <c r="K70" s="167">
        <f t="shared" si="35"/>
        <v>7105.1056379917218</v>
      </c>
      <c r="L70" s="167">
        <f t="shared" si="35"/>
        <v>107501.44344154415</v>
      </c>
      <c r="M70" s="174"/>
      <c r="O70" s="177"/>
    </row>
    <row r="71" spans="1:17" x14ac:dyDescent="0.2">
      <c r="B71" s="166"/>
      <c r="C71" s="178"/>
      <c r="D71" s="166"/>
      <c r="E71" s="166"/>
      <c r="F71" s="166"/>
      <c r="G71" s="166"/>
      <c r="H71" s="166"/>
      <c r="I71" s="166"/>
      <c r="J71" s="166"/>
      <c r="K71" s="166"/>
      <c r="L71" s="166"/>
      <c r="M71" s="166"/>
      <c r="O71" s="177"/>
    </row>
    <row r="72" spans="1:17" x14ac:dyDescent="0.2">
      <c r="B72" s="177"/>
      <c r="C72" s="175"/>
      <c r="D72" s="177"/>
      <c r="E72" s="177"/>
      <c r="F72" s="177"/>
      <c r="G72" s="177"/>
      <c r="H72" s="177"/>
      <c r="I72" s="177"/>
      <c r="J72" s="177"/>
      <c r="K72" s="177"/>
      <c r="L72" s="177"/>
      <c r="M72" s="177"/>
      <c r="O72" s="177"/>
    </row>
    <row r="73" spans="1:17" x14ac:dyDescent="0.2">
      <c r="B73" s="177"/>
      <c r="C73" s="179"/>
      <c r="D73" s="177"/>
      <c r="E73" s="177"/>
      <c r="F73" s="177"/>
      <c r="G73" s="177"/>
      <c r="H73" s="177"/>
      <c r="I73" s="177"/>
      <c r="J73" s="177"/>
      <c r="K73" s="177"/>
      <c r="L73" s="177"/>
      <c r="M73" s="177"/>
      <c r="O73" s="177"/>
    </row>
    <row r="74" spans="1:17" x14ac:dyDescent="0.2">
      <c r="B74" s="177"/>
      <c r="C74" s="179"/>
      <c r="D74" s="177"/>
      <c r="E74" s="177"/>
      <c r="F74" s="177"/>
      <c r="G74" s="177"/>
      <c r="H74" s="177"/>
      <c r="I74" s="177"/>
      <c r="J74" s="177"/>
      <c r="K74" s="177"/>
      <c r="L74" s="177"/>
      <c r="M74" s="177"/>
      <c r="O74" s="177"/>
    </row>
    <row r="75" spans="1:17" x14ac:dyDescent="0.2">
      <c r="B75" s="166"/>
      <c r="C75" s="179"/>
      <c r="D75" s="177"/>
      <c r="E75" s="177"/>
      <c r="F75" s="177"/>
      <c r="G75" s="177"/>
      <c r="H75" s="177"/>
      <c r="I75" s="177"/>
      <c r="J75" s="177"/>
      <c r="K75" s="177"/>
      <c r="L75" s="177"/>
      <c r="M75" s="177"/>
      <c r="O75" s="177"/>
    </row>
    <row r="76" spans="1:17" x14ac:dyDescent="0.2">
      <c r="B76" s="177"/>
      <c r="C76" s="179"/>
      <c r="D76" s="177"/>
      <c r="E76" s="177"/>
      <c r="F76" s="177"/>
      <c r="G76" s="177"/>
      <c r="H76" s="177"/>
      <c r="I76" s="177"/>
      <c r="J76" s="177"/>
      <c r="K76" s="177"/>
      <c r="L76" s="177"/>
      <c r="M76" s="177"/>
      <c r="O76" s="177"/>
    </row>
    <row r="77" spans="1:17" x14ac:dyDescent="0.2">
      <c r="B77" s="177"/>
      <c r="C77" s="179"/>
      <c r="D77" s="177"/>
      <c r="E77" s="177"/>
      <c r="F77" s="177"/>
      <c r="G77" s="177"/>
      <c r="H77" s="177"/>
      <c r="I77" s="177"/>
      <c r="J77" s="177"/>
      <c r="K77" s="177"/>
      <c r="L77" s="177"/>
      <c r="M77" s="177"/>
      <c r="O77" s="177"/>
    </row>
    <row r="78" spans="1:17" x14ac:dyDescent="0.2">
      <c r="B78" s="177"/>
      <c r="C78" s="179"/>
      <c r="D78" s="177"/>
      <c r="E78" s="177"/>
      <c r="F78" s="177"/>
      <c r="G78" s="177"/>
      <c r="H78" s="177"/>
      <c r="I78" s="177"/>
      <c r="J78" s="177"/>
      <c r="K78" s="177"/>
      <c r="L78" s="177"/>
      <c r="M78" s="177"/>
      <c r="O78" s="177"/>
    </row>
    <row r="79" spans="1:17" x14ac:dyDescent="0.2">
      <c r="B79" s="177"/>
      <c r="C79" s="179"/>
      <c r="D79" s="177"/>
      <c r="E79" s="177"/>
      <c r="F79" s="177"/>
      <c r="G79" s="177"/>
      <c r="H79" s="177"/>
      <c r="I79" s="177"/>
      <c r="J79" s="177"/>
      <c r="K79" s="177"/>
      <c r="L79" s="177"/>
      <c r="M79" s="177"/>
      <c r="O79" s="177"/>
    </row>
    <row r="80" spans="1:17" x14ac:dyDescent="0.2">
      <c r="B80" s="177"/>
      <c r="C80" s="179"/>
      <c r="D80" s="177"/>
      <c r="E80" s="177"/>
      <c r="F80" s="177"/>
      <c r="G80" s="177"/>
      <c r="H80" s="177"/>
      <c r="I80" s="177"/>
      <c r="J80" s="177"/>
      <c r="K80" s="177"/>
      <c r="L80" s="177"/>
      <c r="M80" s="177"/>
      <c r="O80" s="177"/>
    </row>
    <row r="81" spans="2:15" x14ac:dyDescent="0.2">
      <c r="B81" s="177"/>
      <c r="C81" s="179"/>
      <c r="D81" s="177"/>
      <c r="E81" s="177"/>
      <c r="F81" s="177"/>
      <c r="G81" s="177"/>
      <c r="H81" s="177"/>
      <c r="I81" s="177"/>
      <c r="J81" s="177"/>
      <c r="K81" s="177"/>
      <c r="L81" s="177"/>
      <c r="M81" s="177"/>
      <c r="O81" s="177"/>
    </row>
    <row r="82" spans="2:15" x14ac:dyDescent="0.2">
      <c r="B82" s="177"/>
      <c r="C82" s="179"/>
      <c r="D82" s="177"/>
      <c r="E82" s="177"/>
      <c r="F82" s="177"/>
      <c r="G82" s="177"/>
      <c r="H82" s="177"/>
      <c r="I82" s="177"/>
      <c r="J82" s="177"/>
      <c r="K82" s="177"/>
      <c r="L82" s="177"/>
      <c r="M82" s="177"/>
      <c r="O82" s="177"/>
    </row>
    <row r="83" spans="2:15" x14ac:dyDescent="0.2">
      <c r="B83" s="177"/>
      <c r="C83" s="179"/>
      <c r="D83" s="177"/>
      <c r="E83" s="177"/>
      <c r="F83" s="177"/>
      <c r="G83" s="177"/>
      <c r="H83" s="177"/>
      <c r="I83" s="177"/>
      <c r="J83" s="177"/>
      <c r="K83" s="177"/>
      <c r="L83" s="177"/>
      <c r="M83" s="177"/>
      <c r="O83" s="177"/>
    </row>
    <row r="84" spans="2:15" x14ac:dyDescent="0.2">
      <c r="B84" s="177"/>
      <c r="C84" s="179"/>
      <c r="D84" s="177"/>
      <c r="E84" s="177"/>
      <c r="F84" s="177"/>
      <c r="G84" s="177"/>
      <c r="H84" s="177"/>
      <c r="I84" s="177"/>
      <c r="J84" s="177"/>
      <c r="K84" s="177"/>
      <c r="L84" s="177"/>
      <c r="M84" s="177"/>
      <c r="O84" s="177"/>
    </row>
    <row r="85" spans="2:15" x14ac:dyDescent="0.2">
      <c r="B85" s="177"/>
      <c r="C85" s="179"/>
      <c r="D85" s="177"/>
      <c r="E85" s="177"/>
      <c r="F85" s="177"/>
      <c r="G85" s="177"/>
      <c r="H85" s="177"/>
      <c r="I85" s="177"/>
      <c r="J85" s="177"/>
      <c r="K85" s="177"/>
      <c r="L85" s="177"/>
      <c r="M85" s="177"/>
      <c r="O85" s="177"/>
    </row>
    <row r="86" spans="2:15" x14ac:dyDescent="0.2">
      <c r="B86" s="177"/>
      <c r="C86" s="179"/>
      <c r="D86" s="177"/>
      <c r="E86" s="177"/>
      <c r="F86" s="177"/>
      <c r="G86" s="177"/>
      <c r="H86" s="177"/>
      <c r="I86" s="177"/>
      <c r="J86" s="177"/>
      <c r="K86" s="177"/>
      <c r="L86" s="177"/>
      <c r="M86" s="177"/>
      <c r="O86" s="177"/>
    </row>
    <row r="87" spans="2:15" x14ac:dyDescent="0.2">
      <c r="B87" s="177"/>
      <c r="C87" s="179"/>
      <c r="D87" s="177"/>
      <c r="E87" s="177"/>
      <c r="F87" s="177"/>
      <c r="G87" s="177"/>
      <c r="H87" s="177"/>
      <c r="I87" s="177"/>
      <c r="J87" s="177"/>
      <c r="K87" s="177"/>
      <c r="L87" s="177"/>
      <c r="M87" s="177"/>
      <c r="O87" s="177"/>
    </row>
    <row r="88" spans="2:15" x14ac:dyDescent="0.2">
      <c r="B88" s="177"/>
      <c r="C88" s="179"/>
      <c r="D88" s="177"/>
      <c r="E88" s="177"/>
      <c r="F88" s="177"/>
      <c r="G88" s="177"/>
      <c r="H88" s="177"/>
      <c r="I88" s="177"/>
      <c r="J88" s="177"/>
      <c r="K88" s="177"/>
      <c r="L88" s="177"/>
      <c r="M88" s="177"/>
      <c r="O88" s="177"/>
    </row>
    <row r="89" spans="2:15" x14ac:dyDescent="0.2">
      <c r="B89" s="177"/>
      <c r="C89" s="179"/>
      <c r="D89" s="177"/>
      <c r="E89" s="177"/>
      <c r="F89" s="177"/>
      <c r="G89" s="177"/>
      <c r="H89" s="177"/>
      <c r="I89" s="177"/>
      <c r="J89" s="177"/>
      <c r="K89" s="177"/>
      <c r="L89" s="177"/>
      <c r="M89" s="177"/>
      <c r="O89" s="177"/>
    </row>
    <row r="90" spans="2:15" x14ac:dyDescent="0.2">
      <c r="B90" s="177"/>
      <c r="C90" s="179"/>
      <c r="D90" s="177"/>
      <c r="E90" s="177"/>
      <c r="F90" s="177"/>
      <c r="G90" s="177"/>
      <c r="H90" s="177"/>
      <c r="I90" s="177"/>
      <c r="J90" s="177"/>
      <c r="K90" s="177"/>
      <c r="L90" s="177"/>
      <c r="M90" s="177"/>
      <c r="N90" s="177"/>
      <c r="O90" s="177"/>
    </row>
    <row r="91" spans="2:15" x14ac:dyDescent="0.2">
      <c r="B91" s="177"/>
      <c r="C91" s="179"/>
      <c r="D91" s="177"/>
      <c r="E91" s="177"/>
      <c r="F91" s="177"/>
      <c r="G91" s="177"/>
      <c r="H91" s="177"/>
      <c r="I91" s="177"/>
      <c r="J91" s="177"/>
      <c r="K91" s="177"/>
      <c r="L91" s="177"/>
      <c r="M91" s="177"/>
      <c r="N91" s="177"/>
      <c r="O91" s="177"/>
    </row>
    <row r="92" spans="2:15" x14ac:dyDescent="0.2">
      <c r="B92" s="177"/>
      <c r="C92" s="179"/>
      <c r="D92" s="177"/>
      <c r="E92" s="177"/>
      <c r="F92" s="177"/>
      <c r="G92" s="177"/>
      <c r="H92" s="177"/>
      <c r="I92" s="177"/>
      <c r="J92" s="177"/>
      <c r="K92" s="177"/>
      <c r="L92" s="177"/>
      <c r="M92" s="177"/>
      <c r="N92" s="177"/>
      <c r="O92" s="177"/>
    </row>
    <row r="93" spans="2:15" x14ac:dyDescent="0.2">
      <c r="B93" s="177"/>
      <c r="C93" s="179"/>
      <c r="D93" s="177"/>
      <c r="E93" s="177"/>
      <c r="F93" s="177"/>
      <c r="G93" s="177"/>
      <c r="H93" s="177"/>
      <c r="I93" s="177"/>
      <c r="J93" s="177"/>
      <c r="K93" s="177"/>
      <c r="L93" s="177"/>
      <c r="M93" s="177"/>
      <c r="N93" s="177"/>
      <c r="O93" s="177"/>
    </row>
    <row r="94" spans="2:15" x14ac:dyDescent="0.2">
      <c r="B94" s="177"/>
      <c r="C94" s="179"/>
      <c r="D94" s="177"/>
      <c r="E94" s="177"/>
      <c r="F94" s="177"/>
      <c r="G94" s="177"/>
      <c r="H94" s="177"/>
      <c r="I94" s="177"/>
      <c r="J94" s="177"/>
      <c r="K94" s="177"/>
      <c r="L94" s="177"/>
      <c r="M94" s="177"/>
      <c r="N94" s="177"/>
      <c r="O94" s="177"/>
    </row>
    <row r="95" spans="2:15" x14ac:dyDescent="0.2">
      <c r="B95" s="177"/>
      <c r="C95" s="179"/>
      <c r="D95" s="177"/>
      <c r="E95" s="177"/>
      <c r="F95" s="177"/>
      <c r="G95" s="177"/>
      <c r="H95" s="177"/>
      <c r="I95" s="177"/>
      <c r="J95" s="177"/>
      <c r="K95" s="177"/>
      <c r="L95" s="177"/>
      <c r="M95" s="177"/>
      <c r="N95" s="177"/>
      <c r="O95" s="177"/>
    </row>
    <row r="96" spans="2:15" x14ac:dyDescent="0.2">
      <c r="B96" s="177"/>
      <c r="C96" s="179"/>
      <c r="D96" s="177"/>
      <c r="E96" s="177"/>
      <c r="F96" s="177"/>
      <c r="G96" s="177"/>
      <c r="H96" s="177"/>
      <c r="I96" s="177"/>
      <c r="J96" s="177"/>
      <c r="K96" s="177"/>
      <c r="L96" s="177"/>
      <c r="M96" s="177"/>
      <c r="N96" s="177"/>
      <c r="O96" s="177"/>
    </row>
    <row r="97" spans="2:15" x14ac:dyDescent="0.2">
      <c r="B97" s="177"/>
      <c r="C97" s="179"/>
      <c r="D97" s="177"/>
      <c r="E97" s="177"/>
      <c r="F97" s="177"/>
      <c r="G97" s="177"/>
      <c r="H97" s="177"/>
      <c r="I97" s="177"/>
      <c r="J97" s="177"/>
      <c r="K97" s="177"/>
      <c r="L97" s="177"/>
      <c r="M97" s="177"/>
      <c r="N97" s="177"/>
      <c r="O97" s="177"/>
    </row>
    <row r="98" spans="2:15" x14ac:dyDescent="0.2">
      <c r="B98" s="177"/>
      <c r="C98" s="179"/>
      <c r="D98" s="177"/>
      <c r="E98" s="177"/>
      <c r="F98" s="177"/>
      <c r="G98" s="177"/>
      <c r="H98" s="177"/>
      <c r="I98" s="177"/>
      <c r="J98" s="177"/>
      <c r="K98" s="177"/>
      <c r="L98" s="177"/>
      <c r="M98" s="177"/>
      <c r="N98" s="177"/>
      <c r="O98" s="177"/>
    </row>
    <row r="99" spans="2:15" x14ac:dyDescent="0.2">
      <c r="B99" s="177"/>
      <c r="C99" s="179"/>
      <c r="D99" s="177"/>
      <c r="E99" s="177"/>
      <c r="F99" s="177"/>
      <c r="G99" s="177"/>
      <c r="H99" s="177"/>
      <c r="I99" s="177"/>
      <c r="J99" s="177"/>
      <c r="K99" s="177"/>
      <c r="L99" s="177"/>
      <c r="M99" s="177"/>
      <c r="N99" s="177"/>
      <c r="O99" s="177"/>
    </row>
    <row r="100" spans="2:15" x14ac:dyDescent="0.2">
      <c r="B100" s="177"/>
      <c r="C100" s="179"/>
      <c r="D100" s="177"/>
      <c r="E100" s="177"/>
      <c r="F100" s="177"/>
      <c r="G100" s="177"/>
      <c r="H100" s="177"/>
      <c r="I100" s="177"/>
      <c r="J100" s="177"/>
      <c r="K100" s="177"/>
      <c r="L100" s="177"/>
      <c r="M100" s="177"/>
      <c r="N100" s="177"/>
      <c r="O100" s="177"/>
    </row>
    <row r="101" spans="2:15" x14ac:dyDescent="0.2">
      <c r="B101" s="177"/>
      <c r="C101" s="179"/>
      <c r="D101" s="177"/>
      <c r="E101" s="177"/>
      <c r="F101" s="177"/>
      <c r="G101" s="177"/>
      <c r="H101" s="177"/>
      <c r="I101" s="177"/>
      <c r="J101" s="177"/>
      <c r="K101" s="177"/>
      <c r="L101" s="177"/>
      <c r="M101" s="177"/>
      <c r="N101" s="177"/>
      <c r="O101" s="177"/>
    </row>
    <row r="102" spans="2:15" x14ac:dyDescent="0.2">
      <c r="B102" s="177"/>
      <c r="C102" s="179"/>
      <c r="D102" s="177"/>
      <c r="E102" s="177"/>
      <c r="F102" s="177"/>
      <c r="G102" s="177"/>
      <c r="H102" s="177"/>
      <c r="I102" s="177"/>
      <c r="J102" s="177"/>
      <c r="K102" s="177"/>
      <c r="L102" s="177"/>
      <c r="M102" s="177"/>
      <c r="N102" s="177"/>
      <c r="O102" s="177"/>
    </row>
    <row r="103" spans="2:15" x14ac:dyDescent="0.2">
      <c r="B103" s="177"/>
      <c r="C103" s="179"/>
      <c r="D103" s="177"/>
      <c r="E103" s="177"/>
      <c r="F103" s="177"/>
      <c r="G103" s="177"/>
      <c r="H103" s="177"/>
      <c r="I103" s="177"/>
      <c r="J103" s="177"/>
      <c r="K103" s="177"/>
      <c r="L103" s="177"/>
      <c r="M103" s="177"/>
      <c r="N103" s="177"/>
      <c r="O103" s="177"/>
    </row>
    <row r="104" spans="2:15" x14ac:dyDescent="0.2">
      <c r="B104" s="177"/>
      <c r="C104" s="179"/>
      <c r="D104" s="177"/>
      <c r="E104" s="177"/>
      <c r="F104" s="177"/>
      <c r="G104" s="177"/>
      <c r="H104" s="177"/>
      <c r="I104" s="177"/>
      <c r="J104" s="177"/>
      <c r="K104" s="177"/>
      <c r="L104" s="177"/>
      <c r="M104" s="177"/>
      <c r="N104" s="177"/>
      <c r="O104" s="177"/>
    </row>
    <row r="105" spans="2:15" x14ac:dyDescent="0.2">
      <c r="B105" s="177"/>
      <c r="C105" s="179"/>
      <c r="D105" s="177"/>
      <c r="E105" s="177"/>
      <c r="F105" s="177"/>
      <c r="G105" s="177"/>
      <c r="H105" s="177"/>
      <c r="I105" s="177"/>
      <c r="J105" s="177"/>
      <c r="K105" s="177"/>
      <c r="L105" s="177"/>
      <c r="M105" s="177"/>
      <c r="N105" s="177"/>
      <c r="O105" s="177"/>
    </row>
    <row r="106" spans="2:15" x14ac:dyDescent="0.2">
      <c r="B106" s="177"/>
      <c r="C106" s="179"/>
      <c r="D106" s="177"/>
      <c r="E106" s="177"/>
      <c r="F106" s="177"/>
      <c r="G106" s="177"/>
      <c r="H106" s="177"/>
      <c r="I106" s="177"/>
      <c r="J106" s="177"/>
      <c r="K106" s="177"/>
      <c r="L106" s="177"/>
      <c r="M106" s="177"/>
      <c r="N106" s="177"/>
      <c r="O106" s="177"/>
    </row>
    <row r="107" spans="2:15" x14ac:dyDescent="0.2">
      <c r="B107" s="177"/>
      <c r="C107" s="179"/>
      <c r="D107" s="177"/>
      <c r="E107" s="177"/>
      <c r="F107" s="177"/>
      <c r="G107" s="177"/>
      <c r="H107" s="177"/>
      <c r="I107" s="177"/>
      <c r="J107" s="177"/>
      <c r="K107" s="177"/>
      <c r="L107" s="177"/>
      <c r="M107" s="177"/>
      <c r="N107" s="177"/>
      <c r="O107" s="177"/>
    </row>
    <row r="108" spans="2:15" x14ac:dyDescent="0.2">
      <c r="B108" s="177"/>
      <c r="C108" s="179"/>
      <c r="D108" s="177"/>
      <c r="E108" s="177"/>
      <c r="F108" s="177"/>
      <c r="G108" s="177"/>
      <c r="H108" s="177"/>
      <c r="I108" s="177"/>
      <c r="J108" s="177"/>
      <c r="K108" s="177"/>
      <c r="L108" s="177"/>
      <c r="M108" s="177"/>
      <c r="N108" s="177"/>
      <c r="O108" s="177"/>
    </row>
    <row r="109" spans="2:15" x14ac:dyDescent="0.2">
      <c r="B109" s="177"/>
      <c r="C109" s="179"/>
      <c r="D109" s="177"/>
      <c r="E109" s="177"/>
      <c r="F109" s="177"/>
      <c r="G109" s="177"/>
      <c r="H109" s="177"/>
      <c r="I109" s="177"/>
      <c r="J109" s="177"/>
      <c r="K109" s="177"/>
      <c r="L109" s="177"/>
      <c r="M109" s="177"/>
      <c r="N109" s="177"/>
      <c r="O109" s="177"/>
    </row>
    <row r="110" spans="2:15" x14ac:dyDescent="0.2">
      <c r="B110" s="177"/>
      <c r="C110" s="179"/>
      <c r="D110" s="177"/>
      <c r="E110" s="177"/>
      <c r="F110" s="177"/>
      <c r="G110" s="177"/>
      <c r="H110" s="177"/>
      <c r="I110" s="177"/>
      <c r="J110" s="177"/>
      <c r="K110" s="177"/>
      <c r="L110" s="177"/>
      <c r="M110" s="177"/>
      <c r="N110" s="177"/>
      <c r="O110" s="177"/>
    </row>
    <row r="111" spans="2:15" x14ac:dyDescent="0.2">
      <c r="B111" s="177"/>
      <c r="C111" s="179"/>
      <c r="D111" s="177"/>
      <c r="E111" s="177"/>
      <c r="F111" s="177"/>
      <c r="G111" s="177"/>
      <c r="H111" s="177"/>
      <c r="I111" s="177"/>
      <c r="J111" s="177"/>
      <c r="K111" s="177"/>
      <c r="L111" s="177"/>
      <c r="M111" s="177"/>
      <c r="N111" s="177"/>
      <c r="O111" s="177"/>
    </row>
    <row r="112" spans="2:15" x14ac:dyDescent="0.2">
      <c r="B112" s="177"/>
      <c r="C112" s="179"/>
      <c r="D112" s="177"/>
      <c r="E112" s="177"/>
      <c r="F112" s="177"/>
      <c r="G112" s="177"/>
      <c r="H112" s="177"/>
      <c r="I112" s="177"/>
      <c r="J112" s="177"/>
      <c r="K112" s="177"/>
      <c r="L112" s="177"/>
      <c r="M112" s="177"/>
      <c r="N112" s="177"/>
      <c r="O112" s="177"/>
    </row>
    <row r="113" spans="2:15" x14ac:dyDescent="0.2">
      <c r="B113" s="177"/>
      <c r="C113" s="179"/>
      <c r="D113" s="177"/>
      <c r="E113" s="177"/>
      <c r="F113" s="177"/>
      <c r="G113" s="177"/>
      <c r="H113" s="177"/>
      <c r="I113" s="177"/>
      <c r="J113" s="177"/>
      <c r="K113" s="177"/>
      <c r="L113" s="177"/>
      <c r="M113" s="177"/>
      <c r="N113" s="177"/>
      <c r="O113" s="177"/>
    </row>
    <row r="114" spans="2:15" x14ac:dyDescent="0.2">
      <c r="B114" s="177"/>
      <c r="C114" s="179"/>
      <c r="D114" s="177"/>
      <c r="E114" s="177"/>
      <c r="F114" s="177"/>
      <c r="G114" s="177"/>
      <c r="H114" s="177"/>
      <c r="I114" s="177"/>
      <c r="J114" s="177"/>
      <c r="K114" s="177"/>
      <c r="L114" s="177"/>
      <c r="M114" s="177"/>
      <c r="N114" s="177"/>
      <c r="O114" s="177"/>
    </row>
    <row r="115" spans="2:15" x14ac:dyDescent="0.2">
      <c r="B115" s="177"/>
      <c r="C115" s="179"/>
      <c r="D115" s="177"/>
      <c r="E115" s="177"/>
      <c r="F115" s="177"/>
      <c r="G115" s="177"/>
      <c r="H115" s="177"/>
      <c r="I115" s="177"/>
      <c r="J115" s="177"/>
      <c r="K115" s="177"/>
      <c r="L115" s="177"/>
      <c r="M115" s="177"/>
      <c r="N115" s="177"/>
      <c r="O115" s="177"/>
    </row>
    <row r="116" spans="2:15" x14ac:dyDescent="0.2">
      <c r="B116" s="177"/>
      <c r="C116" s="179"/>
      <c r="D116" s="177"/>
      <c r="E116" s="177"/>
      <c r="F116" s="177"/>
      <c r="G116" s="177"/>
      <c r="H116" s="177"/>
      <c r="I116" s="177"/>
      <c r="J116" s="177"/>
      <c r="K116" s="177"/>
      <c r="L116" s="177"/>
      <c r="M116" s="177"/>
      <c r="N116" s="177"/>
      <c r="O116" s="177"/>
    </row>
    <row r="117" spans="2:15" x14ac:dyDescent="0.2">
      <c r="B117" s="177"/>
      <c r="C117" s="179"/>
      <c r="D117" s="177"/>
      <c r="E117" s="177"/>
      <c r="F117" s="177"/>
      <c r="G117" s="177"/>
      <c r="H117" s="177"/>
      <c r="I117" s="177"/>
      <c r="J117" s="177"/>
      <c r="K117" s="177"/>
      <c r="L117" s="177"/>
      <c r="M117" s="177"/>
      <c r="N117" s="177"/>
      <c r="O117" s="177"/>
    </row>
    <row r="118" spans="2:15" x14ac:dyDescent="0.2">
      <c r="B118" s="177"/>
      <c r="C118" s="179"/>
      <c r="D118" s="177"/>
      <c r="E118" s="177"/>
      <c r="F118" s="177"/>
      <c r="G118" s="177"/>
      <c r="H118" s="177"/>
      <c r="I118" s="177"/>
      <c r="J118" s="177"/>
      <c r="K118" s="177"/>
      <c r="L118" s="177"/>
      <c r="M118" s="177"/>
      <c r="N118" s="177"/>
      <c r="O118" s="177"/>
    </row>
    <row r="119" spans="2:15" x14ac:dyDescent="0.2">
      <c r="B119" s="177"/>
      <c r="C119" s="179"/>
      <c r="D119" s="177"/>
      <c r="E119" s="177"/>
      <c r="F119" s="177"/>
      <c r="G119" s="177"/>
      <c r="H119" s="177"/>
      <c r="I119" s="177"/>
      <c r="J119" s="177"/>
      <c r="K119" s="177"/>
      <c r="L119" s="177"/>
      <c r="M119" s="177"/>
      <c r="N119" s="177"/>
      <c r="O119" s="177"/>
    </row>
    <row r="120" spans="2:15" x14ac:dyDescent="0.2">
      <c r="B120" s="177"/>
      <c r="C120" s="179"/>
      <c r="D120" s="177"/>
      <c r="E120" s="177"/>
      <c r="F120" s="177"/>
      <c r="G120" s="177"/>
      <c r="H120" s="177"/>
      <c r="I120" s="177"/>
      <c r="J120" s="177"/>
      <c r="K120" s="177"/>
      <c r="L120" s="177"/>
      <c r="M120" s="177"/>
      <c r="N120" s="177"/>
      <c r="O120" s="177"/>
    </row>
    <row r="121" spans="2:15" x14ac:dyDescent="0.2">
      <c r="B121" s="177"/>
      <c r="C121" s="179"/>
      <c r="D121" s="177"/>
      <c r="E121" s="177"/>
      <c r="F121" s="177"/>
      <c r="G121" s="177"/>
      <c r="H121" s="177"/>
      <c r="I121" s="177"/>
      <c r="J121" s="177"/>
      <c r="K121" s="177"/>
      <c r="L121" s="177"/>
      <c r="M121" s="177"/>
      <c r="N121" s="177"/>
      <c r="O121" s="177"/>
    </row>
    <row r="122" spans="2:15" x14ac:dyDescent="0.2">
      <c r="B122" s="177"/>
      <c r="C122" s="179"/>
      <c r="D122" s="177"/>
      <c r="E122" s="177"/>
      <c r="F122" s="177"/>
      <c r="G122" s="177"/>
      <c r="H122" s="177"/>
      <c r="I122" s="177"/>
      <c r="J122" s="177"/>
      <c r="K122" s="177"/>
      <c r="L122" s="177"/>
      <c r="M122" s="177"/>
      <c r="N122" s="177"/>
      <c r="O122" s="177"/>
    </row>
    <row r="123" spans="2:15" x14ac:dyDescent="0.2">
      <c r="B123" s="177"/>
      <c r="C123" s="179"/>
      <c r="D123" s="177"/>
      <c r="E123" s="177"/>
      <c r="F123" s="177"/>
      <c r="G123" s="177"/>
      <c r="H123" s="177"/>
      <c r="I123" s="177"/>
      <c r="J123" s="177"/>
      <c r="K123" s="177"/>
      <c r="L123" s="177"/>
      <c r="M123" s="177"/>
      <c r="N123" s="177"/>
      <c r="O123" s="177"/>
    </row>
    <row r="124" spans="2:15" x14ac:dyDescent="0.2">
      <c r="B124" s="177"/>
      <c r="C124" s="179"/>
      <c r="D124" s="177"/>
      <c r="E124" s="177"/>
      <c r="F124" s="177"/>
      <c r="G124" s="177"/>
      <c r="H124" s="177"/>
      <c r="I124" s="177"/>
      <c r="J124" s="177"/>
      <c r="K124" s="177"/>
      <c r="L124" s="177"/>
      <c r="M124" s="177"/>
      <c r="N124" s="177"/>
      <c r="O124" s="177"/>
    </row>
    <row r="125" spans="2:15" x14ac:dyDescent="0.2">
      <c r="B125" s="177"/>
      <c r="C125" s="179"/>
      <c r="D125" s="177"/>
      <c r="E125" s="177"/>
      <c r="F125" s="177"/>
      <c r="G125" s="177"/>
      <c r="H125" s="177"/>
      <c r="I125" s="177"/>
      <c r="J125" s="177"/>
      <c r="K125" s="177"/>
      <c r="L125" s="177"/>
      <c r="M125" s="177"/>
      <c r="N125" s="177"/>
      <c r="O125" s="177"/>
    </row>
    <row r="126" spans="2:15" x14ac:dyDescent="0.2">
      <c r="B126" s="177"/>
      <c r="C126" s="179"/>
      <c r="D126" s="177"/>
      <c r="E126" s="177"/>
      <c r="F126" s="177"/>
      <c r="G126" s="177"/>
      <c r="H126" s="177"/>
      <c r="I126" s="177"/>
      <c r="J126" s="177"/>
      <c r="K126" s="177"/>
      <c r="L126" s="177"/>
      <c r="M126" s="177"/>
      <c r="N126" s="177"/>
      <c r="O126" s="177"/>
    </row>
    <row r="127" spans="2:15" x14ac:dyDescent="0.2">
      <c r="B127" s="177"/>
      <c r="C127" s="179"/>
      <c r="D127" s="177"/>
      <c r="E127" s="177"/>
      <c r="F127" s="177"/>
      <c r="G127" s="177"/>
      <c r="H127" s="177"/>
      <c r="I127" s="177"/>
      <c r="J127" s="177"/>
      <c r="K127" s="177"/>
      <c r="L127" s="177"/>
      <c r="M127" s="177"/>
      <c r="N127" s="177"/>
      <c r="O127" s="177"/>
    </row>
    <row r="128" spans="2:15" x14ac:dyDescent="0.2">
      <c r="B128" s="177"/>
      <c r="C128" s="179"/>
      <c r="D128" s="177"/>
      <c r="E128" s="177"/>
      <c r="F128" s="177"/>
      <c r="G128" s="177"/>
      <c r="H128" s="177"/>
      <c r="I128" s="177"/>
      <c r="J128" s="177"/>
      <c r="K128" s="177"/>
      <c r="L128" s="177"/>
      <c r="M128" s="177"/>
      <c r="N128" s="177"/>
      <c r="O128" s="177"/>
    </row>
    <row r="129" spans="2:15" x14ac:dyDescent="0.2">
      <c r="B129" s="177"/>
      <c r="C129" s="179"/>
      <c r="D129" s="177"/>
      <c r="E129" s="177"/>
      <c r="F129" s="177"/>
      <c r="G129" s="177"/>
      <c r="H129" s="177"/>
      <c r="I129" s="177"/>
      <c r="J129" s="177"/>
      <c r="K129" s="177"/>
      <c r="L129" s="177"/>
      <c r="M129" s="177"/>
      <c r="N129" s="177"/>
      <c r="O129" s="177"/>
    </row>
    <row r="130" spans="2:15" x14ac:dyDescent="0.2">
      <c r="B130" s="177"/>
      <c r="C130" s="179"/>
      <c r="D130" s="177"/>
      <c r="E130" s="177"/>
      <c r="F130" s="177"/>
      <c r="G130" s="177"/>
      <c r="H130" s="177"/>
      <c r="I130" s="177"/>
      <c r="J130" s="177"/>
      <c r="K130" s="177"/>
      <c r="L130" s="177"/>
      <c r="M130" s="177"/>
      <c r="N130" s="177"/>
      <c r="O130" s="177"/>
    </row>
    <row r="131" spans="2:15" x14ac:dyDescent="0.2">
      <c r="B131" s="177"/>
      <c r="C131" s="179"/>
      <c r="D131" s="177"/>
      <c r="E131" s="177"/>
      <c r="F131" s="177"/>
      <c r="G131" s="177"/>
      <c r="H131" s="177"/>
      <c r="I131" s="177"/>
      <c r="J131" s="177"/>
      <c r="K131" s="177"/>
      <c r="L131" s="177"/>
      <c r="M131" s="177"/>
      <c r="N131" s="177"/>
      <c r="O131" s="177"/>
    </row>
    <row r="132" spans="2:15" x14ac:dyDescent="0.2">
      <c r="B132" s="177"/>
      <c r="C132" s="179"/>
      <c r="D132" s="177"/>
      <c r="E132" s="177"/>
      <c r="F132" s="177"/>
      <c r="G132" s="177"/>
      <c r="H132" s="177"/>
      <c r="I132" s="177"/>
      <c r="J132" s="177"/>
      <c r="K132" s="177"/>
      <c r="L132" s="177"/>
      <c r="M132" s="177"/>
      <c r="N132" s="177"/>
      <c r="O132" s="177"/>
    </row>
    <row r="133" spans="2:15" x14ac:dyDescent="0.2">
      <c r="B133" s="177"/>
      <c r="C133" s="179"/>
      <c r="D133" s="177"/>
      <c r="E133" s="177"/>
      <c r="F133" s="177"/>
      <c r="G133" s="177"/>
      <c r="H133" s="177"/>
      <c r="I133" s="177"/>
      <c r="J133" s="177"/>
      <c r="K133" s="177"/>
      <c r="L133" s="177"/>
      <c r="M133" s="177"/>
      <c r="N133" s="177"/>
      <c r="O133" s="177"/>
    </row>
    <row r="134" spans="2:15" x14ac:dyDescent="0.2">
      <c r="B134" s="177"/>
      <c r="C134" s="179"/>
      <c r="D134" s="177"/>
      <c r="E134" s="177"/>
      <c r="F134" s="177"/>
      <c r="G134" s="177"/>
      <c r="H134" s="177"/>
      <c r="I134" s="177"/>
      <c r="J134" s="177"/>
      <c r="K134" s="177"/>
      <c r="L134" s="177"/>
      <c r="M134" s="177"/>
      <c r="N134" s="177"/>
      <c r="O134" s="177"/>
    </row>
    <row r="135" spans="2:15" x14ac:dyDescent="0.2">
      <c r="B135" s="177"/>
      <c r="C135" s="179"/>
      <c r="D135" s="177"/>
      <c r="E135" s="177"/>
      <c r="F135" s="177"/>
      <c r="G135" s="177"/>
      <c r="H135" s="177"/>
      <c r="I135" s="177"/>
      <c r="J135" s="177"/>
      <c r="K135" s="177"/>
      <c r="L135" s="177"/>
      <c r="M135" s="177"/>
      <c r="N135" s="177"/>
      <c r="O135" s="177"/>
    </row>
    <row r="136" spans="2:15" x14ac:dyDescent="0.2">
      <c r="B136" s="177"/>
      <c r="C136" s="179"/>
      <c r="D136" s="177"/>
      <c r="E136" s="177"/>
      <c r="F136" s="177"/>
      <c r="G136" s="177"/>
      <c r="H136" s="177"/>
      <c r="I136" s="177"/>
      <c r="J136" s="177"/>
      <c r="K136" s="177"/>
      <c r="L136" s="177"/>
      <c r="M136" s="177"/>
      <c r="N136" s="177"/>
      <c r="O136" s="177"/>
    </row>
    <row r="137" spans="2:15" x14ac:dyDescent="0.2">
      <c r="B137" s="177"/>
      <c r="C137" s="179"/>
      <c r="D137" s="177"/>
      <c r="E137" s="177"/>
      <c r="F137" s="177"/>
      <c r="G137" s="177"/>
      <c r="H137" s="177"/>
      <c r="I137" s="177"/>
      <c r="J137" s="177"/>
      <c r="K137" s="177"/>
      <c r="L137" s="177"/>
      <c r="M137" s="177"/>
      <c r="N137" s="177"/>
      <c r="O137" s="177"/>
    </row>
    <row r="138" spans="2:15" x14ac:dyDescent="0.2">
      <c r="B138" s="177"/>
      <c r="C138" s="179"/>
      <c r="D138" s="177"/>
      <c r="E138" s="177"/>
      <c r="F138" s="177"/>
      <c r="G138" s="177"/>
      <c r="H138" s="177"/>
      <c r="I138" s="177"/>
      <c r="J138" s="177"/>
      <c r="K138" s="177"/>
      <c r="L138" s="177"/>
      <c r="M138" s="177"/>
      <c r="N138" s="177"/>
      <c r="O138" s="177"/>
    </row>
    <row r="139" spans="2:15" x14ac:dyDescent="0.2">
      <c r="B139" s="177"/>
      <c r="C139" s="179"/>
      <c r="D139" s="177"/>
      <c r="E139" s="177"/>
      <c r="F139" s="177"/>
      <c r="G139" s="177"/>
      <c r="H139" s="177"/>
      <c r="I139" s="177"/>
      <c r="J139" s="177"/>
      <c r="K139" s="177"/>
      <c r="L139" s="177"/>
      <c r="M139" s="177"/>
      <c r="N139" s="177"/>
      <c r="O139" s="177"/>
    </row>
    <row r="140" spans="2:15" x14ac:dyDescent="0.2">
      <c r="B140" s="177"/>
      <c r="C140" s="179"/>
      <c r="D140" s="177"/>
      <c r="E140" s="177"/>
      <c r="F140" s="177"/>
      <c r="G140" s="177"/>
      <c r="H140" s="177"/>
      <c r="I140" s="177"/>
      <c r="J140" s="177"/>
      <c r="K140" s="177"/>
      <c r="L140" s="177"/>
      <c r="M140" s="177"/>
      <c r="N140" s="177"/>
      <c r="O140" s="177"/>
    </row>
    <row r="141" spans="2:15" x14ac:dyDescent="0.2">
      <c r="B141" s="177"/>
      <c r="C141" s="179"/>
      <c r="D141" s="177"/>
      <c r="E141" s="177"/>
      <c r="F141" s="177"/>
      <c r="G141" s="177"/>
      <c r="H141" s="177"/>
      <c r="I141" s="177"/>
      <c r="J141" s="177"/>
      <c r="K141" s="177"/>
      <c r="L141" s="177"/>
      <c r="M141" s="177"/>
      <c r="N141" s="177"/>
      <c r="O141" s="177"/>
    </row>
    <row r="142" spans="2:15" x14ac:dyDescent="0.2">
      <c r="B142" s="177"/>
      <c r="C142" s="179"/>
      <c r="D142" s="177"/>
      <c r="E142" s="177"/>
      <c r="F142" s="177"/>
      <c r="G142" s="177"/>
      <c r="H142" s="177"/>
      <c r="I142" s="177"/>
      <c r="J142" s="177"/>
      <c r="K142" s="177"/>
      <c r="L142" s="177"/>
      <c r="M142" s="177"/>
      <c r="N142" s="177"/>
      <c r="O142" s="177"/>
    </row>
    <row r="143" spans="2:15" x14ac:dyDescent="0.2">
      <c r="B143" s="177"/>
      <c r="C143" s="179"/>
      <c r="D143" s="177"/>
      <c r="E143" s="177"/>
      <c r="F143" s="177"/>
      <c r="G143" s="177"/>
      <c r="H143" s="177"/>
      <c r="I143" s="177"/>
      <c r="J143" s="177"/>
      <c r="K143" s="177"/>
      <c r="L143" s="177"/>
      <c r="M143" s="177"/>
      <c r="N143" s="177"/>
      <c r="O143" s="177"/>
    </row>
    <row r="144" spans="2:15" x14ac:dyDescent="0.2">
      <c r="B144" s="177"/>
      <c r="C144" s="179"/>
      <c r="D144" s="177"/>
      <c r="E144" s="177"/>
      <c r="F144" s="177"/>
      <c r="G144" s="177"/>
      <c r="H144" s="177"/>
      <c r="I144" s="177"/>
      <c r="J144" s="177"/>
      <c r="K144" s="177"/>
      <c r="L144" s="177"/>
      <c r="M144" s="177"/>
      <c r="N144" s="177"/>
      <c r="O144" s="177"/>
    </row>
    <row r="145" spans="2:15" x14ac:dyDescent="0.2">
      <c r="B145" s="177"/>
      <c r="C145" s="179"/>
      <c r="D145" s="177"/>
      <c r="E145" s="177"/>
      <c r="F145" s="177"/>
      <c r="G145" s="177"/>
      <c r="H145" s="177"/>
      <c r="I145" s="177"/>
      <c r="J145" s="177"/>
      <c r="K145" s="177"/>
      <c r="L145" s="177"/>
      <c r="M145" s="177"/>
      <c r="N145" s="177"/>
      <c r="O145" s="177"/>
    </row>
    <row r="146" spans="2:15" x14ac:dyDescent="0.2">
      <c r="B146" s="177"/>
      <c r="C146" s="179"/>
      <c r="D146" s="177"/>
      <c r="E146" s="177"/>
      <c r="F146" s="177"/>
      <c r="G146" s="177"/>
      <c r="H146" s="177"/>
      <c r="I146" s="177"/>
      <c r="J146" s="177"/>
      <c r="K146" s="177"/>
      <c r="L146" s="177"/>
      <c r="M146" s="177"/>
      <c r="N146" s="177"/>
      <c r="O146" s="177"/>
    </row>
    <row r="147" spans="2:15" x14ac:dyDescent="0.2">
      <c r="B147" s="177"/>
      <c r="C147" s="179"/>
      <c r="D147" s="177"/>
      <c r="E147" s="177"/>
      <c r="F147" s="177"/>
      <c r="G147" s="177"/>
      <c r="H147" s="177"/>
      <c r="I147" s="177"/>
      <c r="J147" s="177"/>
      <c r="K147" s="177"/>
      <c r="L147" s="177"/>
      <c r="M147" s="177"/>
      <c r="N147" s="177"/>
      <c r="O147" s="177"/>
    </row>
    <row r="148" spans="2:15" x14ac:dyDescent="0.2">
      <c r="B148" s="177"/>
      <c r="C148" s="179"/>
      <c r="D148" s="177"/>
      <c r="E148" s="177"/>
      <c r="F148" s="177"/>
      <c r="G148" s="177"/>
      <c r="H148" s="177"/>
      <c r="I148" s="177"/>
      <c r="J148" s="177"/>
      <c r="K148" s="177"/>
      <c r="L148" s="177"/>
      <c r="M148" s="177"/>
      <c r="N148" s="177"/>
      <c r="O148" s="177"/>
    </row>
    <row r="149" spans="2:15" x14ac:dyDescent="0.2">
      <c r="B149" s="177"/>
      <c r="C149" s="179"/>
      <c r="D149" s="177"/>
      <c r="E149" s="177"/>
      <c r="F149" s="177"/>
      <c r="G149" s="177"/>
      <c r="H149" s="177"/>
      <c r="I149" s="177"/>
      <c r="J149" s="177"/>
      <c r="K149" s="177"/>
      <c r="L149" s="177"/>
      <c r="M149" s="177"/>
      <c r="N149" s="177"/>
      <c r="O149" s="177"/>
    </row>
    <row r="150" spans="2:15" x14ac:dyDescent="0.2">
      <c r="B150" s="177"/>
      <c r="C150" s="179"/>
      <c r="D150" s="177"/>
      <c r="E150" s="177"/>
      <c r="F150" s="177"/>
      <c r="G150" s="177"/>
      <c r="H150" s="177"/>
      <c r="I150" s="177"/>
      <c r="J150" s="177"/>
      <c r="K150" s="177"/>
      <c r="L150" s="177"/>
      <c r="M150" s="177"/>
      <c r="N150" s="177"/>
      <c r="O150" s="177"/>
    </row>
    <row r="151" spans="2:15" x14ac:dyDescent="0.2">
      <c r="B151" s="177"/>
      <c r="C151" s="179"/>
      <c r="D151" s="177"/>
      <c r="E151" s="177"/>
      <c r="F151" s="177"/>
      <c r="G151" s="177"/>
      <c r="H151" s="177"/>
      <c r="I151" s="177"/>
      <c r="J151" s="177"/>
      <c r="K151" s="177"/>
      <c r="L151" s="177"/>
      <c r="M151" s="177"/>
      <c r="N151" s="177"/>
      <c r="O151" s="177"/>
    </row>
    <row r="152" spans="2:15" x14ac:dyDescent="0.2">
      <c r="B152" s="177"/>
      <c r="C152" s="179"/>
      <c r="D152" s="177"/>
      <c r="E152" s="177"/>
      <c r="F152" s="177"/>
      <c r="G152" s="177"/>
      <c r="H152" s="177"/>
      <c r="I152" s="177"/>
      <c r="J152" s="177"/>
      <c r="K152" s="177"/>
      <c r="L152" s="177"/>
      <c r="M152" s="177"/>
      <c r="N152" s="177"/>
    </row>
    <row r="153" spans="2:15" x14ac:dyDescent="0.2">
      <c r="B153" s="177"/>
      <c r="C153" s="179"/>
      <c r="D153" s="177"/>
      <c r="E153" s="177"/>
      <c r="F153" s="177"/>
      <c r="G153" s="177"/>
      <c r="H153" s="177"/>
      <c r="I153" s="177"/>
      <c r="J153" s="177"/>
      <c r="K153" s="177"/>
      <c r="L153" s="177"/>
      <c r="M153" s="177"/>
      <c r="N153" s="177"/>
    </row>
  </sheetData>
  <mergeCells count="12">
    <mergeCell ref="C70:D70"/>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0" orientation="landscape" r:id="rId1"/>
  <headerFooter alignWithMargins="0">
    <oddFooter>&amp;L&amp;"Arial,Regular"&amp;8&amp;F&amp;C&amp;A&amp;R&amp;"Arial,Regular"Advice No. 18-xxxx
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0" transitionEvaluation="1">
    <pageSetUpPr fitToPage="1"/>
  </sheetPr>
  <dimension ref="A1:AJ139"/>
  <sheetViews>
    <sheetView showGridLines="0" zoomScaleNormal="100" workbookViewId="0">
      <pane xSplit="1" ySplit="16" topLeftCell="B20" activePane="bottomRight" state="frozen"/>
      <selection activeCell="B7" sqref="B7"/>
      <selection pane="topRight" activeCell="B7" sqref="B7"/>
      <selection pane="bottomLeft" activeCell="B7" sqref="B7"/>
      <selection pane="bottomRight" activeCell="L23" sqref="L23"/>
    </sheetView>
  </sheetViews>
  <sheetFormatPr defaultColWidth="13.28515625" defaultRowHeight="11.25" x14ac:dyDescent="0.2"/>
  <cols>
    <col min="1" max="1" width="7.28515625" style="99" bestFit="1" customWidth="1"/>
    <col min="2" max="2" width="8" style="99" bestFit="1" customWidth="1"/>
    <col min="3" max="3" width="11" style="99" bestFit="1" customWidth="1"/>
    <col min="4" max="4" width="11.140625" style="99" bestFit="1" customWidth="1"/>
    <col min="5" max="5" width="9.5703125" style="99" bestFit="1" customWidth="1"/>
    <col min="6" max="6" width="7.28515625" style="99" bestFit="1" customWidth="1"/>
    <col min="7" max="7" width="9.140625" style="99" bestFit="1" customWidth="1"/>
    <col min="8" max="8" width="8" style="99" bestFit="1" customWidth="1"/>
    <col min="9" max="9" width="9.5703125" style="99" bestFit="1" customWidth="1"/>
    <col min="10" max="10" width="7.85546875" style="99" bestFit="1" customWidth="1"/>
    <col min="11" max="11" width="7.28515625" style="99" bestFit="1" customWidth="1"/>
    <col min="12" max="12" width="9.5703125" style="99" bestFit="1" customWidth="1"/>
    <col min="13" max="13" width="6.5703125" style="99" bestFit="1" customWidth="1"/>
    <col min="14" max="14" width="37.28515625" style="99" bestFit="1" customWidth="1"/>
    <col min="15" max="15" width="9.28515625" style="99" bestFit="1" customWidth="1"/>
    <col min="16" max="22" width="13.28515625" style="99"/>
    <col min="23" max="23" width="1.7109375" style="99" bestFit="1" customWidth="1"/>
    <col min="24" max="25" width="15.5703125" style="99" customWidth="1"/>
    <col min="26" max="200" width="13.28515625" style="99"/>
    <col min="201" max="201" width="83" style="99" customWidth="1"/>
    <col min="202" max="16384" width="13.28515625" style="99"/>
  </cols>
  <sheetData>
    <row r="1" spans="1:25" ht="12" thickBot="1" x14ac:dyDescent="0.25">
      <c r="A1" s="267" t="s">
        <v>142</v>
      </c>
      <c r="B1" s="267"/>
      <c r="C1" s="267"/>
      <c r="D1" s="267"/>
      <c r="E1" s="267"/>
      <c r="F1" s="267"/>
      <c r="G1" s="267"/>
      <c r="H1" s="101"/>
      <c r="I1" s="101"/>
      <c r="J1" s="101"/>
      <c r="K1" s="101"/>
      <c r="L1" s="101"/>
      <c r="M1" s="101"/>
      <c r="Q1" s="134"/>
      <c r="R1" s="134"/>
      <c r="S1" s="134"/>
      <c r="W1" s="135" t="s">
        <v>14</v>
      </c>
    </row>
    <row r="2" spans="1:25" ht="14.45" customHeight="1" thickBot="1" x14ac:dyDescent="0.25">
      <c r="A2" s="267" t="s">
        <v>30</v>
      </c>
      <c r="B2" s="267"/>
      <c r="C2" s="267"/>
      <c r="D2" s="267"/>
      <c r="E2" s="267"/>
      <c r="F2" s="267"/>
      <c r="G2" s="267"/>
      <c r="H2" s="101"/>
      <c r="I2" s="269" t="s">
        <v>45</v>
      </c>
      <c r="J2" s="270"/>
      <c r="K2" s="270"/>
      <c r="L2" s="271"/>
      <c r="Q2" s="134"/>
      <c r="R2" s="134"/>
      <c r="S2" s="134"/>
      <c r="W2" s="135" t="s">
        <v>14</v>
      </c>
    </row>
    <row r="3" spans="1:25" x14ac:dyDescent="0.2">
      <c r="A3" s="137"/>
      <c r="B3" s="137"/>
      <c r="C3" s="137"/>
      <c r="D3" s="137"/>
      <c r="E3" s="137"/>
      <c r="F3" s="137"/>
      <c r="G3" s="101"/>
      <c r="H3" s="101"/>
      <c r="I3" s="138" t="s">
        <v>27</v>
      </c>
      <c r="J3" s="139">
        <f>+'LvlFCR Land'!J2</f>
        <v>0.51500000000000001</v>
      </c>
      <c r="K3" s="140">
        <f>+'LvlFCR Land'!K2</f>
        <v>5.4951456310679617E-2</v>
      </c>
      <c r="L3" s="211">
        <f>+'LvlFCR Land'!L2</f>
        <v>2.8299999999999999E-2</v>
      </c>
      <c r="Q3" s="134"/>
      <c r="R3" s="134"/>
      <c r="S3" s="134"/>
      <c r="W3" s="135"/>
    </row>
    <row r="4" spans="1:25" x14ac:dyDescent="0.2">
      <c r="A4" s="137"/>
      <c r="B4" s="137"/>
      <c r="C4" s="137"/>
      <c r="D4" s="137"/>
      <c r="E4" s="137"/>
      <c r="F4" s="137"/>
      <c r="G4" s="101"/>
      <c r="H4" s="101"/>
      <c r="I4" s="138" t="s">
        <v>26</v>
      </c>
      <c r="J4" s="139">
        <f>+'LvlFCR Land'!J3</f>
        <v>0</v>
      </c>
      <c r="K4" s="140">
        <f>+'LvlFCR Land'!K3</f>
        <v>0</v>
      </c>
      <c r="L4" s="211">
        <f>+'LvlFCR Land'!L3</f>
        <v>0</v>
      </c>
      <c r="Q4" s="134"/>
      <c r="R4" s="134"/>
      <c r="S4" s="134"/>
      <c r="W4" s="135"/>
    </row>
    <row r="5" spans="1:25" x14ac:dyDescent="0.2">
      <c r="A5" s="101"/>
      <c r="B5" s="101"/>
      <c r="C5" s="101"/>
      <c r="D5" s="101"/>
      <c r="E5" s="212"/>
      <c r="F5" s="101"/>
      <c r="G5" s="101"/>
      <c r="H5" s="101"/>
      <c r="I5" s="144" t="s">
        <v>33</v>
      </c>
      <c r="J5" s="145">
        <f>SUM(J3:J4)</f>
        <v>0.51500000000000001</v>
      </c>
      <c r="K5" s="146"/>
      <c r="L5" s="147">
        <f>SUM(L3:L4)</f>
        <v>2.8299999999999999E-2</v>
      </c>
      <c r="Q5" s="134"/>
      <c r="R5" s="134"/>
      <c r="S5" s="134"/>
      <c r="W5" s="135" t="s">
        <v>14</v>
      </c>
      <c r="X5" s="134"/>
      <c r="Y5" s="134"/>
    </row>
    <row r="6" spans="1:25" x14ac:dyDescent="0.2">
      <c r="A6" s="101"/>
      <c r="B6" s="101"/>
      <c r="C6" s="101"/>
      <c r="D6" s="101"/>
      <c r="E6" s="101"/>
      <c r="F6" s="101"/>
      <c r="G6" s="101"/>
      <c r="H6" s="101"/>
      <c r="I6" s="144" t="s">
        <v>24</v>
      </c>
      <c r="J6" s="139">
        <f>+'LvlFCR Land'!J5</f>
        <v>0</v>
      </c>
      <c r="K6" s="140">
        <f>+'LvlFCR Land'!K5</f>
        <v>0</v>
      </c>
      <c r="L6" s="211">
        <f>+'LvlFCR Land'!L5</f>
        <v>0</v>
      </c>
      <c r="Q6" s="134"/>
      <c r="R6" s="134"/>
      <c r="S6" s="134"/>
      <c r="W6" s="135" t="s">
        <v>14</v>
      </c>
      <c r="X6" s="134"/>
      <c r="Y6" s="134"/>
    </row>
    <row r="7" spans="1:25" x14ac:dyDescent="0.2">
      <c r="A7" s="101"/>
      <c r="B7" s="101"/>
      <c r="C7" s="273" t="s">
        <v>23</v>
      </c>
      <c r="D7" s="273"/>
      <c r="E7" s="213">
        <f>L56</f>
        <v>108309.42168514064</v>
      </c>
      <c r="F7" s="101"/>
      <c r="G7" s="101"/>
      <c r="H7" s="101"/>
      <c r="I7" s="144" t="s">
        <v>22</v>
      </c>
      <c r="J7" s="139">
        <f>+'LvlFCR Land'!J6</f>
        <v>0.48499999999999999</v>
      </c>
      <c r="K7" s="140">
        <f>+'LvlFCR Land'!K6</f>
        <v>9.4E-2</v>
      </c>
      <c r="L7" s="211">
        <f>+'LvlFCR Land'!L6</f>
        <v>4.5600000000000002E-2</v>
      </c>
      <c r="Q7" s="134"/>
      <c r="R7" s="134"/>
      <c r="S7" s="134"/>
      <c r="W7" s="135" t="s">
        <v>14</v>
      </c>
      <c r="X7" s="134"/>
      <c r="Y7" s="134"/>
    </row>
    <row r="8" spans="1:25" x14ac:dyDescent="0.2">
      <c r="A8" s="101"/>
      <c r="B8" s="101"/>
      <c r="C8" s="273" t="s">
        <v>21</v>
      </c>
      <c r="D8" s="273"/>
      <c r="E8" s="213">
        <f>PMT(L9,H12,-E7)</f>
        <v>8723.4376825869931</v>
      </c>
      <c r="F8" s="101"/>
      <c r="G8" s="101"/>
      <c r="H8" s="101"/>
      <c r="I8" s="148"/>
      <c r="J8" s="149"/>
      <c r="K8" s="149"/>
      <c r="L8" s="141" t="s">
        <v>13</v>
      </c>
      <c r="W8" s="135" t="s">
        <v>14</v>
      </c>
      <c r="X8" s="134"/>
      <c r="Y8" s="134"/>
    </row>
    <row r="9" spans="1:25" ht="15" customHeight="1" thickBot="1" x14ac:dyDescent="0.25">
      <c r="A9" s="101"/>
      <c r="B9" s="101"/>
      <c r="C9" s="273" t="s">
        <v>20</v>
      </c>
      <c r="D9" s="273"/>
      <c r="E9" s="214">
        <f>($E$8/$D$12)*100</f>
        <v>8.7234376825869937</v>
      </c>
      <c r="F9" s="101"/>
      <c r="G9" s="101"/>
      <c r="H9" s="101"/>
      <c r="I9" s="259" t="s">
        <v>19</v>
      </c>
      <c r="J9" s="260"/>
      <c r="K9" s="260"/>
      <c r="L9" s="152">
        <f>L7+L6+L5</f>
        <v>7.3899999999999993E-2</v>
      </c>
      <c r="Q9" s="134"/>
      <c r="R9" s="134"/>
      <c r="S9" s="134"/>
      <c r="W9" s="135" t="s">
        <v>14</v>
      </c>
      <c r="X9" s="134"/>
      <c r="Y9" s="134"/>
    </row>
    <row r="10" spans="1:25" x14ac:dyDescent="0.2">
      <c r="A10" s="101"/>
      <c r="B10" s="101"/>
      <c r="C10" s="101"/>
      <c r="D10" s="101"/>
      <c r="E10" s="101"/>
      <c r="F10" s="101"/>
      <c r="G10" s="101"/>
      <c r="H10" s="101"/>
      <c r="I10" s="101"/>
      <c r="J10" s="101"/>
      <c r="K10" s="101"/>
      <c r="L10" s="101"/>
      <c r="M10" s="101"/>
      <c r="Q10" s="134"/>
      <c r="R10" s="134"/>
      <c r="S10" s="134"/>
      <c r="W10" s="135" t="s">
        <v>14</v>
      </c>
      <c r="X10" s="134"/>
      <c r="Y10" s="134"/>
    </row>
    <row r="11" spans="1:25" x14ac:dyDescent="0.2">
      <c r="A11" s="101"/>
      <c r="B11" s="101"/>
      <c r="C11" s="153" t="s">
        <v>18</v>
      </c>
      <c r="D11" s="215">
        <v>12</v>
      </c>
      <c r="E11" s="101"/>
      <c r="F11" s="101"/>
      <c r="G11" s="101"/>
      <c r="H11" s="155">
        <f>+'Lvl FCR Sub Equip'!H11</f>
        <v>4.0000000000000002E-4</v>
      </c>
      <c r="I11" s="268" t="s">
        <v>28</v>
      </c>
      <c r="J11" s="268"/>
      <c r="K11" s="268"/>
      <c r="L11" s="268"/>
      <c r="M11" s="268"/>
      <c r="N11" s="156"/>
      <c r="Q11" s="134"/>
      <c r="R11" s="134"/>
      <c r="S11" s="134"/>
      <c r="W11" s="135" t="s">
        <v>14</v>
      </c>
      <c r="X11" s="134"/>
      <c r="Y11" s="134"/>
    </row>
    <row r="12" spans="1:25" x14ac:dyDescent="0.2">
      <c r="A12" s="101"/>
      <c r="B12" s="101"/>
      <c r="C12" s="153" t="s">
        <v>16</v>
      </c>
      <c r="D12" s="157">
        <v>100000</v>
      </c>
      <c r="E12" s="213"/>
      <c r="F12" s="153"/>
      <c r="G12" s="215"/>
      <c r="H12" s="158">
        <f>+'Sub &amp; Feeder Depr Life'!AB18</f>
        <v>35</v>
      </c>
      <c r="I12" s="268" t="s">
        <v>40</v>
      </c>
      <c r="J12" s="268"/>
      <c r="K12" s="268"/>
      <c r="L12" s="268"/>
      <c r="M12" s="268"/>
      <c r="W12" s="135" t="s">
        <v>14</v>
      </c>
      <c r="X12" s="134"/>
      <c r="Y12" s="134"/>
    </row>
    <row r="13" spans="1:25" x14ac:dyDescent="0.2">
      <c r="A13" s="101"/>
      <c r="B13" s="101"/>
      <c r="C13" s="159" t="s">
        <v>15</v>
      </c>
      <c r="D13" s="213">
        <f>D12</f>
        <v>100000</v>
      </c>
      <c r="E13" s="213"/>
      <c r="F13" s="101"/>
      <c r="G13" s="216"/>
      <c r="H13" s="161">
        <f>+'Lvl FCR Sub Equip'!H13</f>
        <v>0.24861900000000003</v>
      </c>
      <c r="I13" s="268" t="s">
        <v>43</v>
      </c>
      <c r="J13" s="268"/>
      <c r="K13" s="268"/>
      <c r="L13" s="268"/>
      <c r="M13" s="268"/>
      <c r="W13" s="135" t="s">
        <v>14</v>
      </c>
      <c r="X13" s="134"/>
      <c r="Y13" s="134"/>
    </row>
    <row r="14" spans="1:25" x14ac:dyDescent="0.2">
      <c r="A14" s="101"/>
      <c r="B14" s="101"/>
      <c r="C14" s="153" t="s">
        <v>17</v>
      </c>
      <c r="D14" s="213">
        <f>D12</f>
        <v>100000</v>
      </c>
      <c r="E14" s="101"/>
      <c r="F14" s="101"/>
      <c r="G14" s="101"/>
      <c r="H14" s="161">
        <f>+'Lvl FCR Sub Equip'!H14</f>
        <v>0.21</v>
      </c>
      <c r="I14" s="268" t="s">
        <v>41</v>
      </c>
      <c r="J14" s="268"/>
      <c r="K14" s="268"/>
      <c r="L14" s="268"/>
      <c r="M14" s="268"/>
      <c r="N14" s="162"/>
      <c r="O14" s="274"/>
      <c r="P14" s="274"/>
      <c r="Q14" s="274"/>
    </row>
    <row r="15" spans="1:25" x14ac:dyDescent="0.2">
      <c r="A15" s="101"/>
      <c r="B15" s="101"/>
      <c r="C15" s="100"/>
      <c r="D15" s="101"/>
      <c r="E15" s="101"/>
      <c r="F15" s="101"/>
      <c r="G15" s="101"/>
      <c r="H15" s="217"/>
      <c r="I15" s="218"/>
      <c r="J15" s="218"/>
      <c r="K15" s="218"/>
      <c r="L15" s="218"/>
      <c r="M15" s="218"/>
      <c r="N15" s="162"/>
      <c r="O15" s="219"/>
      <c r="P15" s="219"/>
      <c r="Q15" s="219"/>
    </row>
    <row r="16" spans="1:25" ht="23.25" thickBot="1" x14ac:dyDescent="0.25">
      <c r="A16" s="165" t="s">
        <v>46</v>
      </c>
      <c r="B16" s="165" t="s">
        <v>47</v>
      </c>
      <c r="C16" s="165" t="s">
        <v>56</v>
      </c>
      <c r="D16" s="165" t="s">
        <v>48</v>
      </c>
      <c r="E16" s="165" t="s">
        <v>58</v>
      </c>
      <c r="F16" s="165" t="s">
        <v>55</v>
      </c>
      <c r="G16" s="165" t="s">
        <v>49</v>
      </c>
      <c r="H16" s="165" t="s">
        <v>50</v>
      </c>
      <c r="I16" s="165" t="s">
        <v>57</v>
      </c>
      <c r="J16" s="165" t="s">
        <v>51</v>
      </c>
      <c r="K16" s="165" t="s">
        <v>52</v>
      </c>
      <c r="L16" s="165" t="s">
        <v>53</v>
      </c>
      <c r="M16" s="165" t="s">
        <v>54</v>
      </c>
      <c r="O16" s="274"/>
      <c r="P16" s="274"/>
      <c r="Q16" s="274"/>
    </row>
    <row r="17" spans="1:36" x14ac:dyDescent="0.2">
      <c r="A17" s="178">
        <v>1</v>
      </c>
      <c r="B17" s="220">
        <f>D12</f>
        <v>100000</v>
      </c>
      <c r="C17" s="221">
        <v>3.7999999999999999E-2</v>
      </c>
      <c r="D17" s="222">
        <f>D12</f>
        <v>100000</v>
      </c>
      <c r="E17" s="222">
        <f t="shared" ref="E17:E50" si="0">D$13*C17</f>
        <v>3800</v>
      </c>
      <c r="F17" s="223">
        <f t="shared" ref="F17:F50" si="1">H$14*(E17-I17*D$13/D$12)</f>
        <v>197.99999999999994</v>
      </c>
      <c r="G17" s="222">
        <f>L$5*D17*(D11/12)</f>
        <v>2830</v>
      </c>
      <c r="H17" s="222">
        <f>D17*(L$6+L$7)*(D11/12)</f>
        <v>4560</v>
      </c>
      <c r="I17" s="222">
        <f>(D11/12)*D$12/H$12</f>
        <v>2857.1428571428573</v>
      </c>
      <c r="J17" s="222">
        <f t="shared" ref="J17:J50" si="2">+B17*$H$11</f>
        <v>40</v>
      </c>
      <c r="K17" s="222">
        <f>(H$13/(1-$H$13))*(H17+I17-E17+F17+J17)</f>
        <v>1275.6002108118253</v>
      </c>
      <c r="L17" s="222">
        <f t="shared" ref="L17:L50" si="3">SUM(F17:K17)</f>
        <v>11760.743067954681</v>
      </c>
      <c r="M17" s="224">
        <f>NPV($L$9,L17:L26)</f>
        <v>72241.992289360278</v>
      </c>
      <c r="O17" s="274"/>
      <c r="P17" s="274"/>
      <c r="Q17" s="274"/>
    </row>
    <row r="18" spans="1:36" x14ac:dyDescent="0.2">
      <c r="A18" s="178">
        <f t="shared" ref="A18:A52" si="4">A17+1</f>
        <v>2</v>
      </c>
      <c r="B18" s="220">
        <f t="shared" ref="B18:B50" si="5">B17-I17</f>
        <v>97142.857142857145</v>
      </c>
      <c r="C18" s="221">
        <v>7.1999999999999995E-2</v>
      </c>
      <c r="D18" s="222">
        <f t="shared" ref="D18:D50" si="6">D17-F17-I17</f>
        <v>96944.857142857145</v>
      </c>
      <c r="E18" s="222">
        <f t="shared" si="0"/>
        <v>7199.9999999999991</v>
      </c>
      <c r="F18" s="225">
        <f t="shared" si="1"/>
        <v>911.99999999999966</v>
      </c>
      <c r="G18" s="222">
        <f t="shared" ref="G18:G51" si="7">L$5*D18</f>
        <v>2743.5394571428569</v>
      </c>
      <c r="H18" s="222">
        <f t="shared" ref="H18:H51" si="8">D18*(L$6+L$7)</f>
        <v>4420.6854857142862</v>
      </c>
      <c r="I18" s="222">
        <f t="shared" ref="I18:I50" si="9">D$12/H$12</f>
        <v>2857.1428571428573</v>
      </c>
      <c r="J18" s="222">
        <f t="shared" si="2"/>
        <v>38.857142857142861</v>
      </c>
      <c r="K18" s="222">
        <f t="shared" ref="K18:K50" si="10">(H$13/(1-H$13))*(H18+I18-E18+F18+J18)</f>
        <v>340.3742665475973</v>
      </c>
      <c r="L18" s="222">
        <f t="shared" si="3"/>
        <v>11312.59920940474</v>
      </c>
      <c r="M18" s="224">
        <f t="shared" ref="M18:M42" si="11">NPV($L$9,L18:L27)</f>
        <v>70086.967666361437</v>
      </c>
      <c r="O18" s="274"/>
      <c r="P18" s="274"/>
      <c r="Q18" s="274"/>
    </row>
    <row r="19" spans="1:36" x14ac:dyDescent="0.2">
      <c r="A19" s="178">
        <f t="shared" si="4"/>
        <v>3</v>
      </c>
      <c r="B19" s="220">
        <f t="shared" si="5"/>
        <v>94285.71428571429</v>
      </c>
      <c r="C19" s="221">
        <v>6.7000000000000004E-2</v>
      </c>
      <c r="D19" s="222">
        <f t="shared" si="6"/>
        <v>93175.71428571429</v>
      </c>
      <c r="E19" s="222">
        <f t="shared" si="0"/>
        <v>6700</v>
      </c>
      <c r="F19" s="225">
        <f t="shared" si="1"/>
        <v>806.99999999999989</v>
      </c>
      <c r="G19" s="222">
        <f t="shared" si="7"/>
        <v>2636.8727142857142</v>
      </c>
      <c r="H19" s="222">
        <f t="shared" si="8"/>
        <v>4248.8125714285716</v>
      </c>
      <c r="I19" s="222">
        <f t="shared" si="9"/>
        <v>2857.1428571428573</v>
      </c>
      <c r="J19" s="222">
        <f t="shared" si="2"/>
        <v>37.714285714285715</v>
      </c>
      <c r="K19" s="222">
        <f t="shared" si="10"/>
        <v>413.8250151334679</v>
      </c>
      <c r="L19" s="222">
        <f t="shared" si="3"/>
        <v>11001.367443704898</v>
      </c>
      <c r="M19" s="224">
        <f t="shared" si="11"/>
        <v>68080.404768308828</v>
      </c>
      <c r="O19" s="109"/>
      <c r="P19" s="131"/>
      <c r="Q19" s="171"/>
    </row>
    <row r="20" spans="1:36" x14ac:dyDescent="0.2">
      <c r="A20" s="178">
        <f t="shared" si="4"/>
        <v>4</v>
      </c>
      <c r="B20" s="220">
        <f t="shared" si="5"/>
        <v>91428.571428571435</v>
      </c>
      <c r="C20" s="221">
        <v>6.2E-2</v>
      </c>
      <c r="D20" s="222">
        <f t="shared" si="6"/>
        <v>89511.571428571435</v>
      </c>
      <c r="E20" s="222">
        <f t="shared" si="0"/>
        <v>6200</v>
      </c>
      <c r="F20" s="225">
        <f t="shared" si="1"/>
        <v>701.99999999999989</v>
      </c>
      <c r="G20" s="222">
        <f t="shared" si="7"/>
        <v>2533.1774714285716</v>
      </c>
      <c r="H20" s="222">
        <f t="shared" si="8"/>
        <v>4081.7276571428574</v>
      </c>
      <c r="I20" s="222">
        <f t="shared" si="9"/>
        <v>2857.1428571428573</v>
      </c>
      <c r="J20" s="222">
        <f t="shared" si="2"/>
        <v>36.571428571428577</v>
      </c>
      <c r="K20" s="222">
        <f t="shared" si="10"/>
        <v>488.86003025256173</v>
      </c>
      <c r="L20" s="222">
        <f t="shared" si="3"/>
        <v>10699.479444538276</v>
      </c>
      <c r="M20" s="224">
        <f t="shared" si="11"/>
        <v>66096.362823825868</v>
      </c>
      <c r="O20" s="109"/>
      <c r="P20" s="131"/>
      <c r="Q20" s="171"/>
    </row>
    <row r="21" spans="1:36" x14ac:dyDescent="0.2">
      <c r="A21" s="178">
        <f t="shared" si="4"/>
        <v>5</v>
      </c>
      <c r="B21" s="220">
        <f t="shared" si="5"/>
        <v>88571.42857142858</v>
      </c>
      <c r="C21" s="221">
        <v>5.7000000000000002E-2</v>
      </c>
      <c r="D21" s="222">
        <f t="shared" si="6"/>
        <v>85952.42857142858</v>
      </c>
      <c r="E21" s="222">
        <f t="shared" si="0"/>
        <v>5700</v>
      </c>
      <c r="F21" s="225">
        <f t="shared" si="1"/>
        <v>596.99999999999989</v>
      </c>
      <c r="G21" s="222">
        <f t="shared" si="7"/>
        <v>2432.4537285714287</v>
      </c>
      <c r="H21" s="222">
        <f t="shared" si="8"/>
        <v>3919.4307428571433</v>
      </c>
      <c r="I21" s="222">
        <f t="shared" si="9"/>
        <v>2857.1428571428573</v>
      </c>
      <c r="J21" s="222">
        <f t="shared" si="2"/>
        <v>35.428571428571431</v>
      </c>
      <c r="K21" s="222">
        <f t="shared" si="10"/>
        <v>565.47931190487941</v>
      </c>
      <c r="L21" s="222">
        <f t="shared" si="3"/>
        <v>10406.935211904878</v>
      </c>
      <c r="M21" s="224">
        <f t="shared" si="11"/>
        <v>64127.16236484806</v>
      </c>
      <c r="O21" s="109"/>
      <c r="P21" s="131"/>
      <c r="Q21" s="171"/>
    </row>
    <row r="22" spans="1:36" x14ac:dyDescent="0.2">
      <c r="A22" s="178">
        <f t="shared" si="4"/>
        <v>6</v>
      </c>
      <c r="B22" s="220">
        <f t="shared" si="5"/>
        <v>85714.285714285725</v>
      </c>
      <c r="C22" s="221">
        <v>5.2999999999999999E-2</v>
      </c>
      <c r="D22" s="222">
        <f t="shared" si="6"/>
        <v>82498.285714285725</v>
      </c>
      <c r="E22" s="222">
        <f t="shared" si="0"/>
        <v>5300</v>
      </c>
      <c r="F22" s="225">
        <f t="shared" si="1"/>
        <v>512.99999999999989</v>
      </c>
      <c r="G22" s="222">
        <f t="shared" si="7"/>
        <v>2334.7014857142858</v>
      </c>
      <c r="H22" s="222">
        <f t="shared" si="8"/>
        <v>3761.9218285714292</v>
      </c>
      <c r="I22" s="222">
        <f t="shared" si="9"/>
        <v>2857.1428571428573</v>
      </c>
      <c r="J22" s="222">
        <f t="shared" si="2"/>
        <v>34.285714285714292</v>
      </c>
      <c r="K22" s="222">
        <f t="shared" si="10"/>
        <v>617.54312405770202</v>
      </c>
      <c r="L22" s="222">
        <f t="shared" si="3"/>
        <v>10118.595009771987</v>
      </c>
      <c r="M22" s="224">
        <f t="shared" si="11"/>
        <v>62164.556410621102</v>
      </c>
      <c r="O22" s="109"/>
      <c r="P22" s="131"/>
      <c r="Q22" s="171"/>
    </row>
    <row r="23" spans="1:36" x14ac:dyDescent="0.2">
      <c r="A23" s="178">
        <f t="shared" si="4"/>
        <v>7</v>
      </c>
      <c r="B23" s="220">
        <f t="shared" si="5"/>
        <v>82857.14285714287</v>
      </c>
      <c r="C23" s="221">
        <v>4.9000000000000002E-2</v>
      </c>
      <c r="D23" s="222">
        <f t="shared" si="6"/>
        <v>79128.14285714287</v>
      </c>
      <c r="E23" s="222">
        <f t="shared" si="0"/>
        <v>4900</v>
      </c>
      <c r="F23" s="225">
        <f t="shared" si="1"/>
        <v>428.99999999999994</v>
      </c>
      <c r="G23" s="222">
        <f t="shared" si="7"/>
        <v>2239.3264428571433</v>
      </c>
      <c r="H23" s="222">
        <f t="shared" si="8"/>
        <v>3608.2433142857149</v>
      </c>
      <c r="I23" s="222">
        <f t="shared" si="9"/>
        <v>2857.1428571428573</v>
      </c>
      <c r="J23" s="222">
        <f t="shared" si="2"/>
        <v>33.142857142857146</v>
      </c>
      <c r="K23" s="222">
        <f t="shared" si="10"/>
        <v>670.87434943710343</v>
      </c>
      <c r="L23" s="222">
        <f t="shared" si="3"/>
        <v>9837.7298208656757</v>
      </c>
      <c r="M23" s="224">
        <f t="shared" si="11"/>
        <v>60204.828264545533</v>
      </c>
      <c r="O23" s="109"/>
      <c r="P23" s="131"/>
      <c r="Q23" s="171"/>
    </row>
    <row r="24" spans="1:36" x14ac:dyDescent="0.2">
      <c r="A24" s="178">
        <f t="shared" si="4"/>
        <v>8</v>
      </c>
      <c r="B24" s="220">
        <f t="shared" si="5"/>
        <v>80000.000000000015</v>
      </c>
      <c r="C24" s="221">
        <v>4.4999999999999998E-2</v>
      </c>
      <c r="D24" s="222">
        <f t="shared" si="6"/>
        <v>75842.000000000015</v>
      </c>
      <c r="E24" s="222">
        <f t="shared" si="0"/>
        <v>4500</v>
      </c>
      <c r="F24" s="225">
        <f t="shared" si="1"/>
        <v>344.99999999999994</v>
      </c>
      <c r="G24" s="222">
        <f t="shared" si="7"/>
        <v>2146.3286000000003</v>
      </c>
      <c r="H24" s="222">
        <f t="shared" si="8"/>
        <v>3458.3952000000008</v>
      </c>
      <c r="I24" s="222">
        <f t="shared" si="9"/>
        <v>2857.1428571428573</v>
      </c>
      <c r="J24" s="222">
        <f t="shared" si="2"/>
        <v>32.000000000000007</v>
      </c>
      <c r="K24" s="222">
        <f t="shared" si="10"/>
        <v>725.47298804308366</v>
      </c>
      <c r="L24" s="222">
        <f t="shared" si="3"/>
        <v>9564.3396451859426</v>
      </c>
      <c r="M24" s="224">
        <f t="shared" si="11"/>
        <v>58240.715583417179</v>
      </c>
      <c r="O24" s="109"/>
      <c r="P24" s="131"/>
      <c r="Q24" s="171"/>
    </row>
    <row r="25" spans="1:36" x14ac:dyDescent="0.2">
      <c r="A25" s="178">
        <f t="shared" si="4"/>
        <v>9</v>
      </c>
      <c r="B25" s="220">
        <f t="shared" si="5"/>
        <v>77142.857142857159</v>
      </c>
      <c r="C25" s="221">
        <v>4.4999999999999998E-2</v>
      </c>
      <c r="D25" s="222">
        <f t="shared" si="6"/>
        <v>72639.857142857159</v>
      </c>
      <c r="E25" s="222">
        <f t="shared" si="0"/>
        <v>4500</v>
      </c>
      <c r="F25" s="225">
        <f t="shared" si="1"/>
        <v>344.99999999999994</v>
      </c>
      <c r="G25" s="222">
        <f t="shared" si="7"/>
        <v>2055.7079571428576</v>
      </c>
      <c r="H25" s="222">
        <f t="shared" si="8"/>
        <v>3312.3774857142866</v>
      </c>
      <c r="I25" s="222">
        <f t="shared" si="9"/>
        <v>2857.1428571428573</v>
      </c>
      <c r="J25" s="222">
        <f t="shared" si="2"/>
        <v>30.857142857142865</v>
      </c>
      <c r="K25" s="222">
        <f t="shared" si="10"/>
        <v>676.78009574476914</v>
      </c>
      <c r="L25" s="222">
        <f t="shared" si="3"/>
        <v>9277.8655386019127</v>
      </c>
      <c r="M25" s="224">
        <f t="shared" si="11"/>
        <v>56264.419336869054</v>
      </c>
      <c r="O25" s="109"/>
      <c r="P25" s="131"/>
      <c r="Q25" s="171"/>
    </row>
    <row r="26" spans="1:36" x14ac:dyDescent="0.2">
      <c r="A26" s="178">
        <f t="shared" si="4"/>
        <v>10</v>
      </c>
      <c r="B26" s="220">
        <f t="shared" si="5"/>
        <v>74285.714285714304</v>
      </c>
      <c r="C26" s="221">
        <v>4.4999999999999998E-2</v>
      </c>
      <c r="D26" s="222">
        <f t="shared" si="6"/>
        <v>69437.714285714304</v>
      </c>
      <c r="E26" s="222">
        <f t="shared" si="0"/>
        <v>4500</v>
      </c>
      <c r="F26" s="225">
        <f t="shared" si="1"/>
        <v>344.99999999999994</v>
      </c>
      <c r="G26" s="222">
        <f t="shared" si="7"/>
        <v>1965.0873142857147</v>
      </c>
      <c r="H26" s="222">
        <f t="shared" si="8"/>
        <v>3166.3597714285725</v>
      </c>
      <c r="I26" s="222">
        <f t="shared" si="9"/>
        <v>2857.1428571428573</v>
      </c>
      <c r="J26" s="222">
        <f t="shared" si="2"/>
        <v>29.714285714285722</v>
      </c>
      <c r="K26" s="222">
        <f t="shared" si="10"/>
        <v>628.08720344645462</v>
      </c>
      <c r="L26" s="222">
        <f t="shared" si="3"/>
        <v>8991.3914320178847</v>
      </c>
      <c r="M26" s="224">
        <f t="shared" si="11"/>
        <v>54288.123090320929</v>
      </c>
      <c r="O26" s="109"/>
      <c r="P26" s="131"/>
      <c r="Q26" s="171"/>
      <c r="R26" s="172"/>
      <c r="S26" s="172"/>
      <c r="T26" s="172"/>
    </row>
    <row r="27" spans="1:36" x14ac:dyDescent="0.2">
      <c r="A27" s="178">
        <f t="shared" si="4"/>
        <v>11</v>
      </c>
      <c r="B27" s="220">
        <f t="shared" si="5"/>
        <v>71428.571428571449</v>
      </c>
      <c r="C27" s="221">
        <v>4.4999999999999998E-2</v>
      </c>
      <c r="D27" s="222">
        <f t="shared" si="6"/>
        <v>66235.571428571449</v>
      </c>
      <c r="E27" s="222">
        <f t="shared" si="0"/>
        <v>4500</v>
      </c>
      <c r="F27" s="225">
        <f t="shared" si="1"/>
        <v>344.99999999999994</v>
      </c>
      <c r="G27" s="222">
        <f t="shared" si="7"/>
        <v>1874.466671428572</v>
      </c>
      <c r="H27" s="222">
        <f t="shared" si="8"/>
        <v>3020.3420571428583</v>
      </c>
      <c r="I27" s="222">
        <f t="shared" si="9"/>
        <v>2857.1428571428573</v>
      </c>
      <c r="J27" s="222">
        <f t="shared" si="2"/>
        <v>28.57142857142858</v>
      </c>
      <c r="K27" s="222">
        <f t="shared" si="10"/>
        <v>579.39431114813976</v>
      </c>
      <c r="L27" s="222">
        <f t="shared" si="3"/>
        <v>8704.9173254338548</v>
      </c>
      <c r="M27" s="224">
        <f t="shared" si="11"/>
        <v>52311.826843772804</v>
      </c>
      <c r="O27" s="109"/>
      <c r="P27" s="131"/>
      <c r="Q27" s="171"/>
    </row>
    <row r="28" spans="1:36" x14ac:dyDescent="0.2">
      <c r="A28" s="178">
        <f t="shared" si="4"/>
        <v>12</v>
      </c>
      <c r="B28" s="220">
        <f t="shared" si="5"/>
        <v>68571.428571428594</v>
      </c>
      <c r="C28" s="221">
        <v>4.4999999999999998E-2</v>
      </c>
      <c r="D28" s="222">
        <f t="shared" si="6"/>
        <v>63033.428571428594</v>
      </c>
      <c r="E28" s="222">
        <f t="shared" si="0"/>
        <v>4500</v>
      </c>
      <c r="F28" s="225">
        <f t="shared" si="1"/>
        <v>344.99999999999994</v>
      </c>
      <c r="G28" s="222">
        <f t="shared" si="7"/>
        <v>1783.8460285714291</v>
      </c>
      <c r="H28" s="222">
        <f t="shared" si="8"/>
        <v>2874.3243428571441</v>
      </c>
      <c r="I28" s="222">
        <f t="shared" si="9"/>
        <v>2857.1428571428573</v>
      </c>
      <c r="J28" s="222">
        <f t="shared" si="2"/>
        <v>27.428571428571438</v>
      </c>
      <c r="K28" s="222">
        <f t="shared" si="10"/>
        <v>530.7014188498249</v>
      </c>
      <c r="L28" s="222">
        <f t="shared" si="3"/>
        <v>8418.4432188498267</v>
      </c>
      <c r="M28" s="224">
        <f t="shared" si="11"/>
        <v>50406.074652628908</v>
      </c>
      <c r="O28" s="109"/>
      <c r="P28" s="131"/>
      <c r="Q28" s="171"/>
    </row>
    <row r="29" spans="1:36" x14ac:dyDescent="0.2">
      <c r="A29" s="178">
        <f t="shared" si="4"/>
        <v>13</v>
      </c>
      <c r="B29" s="220">
        <f t="shared" si="5"/>
        <v>65714.285714285739</v>
      </c>
      <c r="C29" s="221">
        <v>4.4999999999999998E-2</v>
      </c>
      <c r="D29" s="222">
        <f t="shared" si="6"/>
        <v>59831.285714285739</v>
      </c>
      <c r="E29" s="222">
        <f t="shared" si="0"/>
        <v>4500</v>
      </c>
      <c r="F29" s="225">
        <f t="shared" si="1"/>
        <v>344.99999999999994</v>
      </c>
      <c r="G29" s="222">
        <f t="shared" si="7"/>
        <v>1693.2253857142864</v>
      </c>
      <c r="H29" s="222">
        <f t="shared" si="8"/>
        <v>2728.3066285714299</v>
      </c>
      <c r="I29" s="222">
        <f t="shared" si="9"/>
        <v>2857.1428571428573</v>
      </c>
      <c r="J29" s="222">
        <f t="shared" si="2"/>
        <v>26.285714285714295</v>
      </c>
      <c r="K29" s="222">
        <f t="shared" si="10"/>
        <v>482.00852655151039</v>
      </c>
      <c r="L29" s="222">
        <f t="shared" si="3"/>
        <v>8131.9691122657987</v>
      </c>
      <c r="M29" s="224">
        <f t="shared" si="11"/>
        <v>48574.015054103082</v>
      </c>
      <c r="O29" s="109"/>
      <c r="P29" s="131"/>
      <c r="Q29" s="171"/>
    </row>
    <row r="30" spans="1:36" x14ac:dyDescent="0.2">
      <c r="A30" s="178">
        <f t="shared" si="4"/>
        <v>14</v>
      </c>
      <c r="B30" s="220">
        <f t="shared" si="5"/>
        <v>62857.142857142884</v>
      </c>
      <c r="C30" s="221">
        <v>4.4999999999999998E-2</v>
      </c>
      <c r="D30" s="222">
        <f t="shared" si="6"/>
        <v>56629.142857142884</v>
      </c>
      <c r="E30" s="222">
        <f t="shared" si="0"/>
        <v>4500</v>
      </c>
      <c r="F30" s="225">
        <f t="shared" si="1"/>
        <v>344.99999999999994</v>
      </c>
      <c r="G30" s="222">
        <f t="shared" si="7"/>
        <v>1602.6047428571435</v>
      </c>
      <c r="H30" s="222">
        <f t="shared" si="8"/>
        <v>2582.2889142857157</v>
      </c>
      <c r="I30" s="222">
        <f t="shared" si="9"/>
        <v>2857.1428571428573</v>
      </c>
      <c r="J30" s="222">
        <f t="shared" si="2"/>
        <v>25.142857142857157</v>
      </c>
      <c r="K30" s="222">
        <f t="shared" si="10"/>
        <v>433.31563425319587</v>
      </c>
      <c r="L30" s="222">
        <f t="shared" si="3"/>
        <v>7845.4950056817697</v>
      </c>
      <c r="M30" s="224">
        <f t="shared" si="11"/>
        <v>46793.836259605363</v>
      </c>
      <c r="O30" s="109"/>
      <c r="P30" s="131"/>
      <c r="Q30" s="171"/>
    </row>
    <row r="31" spans="1:36" x14ac:dyDescent="0.2">
      <c r="A31" s="178">
        <f t="shared" si="4"/>
        <v>15</v>
      </c>
      <c r="B31" s="220">
        <f t="shared" si="5"/>
        <v>60000.000000000029</v>
      </c>
      <c r="C31" s="221">
        <v>4.4999999999999998E-2</v>
      </c>
      <c r="D31" s="222">
        <f t="shared" si="6"/>
        <v>53427.000000000029</v>
      </c>
      <c r="E31" s="222">
        <f t="shared" si="0"/>
        <v>4500</v>
      </c>
      <c r="F31" s="225">
        <f t="shared" si="1"/>
        <v>344.99999999999994</v>
      </c>
      <c r="G31" s="222">
        <f t="shared" si="7"/>
        <v>1511.9841000000008</v>
      </c>
      <c r="H31" s="222">
        <f t="shared" si="8"/>
        <v>2436.2712000000015</v>
      </c>
      <c r="I31" s="222">
        <f t="shared" si="9"/>
        <v>2857.1428571428573</v>
      </c>
      <c r="J31" s="222">
        <f t="shared" si="2"/>
        <v>24.000000000000014</v>
      </c>
      <c r="K31" s="222">
        <f t="shared" si="10"/>
        <v>384.62274195488101</v>
      </c>
      <c r="L31" s="222">
        <f t="shared" si="3"/>
        <v>7559.0208990977408</v>
      </c>
      <c r="M31" s="224">
        <f t="shared" si="11"/>
        <v>45069.372260553449</v>
      </c>
      <c r="O31" s="109"/>
      <c r="P31" s="131"/>
      <c r="Q31" s="171"/>
    </row>
    <row r="32" spans="1:36" x14ac:dyDescent="0.2">
      <c r="A32" s="178">
        <f t="shared" si="4"/>
        <v>16</v>
      </c>
      <c r="B32" s="220">
        <f t="shared" si="5"/>
        <v>57142.857142857174</v>
      </c>
      <c r="C32" s="221">
        <v>4.4999999999999998E-2</v>
      </c>
      <c r="D32" s="222">
        <f t="shared" si="6"/>
        <v>50224.857142857174</v>
      </c>
      <c r="E32" s="222">
        <f t="shared" si="0"/>
        <v>4500</v>
      </c>
      <c r="F32" s="225">
        <f t="shared" si="1"/>
        <v>344.99999999999994</v>
      </c>
      <c r="G32" s="222">
        <f t="shared" si="7"/>
        <v>1421.3634571428579</v>
      </c>
      <c r="H32" s="222">
        <f t="shared" si="8"/>
        <v>2290.2534857142873</v>
      </c>
      <c r="I32" s="222">
        <f t="shared" si="9"/>
        <v>2857.1428571428573</v>
      </c>
      <c r="J32" s="222">
        <f t="shared" si="2"/>
        <v>22.857142857142872</v>
      </c>
      <c r="K32" s="222">
        <f t="shared" si="10"/>
        <v>335.9298496565662</v>
      </c>
      <c r="L32" s="222">
        <f t="shared" si="3"/>
        <v>7272.5467925137118</v>
      </c>
      <c r="M32" s="224">
        <f t="shared" si="11"/>
        <v>43404.740380330761</v>
      </c>
      <c r="O32" s="109"/>
      <c r="P32" s="131"/>
      <c r="Q32" s="171"/>
      <c r="AI32" s="134"/>
      <c r="AJ32" s="134"/>
    </row>
    <row r="33" spans="1:36" x14ac:dyDescent="0.2">
      <c r="A33" s="178">
        <f t="shared" si="4"/>
        <v>17</v>
      </c>
      <c r="B33" s="220">
        <f t="shared" si="5"/>
        <v>54285.714285714319</v>
      </c>
      <c r="C33" s="221">
        <v>4.4999999999999998E-2</v>
      </c>
      <c r="D33" s="222">
        <f t="shared" si="6"/>
        <v>47022.714285714319</v>
      </c>
      <c r="E33" s="222">
        <f t="shared" si="0"/>
        <v>4500</v>
      </c>
      <c r="F33" s="225">
        <f t="shared" si="1"/>
        <v>344.99999999999994</v>
      </c>
      <c r="G33" s="222">
        <f t="shared" si="7"/>
        <v>1330.7428142857152</v>
      </c>
      <c r="H33" s="222">
        <f t="shared" si="8"/>
        <v>2144.2357714285731</v>
      </c>
      <c r="I33" s="222">
        <f t="shared" si="9"/>
        <v>2857.1428571428573</v>
      </c>
      <c r="J33" s="222">
        <f t="shared" si="2"/>
        <v>21.71428571428573</v>
      </c>
      <c r="K33" s="222">
        <f t="shared" si="10"/>
        <v>287.23695735825169</v>
      </c>
      <c r="L33" s="222">
        <f t="shared" si="3"/>
        <v>6986.0726859296828</v>
      </c>
      <c r="M33" s="224">
        <f t="shared" si="11"/>
        <v>41804.36221251879</v>
      </c>
      <c r="O33" s="109"/>
      <c r="P33" s="131"/>
      <c r="Q33" s="171"/>
      <c r="AI33" s="134"/>
      <c r="AJ33" s="134"/>
    </row>
    <row r="34" spans="1:36" x14ac:dyDescent="0.2">
      <c r="A34" s="178">
        <f t="shared" si="4"/>
        <v>18</v>
      </c>
      <c r="B34" s="220">
        <f t="shared" si="5"/>
        <v>51428.571428571464</v>
      </c>
      <c r="C34" s="221">
        <v>4.4999999999999998E-2</v>
      </c>
      <c r="D34" s="222">
        <f t="shared" si="6"/>
        <v>43820.571428571464</v>
      </c>
      <c r="E34" s="222">
        <f t="shared" si="0"/>
        <v>4500</v>
      </c>
      <c r="F34" s="225">
        <f t="shared" si="1"/>
        <v>344.99999999999994</v>
      </c>
      <c r="G34" s="222">
        <f t="shared" si="7"/>
        <v>1240.1221714285723</v>
      </c>
      <c r="H34" s="222">
        <f t="shared" si="8"/>
        <v>1998.2180571428589</v>
      </c>
      <c r="I34" s="222">
        <f t="shared" si="9"/>
        <v>2857.1428571428573</v>
      </c>
      <c r="J34" s="222">
        <f t="shared" si="2"/>
        <v>20.571428571428587</v>
      </c>
      <c r="K34" s="222">
        <f t="shared" si="10"/>
        <v>238.54406505993714</v>
      </c>
      <c r="L34" s="222">
        <f t="shared" si="3"/>
        <v>6699.5985793456539</v>
      </c>
      <c r="M34" s="224">
        <f t="shared" si="11"/>
        <v>40272.986106464705</v>
      </c>
      <c r="O34" s="109"/>
      <c r="P34" s="131"/>
      <c r="Q34" s="171"/>
      <c r="AI34" s="134"/>
      <c r="AJ34" s="134"/>
    </row>
    <row r="35" spans="1:36" x14ac:dyDescent="0.2">
      <c r="A35" s="178">
        <f t="shared" si="4"/>
        <v>19</v>
      </c>
      <c r="B35" s="220">
        <f t="shared" si="5"/>
        <v>48571.428571428609</v>
      </c>
      <c r="C35" s="221">
        <v>4.4999999999999998E-2</v>
      </c>
      <c r="D35" s="222">
        <f t="shared" si="6"/>
        <v>40618.428571428609</v>
      </c>
      <c r="E35" s="222">
        <f t="shared" si="0"/>
        <v>4500</v>
      </c>
      <c r="F35" s="225">
        <f t="shared" si="1"/>
        <v>344.99999999999994</v>
      </c>
      <c r="G35" s="222">
        <f t="shared" si="7"/>
        <v>1149.5015285714296</v>
      </c>
      <c r="H35" s="222">
        <f t="shared" si="8"/>
        <v>1852.2003428571447</v>
      </c>
      <c r="I35" s="222">
        <f t="shared" si="9"/>
        <v>2857.1428571428573</v>
      </c>
      <c r="J35" s="222">
        <f t="shared" si="2"/>
        <v>19.428571428571445</v>
      </c>
      <c r="K35" s="222">
        <f t="shared" si="10"/>
        <v>189.85117276162231</v>
      </c>
      <c r="L35" s="222">
        <f t="shared" si="3"/>
        <v>6413.1244727616258</v>
      </c>
      <c r="M35" s="224">
        <f t="shared" si="11"/>
        <v>38815.711314532382</v>
      </c>
      <c r="O35" s="109"/>
      <c r="P35" s="131"/>
      <c r="Q35" s="171"/>
      <c r="AI35" s="134"/>
      <c r="AJ35" s="134"/>
    </row>
    <row r="36" spans="1:36" x14ac:dyDescent="0.2">
      <c r="A36" s="178">
        <f t="shared" si="4"/>
        <v>20</v>
      </c>
      <c r="B36" s="220">
        <f t="shared" si="5"/>
        <v>45714.285714285754</v>
      </c>
      <c r="C36" s="221">
        <v>4.4999999999999998E-2</v>
      </c>
      <c r="D36" s="222">
        <f t="shared" si="6"/>
        <v>37416.285714285754</v>
      </c>
      <c r="E36" s="222">
        <f t="shared" si="0"/>
        <v>4500</v>
      </c>
      <c r="F36" s="225">
        <f t="shared" si="1"/>
        <v>344.99999999999994</v>
      </c>
      <c r="G36" s="222">
        <f t="shared" si="7"/>
        <v>1058.8808857142867</v>
      </c>
      <c r="H36" s="222">
        <f t="shared" si="8"/>
        <v>1706.1826285714305</v>
      </c>
      <c r="I36" s="222">
        <f t="shared" si="9"/>
        <v>2857.1428571428573</v>
      </c>
      <c r="J36" s="222">
        <f t="shared" si="2"/>
        <v>18.285714285714302</v>
      </c>
      <c r="K36" s="222">
        <f t="shared" si="10"/>
        <v>141.15828046330745</v>
      </c>
      <c r="L36" s="222">
        <f t="shared" si="3"/>
        <v>6126.650366177596</v>
      </c>
      <c r="M36" s="224">
        <f t="shared" si="11"/>
        <v>37438.013923835446</v>
      </c>
      <c r="O36" s="109"/>
      <c r="P36" s="131"/>
      <c r="Q36" s="171"/>
      <c r="R36" s="172"/>
      <c r="S36" s="172"/>
      <c r="T36" s="172"/>
      <c r="AI36" s="134"/>
      <c r="AJ36" s="134"/>
    </row>
    <row r="37" spans="1:36" x14ac:dyDescent="0.2">
      <c r="A37" s="178">
        <f t="shared" si="4"/>
        <v>21</v>
      </c>
      <c r="B37" s="220">
        <f t="shared" si="5"/>
        <v>42857.142857142899</v>
      </c>
      <c r="C37" s="221">
        <v>1.7000000000000001E-2</v>
      </c>
      <c r="D37" s="222">
        <f t="shared" si="6"/>
        <v>34214.142857142899</v>
      </c>
      <c r="E37" s="222">
        <f t="shared" si="0"/>
        <v>1700.0000000000002</v>
      </c>
      <c r="F37" s="225">
        <f t="shared" si="1"/>
        <v>-242.99999999999997</v>
      </c>
      <c r="G37" s="222">
        <f t="shared" si="7"/>
        <v>968.26024285714402</v>
      </c>
      <c r="H37" s="222">
        <f t="shared" si="8"/>
        <v>1560.1649142857163</v>
      </c>
      <c r="I37" s="222">
        <f t="shared" si="9"/>
        <v>2857.1428571428573</v>
      </c>
      <c r="J37" s="222">
        <f t="shared" si="2"/>
        <v>17.14285714285716</v>
      </c>
      <c r="K37" s="222">
        <f t="shared" si="10"/>
        <v>824.3779970811089</v>
      </c>
      <c r="L37" s="222">
        <f t="shared" si="3"/>
        <v>5984.0888685096843</v>
      </c>
      <c r="M37" s="224">
        <f t="shared" si="11"/>
        <v>36145.77470432518</v>
      </c>
      <c r="O37" s="109"/>
      <c r="P37" s="131"/>
      <c r="Q37" s="171"/>
    </row>
    <row r="38" spans="1:36" x14ac:dyDescent="0.2">
      <c r="A38" s="178">
        <f t="shared" si="4"/>
        <v>22</v>
      </c>
      <c r="B38" s="220">
        <f t="shared" si="5"/>
        <v>40000.000000000044</v>
      </c>
      <c r="C38" s="221">
        <v>0</v>
      </c>
      <c r="D38" s="222">
        <f t="shared" si="6"/>
        <v>31600.00000000004</v>
      </c>
      <c r="E38" s="222">
        <f t="shared" si="0"/>
        <v>0</v>
      </c>
      <c r="F38" s="225">
        <f t="shared" si="1"/>
        <v>-600</v>
      </c>
      <c r="G38" s="222">
        <f t="shared" si="7"/>
        <v>894.28000000000111</v>
      </c>
      <c r="H38" s="222">
        <f t="shared" si="8"/>
        <v>1440.9600000000019</v>
      </c>
      <c r="I38" s="222">
        <f t="shared" si="9"/>
        <v>2857.1428571428573</v>
      </c>
      <c r="J38" s="222">
        <f t="shared" si="2"/>
        <v>16.000000000000018</v>
      </c>
      <c r="K38" s="222">
        <f t="shared" si="10"/>
        <v>1228.9325099250591</v>
      </c>
      <c r="L38" s="222">
        <f t="shared" si="3"/>
        <v>5837.3153670679194</v>
      </c>
      <c r="M38" s="224">
        <f t="shared" si="11"/>
        <v>34801.396405936161</v>
      </c>
      <c r="O38" s="109"/>
      <c r="P38" s="131"/>
      <c r="Q38" s="171"/>
    </row>
    <row r="39" spans="1:36" x14ac:dyDescent="0.2">
      <c r="A39" s="178">
        <f t="shared" si="4"/>
        <v>23</v>
      </c>
      <c r="B39" s="220">
        <f t="shared" si="5"/>
        <v>37142.857142857189</v>
      </c>
      <c r="C39" s="221">
        <v>0</v>
      </c>
      <c r="D39" s="222">
        <f t="shared" si="6"/>
        <v>29342.857142857181</v>
      </c>
      <c r="E39" s="222">
        <f t="shared" si="0"/>
        <v>0</v>
      </c>
      <c r="F39" s="225">
        <f t="shared" si="1"/>
        <v>-600</v>
      </c>
      <c r="G39" s="222">
        <f t="shared" si="7"/>
        <v>830.40285714285824</v>
      </c>
      <c r="H39" s="222">
        <f t="shared" si="8"/>
        <v>1338.0342857142875</v>
      </c>
      <c r="I39" s="222">
        <f t="shared" si="9"/>
        <v>2857.1428571428573</v>
      </c>
      <c r="J39" s="222">
        <f t="shared" si="2"/>
        <v>14.857142857142875</v>
      </c>
      <c r="K39" s="222">
        <f t="shared" si="10"/>
        <v>1194.4980164257554</v>
      </c>
      <c r="L39" s="222">
        <f t="shared" si="3"/>
        <v>5634.9351592829025</v>
      </c>
      <c r="M39" s="224">
        <f t="shared" si="11"/>
        <v>33405.237954513104</v>
      </c>
      <c r="O39" s="109"/>
      <c r="P39" s="131"/>
      <c r="Q39" s="171"/>
    </row>
    <row r="40" spans="1:36" x14ac:dyDescent="0.2">
      <c r="A40" s="178">
        <f t="shared" si="4"/>
        <v>24</v>
      </c>
      <c r="B40" s="220">
        <f t="shared" si="5"/>
        <v>34285.714285714334</v>
      </c>
      <c r="C40" s="221">
        <v>0</v>
      </c>
      <c r="D40" s="222">
        <f t="shared" si="6"/>
        <v>27085.714285714323</v>
      </c>
      <c r="E40" s="222">
        <f t="shared" si="0"/>
        <v>0</v>
      </c>
      <c r="F40" s="225">
        <f t="shared" si="1"/>
        <v>-600</v>
      </c>
      <c r="G40" s="222">
        <f t="shared" si="7"/>
        <v>766.52571428571525</v>
      </c>
      <c r="H40" s="222">
        <f t="shared" si="8"/>
        <v>1235.1085714285732</v>
      </c>
      <c r="I40" s="222">
        <f t="shared" si="9"/>
        <v>2857.1428571428573</v>
      </c>
      <c r="J40" s="222">
        <f t="shared" si="2"/>
        <v>13.714285714285735</v>
      </c>
      <c r="K40" s="222">
        <f t="shared" si="10"/>
        <v>1160.0635229264522</v>
      </c>
      <c r="L40" s="222">
        <f t="shared" si="3"/>
        <v>5432.5549514978829</v>
      </c>
      <c r="M40" s="224">
        <f t="shared" si="11"/>
        <v>32009.079503090044</v>
      </c>
      <c r="O40" s="109"/>
      <c r="P40" s="131"/>
      <c r="Q40" s="171"/>
    </row>
    <row r="41" spans="1:36" x14ac:dyDescent="0.2">
      <c r="A41" s="178">
        <f t="shared" si="4"/>
        <v>25</v>
      </c>
      <c r="B41" s="220">
        <f t="shared" si="5"/>
        <v>31428.571428571475</v>
      </c>
      <c r="C41" s="221">
        <v>0</v>
      </c>
      <c r="D41" s="222">
        <f t="shared" si="6"/>
        <v>24828.571428571464</v>
      </c>
      <c r="E41" s="222">
        <f t="shared" si="0"/>
        <v>0</v>
      </c>
      <c r="F41" s="225">
        <f t="shared" si="1"/>
        <v>-600</v>
      </c>
      <c r="G41" s="222">
        <f t="shared" si="7"/>
        <v>702.64857142857238</v>
      </c>
      <c r="H41" s="222">
        <f t="shared" si="8"/>
        <v>1132.1828571428589</v>
      </c>
      <c r="I41" s="222">
        <f t="shared" si="9"/>
        <v>2857.1428571428573</v>
      </c>
      <c r="J41" s="222">
        <f t="shared" si="2"/>
        <v>12.571428571428591</v>
      </c>
      <c r="K41" s="222">
        <f t="shared" si="10"/>
        <v>1125.6290294271489</v>
      </c>
      <c r="L41" s="222">
        <f t="shared" si="3"/>
        <v>5230.174743712867</v>
      </c>
      <c r="M41" s="224">
        <f t="shared" si="11"/>
        <v>30612.921051666985</v>
      </c>
      <c r="O41" s="109"/>
      <c r="P41" s="131"/>
      <c r="Q41" s="171"/>
    </row>
    <row r="42" spans="1:36" x14ac:dyDescent="0.2">
      <c r="A42" s="178">
        <f t="shared" si="4"/>
        <v>26</v>
      </c>
      <c r="B42" s="220">
        <f t="shared" si="5"/>
        <v>28571.428571428616</v>
      </c>
      <c r="C42" s="221">
        <v>0</v>
      </c>
      <c r="D42" s="222">
        <f t="shared" si="6"/>
        <v>22571.428571428605</v>
      </c>
      <c r="E42" s="222">
        <f t="shared" si="0"/>
        <v>0</v>
      </c>
      <c r="F42" s="225">
        <f t="shared" si="1"/>
        <v>-600</v>
      </c>
      <c r="G42" s="222">
        <f t="shared" si="7"/>
        <v>638.77142857142951</v>
      </c>
      <c r="H42" s="222">
        <f t="shared" si="8"/>
        <v>1029.2571428571443</v>
      </c>
      <c r="I42" s="222">
        <f t="shared" si="9"/>
        <v>2857.1428571428573</v>
      </c>
      <c r="J42" s="222">
        <f t="shared" si="2"/>
        <v>11.428571428571447</v>
      </c>
      <c r="K42" s="222">
        <f t="shared" si="10"/>
        <v>1091.1945359278454</v>
      </c>
      <c r="L42" s="222">
        <f t="shared" si="3"/>
        <v>5027.7945359278483</v>
      </c>
      <c r="M42" s="224">
        <f t="shared" si="11"/>
        <v>29216.762600243932</v>
      </c>
      <c r="O42" s="109"/>
      <c r="P42" s="131"/>
      <c r="Q42" s="171"/>
    </row>
    <row r="43" spans="1:36" x14ac:dyDescent="0.2">
      <c r="A43" s="178">
        <f t="shared" si="4"/>
        <v>27</v>
      </c>
      <c r="B43" s="220">
        <f t="shared" si="5"/>
        <v>25714.285714285757</v>
      </c>
      <c r="C43" s="221">
        <v>0</v>
      </c>
      <c r="D43" s="222">
        <f t="shared" si="6"/>
        <v>20314.285714285747</v>
      </c>
      <c r="E43" s="222">
        <f t="shared" si="0"/>
        <v>0</v>
      </c>
      <c r="F43" s="225">
        <f t="shared" si="1"/>
        <v>-600</v>
      </c>
      <c r="G43" s="222">
        <f t="shared" si="7"/>
        <v>574.89428571428664</v>
      </c>
      <c r="H43" s="222">
        <f t="shared" si="8"/>
        <v>926.33142857143002</v>
      </c>
      <c r="I43" s="222">
        <f t="shared" si="9"/>
        <v>2857.1428571428573</v>
      </c>
      <c r="J43" s="222">
        <f t="shared" si="2"/>
        <v>10.285714285714304</v>
      </c>
      <c r="K43" s="222">
        <f t="shared" si="10"/>
        <v>1056.7600424285422</v>
      </c>
      <c r="L43" s="222">
        <f t="shared" si="3"/>
        <v>4825.4143281428305</v>
      </c>
      <c r="M43" s="224">
        <f>NPV($L$9,L43:L51)</f>
        <v>26348.086820474113</v>
      </c>
      <c r="O43" s="109"/>
      <c r="P43" s="131"/>
      <c r="Q43" s="171"/>
    </row>
    <row r="44" spans="1:36" x14ac:dyDescent="0.2">
      <c r="A44" s="178">
        <f t="shared" si="4"/>
        <v>28</v>
      </c>
      <c r="B44" s="220">
        <f t="shared" si="5"/>
        <v>22857.142857142899</v>
      </c>
      <c r="C44" s="221">
        <v>0</v>
      </c>
      <c r="D44" s="222">
        <f t="shared" si="6"/>
        <v>18057.142857142888</v>
      </c>
      <c r="E44" s="222">
        <f t="shared" si="0"/>
        <v>0</v>
      </c>
      <c r="F44" s="225">
        <f t="shared" si="1"/>
        <v>-600</v>
      </c>
      <c r="G44" s="222">
        <f t="shared" si="7"/>
        <v>511.01714285714371</v>
      </c>
      <c r="H44" s="222">
        <f t="shared" si="8"/>
        <v>823.4057142857157</v>
      </c>
      <c r="I44" s="222">
        <f t="shared" si="9"/>
        <v>2857.1428571428573</v>
      </c>
      <c r="J44" s="222">
        <f t="shared" si="2"/>
        <v>9.1428571428571601</v>
      </c>
      <c r="K44" s="222">
        <f t="shared" si="10"/>
        <v>1022.3255489292391</v>
      </c>
      <c r="L44" s="222">
        <f t="shared" si="3"/>
        <v>4623.0341203578128</v>
      </c>
      <c r="M44" s="224">
        <f>NPV($L$9,L44:L51)</f>
        <v>23469.79610836432</v>
      </c>
      <c r="O44" s="109"/>
      <c r="P44" s="131"/>
      <c r="Q44" s="171"/>
    </row>
    <row r="45" spans="1:36" x14ac:dyDescent="0.2">
      <c r="A45" s="178">
        <f t="shared" si="4"/>
        <v>29</v>
      </c>
      <c r="B45" s="220">
        <f t="shared" si="5"/>
        <v>20000.00000000004</v>
      </c>
      <c r="C45" s="221">
        <v>0</v>
      </c>
      <c r="D45" s="222">
        <f>D44-F44-I44</f>
        <v>15800.000000000031</v>
      </c>
      <c r="E45" s="222">
        <f t="shared" si="0"/>
        <v>0</v>
      </c>
      <c r="F45" s="225">
        <f t="shared" si="1"/>
        <v>-600</v>
      </c>
      <c r="G45" s="222">
        <f t="shared" si="7"/>
        <v>447.14000000000084</v>
      </c>
      <c r="H45" s="222">
        <f t="shared" si="8"/>
        <v>720.48000000000138</v>
      </c>
      <c r="I45" s="222">
        <f t="shared" si="9"/>
        <v>2857.1428571428573</v>
      </c>
      <c r="J45" s="222">
        <f t="shared" si="2"/>
        <v>8.000000000000016</v>
      </c>
      <c r="K45" s="222">
        <f t="shared" si="10"/>
        <v>987.8910554299357</v>
      </c>
      <c r="L45" s="222">
        <f t="shared" si="3"/>
        <v>4420.653912572795</v>
      </c>
      <c r="M45" s="224">
        <f>NPV($L$9,L45:L51)</f>
        <v>20581.17992041463</v>
      </c>
      <c r="O45" s="109"/>
      <c r="P45" s="131"/>
      <c r="Q45" s="171"/>
      <c r="R45" s="172"/>
      <c r="S45" s="172"/>
      <c r="T45" s="172"/>
    </row>
    <row r="46" spans="1:36" x14ac:dyDescent="0.2">
      <c r="A46" s="178">
        <f t="shared" si="4"/>
        <v>30</v>
      </c>
      <c r="B46" s="220">
        <f t="shared" si="5"/>
        <v>17142.857142857181</v>
      </c>
      <c r="C46" s="221">
        <v>0</v>
      </c>
      <c r="D46" s="222">
        <f t="shared" si="6"/>
        <v>13542.857142857172</v>
      </c>
      <c r="E46" s="222">
        <f t="shared" si="0"/>
        <v>0</v>
      </c>
      <c r="F46" s="225">
        <f t="shared" si="1"/>
        <v>-600</v>
      </c>
      <c r="G46" s="222">
        <f t="shared" si="7"/>
        <v>383.26285714285797</v>
      </c>
      <c r="H46" s="222">
        <f t="shared" si="8"/>
        <v>617.55428571428706</v>
      </c>
      <c r="I46" s="222">
        <f t="shared" si="9"/>
        <v>2857.1428571428573</v>
      </c>
      <c r="J46" s="222">
        <f t="shared" si="2"/>
        <v>6.8571428571428727</v>
      </c>
      <c r="K46" s="222">
        <f t="shared" si="10"/>
        <v>953.45656193063223</v>
      </c>
      <c r="L46" s="222">
        <f t="shared" si="3"/>
        <v>4218.2737047877772</v>
      </c>
      <c r="M46" s="224">
        <f>NPV($L$9,L46:L51)</f>
        <v>17681.475203960479</v>
      </c>
      <c r="O46" s="109"/>
      <c r="P46" s="131"/>
      <c r="Q46" s="171"/>
    </row>
    <row r="47" spans="1:36" x14ac:dyDescent="0.2">
      <c r="A47" s="178">
        <f t="shared" si="4"/>
        <v>31</v>
      </c>
      <c r="B47" s="220">
        <f t="shared" si="5"/>
        <v>14285.714285714324</v>
      </c>
      <c r="C47" s="221">
        <v>0</v>
      </c>
      <c r="D47" s="222">
        <f t="shared" si="6"/>
        <v>11285.714285714315</v>
      </c>
      <c r="E47" s="222">
        <f t="shared" si="0"/>
        <v>0</v>
      </c>
      <c r="F47" s="225">
        <f t="shared" si="1"/>
        <v>-600</v>
      </c>
      <c r="G47" s="222">
        <f t="shared" si="7"/>
        <v>319.3857142857151</v>
      </c>
      <c r="H47" s="222">
        <f t="shared" si="8"/>
        <v>514.62857142857285</v>
      </c>
      <c r="I47" s="222">
        <f t="shared" si="9"/>
        <v>2857.1428571428573</v>
      </c>
      <c r="J47" s="222">
        <f t="shared" si="2"/>
        <v>5.7142857142857304</v>
      </c>
      <c r="K47" s="222">
        <f t="shared" si="10"/>
        <v>919.0220684313291</v>
      </c>
      <c r="L47" s="222">
        <f t="shared" si="3"/>
        <v>4015.8934970027599</v>
      </c>
      <c r="M47" s="224">
        <f>NPV($L$9,L47:L51)</f>
        <v>14769.862516745385</v>
      </c>
      <c r="O47" s="109"/>
      <c r="P47" s="131"/>
      <c r="Q47" s="171"/>
    </row>
    <row r="48" spans="1:36" x14ac:dyDescent="0.2">
      <c r="A48" s="178">
        <f t="shared" si="4"/>
        <v>32</v>
      </c>
      <c r="B48" s="220">
        <f t="shared" si="5"/>
        <v>11428.571428571468</v>
      </c>
      <c r="C48" s="221">
        <v>0</v>
      </c>
      <c r="D48" s="222">
        <f t="shared" si="6"/>
        <v>9028.5714285714585</v>
      </c>
      <c r="E48" s="222">
        <f t="shared" si="0"/>
        <v>0</v>
      </c>
      <c r="F48" s="225">
        <f t="shared" si="1"/>
        <v>-600</v>
      </c>
      <c r="G48" s="222">
        <f t="shared" si="7"/>
        <v>255.50857142857225</v>
      </c>
      <c r="H48" s="222">
        <f t="shared" si="8"/>
        <v>411.70285714285853</v>
      </c>
      <c r="I48" s="222">
        <f t="shared" si="9"/>
        <v>2857.1428571428573</v>
      </c>
      <c r="J48" s="222">
        <f t="shared" si="2"/>
        <v>4.5714285714285872</v>
      </c>
      <c r="K48" s="222">
        <f t="shared" si="10"/>
        <v>884.58757493202575</v>
      </c>
      <c r="L48" s="222">
        <f t="shared" si="3"/>
        <v>3813.5132892177426</v>
      </c>
      <c r="M48" s="224">
        <f>NPV($L$9,L48:L51)</f>
        <v>11845.461859730109</v>
      </c>
      <c r="O48" s="109"/>
      <c r="P48" s="131"/>
      <c r="Q48" s="171"/>
    </row>
    <row r="49" spans="1:17" x14ac:dyDescent="0.2">
      <c r="A49" s="178">
        <f t="shared" si="4"/>
        <v>33</v>
      </c>
      <c r="B49" s="220">
        <f t="shared" si="5"/>
        <v>8571.4285714286107</v>
      </c>
      <c r="C49" s="221">
        <v>0</v>
      </c>
      <c r="D49" s="222">
        <f t="shared" si="6"/>
        <v>6771.4285714286016</v>
      </c>
      <c r="E49" s="222">
        <f t="shared" si="0"/>
        <v>0</v>
      </c>
      <c r="F49" s="225">
        <f t="shared" si="1"/>
        <v>-600</v>
      </c>
      <c r="G49" s="222">
        <f t="shared" si="7"/>
        <v>191.63142857142941</v>
      </c>
      <c r="H49" s="222">
        <f t="shared" si="8"/>
        <v>308.77714285714427</v>
      </c>
      <c r="I49" s="222">
        <f t="shared" si="9"/>
        <v>2857.1428571428573</v>
      </c>
      <c r="J49" s="222">
        <f t="shared" si="2"/>
        <v>3.4285714285714444</v>
      </c>
      <c r="K49" s="222">
        <f t="shared" si="10"/>
        <v>850.1530814327225</v>
      </c>
      <c r="L49" s="222">
        <f t="shared" si="3"/>
        <v>3611.1330814327252</v>
      </c>
      <c r="M49" s="224">
        <f>NPV($L$9,L49:L51)</f>
        <v>8907.3282019464223</v>
      </c>
      <c r="O49" s="109"/>
      <c r="P49" s="131"/>
      <c r="Q49" s="171"/>
    </row>
    <row r="50" spans="1:17" x14ac:dyDescent="0.2">
      <c r="A50" s="178">
        <f t="shared" si="4"/>
        <v>34</v>
      </c>
      <c r="B50" s="220">
        <f t="shared" si="5"/>
        <v>5714.2857142857538</v>
      </c>
      <c r="C50" s="221">
        <v>0</v>
      </c>
      <c r="D50" s="222">
        <f t="shared" si="6"/>
        <v>4514.2857142857447</v>
      </c>
      <c r="E50" s="222">
        <f t="shared" si="0"/>
        <v>0</v>
      </c>
      <c r="F50" s="225">
        <f t="shared" si="1"/>
        <v>-600</v>
      </c>
      <c r="G50" s="222">
        <f t="shared" si="7"/>
        <v>127.75428571428657</v>
      </c>
      <c r="H50" s="222">
        <f t="shared" si="8"/>
        <v>205.85142857142998</v>
      </c>
      <c r="I50" s="222">
        <f t="shared" si="9"/>
        <v>2857.1428571428573</v>
      </c>
      <c r="J50" s="222">
        <f t="shared" si="2"/>
        <v>2.2857142857143016</v>
      </c>
      <c r="K50" s="222">
        <f t="shared" si="10"/>
        <v>815.71858793341926</v>
      </c>
      <c r="L50" s="222">
        <f t="shared" si="3"/>
        <v>3408.7528736477075</v>
      </c>
      <c r="M50" s="224">
        <f>NPV($L$9,L50:L51)</f>
        <v>5954.4466746375374</v>
      </c>
      <c r="O50" s="109"/>
      <c r="P50" s="131"/>
      <c r="Q50" s="171"/>
    </row>
    <row r="51" spans="1:17" x14ac:dyDescent="0.2">
      <c r="A51" s="178">
        <f t="shared" si="4"/>
        <v>35</v>
      </c>
      <c r="B51" s="220">
        <f t="shared" ref="B51" si="12">B50-I50</f>
        <v>2857.1428571428964</v>
      </c>
      <c r="C51" s="221">
        <v>0</v>
      </c>
      <c r="D51" s="222">
        <f t="shared" ref="D51" si="13">D50-F50-I50</f>
        <v>2257.1428571428874</v>
      </c>
      <c r="E51" s="222">
        <f t="shared" ref="E51" si="14">D$13*C51</f>
        <v>0</v>
      </c>
      <c r="F51" s="225">
        <f t="shared" ref="F51" si="15">H$14*(E51-I51*D$13/D$12)</f>
        <v>-600</v>
      </c>
      <c r="G51" s="222">
        <f t="shared" si="7"/>
        <v>63.87714285714371</v>
      </c>
      <c r="H51" s="222">
        <f t="shared" si="8"/>
        <v>102.92571428571567</v>
      </c>
      <c r="I51" s="222">
        <f t="shared" ref="I51" si="16">D$12/H$12</f>
        <v>2857.1428571428573</v>
      </c>
      <c r="J51" s="222">
        <f t="shared" ref="J51" si="17">+B51*$H$11</f>
        <v>1.1428571428571586</v>
      </c>
      <c r="K51" s="222">
        <f t="shared" ref="K51" si="18">(H$13/(1-H$13))*(H51+I51-E51+F51+J51)</f>
        <v>781.2840944341159</v>
      </c>
      <c r="L51" s="222">
        <f t="shared" ref="L51" si="19">SUM(F51:K51)</f>
        <v>3206.3726658626902</v>
      </c>
      <c r="M51" s="224">
        <f>NPV($L$9,L51:L51)</f>
        <v>2985.7274102455444</v>
      </c>
      <c r="O51" s="109"/>
      <c r="P51" s="131"/>
      <c r="Q51" s="171"/>
    </row>
    <row r="52" spans="1:17" x14ac:dyDescent="0.2">
      <c r="A52" s="248">
        <f t="shared" si="4"/>
        <v>36</v>
      </c>
      <c r="B52" s="220">
        <f t="shared" ref="B52" si="20">B51-I51</f>
        <v>3.9108272176235914E-11</v>
      </c>
      <c r="C52" s="221">
        <v>0</v>
      </c>
      <c r="D52" s="222">
        <f t="shared" ref="D52" si="21">D51-F51-I51</f>
        <v>3.0013325158506632E-11</v>
      </c>
      <c r="E52" s="222">
        <f t="shared" ref="E52" si="22">D$13*C52</f>
        <v>0</v>
      </c>
      <c r="F52" s="225">
        <f t="shared" ref="F52" si="23">H$14*(E52-I52*D$13/D$12)</f>
        <v>-600</v>
      </c>
      <c r="G52" s="222">
        <f t="shared" ref="G52" si="24">L$5*D52</f>
        <v>8.4937710198573764E-13</v>
      </c>
      <c r="H52" s="222">
        <f t="shared" ref="H52" si="25">D52*(L$6+L$7)</f>
        <v>1.3686076272279025E-12</v>
      </c>
      <c r="I52" s="222">
        <f t="shared" ref="I52" si="26">D$12/H$12</f>
        <v>2857.1428571428573</v>
      </c>
      <c r="J52" s="222">
        <f t="shared" ref="J52" si="27">+B52*$H$11</f>
        <v>1.5643308870494366E-14</v>
      </c>
      <c r="K52" s="222">
        <f t="shared" ref="K52" si="28">(H$13/(1-H$13))*(H52+I52-E52+F52+J52)</f>
        <v>746.84960093481266</v>
      </c>
      <c r="L52" s="222">
        <f t="shared" ref="L52" si="29">SUM(F52:K52)</f>
        <v>3003.9924580776724</v>
      </c>
      <c r="M52" s="224">
        <f>NPV($L$9,L52:L52)</f>
        <v>2797.27391570693</v>
      </c>
      <c r="O52" s="109"/>
      <c r="P52" s="131"/>
      <c r="Q52" s="171"/>
    </row>
    <row r="53" spans="1:17" x14ac:dyDescent="0.2">
      <c r="A53" s="178" t="s">
        <v>13</v>
      </c>
      <c r="B53" s="220"/>
      <c r="C53" s="168" t="s">
        <v>13</v>
      </c>
      <c r="D53" s="222" t="s">
        <v>13</v>
      </c>
      <c r="E53" s="222" t="s">
        <v>13</v>
      </c>
      <c r="F53" s="222" t="s">
        <v>13</v>
      </c>
      <c r="G53" s="222" t="s">
        <v>13</v>
      </c>
      <c r="H53" s="222" t="s">
        <v>13</v>
      </c>
      <c r="I53" s="222" t="s">
        <v>13</v>
      </c>
      <c r="J53" s="222" t="s">
        <v>13</v>
      </c>
      <c r="K53" s="222" t="s">
        <v>13</v>
      </c>
      <c r="L53" s="222" t="s">
        <v>13</v>
      </c>
      <c r="M53" s="224"/>
      <c r="O53" s="173"/>
      <c r="P53" s="173"/>
      <c r="Q53" s="173"/>
    </row>
    <row r="54" spans="1:17" x14ac:dyDescent="0.2">
      <c r="A54" s="178" t="s">
        <v>12</v>
      </c>
      <c r="B54" s="220"/>
      <c r="C54" s="168">
        <f>SUM(C17:C51)</f>
        <v>1.0000000000000002</v>
      </c>
      <c r="D54" s="222" t="s">
        <v>11</v>
      </c>
      <c r="E54" s="222">
        <f>SUM(E17:E51)</f>
        <v>100000</v>
      </c>
      <c r="F54" s="222">
        <f>SUM(F17:F51)</f>
        <v>-1.8189894035458565E-12</v>
      </c>
      <c r="G54" s="222">
        <f t="shared" ref="G54:L54" si="30">SUM(G17:G51)</f>
        <v>46259.293200000022</v>
      </c>
      <c r="H54" s="222">
        <f t="shared" si="30"/>
        <v>74537.942400000029</v>
      </c>
      <c r="I54" s="222">
        <f t="shared" si="30"/>
        <v>99999.999999999971</v>
      </c>
      <c r="J54" s="222">
        <f t="shared" si="30"/>
        <v>720.00000000000045</v>
      </c>
      <c r="K54" s="222">
        <f t="shared" si="30"/>
        <v>24901.553781032009</v>
      </c>
      <c r="L54" s="222">
        <f t="shared" si="30"/>
        <v>246418.78938103211</v>
      </c>
      <c r="M54" s="226"/>
      <c r="O54" s="109"/>
      <c r="P54" s="109"/>
      <c r="Q54" s="109"/>
    </row>
    <row r="55" spans="1:17" x14ac:dyDescent="0.2">
      <c r="A55" s="101"/>
      <c r="B55" s="220"/>
      <c r="C55" s="175"/>
      <c r="D55" s="227"/>
      <c r="E55" s="227"/>
      <c r="F55" s="222"/>
      <c r="G55" s="222"/>
      <c r="H55" s="222"/>
      <c r="I55" s="222"/>
      <c r="J55" s="222"/>
      <c r="K55" s="222"/>
      <c r="L55" s="222"/>
      <c r="M55" s="226"/>
    </row>
    <row r="56" spans="1:17" x14ac:dyDescent="0.2">
      <c r="A56" s="101"/>
      <c r="B56" s="220"/>
      <c r="C56" s="272" t="s">
        <v>10</v>
      </c>
      <c r="D56" s="272"/>
      <c r="E56" s="222">
        <f t="shared" ref="E56:L56" si="31">NPV($L9,E17:E51)</f>
        <v>52990.352018016456</v>
      </c>
      <c r="F56" s="222">
        <f t="shared" si="31"/>
        <v>3678.4276123787999</v>
      </c>
      <c r="G56" s="222">
        <f t="shared" si="31"/>
        <v>23301.562219658528</v>
      </c>
      <c r="H56" s="222">
        <f t="shared" si="31"/>
        <v>37545.980113654747</v>
      </c>
      <c r="I56" s="222">
        <f t="shared" si="31"/>
        <v>35474.030054307885</v>
      </c>
      <c r="J56" s="222">
        <f t="shared" si="31"/>
        <v>349.26100105922632</v>
      </c>
      <c r="K56" s="222">
        <f t="shared" si="31"/>
        <v>7960.1606840814602</v>
      </c>
      <c r="L56" s="222">
        <f t="shared" si="31"/>
        <v>108309.42168514064</v>
      </c>
      <c r="M56" s="226"/>
      <c r="O56" s="173"/>
      <c r="P56" s="173"/>
      <c r="Q56" s="173"/>
    </row>
    <row r="57" spans="1:17" x14ac:dyDescent="0.2">
      <c r="B57" s="166"/>
      <c r="C57" s="166"/>
      <c r="D57" s="166"/>
      <c r="E57" s="166"/>
      <c r="F57" s="166"/>
      <c r="G57" s="166"/>
      <c r="H57" s="166"/>
      <c r="I57" s="166"/>
      <c r="J57" s="166"/>
      <c r="K57" s="166"/>
      <c r="L57" s="166"/>
      <c r="M57" s="166"/>
      <c r="O57" s="166"/>
    </row>
    <row r="58" spans="1:17" x14ac:dyDescent="0.2">
      <c r="B58" s="177"/>
      <c r="C58" s="228"/>
      <c r="D58" s="177"/>
      <c r="E58" s="177"/>
      <c r="F58" s="177"/>
      <c r="G58" s="177"/>
      <c r="H58" s="177"/>
      <c r="I58" s="177"/>
      <c r="J58" s="177"/>
      <c r="K58" s="177"/>
      <c r="L58" s="177"/>
      <c r="M58" s="177"/>
      <c r="O58" s="177"/>
    </row>
    <row r="59" spans="1:17" x14ac:dyDescent="0.2">
      <c r="B59" s="177"/>
      <c r="C59" s="177"/>
      <c r="D59" s="177"/>
      <c r="E59" s="177"/>
      <c r="F59" s="177"/>
      <c r="G59" s="177"/>
      <c r="H59" s="177"/>
      <c r="I59" s="177"/>
      <c r="J59" s="177"/>
      <c r="K59" s="177"/>
      <c r="L59" s="177"/>
      <c r="M59" s="177"/>
      <c r="O59" s="177"/>
    </row>
    <row r="60" spans="1:17" x14ac:dyDescent="0.2">
      <c r="B60" s="177"/>
      <c r="C60" s="177"/>
      <c r="D60" s="177"/>
      <c r="E60" s="177"/>
      <c r="F60" s="177"/>
      <c r="G60" s="177"/>
      <c r="H60" s="177"/>
      <c r="I60" s="177"/>
      <c r="J60" s="177"/>
      <c r="K60" s="177"/>
      <c r="L60" s="177"/>
      <c r="M60" s="177"/>
      <c r="O60" s="177"/>
    </row>
    <row r="61" spans="1:17" x14ac:dyDescent="0.2">
      <c r="B61" s="166"/>
      <c r="C61" s="177"/>
      <c r="D61" s="177"/>
      <c r="E61" s="177"/>
      <c r="F61" s="177"/>
      <c r="G61" s="177"/>
      <c r="H61" s="177"/>
      <c r="I61" s="177"/>
      <c r="J61" s="177"/>
      <c r="K61" s="177"/>
      <c r="L61" s="177"/>
      <c r="M61" s="177"/>
      <c r="O61" s="177"/>
    </row>
    <row r="62" spans="1:17" x14ac:dyDescent="0.2">
      <c r="B62" s="177"/>
      <c r="C62" s="177"/>
      <c r="D62" s="177"/>
      <c r="E62" s="177"/>
      <c r="F62" s="177"/>
      <c r="G62" s="177"/>
      <c r="H62" s="177"/>
      <c r="I62" s="177"/>
      <c r="J62" s="177"/>
      <c r="K62" s="177"/>
      <c r="L62" s="177"/>
      <c r="M62" s="177"/>
      <c r="O62" s="177"/>
    </row>
    <row r="63" spans="1:17" x14ac:dyDescent="0.2">
      <c r="B63" s="177"/>
      <c r="C63" s="177"/>
      <c r="D63" s="177"/>
      <c r="E63" s="177"/>
      <c r="F63" s="177"/>
      <c r="G63" s="177"/>
      <c r="H63" s="177"/>
      <c r="I63" s="177"/>
      <c r="J63" s="177"/>
      <c r="K63" s="177"/>
      <c r="L63" s="177"/>
      <c r="M63" s="177"/>
      <c r="O63" s="177"/>
    </row>
    <row r="64" spans="1:17" x14ac:dyDescent="0.2">
      <c r="B64" s="177"/>
      <c r="C64" s="177"/>
      <c r="D64" s="177"/>
      <c r="E64" s="177"/>
      <c r="F64" s="177"/>
      <c r="G64" s="177"/>
      <c r="H64" s="177"/>
      <c r="I64" s="177"/>
      <c r="J64" s="177"/>
      <c r="K64" s="177"/>
      <c r="L64" s="177"/>
      <c r="M64" s="177"/>
      <c r="O64" s="177"/>
    </row>
    <row r="65" spans="2:15" x14ac:dyDescent="0.2">
      <c r="B65" s="177"/>
      <c r="C65" s="177"/>
      <c r="D65" s="177"/>
      <c r="E65" s="177"/>
      <c r="F65" s="177"/>
      <c r="G65" s="177"/>
      <c r="H65" s="177"/>
      <c r="I65" s="177"/>
      <c r="J65" s="177"/>
      <c r="K65" s="177"/>
      <c r="L65" s="177"/>
      <c r="M65" s="177"/>
      <c r="O65" s="177"/>
    </row>
    <row r="66" spans="2:15" x14ac:dyDescent="0.2">
      <c r="B66" s="177"/>
      <c r="C66" s="177"/>
      <c r="D66" s="177"/>
      <c r="E66" s="177"/>
      <c r="F66" s="177"/>
      <c r="G66" s="177"/>
      <c r="H66" s="177"/>
      <c r="I66" s="177"/>
      <c r="J66" s="177"/>
      <c r="K66" s="177"/>
      <c r="L66" s="177"/>
      <c r="M66" s="177"/>
      <c r="O66" s="177"/>
    </row>
    <row r="67" spans="2:15" x14ac:dyDescent="0.2">
      <c r="B67" s="177"/>
      <c r="C67" s="177"/>
      <c r="D67" s="177"/>
      <c r="E67" s="177"/>
      <c r="F67" s="177"/>
      <c r="G67" s="177"/>
      <c r="H67" s="177"/>
      <c r="I67" s="177"/>
      <c r="J67" s="177"/>
      <c r="K67" s="177"/>
      <c r="L67" s="177"/>
      <c r="M67" s="177"/>
      <c r="O67" s="177"/>
    </row>
    <row r="68" spans="2:15" x14ac:dyDescent="0.2">
      <c r="B68" s="177"/>
      <c r="C68" s="177"/>
      <c r="D68" s="177"/>
      <c r="E68" s="177"/>
      <c r="F68" s="177"/>
      <c r="G68" s="177"/>
      <c r="H68" s="177"/>
      <c r="I68" s="177"/>
      <c r="J68" s="177"/>
      <c r="K68" s="177"/>
      <c r="L68" s="177"/>
      <c r="M68" s="177"/>
      <c r="O68" s="177"/>
    </row>
    <row r="69" spans="2:15" x14ac:dyDescent="0.2">
      <c r="B69" s="177"/>
      <c r="C69" s="177"/>
      <c r="D69" s="177"/>
      <c r="E69" s="177"/>
      <c r="F69" s="177"/>
      <c r="G69" s="177"/>
      <c r="H69" s="177"/>
      <c r="I69" s="177"/>
      <c r="J69" s="177"/>
      <c r="K69" s="177"/>
      <c r="L69" s="177"/>
      <c r="M69" s="177"/>
      <c r="O69" s="177"/>
    </row>
    <row r="70" spans="2:15" x14ac:dyDescent="0.2">
      <c r="B70" s="177"/>
      <c r="C70" s="177"/>
      <c r="D70" s="177"/>
      <c r="E70" s="177"/>
      <c r="F70" s="177"/>
      <c r="G70" s="177"/>
      <c r="H70" s="177"/>
      <c r="I70" s="177"/>
      <c r="J70" s="177"/>
      <c r="K70" s="177"/>
      <c r="L70" s="177"/>
      <c r="M70" s="177"/>
      <c r="O70" s="177"/>
    </row>
    <row r="71" spans="2:15" x14ac:dyDescent="0.2">
      <c r="B71" s="177"/>
      <c r="C71" s="177"/>
      <c r="D71" s="177"/>
      <c r="E71" s="177"/>
      <c r="F71" s="177"/>
      <c r="G71" s="177"/>
      <c r="H71" s="177"/>
      <c r="I71" s="177"/>
      <c r="J71" s="177"/>
      <c r="K71" s="177"/>
      <c r="L71" s="177"/>
      <c r="M71" s="177"/>
      <c r="O71" s="177"/>
    </row>
    <row r="72" spans="2:15" x14ac:dyDescent="0.2">
      <c r="B72" s="177"/>
      <c r="C72" s="177"/>
      <c r="D72" s="177"/>
      <c r="E72" s="177"/>
      <c r="F72" s="177"/>
      <c r="G72" s="177"/>
      <c r="H72" s="177"/>
      <c r="I72" s="177"/>
      <c r="J72" s="177"/>
      <c r="K72" s="177"/>
      <c r="L72" s="177"/>
      <c r="M72" s="177"/>
      <c r="O72" s="177"/>
    </row>
    <row r="73" spans="2:15" x14ac:dyDescent="0.2">
      <c r="B73" s="177"/>
      <c r="C73" s="177"/>
      <c r="D73" s="177"/>
      <c r="E73" s="177"/>
      <c r="F73" s="177"/>
      <c r="G73" s="177"/>
      <c r="H73" s="177"/>
      <c r="I73" s="177"/>
      <c r="J73" s="177"/>
      <c r="K73" s="177"/>
      <c r="L73" s="177"/>
      <c r="M73" s="177"/>
      <c r="O73" s="177"/>
    </row>
    <row r="74" spans="2:15" x14ac:dyDescent="0.2">
      <c r="B74" s="177"/>
      <c r="C74" s="177"/>
      <c r="D74" s="177"/>
      <c r="E74" s="177"/>
      <c r="F74" s="177"/>
      <c r="G74" s="177"/>
      <c r="H74" s="177"/>
      <c r="I74" s="177"/>
      <c r="J74" s="177"/>
      <c r="K74" s="177"/>
      <c r="L74" s="177"/>
      <c r="M74" s="177"/>
      <c r="O74" s="177"/>
    </row>
    <row r="75" spans="2:15" x14ac:dyDescent="0.2">
      <c r="B75" s="177"/>
      <c r="C75" s="177"/>
      <c r="D75" s="177"/>
      <c r="E75" s="177"/>
      <c r="F75" s="177"/>
      <c r="G75" s="177"/>
      <c r="H75" s="177"/>
      <c r="I75" s="177"/>
      <c r="J75" s="177"/>
      <c r="K75" s="177"/>
      <c r="L75" s="177"/>
      <c r="M75" s="177"/>
      <c r="O75" s="177"/>
    </row>
    <row r="76" spans="2:15" x14ac:dyDescent="0.2">
      <c r="B76" s="177"/>
      <c r="C76" s="177"/>
      <c r="D76" s="177"/>
      <c r="E76" s="177"/>
      <c r="F76" s="177"/>
      <c r="G76" s="177"/>
      <c r="H76" s="177"/>
      <c r="I76" s="177"/>
      <c r="J76" s="177"/>
      <c r="K76" s="177"/>
      <c r="L76" s="177"/>
      <c r="M76" s="177"/>
      <c r="O76" s="177"/>
    </row>
    <row r="77" spans="2:15" x14ac:dyDescent="0.2">
      <c r="B77" s="177"/>
      <c r="C77" s="177"/>
      <c r="D77" s="177"/>
      <c r="E77" s="177"/>
      <c r="F77" s="177"/>
      <c r="G77" s="177"/>
      <c r="H77" s="177"/>
      <c r="I77" s="177"/>
      <c r="J77" s="177"/>
      <c r="K77" s="177"/>
      <c r="L77" s="177"/>
      <c r="M77" s="177"/>
      <c r="O77" s="177"/>
    </row>
    <row r="78" spans="2:15" x14ac:dyDescent="0.2">
      <c r="B78" s="177"/>
      <c r="C78" s="177"/>
      <c r="D78" s="177"/>
      <c r="E78" s="177"/>
      <c r="F78" s="177"/>
      <c r="G78" s="177"/>
      <c r="H78" s="177"/>
      <c r="I78" s="177"/>
      <c r="J78" s="177"/>
      <c r="K78" s="177"/>
      <c r="L78" s="177"/>
      <c r="M78" s="177"/>
      <c r="O78" s="177"/>
    </row>
    <row r="79" spans="2:15" x14ac:dyDescent="0.2">
      <c r="B79" s="177"/>
      <c r="C79" s="177"/>
      <c r="D79" s="177"/>
      <c r="E79" s="177"/>
      <c r="F79" s="177"/>
      <c r="G79" s="177"/>
      <c r="H79" s="177"/>
      <c r="I79" s="177"/>
      <c r="J79" s="177"/>
      <c r="K79" s="177"/>
      <c r="L79" s="177"/>
      <c r="M79" s="177"/>
      <c r="N79" s="177"/>
      <c r="O79" s="177"/>
    </row>
    <row r="80" spans="2:15" x14ac:dyDescent="0.2">
      <c r="B80" s="177"/>
      <c r="C80" s="177"/>
      <c r="D80" s="177"/>
      <c r="E80" s="177"/>
      <c r="F80" s="177"/>
      <c r="G80" s="177"/>
      <c r="H80" s="177"/>
      <c r="I80" s="177"/>
      <c r="J80" s="177"/>
      <c r="K80" s="177"/>
      <c r="L80" s="177"/>
      <c r="M80" s="177"/>
      <c r="N80" s="177"/>
      <c r="O80" s="177"/>
    </row>
    <row r="81" spans="2:15" x14ac:dyDescent="0.2">
      <c r="B81" s="177"/>
      <c r="C81" s="177"/>
      <c r="D81" s="177"/>
      <c r="E81" s="177"/>
      <c r="F81" s="177"/>
      <c r="G81" s="177"/>
      <c r="H81" s="177"/>
      <c r="I81" s="177"/>
      <c r="J81" s="177"/>
      <c r="K81" s="177"/>
      <c r="L81" s="177"/>
      <c r="M81" s="177"/>
      <c r="N81" s="177"/>
      <c r="O81" s="177"/>
    </row>
    <row r="82" spans="2:15" x14ac:dyDescent="0.2">
      <c r="B82" s="177"/>
      <c r="C82" s="177"/>
      <c r="D82" s="177"/>
      <c r="E82" s="177"/>
      <c r="F82" s="177"/>
      <c r="G82" s="177"/>
      <c r="H82" s="177"/>
      <c r="I82" s="177"/>
      <c r="J82" s="177"/>
      <c r="K82" s="177"/>
      <c r="L82" s="177"/>
      <c r="M82" s="177"/>
      <c r="N82" s="177"/>
      <c r="O82" s="177"/>
    </row>
    <row r="83" spans="2:15" x14ac:dyDescent="0.2">
      <c r="B83" s="177"/>
      <c r="C83" s="177"/>
      <c r="D83" s="177"/>
      <c r="E83" s="177"/>
      <c r="F83" s="177"/>
      <c r="G83" s="177"/>
      <c r="H83" s="177"/>
      <c r="I83" s="177"/>
      <c r="J83" s="177"/>
      <c r="K83" s="177"/>
      <c r="L83" s="177"/>
      <c r="M83" s="177"/>
      <c r="N83" s="177"/>
      <c r="O83" s="177"/>
    </row>
    <row r="84" spans="2:15" x14ac:dyDescent="0.2">
      <c r="B84" s="177"/>
      <c r="C84" s="177"/>
      <c r="D84" s="177"/>
      <c r="E84" s="177"/>
      <c r="F84" s="177"/>
      <c r="G84" s="177"/>
      <c r="H84" s="177"/>
      <c r="I84" s="177"/>
      <c r="J84" s="177"/>
      <c r="K84" s="177"/>
      <c r="L84" s="177"/>
      <c r="M84" s="177"/>
      <c r="N84" s="177"/>
      <c r="O84" s="177"/>
    </row>
    <row r="85" spans="2:15" x14ac:dyDescent="0.2">
      <c r="B85" s="177"/>
      <c r="C85" s="177"/>
      <c r="D85" s="177"/>
      <c r="E85" s="177"/>
      <c r="F85" s="177"/>
      <c r="G85" s="177"/>
      <c r="H85" s="177"/>
      <c r="I85" s="177"/>
      <c r="J85" s="177"/>
      <c r="K85" s="177"/>
      <c r="L85" s="177"/>
      <c r="M85" s="177"/>
      <c r="N85" s="177"/>
      <c r="O85" s="177"/>
    </row>
    <row r="86" spans="2:15" x14ac:dyDescent="0.2">
      <c r="B86" s="177"/>
      <c r="C86" s="177"/>
      <c r="D86" s="177"/>
      <c r="E86" s="177"/>
      <c r="F86" s="177"/>
      <c r="G86" s="177"/>
      <c r="H86" s="177"/>
      <c r="I86" s="177"/>
      <c r="J86" s="177"/>
      <c r="K86" s="177"/>
      <c r="L86" s="177"/>
      <c r="M86" s="177"/>
      <c r="N86" s="177"/>
      <c r="O86" s="177"/>
    </row>
    <row r="87" spans="2:15" x14ac:dyDescent="0.2">
      <c r="B87" s="177"/>
      <c r="C87" s="177"/>
      <c r="D87" s="177"/>
      <c r="E87" s="177"/>
      <c r="F87" s="177"/>
      <c r="G87" s="177"/>
      <c r="H87" s="177"/>
      <c r="I87" s="177"/>
      <c r="J87" s="177"/>
      <c r="K87" s="177"/>
      <c r="L87" s="177"/>
      <c r="M87" s="177"/>
      <c r="N87" s="177"/>
      <c r="O87" s="177"/>
    </row>
    <row r="88" spans="2:15" x14ac:dyDescent="0.2">
      <c r="B88" s="177"/>
      <c r="C88" s="177"/>
      <c r="D88" s="177"/>
      <c r="E88" s="177"/>
      <c r="F88" s="177"/>
      <c r="G88" s="177"/>
      <c r="H88" s="177"/>
      <c r="I88" s="177"/>
      <c r="J88" s="177"/>
      <c r="K88" s="177"/>
      <c r="L88" s="177"/>
      <c r="M88" s="177"/>
      <c r="N88" s="177"/>
      <c r="O88" s="177"/>
    </row>
    <row r="89" spans="2:15" x14ac:dyDescent="0.2">
      <c r="B89" s="177"/>
      <c r="C89" s="177"/>
      <c r="D89" s="177"/>
      <c r="E89" s="177"/>
      <c r="F89" s="177"/>
      <c r="G89" s="177"/>
      <c r="H89" s="177"/>
      <c r="I89" s="177"/>
      <c r="J89" s="177"/>
      <c r="K89" s="177"/>
      <c r="L89" s="177"/>
      <c r="M89" s="177"/>
      <c r="N89" s="177"/>
      <c r="O89" s="177"/>
    </row>
    <row r="90" spans="2:15" x14ac:dyDescent="0.2">
      <c r="B90" s="177"/>
      <c r="C90" s="177"/>
      <c r="D90" s="177"/>
      <c r="E90" s="177"/>
      <c r="F90" s="177"/>
      <c r="G90" s="177"/>
      <c r="H90" s="177"/>
      <c r="I90" s="177"/>
      <c r="J90" s="177"/>
      <c r="K90" s="177"/>
      <c r="L90" s="177"/>
      <c r="M90" s="177"/>
      <c r="N90" s="177"/>
      <c r="O90" s="177"/>
    </row>
    <row r="91" spans="2:15" x14ac:dyDescent="0.2">
      <c r="B91" s="177"/>
      <c r="C91" s="177"/>
      <c r="D91" s="177"/>
      <c r="E91" s="177"/>
      <c r="F91" s="177"/>
      <c r="G91" s="177"/>
      <c r="H91" s="177"/>
      <c r="I91" s="177"/>
      <c r="J91" s="177"/>
      <c r="K91" s="177"/>
      <c r="L91" s="177"/>
      <c r="M91" s="177"/>
      <c r="N91" s="177"/>
      <c r="O91" s="177"/>
    </row>
    <row r="92" spans="2:15" x14ac:dyDescent="0.2">
      <c r="B92" s="177"/>
      <c r="C92" s="177"/>
      <c r="D92" s="177"/>
      <c r="E92" s="177"/>
      <c r="F92" s="177"/>
      <c r="G92" s="177"/>
      <c r="H92" s="177"/>
      <c r="I92" s="177"/>
      <c r="J92" s="177"/>
      <c r="K92" s="177"/>
      <c r="L92" s="177"/>
      <c r="M92" s="177"/>
      <c r="N92" s="177"/>
      <c r="O92" s="177"/>
    </row>
    <row r="93" spans="2:15" x14ac:dyDescent="0.2">
      <c r="B93" s="177"/>
      <c r="C93" s="177"/>
      <c r="D93" s="177"/>
      <c r="E93" s="177"/>
      <c r="F93" s="177"/>
      <c r="G93" s="177"/>
      <c r="H93" s="177"/>
      <c r="I93" s="177"/>
      <c r="J93" s="177"/>
      <c r="K93" s="177"/>
      <c r="L93" s="177"/>
      <c r="M93" s="177"/>
      <c r="N93" s="177"/>
      <c r="O93" s="177"/>
    </row>
    <row r="94" spans="2:15" x14ac:dyDescent="0.2">
      <c r="B94" s="177"/>
      <c r="C94" s="177"/>
      <c r="D94" s="177"/>
      <c r="E94" s="177"/>
      <c r="F94" s="177"/>
      <c r="G94" s="177"/>
      <c r="H94" s="177"/>
      <c r="I94" s="177"/>
      <c r="J94" s="177"/>
      <c r="K94" s="177"/>
      <c r="L94" s="177"/>
      <c r="M94" s="177"/>
      <c r="N94" s="177"/>
      <c r="O94" s="177"/>
    </row>
    <row r="95" spans="2:15" x14ac:dyDescent="0.2">
      <c r="B95" s="177"/>
      <c r="C95" s="177"/>
      <c r="D95" s="177"/>
      <c r="E95" s="177"/>
      <c r="F95" s="177"/>
      <c r="G95" s="177"/>
      <c r="H95" s="177"/>
      <c r="I95" s="177"/>
      <c r="J95" s="177"/>
      <c r="K95" s="177"/>
      <c r="L95" s="177"/>
      <c r="M95" s="177"/>
      <c r="N95" s="177"/>
      <c r="O95" s="177"/>
    </row>
    <row r="96" spans="2:15" x14ac:dyDescent="0.2">
      <c r="B96" s="177"/>
      <c r="C96" s="177"/>
      <c r="D96" s="177"/>
      <c r="E96" s="177"/>
      <c r="F96" s="177"/>
      <c r="G96" s="177"/>
      <c r="H96" s="177"/>
      <c r="I96" s="177"/>
      <c r="J96" s="177"/>
      <c r="K96" s="177"/>
      <c r="L96" s="177"/>
      <c r="M96" s="177"/>
      <c r="N96" s="177"/>
      <c r="O96" s="177"/>
    </row>
    <row r="97" spans="2:15" x14ac:dyDescent="0.2">
      <c r="B97" s="177"/>
      <c r="C97" s="177"/>
      <c r="D97" s="177"/>
      <c r="E97" s="177"/>
      <c r="F97" s="177"/>
      <c r="G97" s="177"/>
      <c r="H97" s="177"/>
      <c r="I97" s="177"/>
      <c r="J97" s="177"/>
      <c r="K97" s="177"/>
      <c r="L97" s="177"/>
      <c r="M97" s="177"/>
      <c r="N97" s="177"/>
      <c r="O97" s="177"/>
    </row>
    <row r="98" spans="2:15" x14ac:dyDescent="0.2">
      <c r="B98" s="177"/>
      <c r="C98" s="177"/>
      <c r="D98" s="177"/>
      <c r="E98" s="177"/>
      <c r="F98" s="177"/>
      <c r="G98" s="177"/>
      <c r="H98" s="177"/>
      <c r="I98" s="177"/>
      <c r="J98" s="177"/>
      <c r="K98" s="177"/>
      <c r="L98" s="177"/>
      <c r="M98" s="177"/>
      <c r="N98" s="177"/>
      <c r="O98" s="177"/>
    </row>
    <row r="99" spans="2:15" x14ac:dyDescent="0.2">
      <c r="B99" s="177"/>
      <c r="C99" s="177"/>
      <c r="D99" s="177"/>
      <c r="E99" s="177"/>
      <c r="F99" s="177"/>
      <c r="G99" s="177"/>
      <c r="H99" s="177"/>
      <c r="I99" s="177"/>
      <c r="J99" s="177"/>
      <c r="K99" s="177"/>
      <c r="L99" s="177"/>
      <c r="M99" s="177"/>
      <c r="N99" s="177"/>
      <c r="O99" s="177"/>
    </row>
    <row r="100" spans="2:15" x14ac:dyDescent="0.2">
      <c r="B100" s="177"/>
      <c r="C100" s="177"/>
      <c r="D100" s="177"/>
      <c r="E100" s="177"/>
      <c r="F100" s="177"/>
      <c r="G100" s="177"/>
      <c r="H100" s="177"/>
      <c r="I100" s="177"/>
      <c r="J100" s="177"/>
      <c r="K100" s="177"/>
      <c r="L100" s="177"/>
      <c r="M100" s="177"/>
      <c r="N100" s="177"/>
      <c r="O100" s="177"/>
    </row>
    <row r="101" spans="2:15" x14ac:dyDescent="0.2">
      <c r="B101" s="177"/>
      <c r="C101" s="177"/>
      <c r="D101" s="177"/>
      <c r="E101" s="177"/>
      <c r="F101" s="177"/>
      <c r="G101" s="177"/>
      <c r="H101" s="177"/>
      <c r="I101" s="177"/>
      <c r="J101" s="177"/>
      <c r="K101" s="177"/>
      <c r="L101" s="177"/>
      <c r="M101" s="177"/>
      <c r="N101" s="177"/>
      <c r="O101" s="177"/>
    </row>
    <row r="102" spans="2:15" x14ac:dyDescent="0.2">
      <c r="B102" s="177"/>
      <c r="C102" s="177"/>
      <c r="D102" s="177"/>
      <c r="E102" s="177"/>
      <c r="F102" s="177"/>
      <c r="G102" s="177"/>
      <c r="H102" s="177"/>
      <c r="I102" s="177"/>
      <c r="J102" s="177"/>
      <c r="K102" s="177"/>
      <c r="L102" s="177"/>
      <c r="M102" s="177"/>
      <c r="N102" s="177"/>
      <c r="O102" s="177"/>
    </row>
    <row r="103" spans="2:15" x14ac:dyDescent="0.2">
      <c r="B103" s="177"/>
      <c r="C103" s="177"/>
      <c r="D103" s="177"/>
      <c r="E103" s="177"/>
      <c r="F103" s="177"/>
      <c r="G103" s="177"/>
      <c r="H103" s="177"/>
      <c r="I103" s="177"/>
      <c r="J103" s="177"/>
      <c r="K103" s="177"/>
      <c r="L103" s="177"/>
      <c r="M103" s="177"/>
      <c r="N103" s="177"/>
      <c r="O103" s="177"/>
    </row>
    <row r="104" spans="2:15" x14ac:dyDescent="0.2">
      <c r="B104" s="177"/>
      <c r="C104" s="177"/>
      <c r="D104" s="177"/>
      <c r="E104" s="177"/>
      <c r="F104" s="177"/>
      <c r="G104" s="177"/>
      <c r="H104" s="177"/>
      <c r="I104" s="177"/>
      <c r="J104" s="177"/>
      <c r="K104" s="177"/>
      <c r="L104" s="177"/>
      <c r="M104" s="177"/>
      <c r="N104" s="177"/>
      <c r="O104" s="177"/>
    </row>
    <row r="105" spans="2:15" x14ac:dyDescent="0.2">
      <c r="B105" s="177"/>
      <c r="C105" s="177"/>
      <c r="D105" s="177"/>
      <c r="E105" s="177"/>
      <c r="F105" s="177"/>
      <c r="G105" s="177"/>
      <c r="H105" s="177"/>
      <c r="I105" s="177"/>
      <c r="J105" s="177"/>
      <c r="K105" s="177"/>
      <c r="L105" s="177"/>
      <c r="M105" s="177"/>
      <c r="N105" s="177"/>
      <c r="O105" s="177"/>
    </row>
    <row r="106" spans="2:15" x14ac:dyDescent="0.2">
      <c r="B106" s="177"/>
      <c r="C106" s="177"/>
      <c r="D106" s="177"/>
      <c r="E106" s="177"/>
      <c r="F106" s="177"/>
      <c r="G106" s="177"/>
      <c r="H106" s="177"/>
      <c r="I106" s="177"/>
      <c r="J106" s="177"/>
      <c r="K106" s="177"/>
      <c r="L106" s="177"/>
      <c r="M106" s="177"/>
      <c r="N106" s="177"/>
      <c r="O106" s="177"/>
    </row>
    <row r="107" spans="2:15" x14ac:dyDescent="0.2">
      <c r="B107" s="177"/>
      <c r="C107" s="177"/>
      <c r="D107" s="177"/>
      <c r="E107" s="177"/>
      <c r="F107" s="177"/>
      <c r="G107" s="177"/>
      <c r="H107" s="177"/>
      <c r="I107" s="177"/>
      <c r="J107" s="177"/>
      <c r="K107" s="177"/>
      <c r="L107" s="177"/>
      <c r="M107" s="177"/>
      <c r="N107" s="177"/>
      <c r="O107" s="177"/>
    </row>
    <row r="108" spans="2:15" x14ac:dyDescent="0.2">
      <c r="B108" s="177"/>
      <c r="C108" s="177"/>
      <c r="D108" s="177"/>
      <c r="E108" s="177"/>
      <c r="F108" s="177"/>
      <c r="G108" s="177"/>
      <c r="H108" s="177"/>
      <c r="I108" s="177"/>
      <c r="J108" s="177"/>
      <c r="K108" s="177"/>
      <c r="L108" s="177"/>
      <c r="M108" s="177"/>
      <c r="N108" s="177"/>
      <c r="O108" s="177"/>
    </row>
    <row r="109" spans="2:15" x14ac:dyDescent="0.2">
      <c r="B109" s="177"/>
      <c r="C109" s="177"/>
      <c r="D109" s="177"/>
      <c r="E109" s="177"/>
      <c r="F109" s="177"/>
      <c r="G109" s="177"/>
      <c r="H109" s="177"/>
      <c r="I109" s="177"/>
      <c r="J109" s="177"/>
      <c r="K109" s="177"/>
      <c r="L109" s="177"/>
      <c r="M109" s="177"/>
      <c r="N109" s="177"/>
      <c r="O109" s="177"/>
    </row>
    <row r="110" spans="2:15" x14ac:dyDescent="0.2">
      <c r="B110" s="177"/>
      <c r="C110" s="177"/>
      <c r="D110" s="177"/>
      <c r="E110" s="177"/>
      <c r="F110" s="177"/>
      <c r="G110" s="177"/>
      <c r="H110" s="177"/>
      <c r="I110" s="177"/>
      <c r="J110" s="177"/>
      <c r="K110" s="177"/>
      <c r="L110" s="177"/>
      <c r="M110" s="177"/>
      <c r="N110" s="177"/>
      <c r="O110" s="177"/>
    </row>
    <row r="111" spans="2:15" x14ac:dyDescent="0.2">
      <c r="B111" s="177"/>
      <c r="C111" s="177"/>
      <c r="D111" s="177"/>
      <c r="E111" s="177"/>
      <c r="F111" s="177"/>
      <c r="G111" s="177"/>
      <c r="H111" s="177"/>
      <c r="I111" s="177"/>
      <c r="J111" s="177"/>
      <c r="K111" s="177"/>
      <c r="L111" s="177"/>
      <c r="M111" s="177"/>
      <c r="N111" s="177"/>
      <c r="O111" s="177"/>
    </row>
    <row r="112" spans="2:15" x14ac:dyDescent="0.2">
      <c r="B112" s="177"/>
      <c r="C112" s="177"/>
      <c r="D112" s="177"/>
      <c r="E112" s="177"/>
      <c r="F112" s="177"/>
      <c r="G112" s="177"/>
      <c r="H112" s="177"/>
      <c r="I112" s="177"/>
      <c r="J112" s="177"/>
      <c r="K112" s="177"/>
      <c r="L112" s="177"/>
      <c r="M112" s="177"/>
      <c r="N112" s="177"/>
      <c r="O112" s="177"/>
    </row>
    <row r="113" spans="2:15" x14ac:dyDescent="0.2">
      <c r="B113" s="177"/>
      <c r="C113" s="177"/>
      <c r="D113" s="177"/>
      <c r="E113" s="177"/>
      <c r="F113" s="177"/>
      <c r="G113" s="177"/>
      <c r="H113" s="177"/>
      <c r="I113" s="177"/>
      <c r="J113" s="177"/>
      <c r="K113" s="177"/>
      <c r="L113" s="177"/>
      <c r="M113" s="177"/>
      <c r="N113" s="177"/>
      <c r="O113" s="177"/>
    </row>
    <row r="114" spans="2:15" x14ac:dyDescent="0.2">
      <c r="B114" s="177"/>
      <c r="C114" s="177"/>
      <c r="D114" s="177"/>
      <c r="E114" s="177"/>
      <c r="F114" s="177"/>
      <c r="G114" s="177"/>
      <c r="H114" s="177"/>
      <c r="I114" s="177"/>
      <c r="J114" s="177"/>
      <c r="K114" s="177"/>
      <c r="L114" s="177"/>
      <c r="M114" s="177"/>
      <c r="N114" s="177"/>
      <c r="O114" s="177"/>
    </row>
    <row r="115" spans="2:15" x14ac:dyDescent="0.2">
      <c r="B115" s="177"/>
      <c r="C115" s="177"/>
      <c r="D115" s="177"/>
      <c r="E115" s="177"/>
      <c r="F115" s="177"/>
      <c r="G115" s="177"/>
      <c r="H115" s="177"/>
      <c r="I115" s="177"/>
      <c r="J115" s="177"/>
      <c r="K115" s="177"/>
      <c r="L115" s="177"/>
      <c r="M115" s="177"/>
      <c r="N115" s="177"/>
      <c r="O115" s="177"/>
    </row>
    <row r="116" spans="2:15" x14ac:dyDescent="0.2">
      <c r="B116" s="177"/>
      <c r="C116" s="177"/>
      <c r="D116" s="177"/>
      <c r="E116" s="177"/>
      <c r="F116" s="177"/>
      <c r="G116" s="177"/>
      <c r="H116" s="177"/>
      <c r="I116" s="177"/>
      <c r="J116" s="177"/>
      <c r="K116" s="177"/>
      <c r="L116" s="177"/>
      <c r="M116" s="177"/>
      <c r="N116" s="177"/>
      <c r="O116" s="177"/>
    </row>
    <row r="117" spans="2:15" x14ac:dyDescent="0.2">
      <c r="B117" s="177"/>
      <c r="C117" s="177"/>
      <c r="D117" s="177"/>
      <c r="E117" s="177"/>
      <c r="F117" s="177"/>
      <c r="G117" s="177"/>
      <c r="H117" s="177"/>
      <c r="I117" s="177"/>
      <c r="J117" s="177"/>
      <c r="K117" s="177"/>
      <c r="L117" s="177"/>
      <c r="M117" s="177"/>
      <c r="N117" s="177"/>
      <c r="O117" s="177"/>
    </row>
    <row r="118" spans="2:15" x14ac:dyDescent="0.2">
      <c r="B118" s="177"/>
      <c r="C118" s="177"/>
      <c r="D118" s="177"/>
      <c r="E118" s="177"/>
      <c r="F118" s="177"/>
      <c r="G118" s="177"/>
      <c r="H118" s="177"/>
      <c r="I118" s="177"/>
      <c r="J118" s="177"/>
      <c r="K118" s="177"/>
      <c r="L118" s="177"/>
      <c r="M118" s="177"/>
      <c r="N118" s="177"/>
      <c r="O118" s="177"/>
    </row>
    <row r="119" spans="2:15" x14ac:dyDescent="0.2">
      <c r="B119" s="177"/>
      <c r="C119" s="177"/>
      <c r="D119" s="177"/>
      <c r="E119" s="177"/>
      <c r="F119" s="177"/>
      <c r="G119" s="177"/>
      <c r="H119" s="177"/>
      <c r="I119" s="177"/>
      <c r="J119" s="177"/>
      <c r="K119" s="177"/>
      <c r="L119" s="177"/>
      <c r="M119" s="177"/>
      <c r="N119" s="177"/>
      <c r="O119" s="177"/>
    </row>
    <row r="120" spans="2:15" x14ac:dyDescent="0.2">
      <c r="B120" s="177"/>
      <c r="C120" s="177"/>
      <c r="D120" s="177"/>
      <c r="E120" s="177"/>
      <c r="F120" s="177"/>
      <c r="G120" s="177"/>
      <c r="H120" s="177"/>
      <c r="I120" s="177"/>
      <c r="J120" s="177"/>
      <c r="K120" s="177"/>
      <c r="L120" s="177"/>
      <c r="M120" s="177"/>
      <c r="N120" s="177"/>
      <c r="O120" s="177"/>
    </row>
    <row r="121" spans="2:15" x14ac:dyDescent="0.2">
      <c r="B121" s="177"/>
      <c r="C121" s="177"/>
      <c r="D121" s="177"/>
      <c r="E121" s="177"/>
      <c r="F121" s="177"/>
      <c r="G121" s="177"/>
      <c r="H121" s="177"/>
      <c r="I121" s="177"/>
      <c r="J121" s="177"/>
      <c r="K121" s="177"/>
      <c r="L121" s="177"/>
      <c r="M121" s="177"/>
      <c r="N121" s="177"/>
      <c r="O121" s="177"/>
    </row>
    <row r="122" spans="2:15" x14ac:dyDescent="0.2">
      <c r="B122" s="177"/>
      <c r="C122" s="177"/>
      <c r="D122" s="177"/>
      <c r="E122" s="177"/>
      <c r="F122" s="177"/>
      <c r="G122" s="177"/>
      <c r="H122" s="177"/>
      <c r="I122" s="177"/>
      <c r="J122" s="177"/>
      <c r="K122" s="177"/>
      <c r="L122" s="177"/>
      <c r="M122" s="177"/>
      <c r="N122" s="177"/>
      <c r="O122" s="177"/>
    </row>
    <row r="123" spans="2:15" x14ac:dyDescent="0.2">
      <c r="B123" s="177"/>
      <c r="C123" s="177"/>
      <c r="D123" s="177"/>
      <c r="E123" s="177"/>
      <c r="F123" s="177"/>
      <c r="G123" s="177"/>
      <c r="H123" s="177"/>
      <c r="I123" s="177"/>
      <c r="J123" s="177"/>
      <c r="K123" s="177"/>
      <c r="L123" s="177"/>
      <c r="M123" s="177"/>
      <c r="N123" s="177"/>
      <c r="O123" s="177"/>
    </row>
    <row r="124" spans="2:15" x14ac:dyDescent="0.2">
      <c r="B124" s="177"/>
      <c r="C124" s="177"/>
      <c r="D124" s="177"/>
      <c r="E124" s="177"/>
      <c r="F124" s="177"/>
      <c r="G124" s="177"/>
      <c r="H124" s="177"/>
      <c r="I124" s="177"/>
      <c r="J124" s="177"/>
      <c r="K124" s="177"/>
      <c r="L124" s="177"/>
      <c r="M124" s="177"/>
      <c r="N124" s="177"/>
      <c r="O124" s="177"/>
    </row>
    <row r="125" spans="2:15" x14ac:dyDescent="0.2">
      <c r="B125" s="177"/>
      <c r="C125" s="177"/>
      <c r="D125" s="177"/>
      <c r="E125" s="177"/>
      <c r="F125" s="177"/>
      <c r="G125" s="177"/>
      <c r="H125" s="177"/>
      <c r="I125" s="177"/>
      <c r="J125" s="177"/>
      <c r="K125" s="177"/>
      <c r="L125" s="177"/>
      <c r="M125" s="177"/>
      <c r="N125" s="177"/>
      <c r="O125" s="177"/>
    </row>
    <row r="126" spans="2:15" x14ac:dyDescent="0.2">
      <c r="B126" s="177"/>
      <c r="C126" s="177"/>
      <c r="D126" s="177"/>
      <c r="E126" s="177"/>
      <c r="F126" s="177"/>
      <c r="G126" s="177"/>
      <c r="H126" s="177"/>
      <c r="I126" s="177"/>
      <c r="J126" s="177"/>
      <c r="K126" s="177"/>
      <c r="L126" s="177"/>
      <c r="M126" s="177"/>
      <c r="N126" s="177"/>
      <c r="O126" s="177"/>
    </row>
    <row r="127" spans="2:15" x14ac:dyDescent="0.2">
      <c r="B127" s="177"/>
      <c r="C127" s="177"/>
      <c r="D127" s="177"/>
      <c r="E127" s="177"/>
      <c r="F127" s="177"/>
      <c r="G127" s="177"/>
      <c r="H127" s="177"/>
      <c r="I127" s="177"/>
      <c r="J127" s="177"/>
      <c r="K127" s="177"/>
      <c r="L127" s="177"/>
      <c r="M127" s="177"/>
      <c r="N127" s="177"/>
      <c r="O127" s="177"/>
    </row>
    <row r="128" spans="2:15" x14ac:dyDescent="0.2">
      <c r="B128" s="177"/>
      <c r="C128" s="177"/>
      <c r="D128" s="177"/>
      <c r="E128" s="177"/>
      <c r="F128" s="177"/>
      <c r="G128" s="177"/>
      <c r="H128" s="177"/>
      <c r="I128" s="177"/>
      <c r="J128" s="177"/>
      <c r="K128" s="177"/>
      <c r="L128" s="177"/>
      <c r="M128" s="177"/>
      <c r="N128" s="177"/>
      <c r="O128" s="177"/>
    </row>
    <row r="129" spans="2:15" x14ac:dyDescent="0.2">
      <c r="B129" s="177"/>
      <c r="C129" s="177"/>
      <c r="D129" s="177"/>
      <c r="E129" s="177"/>
      <c r="F129" s="177"/>
      <c r="G129" s="177"/>
      <c r="H129" s="177"/>
      <c r="I129" s="177"/>
      <c r="J129" s="177"/>
      <c r="K129" s="177"/>
      <c r="L129" s="177"/>
      <c r="M129" s="177"/>
      <c r="N129" s="177"/>
      <c r="O129" s="177"/>
    </row>
    <row r="130" spans="2:15" x14ac:dyDescent="0.2">
      <c r="B130" s="177"/>
      <c r="C130" s="177"/>
      <c r="D130" s="177"/>
      <c r="E130" s="177"/>
      <c r="F130" s="177"/>
      <c r="G130" s="177"/>
      <c r="H130" s="177"/>
      <c r="I130" s="177"/>
      <c r="J130" s="177"/>
      <c r="K130" s="177"/>
      <c r="L130" s="177"/>
      <c r="M130" s="177"/>
      <c r="N130" s="177"/>
      <c r="O130" s="177"/>
    </row>
    <row r="131" spans="2:15" x14ac:dyDescent="0.2">
      <c r="B131" s="177"/>
      <c r="C131" s="177"/>
      <c r="D131" s="177"/>
      <c r="E131" s="177"/>
      <c r="F131" s="177"/>
      <c r="G131" s="177"/>
      <c r="H131" s="177"/>
      <c r="I131" s="177"/>
      <c r="J131" s="177"/>
      <c r="K131" s="177"/>
      <c r="L131" s="177"/>
      <c r="M131" s="177"/>
      <c r="N131" s="177"/>
      <c r="O131" s="177"/>
    </row>
    <row r="132" spans="2:15" x14ac:dyDescent="0.2">
      <c r="B132" s="177"/>
      <c r="C132" s="177"/>
      <c r="D132" s="177"/>
      <c r="E132" s="177"/>
      <c r="F132" s="177"/>
      <c r="G132" s="177"/>
      <c r="H132" s="177"/>
      <c r="I132" s="177"/>
      <c r="J132" s="177"/>
      <c r="K132" s="177"/>
      <c r="L132" s="177"/>
      <c r="M132" s="177"/>
      <c r="N132" s="177"/>
      <c r="O132" s="177"/>
    </row>
    <row r="133" spans="2:15" x14ac:dyDescent="0.2">
      <c r="B133" s="177"/>
      <c r="C133" s="177"/>
      <c r="D133" s="177"/>
      <c r="E133" s="177"/>
      <c r="F133" s="177"/>
      <c r="G133" s="177"/>
      <c r="H133" s="177"/>
      <c r="I133" s="177"/>
      <c r="J133" s="177"/>
      <c r="K133" s="177"/>
      <c r="L133" s="177"/>
      <c r="M133" s="177"/>
      <c r="N133" s="177"/>
      <c r="O133" s="177"/>
    </row>
    <row r="134" spans="2:15" x14ac:dyDescent="0.2">
      <c r="B134" s="177"/>
      <c r="C134" s="177"/>
      <c r="D134" s="177"/>
      <c r="E134" s="177"/>
      <c r="F134" s="177"/>
      <c r="G134" s="177"/>
      <c r="H134" s="177"/>
      <c r="I134" s="177"/>
      <c r="J134" s="177"/>
      <c r="K134" s="177"/>
      <c r="L134" s="177"/>
      <c r="M134" s="177"/>
      <c r="N134" s="177"/>
      <c r="O134" s="177"/>
    </row>
    <row r="135" spans="2:15" x14ac:dyDescent="0.2">
      <c r="B135" s="177"/>
      <c r="C135" s="177"/>
      <c r="D135" s="177"/>
      <c r="E135" s="177"/>
      <c r="F135" s="177"/>
      <c r="G135" s="177"/>
      <c r="H135" s="177"/>
      <c r="I135" s="177"/>
      <c r="J135" s="177"/>
      <c r="K135" s="177"/>
      <c r="L135" s="177"/>
      <c r="M135" s="177"/>
      <c r="N135" s="177"/>
      <c r="O135" s="177"/>
    </row>
    <row r="136" spans="2:15" x14ac:dyDescent="0.2">
      <c r="B136" s="177"/>
      <c r="C136" s="177"/>
      <c r="D136" s="177"/>
      <c r="E136" s="177"/>
      <c r="F136" s="177"/>
      <c r="G136" s="177"/>
      <c r="H136" s="177"/>
      <c r="I136" s="177"/>
      <c r="J136" s="177"/>
      <c r="K136" s="177"/>
      <c r="L136" s="177"/>
      <c r="M136" s="177"/>
      <c r="N136" s="177"/>
      <c r="O136" s="177"/>
    </row>
    <row r="137" spans="2:15" x14ac:dyDescent="0.2">
      <c r="B137" s="177"/>
      <c r="C137" s="177"/>
      <c r="D137" s="177"/>
      <c r="E137" s="177"/>
      <c r="F137" s="177"/>
      <c r="G137" s="177"/>
      <c r="H137" s="177"/>
      <c r="I137" s="177"/>
      <c r="J137" s="177"/>
      <c r="K137" s="177"/>
      <c r="L137" s="177"/>
      <c r="M137" s="177"/>
      <c r="N137" s="177"/>
      <c r="O137" s="177"/>
    </row>
    <row r="138" spans="2:15" x14ac:dyDescent="0.2">
      <c r="B138" s="177"/>
      <c r="C138" s="177"/>
      <c r="D138" s="177"/>
      <c r="E138" s="177"/>
      <c r="F138" s="177"/>
      <c r="G138" s="177"/>
      <c r="H138" s="177"/>
      <c r="I138" s="177"/>
      <c r="J138" s="177"/>
      <c r="K138" s="177"/>
      <c r="L138" s="177"/>
      <c r="M138" s="177"/>
      <c r="N138" s="177"/>
      <c r="O138" s="177"/>
    </row>
    <row r="139" spans="2:15" x14ac:dyDescent="0.2">
      <c r="B139" s="177"/>
      <c r="C139" s="177"/>
      <c r="D139" s="177"/>
      <c r="E139" s="177"/>
      <c r="F139" s="177"/>
      <c r="G139" s="177"/>
      <c r="H139" s="177"/>
      <c r="I139" s="177"/>
      <c r="J139" s="177"/>
      <c r="K139" s="177"/>
      <c r="L139" s="177"/>
      <c r="M139" s="177"/>
      <c r="N139" s="177"/>
      <c r="O139" s="177"/>
    </row>
  </sheetData>
  <mergeCells count="16">
    <mergeCell ref="C56:D56"/>
    <mergeCell ref="C7:D7"/>
    <mergeCell ref="C8:D8"/>
    <mergeCell ref="C9:D9"/>
    <mergeCell ref="O18:Q18"/>
    <mergeCell ref="O14:Q14"/>
    <mergeCell ref="O16:Q16"/>
    <mergeCell ref="O17:Q17"/>
    <mergeCell ref="I12:M12"/>
    <mergeCell ref="I13:M13"/>
    <mergeCell ref="I14:M14"/>
    <mergeCell ref="A1:G1"/>
    <mergeCell ref="A2:G2"/>
    <mergeCell ref="I9:K9"/>
    <mergeCell ref="I11:M11"/>
    <mergeCell ref="I2:L2"/>
  </mergeCells>
  <printOptions horizontalCentered="1"/>
  <pageMargins left="0.25" right="0.25" top="0.75" bottom="0.75" header="0.3" footer="0.3"/>
  <pageSetup scale="64" orientation="landscape" r:id="rId1"/>
  <headerFooter alignWithMargins="0">
    <oddFooter>&amp;L&amp;"Arial,Regular"&amp;8&amp;F&amp;C&amp;A&amp;R&amp;"Arial,Regular"Advice No. 18-xxxx
Page &amp;P of &amp;N</oddFooter>
  </headerFooter>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28" activePane="bottomRight" state="frozen"/>
      <selection activeCell="B7" sqref="B7"/>
      <selection pane="topRight" activeCell="B7" sqref="B7"/>
      <selection pane="bottomLeft" activeCell="B7" sqref="B7"/>
      <selection pane="bottomRight" activeCell="D41" sqref="D41"/>
    </sheetView>
  </sheetViews>
  <sheetFormatPr defaultColWidth="13.28515625" defaultRowHeight="11.25" x14ac:dyDescent="0.2"/>
  <cols>
    <col min="1" max="1" width="7.28515625" style="99" bestFit="1" customWidth="1"/>
    <col min="2" max="2" width="8" style="99" bestFit="1" customWidth="1"/>
    <col min="3" max="3" width="7.28515625" style="99" bestFit="1" customWidth="1"/>
    <col min="4" max="4" width="11.140625" style="99" bestFit="1" customWidth="1"/>
    <col min="5" max="5" width="8.7109375" style="99" bestFit="1" customWidth="1"/>
    <col min="6" max="6" width="7.28515625" style="99" bestFit="1" customWidth="1"/>
    <col min="7" max="7" width="9.140625" style="99" bestFit="1" customWidth="1"/>
    <col min="8" max="8" width="7.42578125" style="99" bestFit="1" customWidth="1"/>
    <col min="9" max="9" width="9.5703125" style="99" bestFit="1" customWidth="1"/>
    <col min="10" max="10" width="7.28515625" style="99" bestFit="1" customWidth="1"/>
    <col min="11" max="11" width="9.5703125" style="99" bestFit="1" customWidth="1"/>
    <col min="12" max="12" width="7.28515625" style="99" bestFit="1" customWidth="1"/>
    <col min="13" max="21" width="13.28515625" style="99"/>
    <col min="22" max="22" width="1.7109375" style="99" bestFit="1" customWidth="1"/>
    <col min="23" max="24" width="15.5703125" style="99" customWidth="1"/>
    <col min="25" max="199" width="13.28515625" style="99"/>
    <col min="200" max="200" width="83" style="99" customWidth="1"/>
    <col min="201" max="16384" width="13.28515625" style="99"/>
  </cols>
  <sheetData>
    <row r="1" spans="1:200" x14ac:dyDescent="0.2">
      <c r="A1" s="258" t="s">
        <v>139</v>
      </c>
      <c r="B1" s="258"/>
      <c r="C1" s="258"/>
      <c r="D1" s="258"/>
      <c r="E1" s="258"/>
      <c r="F1" s="258"/>
      <c r="G1" s="258"/>
      <c r="I1" s="277" t="s">
        <v>45</v>
      </c>
      <c r="J1" s="278"/>
      <c r="K1" s="278"/>
      <c r="L1" s="279"/>
      <c r="P1" s="134"/>
      <c r="Q1" s="134"/>
      <c r="R1" s="134"/>
      <c r="V1" s="135" t="s">
        <v>14</v>
      </c>
    </row>
    <row r="2" spans="1:200" x14ac:dyDescent="0.2">
      <c r="A2" s="258" t="s">
        <v>30</v>
      </c>
      <c r="B2" s="258"/>
      <c r="C2" s="258"/>
      <c r="D2" s="258"/>
      <c r="E2" s="258"/>
      <c r="F2" s="258"/>
      <c r="G2" s="258"/>
      <c r="I2" s="229" t="s">
        <v>31</v>
      </c>
      <c r="J2" s="230">
        <v>0.51500000000000001</v>
      </c>
      <c r="K2" s="231">
        <v>5.4951456310679617E-2</v>
      </c>
      <c r="L2" s="232">
        <f>ROUND(J2*K2,4)</f>
        <v>2.8299999999999999E-2</v>
      </c>
      <c r="P2" s="134"/>
      <c r="Q2" s="134"/>
      <c r="R2" s="134"/>
      <c r="V2" s="135" t="s">
        <v>14</v>
      </c>
    </row>
    <row r="3" spans="1:200" x14ac:dyDescent="0.2">
      <c r="E3" s="143"/>
      <c r="I3" s="229" t="s">
        <v>32</v>
      </c>
      <c r="J3" s="233">
        <v>0</v>
      </c>
      <c r="K3" s="234">
        <v>0</v>
      </c>
      <c r="L3" s="232">
        <f>ROUND(J3*K3,4)</f>
        <v>0</v>
      </c>
      <c r="P3" s="134"/>
      <c r="Q3" s="134"/>
      <c r="R3" s="134"/>
      <c r="V3" s="135" t="s">
        <v>14</v>
      </c>
      <c r="W3" s="134"/>
      <c r="X3" s="134"/>
    </row>
    <row r="4" spans="1:200" x14ac:dyDescent="0.2">
      <c r="I4" s="235" t="s">
        <v>33</v>
      </c>
      <c r="J4" s="236">
        <f>SUM(J2:J3)</f>
        <v>0.51500000000000001</v>
      </c>
      <c r="K4" s="237"/>
      <c r="L4" s="238">
        <f>SUM(L2:L3)</f>
        <v>2.8299999999999999E-2</v>
      </c>
      <c r="P4" s="134"/>
      <c r="Q4" s="134"/>
      <c r="R4" s="134"/>
      <c r="V4" s="135" t="s">
        <v>14</v>
      </c>
      <c r="W4" s="134"/>
      <c r="X4" s="134"/>
    </row>
    <row r="5" spans="1:200" x14ac:dyDescent="0.2">
      <c r="C5" s="263" t="s">
        <v>23</v>
      </c>
      <c r="D5" s="263"/>
      <c r="E5" s="134">
        <f>K68</f>
        <v>117009.14855938901</v>
      </c>
      <c r="I5" s="235" t="s">
        <v>24</v>
      </c>
      <c r="J5" s="233">
        <v>0</v>
      </c>
      <c r="K5" s="234">
        <v>0</v>
      </c>
      <c r="L5" s="232">
        <f t="shared" ref="L5:L6" si="0">ROUND(J5*K5,4)</f>
        <v>0</v>
      </c>
      <c r="P5" s="134"/>
      <c r="Q5" s="134"/>
      <c r="R5" s="134"/>
      <c r="V5" s="135" t="s">
        <v>14</v>
      </c>
      <c r="W5" s="134"/>
      <c r="X5" s="134"/>
    </row>
    <row r="6" spans="1:200" x14ac:dyDescent="0.2">
      <c r="C6" s="263" t="s">
        <v>21</v>
      </c>
      <c r="D6" s="263"/>
      <c r="E6" s="134">
        <f>PMT(L8,I10,-E5)</f>
        <v>8918.0203175745246</v>
      </c>
      <c r="I6" s="235" t="s">
        <v>22</v>
      </c>
      <c r="J6" s="230">
        <v>0.48499999999999999</v>
      </c>
      <c r="K6" s="231">
        <v>9.4E-2</v>
      </c>
      <c r="L6" s="232">
        <f t="shared" si="0"/>
        <v>4.5600000000000002E-2</v>
      </c>
      <c r="V6" s="135" t="s">
        <v>14</v>
      </c>
      <c r="W6" s="134"/>
      <c r="X6" s="134"/>
    </row>
    <row r="7" spans="1:200" ht="12" thickBot="1" x14ac:dyDescent="0.25">
      <c r="C7" s="263" t="s">
        <v>20</v>
      </c>
      <c r="D7" s="263"/>
      <c r="E7" s="151">
        <f>($E$6/$E$10)*100</f>
        <v>8.9180203175745252</v>
      </c>
      <c r="G7" s="239">
        <f>+E7/100</f>
        <v>8.9180203175745251E-2</v>
      </c>
      <c r="I7" s="240"/>
      <c r="J7" s="237"/>
      <c r="K7" s="237"/>
      <c r="L7" s="232" t="s">
        <v>13</v>
      </c>
      <c r="P7" s="134"/>
      <c r="Q7" s="134"/>
      <c r="R7" s="134"/>
      <c r="V7" s="135" t="s">
        <v>14</v>
      </c>
      <c r="W7" s="134"/>
      <c r="X7" s="134"/>
    </row>
    <row r="8" spans="1:200" ht="12" thickBot="1" x14ac:dyDescent="0.25">
      <c r="I8" s="275" t="s">
        <v>19</v>
      </c>
      <c r="J8" s="276"/>
      <c r="K8" s="276"/>
      <c r="L8" s="241">
        <f>SUM(L4:L7)</f>
        <v>7.3899999999999993E-2</v>
      </c>
      <c r="P8" s="134"/>
      <c r="Q8" s="134"/>
      <c r="R8" s="134"/>
      <c r="V8" s="135" t="s">
        <v>14</v>
      </c>
      <c r="W8" s="134"/>
      <c r="X8" s="134"/>
    </row>
    <row r="9" spans="1:200" x14ac:dyDescent="0.2">
      <c r="C9" s="263" t="s">
        <v>18</v>
      </c>
      <c r="D9" s="263"/>
      <c r="E9" s="154">
        <v>12</v>
      </c>
      <c r="M9" s="156"/>
      <c r="P9" s="134"/>
      <c r="Q9" s="134"/>
      <c r="R9" s="134"/>
      <c r="V9" s="135" t="s">
        <v>14</v>
      </c>
      <c r="W9" s="134"/>
      <c r="X9" s="134"/>
    </row>
    <row r="10" spans="1:200" x14ac:dyDescent="0.2">
      <c r="C10" s="263" t="s">
        <v>16</v>
      </c>
      <c r="D10" s="263"/>
      <c r="E10" s="157">
        <v>100000</v>
      </c>
      <c r="F10" s="101"/>
      <c r="G10" s="101"/>
      <c r="H10" s="101"/>
      <c r="I10" s="242">
        <f>'Sub &amp; Feeder Depr Life'!AB12</f>
        <v>49</v>
      </c>
      <c r="J10" s="280" t="s">
        <v>25</v>
      </c>
      <c r="K10" s="280"/>
      <c r="L10" s="280"/>
      <c r="V10" s="135" t="s">
        <v>14</v>
      </c>
      <c r="W10" s="134"/>
      <c r="X10" s="134"/>
    </row>
    <row r="11" spans="1:200" ht="13.15" customHeight="1" x14ac:dyDescent="0.2">
      <c r="C11" s="263" t="s">
        <v>15</v>
      </c>
      <c r="D11" s="263"/>
      <c r="E11" s="134">
        <f>E10</f>
        <v>100000</v>
      </c>
      <c r="G11" s="160"/>
      <c r="I11" s="243">
        <f>+'Lvl FCR Feeder'!H13</f>
        <v>0.24861900000000003</v>
      </c>
      <c r="J11" s="280" t="s">
        <v>43</v>
      </c>
      <c r="K11" s="280"/>
      <c r="L11" s="280"/>
      <c r="V11" s="135" t="s">
        <v>14</v>
      </c>
      <c r="W11" s="134"/>
      <c r="X11" s="134"/>
    </row>
    <row r="12" spans="1:200" x14ac:dyDescent="0.2">
      <c r="C12" s="263" t="s">
        <v>17</v>
      </c>
      <c r="D12" s="263"/>
      <c r="E12" s="134">
        <f>E10</f>
        <v>100000</v>
      </c>
      <c r="I12" s="243">
        <f>+'Lvl FCR Feeder'!H14</f>
        <v>0.21</v>
      </c>
      <c r="J12" s="280" t="s">
        <v>41</v>
      </c>
      <c r="K12" s="280"/>
      <c r="L12" s="280"/>
      <c r="M12" s="162"/>
    </row>
    <row r="13" spans="1:200" x14ac:dyDescent="0.2">
      <c r="C13" s="219"/>
      <c r="M13" s="162"/>
    </row>
    <row r="14" spans="1:200" ht="34.5" thickBot="1" x14ac:dyDescent="0.25">
      <c r="A14" s="164" t="s">
        <v>46</v>
      </c>
      <c r="B14" s="164" t="s">
        <v>47</v>
      </c>
      <c r="C14" s="164" t="s">
        <v>56</v>
      </c>
      <c r="D14" s="164" t="s">
        <v>48</v>
      </c>
      <c r="E14" s="164" t="s">
        <v>58</v>
      </c>
      <c r="F14" s="164" t="s">
        <v>55</v>
      </c>
      <c r="G14" s="164" t="s">
        <v>49</v>
      </c>
      <c r="H14" s="164" t="s">
        <v>50</v>
      </c>
      <c r="I14" s="164" t="s">
        <v>57</v>
      </c>
      <c r="J14" s="164" t="s">
        <v>52</v>
      </c>
      <c r="K14" s="164" t="s">
        <v>53</v>
      </c>
    </row>
    <row r="15" spans="1:200" x14ac:dyDescent="0.2">
      <c r="A15" s="166">
        <v>1</v>
      </c>
      <c r="B15" s="173">
        <f>E10</f>
        <v>100000</v>
      </c>
      <c r="C15" s="244">
        <v>0</v>
      </c>
      <c r="D15" s="167">
        <f>E10</f>
        <v>100000</v>
      </c>
      <c r="E15" s="167">
        <f t="shared" ref="E15:E58" si="1">E$11*C15</f>
        <v>0</v>
      </c>
      <c r="F15" s="169">
        <f t="shared" ref="F15:F58" si="2">$I$12*(E15-I15*E$11/E$10)</f>
        <v>0</v>
      </c>
      <c r="G15" s="167">
        <f>L$4*D15*(E9/12)</f>
        <v>2830</v>
      </c>
      <c r="H15" s="167">
        <f>D15*(L$5+L$6)*(E9/12)</f>
        <v>4560</v>
      </c>
      <c r="I15" s="245">
        <v>0</v>
      </c>
      <c r="J15" s="167">
        <f t="shared" ref="J15:J58" si="3">(I$11/(1-I$11))*(H15+I15-E15+F15)</f>
        <v>1508.8252697366584</v>
      </c>
      <c r="K15" s="167">
        <f>F15+G15+H15+I15+J15</f>
        <v>8898.8252697366588</v>
      </c>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row>
    <row r="16" spans="1:200" x14ac:dyDescent="0.2">
      <c r="A16" s="166">
        <f t="shared" ref="A16:A64" si="4">A15+1</f>
        <v>2</v>
      </c>
      <c r="B16" s="173">
        <f>B15-I15</f>
        <v>100000</v>
      </c>
      <c r="C16" s="244">
        <v>0</v>
      </c>
      <c r="D16" s="167">
        <f t="shared" ref="D16:D53" si="5">D15-F15-I15</f>
        <v>100000</v>
      </c>
      <c r="E16" s="167">
        <f t="shared" si="1"/>
        <v>0</v>
      </c>
      <c r="F16" s="169">
        <f t="shared" si="2"/>
        <v>0</v>
      </c>
      <c r="G16" s="167">
        <f t="shared" ref="G16:G47" si="6">L$4*D16</f>
        <v>2830</v>
      </c>
      <c r="H16" s="167">
        <f t="shared" ref="H16:H47" si="7">D16*(L$5+L$6)</f>
        <v>4560</v>
      </c>
      <c r="I16" s="245">
        <v>0</v>
      </c>
      <c r="J16" s="167">
        <f t="shared" si="3"/>
        <v>1508.8252697366584</v>
      </c>
      <c r="K16" s="167">
        <f t="shared" ref="K16:K58" si="8">F16+G16+H16+I16+J16</f>
        <v>8898.8252697366588</v>
      </c>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row>
    <row r="17" spans="1:200" x14ac:dyDescent="0.2">
      <c r="A17" s="166">
        <f t="shared" si="4"/>
        <v>3</v>
      </c>
      <c r="B17" s="173">
        <f t="shared" ref="B17:B53" si="9">B16-I16</f>
        <v>100000</v>
      </c>
      <c r="C17" s="244">
        <v>0</v>
      </c>
      <c r="D17" s="167">
        <f t="shared" si="5"/>
        <v>100000</v>
      </c>
      <c r="E17" s="167">
        <f t="shared" si="1"/>
        <v>0</v>
      </c>
      <c r="F17" s="169">
        <f t="shared" si="2"/>
        <v>0</v>
      </c>
      <c r="G17" s="167">
        <f t="shared" si="6"/>
        <v>2830</v>
      </c>
      <c r="H17" s="167">
        <f t="shared" si="7"/>
        <v>4560</v>
      </c>
      <c r="I17" s="245">
        <v>0</v>
      </c>
      <c r="J17" s="167">
        <f t="shared" si="3"/>
        <v>1508.8252697366584</v>
      </c>
      <c r="K17" s="167">
        <f t="shared" si="8"/>
        <v>8898.8252697366588</v>
      </c>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row>
    <row r="18" spans="1:200" x14ac:dyDescent="0.2">
      <c r="A18" s="166">
        <f t="shared" si="4"/>
        <v>4</v>
      </c>
      <c r="B18" s="173">
        <f t="shared" si="9"/>
        <v>100000</v>
      </c>
      <c r="C18" s="244">
        <v>0</v>
      </c>
      <c r="D18" s="167">
        <f t="shared" si="5"/>
        <v>100000</v>
      </c>
      <c r="E18" s="167">
        <f t="shared" si="1"/>
        <v>0</v>
      </c>
      <c r="F18" s="169">
        <f t="shared" si="2"/>
        <v>0</v>
      </c>
      <c r="G18" s="167">
        <f t="shared" si="6"/>
        <v>2830</v>
      </c>
      <c r="H18" s="167">
        <f t="shared" si="7"/>
        <v>4560</v>
      </c>
      <c r="I18" s="245">
        <v>0</v>
      </c>
      <c r="J18" s="167">
        <f t="shared" si="3"/>
        <v>1508.8252697366584</v>
      </c>
      <c r="K18" s="167">
        <f t="shared" si="8"/>
        <v>8898.8252697366588</v>
      </c>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row>
    <row r="19" spans="1:200" x14ac:dyDescent="0.2">
      <c r="A19" s="166">
        <f t="shared" si="4"/>
        <v>5</v>
      </c>
      <c r="B19" s="173">
        <f t="shared" si="9"/>
        <v>100000</v>
      </c>
      <c r="C19" s="244">
        <v>0</v>
      </c>
      <c r="D19" s="167">
        <f t="shared" si="5"/>
        <v>100000</v>
      </c>
      <c r="E19" s="167">
        <f t="shared" si="1"/>
        <v>0</v>
      </c>
      <c r="F19" s="169">
        <f t="shared" si="2"/>
        <v>0</v>
      </c>
      <c r="G19" s="167">
        <f t="shared" si="6"/>
        <v>2830</v>
      </c>
      <c r="H19" s="167">
        <f t="shared" si="7"/>
        <v>4560</v>
      </c>
      <c r="I19" s="245">
        <v>0</v>
      </c>
      <c r="J19" s="167">
        <f t="shared" si="3"/>
        <v>1508.8252697366584</v>
      </c>
      <c r="K19" s="167">
        <f t="shared" si="8"/>
        <v>8898.8252697366588</v>
      </c>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row>
    <row r="20" spans="1:200" x14ac:dyDescent="0.2">
      <c r="A20" s="166">
        <f t="shared" si="4"/>
        <v>6</v>
      </c>
      <c r="B20" s="173">
        <f t="shared" si="9"/>
        <v>100000</v>
      </c>
      <c r="C20" s="244">
        <v>0</v>
      </c>
      <c r="D20" s="167">
        <f t="shared" si="5"/>
        <v>100000</v>
      </c>
      <c r="E20" s="167">
        <f t="shared" si="1"/>
        <v>0</v>
      </c>
      <c r="F20" s="169">
        <f t="shared" si="2"/>
        <v>0</v>
      </c>
      <c r="G20" s="167">
        <f t="shared" si="6"/>
        <v>2830</v>
      </c>
      <c r="H20" s="167">
        <f t="shared" si="7"/>
        <v>4560</v>
      </c>
      <c r="I20" s="245">
        <v>0</v>
      </c>
      <c r="J20" s="167">
        <f t="shared" si="3"/>
        <v>1508.8252697366584</v>
      </c>
      <c r="K20" s="167">
        <f t="shared" si="8"/>
        <v>8898.8252697366588</v>
      </c>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row>
    <row r="21" spans="1:200" x14ac:dyDescent="0.2">
      <c r="A21" s="166">
        <f t="shared" si="4"/>
        <v>7</v>
      </c>
      <c r="B21" s="173">
        <f t="shared" si="9"/>
        <v>100000</v>
      </c>
      <c r="C21" s="244">
        <v>0</v>
      </c>
      <c r="D21" s="167">
        <f t="shared" si="5"/>
        <v>100000</v>
      </c>
      <c r="E21" s="167">
        <f t="shared" si="1"/>
        <v>0</v>
      </c>
      <c r="F21" s="169">
        <f t="shared" si="2"/>
        <v>0</v>
      </c>
      <c r="G21" s="167">
        <f t="shared" si="6"/>
        <v>2830</v>
      </c>
      <c r="H21" s="167">
        <f t="shared" si="7"/>
        <v>4560</v>
      </c>
      <c r="I21" s="245">
        <v>0</v>
      </c>
      <c r="J21" s="167">
        <f t="shared" si="3"/>
        <v>1508.8252697366584</v>
      </c>
      <c r="K21" s="167">
        <f t="shared" si="8"/>
        <v>8898.8252697366588</v>
      </c>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row>
    <row r="22" spans="1:200" x14ac:dyDescent="0.2">
      <c r="A22" s="166">
        <f t="shared" si="4"/>
        <v>8</v>
      </c>
      <c r="B22" s="173">
        <f t="shared" si="9"/>
        <v>100000</v>
      </c>
      <c r="C22" s="244">
        <v>0</v>
      </c>
      <c r="D22" s="167">
        <f t="shared" si="5"/>
        <v>100000</v>
      </c>
      <c r="E22" s="167">
        <f t="shared" si="1"/>
        <v>0</v>
      </c>
      <c r="F22" s="169">
        <f t="shared" si="2"/>
        <v>0</v>
      </c>
      <c r="G22" s="167">
        <f t="shared" si="6"/>
        <v>2830</v>
      </c>
      <c r="H22" s="167">
        <f t="shared" si="7"/>
        <v>4560</v>
      </c>
      <c r="I22" s="245">
        <v>0</v>
      </c>
      <c r="J22" s="167">
        <f t="shared" si="3"/>
        <v>1508.8252697366584</v>
      </c>
      <c r="K22" s="167">
        <f t="shared" si="8"/>
        <v>8898.8252697366588</v>
      </c>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row>
    <row r="23" spans="1:200" x14ac:dyDescent="0.2">
      <c r="A23" s="166">
        <f t="shared" si="4"/>
        <v>9</v>
      </c>
      <c r="B23" s="173">
        <f t="shared" si="9"/>
        <v>100000</v>
      </c>
      <c r="C23" s="244">
        <v>0</v>
      </c>
      <c r="D23" s="167">
        <f t="shared" si="5"/>
        <v>100000</v>
      </c>
      <c r="E23" s="167">
        <f t="shared" si="1"/>
        <v>0</v>
      </c>
      <c r="F23" s="169">
        <f t="shared" si="2"/>
        <v>0</v>
      </c>
      <c r="G23" s="167">
        <f t="shared" si="6"/>
        <v>2830</v>
      </c>
      <c r="H23" s="167">
        <f t="shared" si="7"/>
        <v>4560</v>
      </c>
      <c r="I23" s="245">
        <v>0</v>
      </c>
      <c r="J23" s="167">
        <f t="shared" si="3"/>
        <v>1508.8252697366584</v>
      </c>
      <c r="K23" s="167">
        <f t="shared" si="8"/>
        <v>8898.8252697366588</v>
      </c>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row>
    <row r="24" spans="1:200" x14ac:dyDescent="0.2">
      <c r="A24" s="166">
        <f t="shared" si="4"/>
        <v>10</v>
      </c>
      <c r="B24" s="173">
        <f t="shared" si="9"/>
        <v>100000</v>
      </c>
      <c r="C24" s="244">
        <v>0</v>
      </c>
      <c r="D24" s="167">
        <f t="shared" si="5"/>
        <v>100000</v>
      </c>
      <c r="E24" s="167">
        <f t="shared" si="1"/>
        <v>0</v>
      </c>
      <c r="F24" s="169">
        <f t="shared" si="2"/>
        <v>0</v>
      </c>
      <c r="G24" s="167">
        <f t="shared" si="6"/>
        <v>2830</v>
      </c>
      <c r="H24" s="167">
        <f t="shared" si="7"/>
        <v>4560</v>
      </c>
      <c r="I24" s="245">
        <v>0</v>
      </c>
      <c r="J24" s="167">
        <f t="shared" si="3"/>
        <v>1508.8252697366584</v>
      </c>
      <c r="K24" s="167">
        <f t="shared" si="8"/>
        <v>8898.8252697366588</v>
      </c>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row>
    <row r="25" spans="1:200" x14ac:dyDescent="0.2">
      <c r="A25" s="166">
        <f t="shared" si="4"/>
        <v>11</v>
      </c>
      <c r="B25" s="173">
        <f t="shared" si="9"/>
        <v>100000</v>
      </c>
      <c r="C25" s="244">
        <v>0</v>
      </c>
      <c r="D25" s="167">
        <f t="shared" si="5"/>
        <v>100000</v>
      </c>
      <c r="E25" s="167">
        <f t="shared" si="1"/>
        <v>0</v>
      </c>
      <c r="F25" s="169">
        <f t="shared" si="2"/>
        <v>0</v>
      </c>
      <c r="G25" s="167">
        <f t="shared" si="6"/>
        <v>2830</v>
      </c>
      <c r="H25" s="167">
        <f t="shared" si="7"/>
        <v>4560</v>
      </c>
      <c r="I25" s="245">
        <v>0</v>
      </c>
      <c r="J25" s="167">
        <f t="shared" si="3"/>
        <v>1508.8252697366584</v>
      </c>
      <c r="K25" s="167">
        <f t="shared" si="8"/>
        <v>8898.8252697366588</v>
      </c>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row>
    <row r="26" spans="1:200" x14ac:dyDescent="0.2">
      <c r="A26" s="166">
        <f t="shared" si="4"/>
        <v>12</v>
      </c>
      <c r="B26" s="173">
        <f t="shared" si="9"/>
        <v>100000</v>
      </c>
      <c r="C26" s="244">
        <v>0</v>
      </c>
      <c r="D26" s="167">
        <f t="shared" si="5"/>
        <v>100000</v>
      </c>
      <c r="E26" s="167">
        <f t="shared" si="1"/>
        <v>0</v>
      </c>
      <c r="F26" s="169">
        <f t="shared" si="2"/>
        <v>0</v>
      </c>
      <c r="G26" s="167">
        <f t="shared" si="6"/>
        <v>2830</v>
      </c>
      <c r="H26" s="167">
        <f t="shared" si="7"/>
        <v>4560</v>
      </c>
      <c r="I26" s="245">
        <v>0</v>
      </c>
      <c r="J26" s="167">
        <f t="shared" si="3"/>
        <v>1508.8252697366584</v>
      </c>
      <c r="K26" s="167">
        <f t="shared" si="8"/>
        <v>8898.8252697366588</v>
      </c>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row>
    <row r="27" spans="1:200" x14ac:dyDescent="0.2">
      <c r="A27" s="166">
        <f t="shared" si="4"/>
        <v>13</v>
      </c>
      <c r="B27" s="173">
        <f t="shared" si="9"/>
        <v>100000</v>
      </c>
      <c r="C27" s="244">
        <v>0</v>
      </c>
      <c r="D27" s="167">
        <f t="shared" si="5"/>
        <v>100000</v>
      </c>
      <c r="E27" s="167">
        <f t="shared" si="1"/>
        <v>0</v>
      </c>
      <c r="F27" s="169">
        <f t="shared" si="2"/>
        <v>0</v>
      </c>
      <c r="G27" s="167">
        <f t="shared" si="6"/>
        <v>2830</v>
      </c>
      <c r="H27" s="167">
        <f t="shared" si="7"/>
        <v>4560</v>
      </c>
      <c r="I27" s="245">
        <v>0</v>
      </c>
      <c r="J27" s="167">
        <f t="shared" si="3"/>
        <v>1508.8252697366584</v>
      </c>
      <c r="K27" s="167">
        <f t="shared" si="8"/>
        <v>8898.8252697366588</v>
      </c>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row>
    <row r="28" spans="1:200" x14ac:dyDescent="0.2">
      <c r="A28" s="166">
        <f t="shared" si="4"/>
        <v>14</v>
      </c>
      <c r="B28" s="173">
        <f t="shared" si="9"/>
        <v>100000</v>
      </c>
      <c r="C28" s="244">
        <v>0</v>
      </c>
      <c r="D28" s="167">
        <f t="shared" si="5"/>
        <v>100000</v>
      </c>
      <c r="E28" s="167">
        <f t="shared" si="1"/>
        <v>0</v>
      </c>
      <c r="F28" s="169">
        <f t="shared" si="2"/>
        <v>0</v>
      </c>
      <c r="G28" s="167">
        <f t="shared" si="6"/>
        <v>2830</v>
      </c>
      <c r="H28" s="167">
        <f t="shared" si="7"/>
        <v>4560</v>
      </c>
      <c r="I28" s="245">
        <v>0</v>
      </c>
      <c r="J28" s="167">
        <f t="shared" si="3"/>
        <v>1508.8252697366584</v>
      </c>
      <c r="K28" s="167">
        <f t="shared" si="8"/>
        <v>8898.8252697366588</v>
      </c>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row>
    <row r="29" spans="1:200" x14ac:dyDescent="0.2">
      <c r="A29" s="166">
        <f t="shared" si="4"/>
        <v>15</v>
      </c>
      <c r="B29" s="173">
        <f t="shared" si="9"/>
        <v>100000</v>
      </c>
      <c r="C29" s="244">
        <v>0</v>
      </c>
      <c r="D29" s="167">
        <f t="shared" si="5"/>
        <v>100000</v>
      </c>
      <c r="E29" s="167">
        <f t="shared" si="1"/>
        <v>0</v>
      </c>
      <c r="F29" s="169">
        <f t="shared" si="2"/>
        <v>0</v>
      </c>
      <c r="G29" s="167">
        <f t="shared" si="6"/>
        <v>2830</v>
      </c>
      <c r="H29" s="167">
        <f t="shared" si="7"/>
        <v>4560</v>
      </c>
      <c r="I29" s="245">
        <v>0</v>
      </c>
      <c r="J29" s="167">
        <f t="shared" si="3"/>
        <v>1508.8252697366584</v>
      </c>
      <c r="K29" s="167">
        <f t="shared" si="8"/>
        <v>8898.8252697366588</v>
      </c>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row>
    <row r="30" spans="1:200" x14ac:dyDescent="0.2">
      <c r="A30" s="166">
        <f t="shared" si="4"/>
        <v>16</v>
      </c>
      <c r="B30" s="173">
        <f t="shared" si="9"/>
        <v>100000</v>
      </c>
      <c r="C30" s="244">
        <v>0</v>
      </c>
      <c r="D30" s="167">
        <f t="shared" si="5"/>
        <v>100000</v>
      </c>
      <c r="E30" s="167">
        <f t="shared" si="1"/>
        <v>0</v>
      </c>
      <c r="F30" s="169">
        <f t="shared" si="2"/>
        <v>0</v>
      </c>
      <c r="G30" s="167">
        <f t="shared" si="6"/>
        <v>2830</v>
      </c>
      <c r="H30" s="167">
        <f t="shared" si="7"/>
        <v>4560</v>
      </c>
      <c r="I30" s="245">
        <v>0</v>
      </c>
      <c r="J30" s="167">
        <f t="shared" si="3"/>
        <v>1508.8252697366584</v>
      </c>
      <c r="K30" s="167">
        <f t="shared" si="8"/>
        <v>8898.8252697366588</v>
      </c>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246"/>
      <c r="AI30" s="246"/>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row>
    <row r="31" spans="1:200" x14ac:dyDescent="0.2">
      <c r="A31" s="166">
        <f t="shared" si="4"/>
        <v>17</v>
      </c>
      <c r="B31" s="173">
        <f t="shared" si="9"/>
        <v>100000</v>
      </c>
      <c r="C31" s="244">
        <v>0</v>
      </c>
      <c r="D31" s="167">
        <f t="shared" si="5"/>
        <v>100000</v>
      </c>
      <c r="E31" s="167">
        <f t="shared" si="1"/>
        <v>0</v>
      </c>
      <c r="F31" s="169">
        <f t="shared" si="2"/>
        <v>0</v>
      </c>
      <c r="G31" s="167">
        <f t="shared" si="6"/>
        <v>2830</v>
      </c>
      <c r="H31" s="167">
        <f t="shared" si="7"/>
        <v>4560</v>
      </c>
      <c r="I31" s="245">
        <v>0</v>
      </c>
      <c r="J31" s="167">
        <f t="shared" si="3"/>
        <v>1508.8252697366584</v>
      </c>
      <c r="K31" s="167">
        <f t="shared" si="8"/>
        <v>8898.8252697366588</v>
      </c>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246"/>
      <c r="AI31" s="246"/>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row>
    <row r="32" spans="1:200" x14ac:dyDescent="0.2">
      <c r="A32" s="166">
        <f t="shared" si="4"/>
        <v>18</v>
      </c>
      <c r="B32" s="173">
        <f t="shared" si="9"/>
        <v>100000</v>
      </c>
      <c r="C32" s="244">
        <v>0</v>
      </c>
      <c r="D32" s="167">
        <f t="shared" si="5"/>
        <v>100000</v>
      </c>
      <c r="E32" s="167">
        <f t="shared" si="1"/>
        <v>0</v>
      </c>
      <c r="F32" s="169">
        <f t="shared" si="2"/>
        <v>0</v>
      </c>
      <c r="G32" s="167">
        <f t="shared" si="6"/>
        <v>2830</v>
      </c>
      <c r="H32" s="167">
        <f t="shared" si="7"/>
        <v>4560</v>
      </c>
      <c r="I32" s="245">
        <v>0</v>
      </c>
      <c r="J32" s="167">
        <f t="shared" si="3"/>
        <v>1508.8252697366584</v>
      </c>
      <c r="K32" s="167">
        <f t="shared" si="8"/>
        <v>8898.8252697366588</v>
      </c>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246"/>
      <c r="AI32" s="246"/>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row>
    <row r="33" spans="1:200" x14ac:dyDescent="0.2">
      <c r="A33" s="166">
        <f t="shared" si="4"/>
        <v>19</v>
      </c>
      <c r="B33" s="173">
        <f t="shared" si="9"/>
        <v>100000</v>
      </c>
      <c r="C33" s="244">
        <v>0</v>
      </c>
      <c r="D33" s="167">
        <f t="shared" si="5"/>
        <v>100000</v>
      </c>
      <c r="E33" s="167">
        <f t="shared" si="1"/>
        <v>0</v>
      </c>
      <c r="F33" s="169">
        <f t="shared" si="2"/>
        <v>0</v>
      </c>
      <c r="G33" s="167">
        <f t="shared" si="6"/>
        <v>2830</v>
      </c>
      <c r="H33" s="167">
        <f t="shared" si="7"/>
        <v>4560</v>
      </c>
      <c r="I33" s="245">
        <v>0</v>
      </c>
      <c r="J33" s="167">
        <f t="shared" si="3"/>
        <v>1508.8252697366584</v>
      </c>
      <c r="K33" s="167">
        <f t="shared" si="8"/>
        <v>8898.8252697366588</v>
      </c>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246"/>
      <c r="AI33" s="246"/>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row>
    <row r="34" spans="1:200" x14ac:dyDescent="0.2">
      <c r="A34" s="166">
        <f t="shared" si="4"/>
        <v>20</v>
      </c>
      <c r="B34" s="173">
        <f t="shared" si="9"/>
        <v>100000</v>
      </c>
      <c r="C34" s="244">
        <v>0</v>
      </c>
      <c r="D34" s="167">
        <f t="shared" si="5"/>
        <v>100000</v>
      </c>
      <c r="E34" s="167">
        <f t="shared" si="1"/>
        <v>0</v>
      </c>
      <c r="F34" s="169">
        <f t="shared" si="2"/>
        <v>0</v>
      </c>
      <c r="G34" s="167">
        <f t="shared" si="6"/>
        <v>2830</v>
      </c>
      <c r="H34" s="167">
        <f t="shared" si="7"/>
        <v>4560</v>
      </c>
      <c r="I34" s="245">
        <v>0</v>
      </c>
      <c r="J34" s="167">
        <f t="shared" si="3"/>
        <v>1508.8252697366584</v>
      </c>
      <c r="K34" s="167">
        <f t="shared" si="8"/>
        <v>8898.8252697366588</v>
      </c>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246"/>
      <c r="AI34" s="246"/>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row>
    <row r="35" spans="1:200" x14ac:dyDescent="0.2">
      <c r="A35" s="166">
        <f t="shared" si="4"/>
        <v>21</v>
      </c>
      <c r="B35" s="173">
        <f t="shared" si="9"/>
        <v>100000</v>
      </c>
      <c r="C35" s="244">
        <v>0</v>
      </c>
      <c r="D35" s="167">
        <f t="shared" si="5"/>
        <v>100000</v>
      </c>
      <c r="E35" s="167">
        <f t="shared" si="1"/>
        <v>0</v>
      </c>
      <c r="F35" s="169">
        <f t="shared" si="2"/>
        <v>0</v>
      </c>
      <c r="G35" s="167">
        <f t="shared" si="6"/>
        <v>2830</v>
      </c>
      <c r="H35" s="167">
        <f t="shared" si="7"/>
        <v>4560</v>
      </c>
      <c r="I35" s="245">
        <v>0</v>
      </c>
      <c r="J35" s="167">
        <f t="shared" si="3"/>
        <v>1508.8252697366584</v>
      </c>
      <c r="K35" s="167">
        <f t="shared" si="8"/>
        <v>8898.8252697366588</v>
      </c>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row>
    <row r="36" spans="1:200" x14ac:dyDescent="0.2">
      <c r="A36" s="166">
        <f t="shared" si="4"/>
        <v>22</v>
      </c>
      <c r="B36" s="173">
        <f t="shared" si="9"/>
        <v>100000</v>
      </c>
      <c r="C36" s="244">
        <v>0</v>
      </c>
      <c r="D36" s="167">
        <f t="shared" si="5"/>
        <v>100000</v>
      </c>
      <c r="E36" s="167">
        <f t="shared" si="1"/>
        <v>0</v>
      </c>
      <c r="F36" s="169">
        <f t="shared" si="2"/>
        <v>0</v>
      </c>
      <c r="G36" s="167">
        <f t="shared" si="6"/>
        <v>2830</v>
      </c>
      <c r="H36" s="167">
        <f t="shared" si="7"/>
        <v>4560</v>
      </c>
      <c r="I36" s="245">
        <v>0</v>
      </c>
      <c r="J36" s="167">
        <f t="shared" si="3"/>
        <v>1508.8252697366584</v>
      </c>
      <c r="K36" s="167">
        <f t="shared" si="8"/>
        <v>8898.8252697366588</v>
      </c>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4"/>
      <c r="ET36" s="174"/>
      <c r="EU36" s="174"/>
      <c r="EV36" s="174"/>
      <c r="EW36" s="174"/>
      <c r="EX36" s="174"/>
      <c r="EY36" s="174"/>
      <c r="EZ36" s="174"/>
      <c r="FA36" s="174"/>
      <c r="FB36" s="174"/>
      <c r="FC36" s="174"/>
      <c r="FD36" s="174"/>
      <c r="FE36" s="174"/>
      <c r="FF36" s="174"/>
      <c r="FG36" s="174"/>
      <c r="FH36" s="174"/>
      <c r="FI36" s="174"/>
      <c r="FJ36" s="174"/>
      <c r="FK36" s="174"/>
      <c r="FL36" s="174"/>
      <c r="FM36" s="174"/>
      <c r="FN36" s="174"/>
      <c r="FO36" s="174"/>
      <c r="FP36" s="174"/>
      <c r="FQ36" s="174"/>
      <c r="FR36" s="174"/>
      <c r="FS36" s="174"/>
      <c r="FT36" s="174"/>
      <c r="FU36" s="174"/>
      <c r="FV36" s="174"/>
      <c r="FW36" s="174"/>
      <c r="FX36" s="174"/>
      <c r="FY36" s="174"/>
      <c r="FZ36" s="174"/>
      <c r="GA36" s="174"/>
      <c r="GB36" s="174"/>
      <c r="GC36" s="174"/>
      <c r="GD36" s="174"/>
      <c r="GE36" s="174"/>
      <c r="GF36" s="174"/>
      <c r="GG36" s="174"/>
      <c r="GH36" s="174"/>
      <c r="GI36" s="174"/>
      <c r="GJ36" s="174"/>
      <c r="GK36" s="174"/>
      <c r="GL36" s="174"/>
      <c r="GM36" s="174"/>
      <c r="GN36" s="174"/>
      <c r="GO36" s="174"/>
      <c r="GP36" s="174"/>
      <c r="GQ36" s="174"/>
      <c r="GR36" s="174"/>
    </row>
    <row r="37" spans="1:200" x14ac:dyDescent="0.2">
      <c r="A37" s="166">
        <f t="shared" si="4"/>
        <v>23</v>
      </c>
      <c r="B37" s="173">
        <f t="shared" si="9"/>
        <v>100000</v>
      </c>
      <c r="C37" s="244">
        <v>0</v>
      </c>
      <c r="D37" s="167">
        <f t="shared" si="5"/>
        <v>100000</v>
      </c>
      <c r="E37" s="167">
        <f t="shared" si="1"/>
        <v>0</v>
      </c>
      <c r="F37" s="169">
        <f t="shared" si="2"/>
        <v>0</v>
      </c>
      <c r="G37" s="167">
        <f t="shared" si="6"/>
        <v>2830</v>
      </c>
      <c r="H37" s="167">
        <f t="shared" si="7"/>
        <v>4560</v>
      </c>
      <c r="I37" s="245">
        <v>0</v>
      </c>
      <c r="J37" s="167">
        <f t="shared" si="3"/>
        <v>1508.8252697366584</v>
      </c>
      <c r="K37" s="167">
        <f t="shared" si="8"/>
        <v>8898.8252697366588</v>
      </c>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4"/>
      <c r="FA37" s="174"/>
      <c r="FB37" s="174"/>
      <c r="FC37" s="174"/>
      <c r="FD37" s="174"/>
      <c r="FE37" s="174"/>
      <c r="FF37" s="174"/>
      <c r="FG37" s="174"/>
      <c r="FH37" s="174"/>
      <c r="FI37" s="174"/>
      <c r="FJ37" s="174"/>
      <c r="FK37" s="174"/>
      <c r="FL37" s="174"/>
      <c r="FM37" s="174"/>
      <c r="FN37" s="174"/>
      <c r="FO37" s="174"/>
      <c r="FP37" s="174"/>
      <c r="FQ37" s="174"/>
      <c r="FR37" s="174"/>
      <c r="FS37" s="174"/>
      <c r="FT37" s="174"/>
      <c r="FU37" s="174"/>
      <c r="FV37" s="174"/>
      <c r="FW37" s="174"/>
      <c r="FX37" s="174"/>
      <c r="FY37" s="174"/>
      <c r="FZ37" s="174"/>
      <c r="GA37" s="174"/>
      <c r="GB37" s="174"/>
      <c r="GC37" s="174"/>
      <c r="GD37" s="174"/>
      <c r="GE37" s="174"/>
      <c r="GF37" s="174"/>
      <c r="GG37" s="174"/>
      <c r="GH37" s="174"/>
      <c r="GI37" s="174"/>
      <c r="GJ37" s="174"/>
      <c r="GK37" s="174"/>
      <c r="GL37" s="174"/>
      <c r="GM37" s="174"/>
      <c r="GN37" s="174"/>
      <c r="GO37" s="174"/>
      <c r="GP37" s="174"/>
      <c r="GQ37" s="174"/>
      <c r="GR37" s="174"/>
    </row>
    <row r="38" spans="1:200" x14ac:dyDescent="0.2">
      <c r="A38" s="166">
        <f t="shared" si="4"/>
        <v>24</v>
      </c>
      <c r="B38" s="173">
        <f t="shared" si="9"/>
        <v>100000</v>
      </c>
      <c r="C38" s="244">
        <v>0</v>
      </c>
      <c r="D38" s="167">
        <f t="shared" si="5"/>
        <v>100000</v>
      </c>
      <c r="E38" s="167">
        <f t="shared" si="1"/>
        <v>0</v>
      </c>
      <c r="F38" s="169">
        <f t="shared" si="2"/>
        <v>0</v>
      </c>
      <c r="G38" s="167">
        <f t="shared" si="6"/>
        <v>2830</v>
      </c>
      <c r="H38" s="167">
        <f t="shared" si="7"/>
        <v>4560</v>
      </c>
      <c r="I38" s="245">
        <v>0</v>
      </c>
      <c r="J38" s="167">
        <f t="shared" si="3"/>
        <v>1508.8252697366584</v>
      </c>
      <c r="K38" s="167">
        <f t="shared" si="8"/>
        <v>8898.8252697366588</v>
      </c>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row>
    <row r="39" spans="1:200" x14ac:dyDescent="0.2">
      <c r="A39" s="166">
        <f t="shared" si="4"/>
        <v>25</v>
      </c>
      <c r="B39" s="173">
        <f t="shared" si="9"/>
        <v>100000</v>
      </c>
      <c r="C39" s="244">
        <v>0</v>
      </c>
      <c r="D39" s="167">
        <f t="shared" si="5"/>
        <v>100000</v>
      </c>
      <c r="E39" s="167">
        <f t="shared" si="1"/>
        <v>0</v>
      </c>
      <c r="F39" s="169">
        <f t="shared" si="2"/>
        <v>0</v>
      </c>
      <c r="G39" s="167">
        <f t="shared" si="6"/>
        <v>2830</v>
      </c>
      <c r="H39" s="167">
        <f t="shared" si="7"/>
        <v>4560</v>
      </c>
      <c r="I39" s="245">
        <v>0</v>
      </c>
      <c r="J39" s="167">
        <f t="shared" si="3"/>
        <v>1508.8252697366584</v>
      </c>
      <c r="K39" s="167">
        <f t="shared" si="8"/>
        <v>8898.8252697366588</v>
      </c>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row>
    <row r="40" spans="1:200" x14ac:dyDescent="0.2">
      <c r="A40" s="166">
        <f t="shared" si="4"/>
        <v>26</v>
      </c>
      <c r="B40" s="173">
        <f t="shared" si="9"/>
        <v>100000</v>
      </c>
      <c r="C40" s="244">
        <v>0</v>
      </c>
      <c r="D40" s="167">
        <f t="shared" si="5"/>
        <v>100000</v>
      </c>
      <c r="E40" s="167">
        <f t="shared" si="1"/>
        <v>0</v>
      </c>
      <c r="F40" s="169">
        <f t="shared" si="2"/>
        <v>0</v>
      </c>
      <c r="G40" s="167">
        <f t="shared" si="6"/>
        <v>2830</v>
      </c>
      <c r="H40" s="167">
        <f t="shared" si="7"/>
        <v>4560</v>
      </c>
      <c r="I40" s="245">
        <v>0</v>
      </c>
      <c r="J40" s="167">
        <f t="shared" si="3"/>
        <v>1508.8252697366584</v>
      </c>
      <c r="K40" s="167">
        <f t="shared" si="8"/>
        <v>8898.8252697366588</v>
      </c>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74"/>
      <c r="FX40" s="174"/>
      <c r="FY40" s="174"/>
      <c r="FZ40" s="174"/>
      <c r="GA40" s="174"/>
      <c r="GB40" s="174"/>
      <c r="GC40" s="174"/>
      <c r="GD40" s="174"/>
      <c r="GE40" s="174"/>
      <c r="GF40" s="174"/>
      <c r="GG40" s="174"/>
      <c r="GH40" s="174"/>
      <c r="GI40" s="174"/>
      <c r="GJ40" s="174"/>
      <c r="GK40" s="174"/>
      <c r="GL40" s="174"/>
      <c r="GM40" s="174"/>
      <c r="GN40" s="174"/>
      <c r="GO40" s="174"/>
      <c r="GP40" s="174"/>
      <c r="GQ40" s="174"/>
      <c r="GR40" s="174"/>
    </row>
    <row r="41" spans="1:200" x14ac:dyDescent="0.2">
      <c r="A41" s="166">
        <f t="shared" si="4"/>
        <v>27</v>
      </c>
      <c r="B41" s="173">
        <f t="shared" si="9"/>
        <v>100000</v>
      </c>
      <c r="C41" s="244">
        <v>0</v>
      </c>
      <c r="D41" s="167">
        <f t="shared" si="5"/>
        <v>100000</v>
      </c>
      <c r="E41" s="167">
        <f t="shared" si="1"/>
        <v>0</v>
      </c>
      <c r="F41" s="169">
        <f t="shared" si="2"/>
        <v>0</v>
      </c>
      <c r="G41" s="167">
        <f t="shared" si="6"/>
        <v>2830</v>
      </c>
      <c r="H41" s="167">
        <f t="shared" si="7"/>
        <v>4560</v>
      </c>
      <c r="I41" s="245">
        <v>0</v>
      </c>
      <c r="J41" s="167">
        <f t="shared" si="3"/>
        <v>1508.8252697366584</v>
      </c>
      <c r="K41" s="167">
        <f t="shared" si="8"/>
        <v>8898.8252697366588</v>
      </c>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4"/>
      <c r="FQ41" s="174"/>
      <c r="FR41" s="174"/>
      <c r="FS41" s="174"/>
      <c r="FT41" s="174"/>
      <c r="FU41" s="174"/>
      <c r="FV41" s="174"/>
      <c r="FW41" s="174"/>
      <c r="FX41" s="174"/>
      <c r="FY41" s="174"/>
      <c r="FZ41" s="174"/>
      <c r="GA41" s="174"/>
      <c r="GB41" s="174"/>
      <c r="GC41" s="174"/>
      <c r="GD41" s="174"/>
      <c r="GE41" s="174"/>
      <c r="GF41" s="174"/>
      <c r="GG41" s="174"/>
      <c r="GH41" s="174"/>
      <c r="GI41" s="174"/>
      <c r="GJ41" s="174"/>
      <c r="GK41" s="174"/>
      <c r="GL41" s="174"/>
      <c r="GM41" s="174"/>
      <c r="GN41" s="174"/>
      <c r="GO41" s="174"/>
      <c r="GP41" s="174"/>
      <c r="GQ41" s="174"/>
      <c r="GR41" s="174"/>
    </row>
    <row r="42" spans="1:200" x14ac:dyDescent="0.2">
      <c r="A42" s="166">
        <f t="shared" si="4"/>
        <v>28</v>
      </c>
      <c r="B42" s="173">
        <f t="shared" si="9"/>
        <v>100000</v>
      </c>
      <c r="C42" s="244">
        <v>0</v>
      </c>
      <c r="D42" s="167">
        <f t="shared" si="5"/>
        <v>100000</v>
      </c>
      <c r="E42" s="167">
        <f t="shared" si="1"/>
        <v>0</v>
      </c>
      <c r="F42" s="169">
        <f t="shared" si="2"/>
        <v>0</v>
      </c>
      <c r="G42" s="167">
        <f t="shared" si="6"/>
        <v>2830</v>
      </c>
      <c r="H42" s="167">
        <f t="shared" si="7"/>
        <v>4560</v>
      </c>
      <c r="I42" s="245">
        <v>0</v>
      </c>
      <c r="J42" s="167">
        <f t="shared" si="3"/>
        <v>1508.8252697366584</v>
      </c>
      <c r="K42" s="167">
        <f t="shared" si="8"/>
        <v>8898.8252697366588</v>
      </c>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row>
    <row r="43" spans="1:200" x14ac:dyDescent="0.2">
      <c r="A43" s="166">
        <f t="shared" si="4"/>
        <v>29</v>
      </c>
      <c r="B43" s="173">
        <f t="shared" si="9"/>
        <v>100000</v>
      </c>
      <c r="C43" s="244">
        <v>0</v>
      </c>
      <c r="D43" s="167">
        <f t="shared" si="5"/>
        <v>100000</v>
      </c>
      <c r="E43" s="167">
        <f t="shared" si="1"/>
        <v>0</v>
      </c>
      <c r="F43" s="169">
        <f t="shared" si="2"/>
        <v>0</v>
      </c>
      <c r="G43" s="167">
        <f t="shared" si="6"/>
        <v>2830</v>
      </c>
      <c r="H43" s="167">
        <f t="shared" si="7"/>
        <v>4560</v>
      </c>
      <c r="I43" s="245">
        <v>0</v>
      </c>
      <c r="J43" s="167">
        <f t="shared" si="3"/>
        <v>1508.8252697366584</v>
      </c>
      <c r="K43" s="167">
        <f t="shared" si="8"/>
        <v>8898.8252697366588</v>
      </c>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4"/>
      <c r="FQ43" s="174"/>
      <c r="FR43" s="174"/>
      <c r="FS43" s="174"/>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row>
    <row r="44" spans="1:200" x14ac:dyDescent="0.2">
      <c r="A44" s="166">
        <f t="shared" si="4"/>
        <v>30</v>
      </c>
      <c r="B44" s="173">
        <f t="shared" si="9"/>
        <v>100000</v>
      </c>
      <c r="C44" s="244">
        <v>0</v>
      </c>
      <c r="D44" s="167">
        <f t="shared" si="5"/>
        <v>100000</v>
      </c>
      <c r="E44" s="167">
        <f t="shared" si="1"/>
        <v>0</v>
      </c>
      <c r="F44" s="169">
        <f t="shared" si="2"/>
        <v>0</v>
      </c>
      <c r="G44" s="167">
        <f t="shared" si="6"/>
        <v>2830</v>
      </c>
      <c r="H44" s="167">
        <f t="shared" si="7"/>
        <v>4560</v>
      </c>
      <c r="I44" s="245">
        <v>0</v>
      </c>
      <c r="J44" s="167">
        <f t="shared" si="3"/>
        <v>1508.8252697366584</v>
      </c>
      <c r="K44" s="167">
        <f t="shared" si="8"/>
        <v>8898.8252697366588</v>
      </c>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4"/>
      <c r="FQ44" s="174"/>
      <c r="FR44" s="174"/>
      <c r="FS44" s="174"/>
      <c r="FT44" s="174"/>
      <c r="FU44" s="174"/>
      <c r="FV44" s="174"/>
      <c r="FW44" s="174"/>
      <c r="FX44" s="174"/>
      <c r="FY44" s="174"/>
      <c r="FZ44" s="174"/>
      <c r="GA44" s="174"/>
      <c r="GB44" s="174"/>
      <c r="GC44" s="174"/>
      <c r="GD44" s="174"/>
      <c r="GE44" s="174"/>
      <c r="GF44" s="174"/>
      <c r="GG44" s="174"/>
      <c r="GH44" s="174"/>
      <c r="GI44" s="174"/>
      <c r="GJ44" s="174"/>
      <c r="GK44" s="174"/>
      <c r="GL44" s="174"/>
      <c r="GM44" s="174"/>
      <c r="GN44" s="174"/>
      <c r="GO44" s="174"/>
      <c r="GP44" s="174"/>
      <c r="GQ44" s="174"/>
      <c r="GR44" s="174"/>
    </row>
    <row r="45" spans="1:200" x14ac:dyDescent="0.2">
      <c r="A45" s="166">
        <f t="shared" si="4"/>
        <v>31</v>
      </c>
      <c r="B45" s="173">
        <f t="shared" si="9"/>
        <v>100000</v>
      </c>
      <c r="C45" s="244">
        <v>0</v>
      </c>
      <c r="D45" s="167">
        <f t="shared" si="5"/>
        <v>100000</v>
      </c>
      <c r="E45" s="167">
        <f t="shared" si="1"/>
        <v>0</v>
      </c>
      <c r="F45" s="169">
        <f t="shared" si="2"/>
        <v>0</v>
      </c>
      <c r="G45" s="167">
        <f t="shared" si="6"/>
        <v>2830</v>
      </c>
      <c r="H45" s="167">
        <f t="shared" si="7"/>
        <v>4560</v>
      </c>
      <c r="I45" s="245">
        <v>0</v>
      </c>
      <c r="J45" s="167">
        <f t="shared" si="3"/>
        <v>1508.8252697366584</v>
      </c>
      <c r="K45" s="167">
        <f t="shared" si="8"/>
        <v>8898.8252697366588</v>
      </c>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174"/>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174"/>
      <c r="GR45" s="174"/>
    </row>
    <row r="46" spans="1:200" x14ac:dyDescent="0.2">
      <c r="A46" s="166">
        <f t="shared" si="4"/>
        <v>32</v>
      </c>
      <c r="B46" s="173">
        <f t="shared" si="9"/>
        <v>100000</v>
      </c>
      <c r="C46" s="244">
        <v>0</v>
      </c>
      <c r="D46" s="167">
        <f t="shared" si="5"/>
        <v>100000</v>
      </c>
      <c r="E46" s="167">
        <f t="shared" si="1"/>
        <v>0</v>
      </c>
      <c r="F46" s="169">
        <f t="shared" si="2"/>
        <v>0</v>
      </c>
      <c r="G46" s="167">
        <f t="shared" si="6"/>
        <v>2830</v>
      </c>
      <c r="H46" s="167">
        <f t="shared" si="7"/>
        <v>4560</v>
      </c>
      <c r="I46" s="245">
        <v>0</v>
      </c>
      <c r="J46" s="167">
        <f t="shared" si="3"/>
        <v>1508.8252697366584</v>
      </c>
      <c r="K46" s="167">
        <f t="shared" si="8"/>
        <v>8898.8252697366588</v>
      </c>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74"/>
      <c r="FH46" s="174"/>
      <c r="FI46" s="174"/>
      <c r="FJ46" s="174"/>
      <c r="FK46" s="174"/>
      <c r="FL46" s="174"/>
      <c r="FM46" s="174"/>
      <c r="FN46" s="174"/>
      <c r="FO46" s="174"/>
      <c r="FP46" s="174"/>
      <c r="FQ46" s="174"/>
      <c r="FR46" s="174"/>
      <c r="FS46" s="174"/>
      <c r="FT46" s="174"/>
      <c r="FU46" s="174"/>
      <c r="FV46" s="174"/>
      <c r="FW46" s="174"/>
      <c r="FX46" s="174"/>
      <c r="FY46" s="174"/>
      <c r="FZ46" s="174"/>
      <c r="GA46" s="174"/>
      <c r="GB46" s="174"/>
      <c r="GC46" s="174"/>
      <c r="GD46" s="174"/>
      <c r="GE46" s="174"/>
      <c r="GF46" s="174"/>
      <c r="GG46" s="174"/>
      <c r="GH46" s="174"/>
      <c r="GI46" s="174"/>
      <c r="GJ46" s="174"/>
      <c r="GK46" s="174"/>
      <c r="GL46" s="174"/>
      <c r="GM46" s="174"/>
      <c r="GN46" s="174"/>
      <c r="GO46" s="174"/>
      <c r="GP46" s="174"/>
      <c r="GQ46" s="174"/>
      <c r="GR46" s="174"/>
    </row>
    <row r="47" spans="1:200" x14ac:dyDescent="0.2">
      <c r="A47" s="166">
        <f t="shared" si="4"/>
        <v>33</v>
      </c>
      <c r="B47" s="173">
        <f t="shared" si="9"/>
        <v>100000</v>
      </c>
      <c r="C47" s="244">
        <v>0</v>
      </c>
      <c r="D47" s="167">
        <f t="shared" si="5"/>
        <v>100000</v>
      </c>
      <c r="E47" s="167">
        <f t="shared" si="1"/>
        <v>0</v>
      </c>
      <c r="F47" s="169">
        <f t="shared" si="2"/>
        <v>0</v>
      </c>
      <c r="G47" s="167">
        <f t="shared" si="6"/>
        <v>2830</v>
      </c>
      <c r="H47" s="167">
        <f t="shared" si="7"/>
        <v>4560</v>
      </c>
      <c r="I47" s="245">
        <v>0</v>
      </c>
      <c r="J47" s="167">
        <f t="shared" si="3"/>
        <v>1508.8252697366584</v>
      </c>
      <c r="K47" s="167">
        <f t="shared" si="8"/>
        <v>8898.8252697366588</v>
      </c>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c r="EO47" s="174"/>
      <c r="EP47" s="174"/>
      <c r="EQ47" s="174"/>
      <c r="ER47" s="174"/>
      <c r="ES47" s="174"/>
      <c r="ET47" s="174"/>
      <c r="EU47" s="174"/>
      <c r="EV47" s="174"/>
      <c r="EW47" s="174"/>
      <c r="EX47" s="174"/>
      <c r="EY47" s="174"/>
      <c r="EZ47" s="174"/>
      <c r="FA47" s="174"/>
      <c r="FB47" s="174"/>
      <c r="FC47" s="174"/>
      <c r="FD47" s="174"/>
      <c r="FE47" s="174"/>
      <c r="FF47" s="174"/>
      <c r="FG47" s="174"/>
      <c r="FH47" s="174"/>
      <c r="FI47" s="174"/>
      <c r="FJ47" s="174"/>
      <c r="FK47" s="174"/>
      <c r="FL47" s="174"/>
      <c r="FM47" s="174"/>
      <c r="FN47" s="174"/>
      <c r="FO47" s="174"/>
      <c r="FP47" s="174"/>
      <c r="FQ47" s="174"/>
      <c r="FR47" s="174"/>
      <c r="FS47" s="174"/>
      <c r="FT47" s="174"/>
      <c r="FU47" s="174"/>
      <c r="FV47" s="174"/>
      <c r="FW47" s="174"/>
      <c r="FX47" s="174"/>
      <c r="FY47" s="174"/>
      <c r="FZ47" s="174"/>
      <c r="GA47" s="174"/>
      <c r="GB47" s="174"/>
      <c r="GC47" s="174"/>
      <c r="GD47" s="174"/>
      <c r="GE47" s="174"/>
      <c r="GF47" s="174"/>
      <c r="GG47" s="174"/>
      <c r="GH47" s="174"/>
      <c r="GI47" s="174"/>
      <c r="GJ47" s="174"/>
      <c r="GK47" s="174"/>
      <c r="GL47" s="174"/>
      <c r="GM47" s="174"/>
      <c r="GN47" s="174"/>
      <c r="GO47" s="174"/>
      <c r="GP47" s="174"/>
      <c r="GQ47" s="174"/>
      <c r="GR47" s="174"/>
    </row>
    <row r="48" spans="1:200" x14ac:dyDescent="0.2">
      <c r="A48" s="166">
        <f t="shared" si="4"/>
        <v>34</v>
      </c>
      <c r="B48" s="173">
        <f t="shared" si="9"/>
        <v>100000</v>
      </c>
      <c r="C48" s="244">
        <v>0</v>
      </c>
      <c r="D48" s="167">
        <f t="shared" si="5"/>
        <v>100000</v>
      </c>
      <c r="E48" s="167">
        <f t="shared" si="1"/>
        <v>0</v>
      </c>
      <c r="F48" s="169">
        <f t="shared" si="2"/>
        <v>0</v>
      </c>
      <c r="G48" s="167">
        <f t="shared" ref="G48:G63" si="10">L$4*D48</f>
        <v>2830</v>
      </c>
      <c r="H48" s="167">
        <f t="shared" ref="H48:H63" si="11">D48*(L$5+L$6)</f>
        <v>4560</v>
      </c>
      <c r="I48" s="245">
        <v>0</v>
      </c>
      <c r="J48" s="167">
        <f t="shared" si="3"/>
        <v>1508.8252697366584</v>
      </c>
      <c r="K48" s="167">
        <f t="shared" si="8"/>
        <v>8898.8252697366588</v>
      </c>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row>
    <row r="49" spans="1:200" x14ac:dyDescent="0.2">
      <c r="A49" s="166">
        <f t="shared" si="4"/>
        <v>35</v>
      </c>
      <c r="B49" s="173">
        <f t="shared" si="9"/>
        <v>100000</v>
      </c>
      <c r="C49" s="244">
        <v>0</v>
      </c>
      <c r="D49" s="167">
        <f t="shared" si="5"/>
        <v>100000</v>
      </c>
      <c r="E49" s="167">
        <f t="shared" si="1"/>
        <v>0</v>
      </c>
      <c r="F49" s="169">
        <f t="shared" si="2"/>
        <v>0</v>
      </c>
      <c r="G49" s="167">
        <f t="shared" si="10"/>
        <v>2830</v>
      </c>
      <c r="H49" s="167">
        <f t="shared" si="11"/>
        <v>4560</v>
      </c>
      <c r="I49" s="245">
        <v>0</v>
      </c>
      <c r="J49" s="167">
        <f t="shared" si="3"/>
        <v>1508.8252697366584</v>
      </c>
      <c r="K49" s="167">
        <f t="shared" si="8"/>
        <v>8898.8252697366588</v>
      </c>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row>
    <row r="50" spans="1:200" x14ac:dyDescent="0.2">
      <c r="A50" s="166">
        <f t="shared" si="4"/>
        <v>36</v>
      </c>
      <c r="B50" s="173">
        <f t="shared" si="9"/>
        <v>100000</v>
      </c>
      <c r="C50" s="244">
        <v>0</v>
      </c>
      <c r="D50" s="167">
        <f t="shared" si="5"/>
        <v>100000</v>
      </c>
      <c r="E50" s="167">
        <f t="shared" si="1"/>
        <v>0</v>
      </c>
      <c r="F50" s="169">
        <f t="shared" si="2"/>
        <v>0</v>
      </c>
      <c r="G50" s="167">
        <f t="shared" si="10"/>
        <v>2830</v>
      </c>
      <c r="H50" s="167">
        <f t="shared" si="11"/>
        <v>4560</v>
      </c>
      <c r="I50" s="245">
        <v>0</v>
      </c>
      <c r="J50" s="167">
        <f t="shared" si="3"/>
        <v>1508.8252697366584</v>
      </c>
      <c r="K50" s="167">
        <f t="shared" si="8"/>
        <v>8898.8252697366588</v>
      </c>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row>
    <row r="51" spans="1:200" x14ac:dyDescent="0.2">
      <c r="A51" s="166">
        <f t="shared" si="4"/>
        <v>37</v>
      </c>
      <c r="B51" s="173">
        <f t="shared" si="9"/>
        <v>100000</v>
      </c>
      <c r="C51" s="244">
        <v>0</v>
      </c>
      <c r="D51" s="167">
        <f t="shared" si="5"/>
        <v>100000</v>
      </c>
      <c r="E51" s="167">
        <f t="shared" si="1"/>
        <v>0</v>
      </c>
      <c r="F51" s="169">
        <f t="shared" si="2"/>
        <v>0</v>
      </c>
      <c r="G51" s="167">
        <f t="shared" si="10"/>
        <v>2830</v>
      </c>
      <c r="H51" s="167">
        <f t="shared" si="11"/>
        <v>4560</v>
      </c>
      <c r="I51" s="245">
        <v>0</v>
      </c>
      <c r="J51" s="167">
        <f t="shared" si="3"/>
        <v>1508.8252697366584</v>
      </c>
      <c r="K51" s="167">
        <f t="shared" si="8"/>
        <v>8898.8252697366588</v>
      </c>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c r="FR51" s="174"/>
      <c r="FS51" s="174"/>
      <c r="FT51" s="174"/>
      <c r="FU51" s="174"/>
      <c r="FV51" s="174"/>
      <c r="FW51" s="174"/>
      <c r="FX51" s="174"/>
      <c r="FY51" s="174"/>
      <c r="FZ51" s="174"/>
      <c r="GA51" s="174"/>
      <c r="GB51" s="174"/>
      <c r="GC51" s="174"/>
      <c r="GD51" s="174"/>
      <c r="GE51" s="174"/>
      <c r="GF51" s="174"/>
      <c r="GG51" s="174"/>
      <c r="GH51" s="174"/>
      <c r="GI51" s="174"/>
      <c r="GJ51" s="174"/>
      <c r="GK51" s="174"/>
      <c r="GL51" s="174"/>
      <c r="GM51" s="174"/>
      <c r="GN51" s="174"/>
      <c r="GO51" s="174"/>
      <c r="GP51" s="174"/>
      <c r="GQ51" s="174"/>
      <c r="GR51" s="174"/>
    </row>
    <row r="52" spans="1:200" x14ac:dyDescent="0.2">
      <c r="A52" s="166">
        <f t="shared" si="4"/>
        <v>38</v>
      </c>
      <c r="B52" s="173">
        <f t="shared" si="9"/>
        <v>100000</v>
      </c>
      <c r="C52" s="244">
        <v>0</v>
      </c>
      <c r="D52" s="167">
        <f t="shared" si="5"/>
        <v>100000</v>
      </c>
      <c r="E52" s="167">
        <f t="shared" si="1"/>
        <v>0</v>
      </c>
      <c r="F52" s="169">
        <f t="shared" si="2"/>
        <v>0</v>
      </c>
      <c r="G52" s="167">
        <f t="shared" si="10"/>
        <v>2830</v>
      </c>
      <c r="H52" s="167">
        <f t="shared" si="11"/>
        <v>4560</v>
      </c>
      <c r="I52" s="245">
        <v>0</v>
      </c>
      <c r="J52" s="167">
        <f t="shared" si="3"/>
        <v>1508.8252697366584</v>
      </c>
      <c r="K52" s="167">
        <f t="shared" si="8"/>
        <v>8898.8252697366588</v>
      </c>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c r="FP52" s="174"/>
      <c r="FQ52" s="174"/>
      <c r="FR52" s="174"/>
      <c r="FS52" s="174"/>
      <c r="FT52" s="174"/>
      <c r="FU52" s="174"/>
      <c r="FV52" s="174"/>
      <c r="FW52" s="174"/>
      <c r="FX52" s="174"/>
      <c r="FY52" s="174"/>
      <c r="FZ52" s="174"/>
      <c r="GA52" s="174"/>
      <c r="GB52" s="174"/>
      <c r="GC52" s="174"/>
      <c r="GD52" s="174"/>
      <c r="GE52" s="174"/>
      <c r="GF52" s="174"/>
      <c r="GG52" s="174"/>
      <c r="GH52" s="174"/>
      <c r="GI52" s="174"/>
      <c r="GJ52" s="174"/>
      <c r="GK52" s="174"/>
      <c r="GL52" s="174"/>
      <c r="GM52" s="174"/>
      <c r="GN52" s="174"/>
      <c r="GO52" s="174"/>
      <c r="GP52" s="174"/>
      <c r="GQ52" s="174"/>
      <c r="GR52" s="174"/>
    </row>
    <row r="53" spans="1:200" x14ac:dyDescent="0.2">
      <c r="A53" s="166">
        <f t="shared" si="4"/>
        <v>39</v>
      </c>
      <c r="B53" s="173">
        <f t="shared" si="9"/>
        <v>100000</v>
      </c>
      <c r="C53" s="244">
        <v>0</v>
      </c>
      <c r="D53" s="167">
        <f t="shared" si="5"/>
        <v>100000</v>
      </c>
      <c r="E53" s="167">
        <f t="shared" si="1"/>
        <v>0</v>
      </c>
      <c r="F53" s="169">
        <f t="shared" si="2"/>
        <v>0</v>
      </c>
      <c r="G53" s="167">
        <f t="shared" si="10"/>
        <v>2830</v>
      </c>
      <c r="H53" s="167">
        <f t="shared" si="11"/>
        <v>4560</v>
      </c>
      <c r="I53" s="245">
        <v>0</v>
      </c>
      <c r="J53" s="167">
        <f t="shared" si="3"/>
        <v>1508.8252697366584</v>
      </c>
      <c r="K53" s="167">
        <f t="shared" si="8"/>
        <v>8898.8252697366588</v>
      </c>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c r="FP53" s="174"/>
      <c r="FQ53" s="174"/>
      <c r="FR53" s="174"/>
      <c r="FS53" s="174"/>
      <c r="FT53" s="174"/>
      <c r="FU53" s="174"/>
      <c r="FV53" s="174"/>
      <c r="FW53" s="174"/>
      <c r="FX53" s="174"/>
      <c r="FY53" s="174"/>
      <c r="FZ53" s="174"/>
      <c r="GA53" s="174"/>
      <c r="GB53" s="174"/>
      <c r="GC53" s="174"/>
      <c r="GD53" s="174"/>
      <c r="GE53" s="174"/>
      <c r="GF53" s="174"/>
      <c r="GG53" s="174"/>
      <c r="GH53" s="174"/>
      <c r="GI53" s="174"/>
      <c r="GJ53" s="174"/>
      <c r="GK53" s="174"/>
      <c r="GL53" s="174"/>
      <c r="GM53" s="174"/>
      <c r="GN53" s="174"/>
      <c r="GO53" s="174"/>
      <c r="GP53" s="174"/>
      <c r="GQ53" s="174"/>
      <c r="GR53" s="174"/>
    </row>
    <row r="54" spans="1:200" x14ac:dyDescent="0.2">
      <c r="A54" s="166">
        <f t="shared" si="4"/>
        <v>40</v>
      </c>
      <c r="B54" s="173">
        <f t="shared" ref="B54:B58" si="12">B53-I53</f>
        <v>100000</v>
      </c>
      <c r="C54" s="244">
        <v>0</v>
      </c>
      <c r="D54" s="167">
        <f t="shared" ref="D54:D58" si="13">D53-F53-I53</f>
        <v>100000</v>
      </c>
      <c r="E54" s="167">
        <f t="shared" si="1"/>
        <v>0</v>
      </c>
      <c r="F54" s="169">
        <f t="shared" si="2"/>
        <v>0</v>
      </c>
      <c r="G54" s="167">
        <f t="shared" si="10"/>
        <v>2830</v>
      </c>
      <c r="H54" s="167">
        <f t="shared" si="11"/>
        <v>4560</v>
      </c>
      <c r="I54" s="245">
        <v>0</v>
      </c>
      <c r="J54" s="167">
        <f t="shared" si="3"/>
        <v>1508.8252697366584</v>
      </c>
      <c r="K54" s="167">
        <f t="shared" si="8"/>
        <v>8898.8252697366588</v>
      </c>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row>
    <row r="55" spans="1:200" x14ac:dyDescent="0.2">
      <c r="A55" s="166">
        <f t="shared" si="4"/>
        <v>41</v>
      </c>
      <c r="B55" s="173">
        <f t="shared" si="12"/>
        <v>100000</v>
      </c>
      <c r="C55" s="244">
        <v>0</v>
      </c>
      <c r="D55" s="167">
        <f t="shared" si="13"/>
        <v>100000</v>
      </c>
      <c r="E55" s="167">
        <f t="shared" si="1"/>
        <v>0</v>
      </c>
      <c r="F55" s="169">
        <f t="shared" si="2"/>
        <v>0</v>
      </c>
      <c r="G55" s="167">
        <f t="shared" si="10"/>
        <v>2830</v>
      </c>
      <c r="H55" s="167">
        <f t="shared" si="11"/>
        <v>4560</v>
      </c>
      <c r="I55" s="245">
        <v>0</v>
      </c>
      <c r="J55" s="167">
        <f t="shared" si="3"/>
        <v>1508.8252697366584</v>
      </c>
      <c r="K55" s="167">
        <f t="shared" si="8"/>
        <v>8898.8252697366588</v>
      </c>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c r="FP55" s="174"/>
      <c r="FQ55" s="174"/>
      <c r="FR55" s="174"/>
      <c r="FS55" s="174"/>
      <c r="FT55" s="174"/>
      <c r="FU55" s="174"/>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174"/>
      <c r="GR55" s="174"/>
    </row>
    <row r="56" spans="1:200" x14ac:dyDescent="0.2">
      <c r="A56" s="166">
        <f t="shared" si="4"/>
        <v>42</v>
      </c>
      <c r="B56" s="173">
        <f t="shared" si="12"/>
        <v>100000</v>
      </c>
      <c r="C56" s="244">
        <v>0</v>
      </c>
      <c r="D56" s="167">
        <f t="shared" si="13"/>
        <v>100000</v>
      </c>
      <c r="E56" s="167">
        <f t="shared" si="1"/>
        <v>0</v>
      </c>
      <c r="F56" s="169">
        <f t="shared" si="2"/>
        <v>0</v>
      </c>
      <c r="G56" s="167">
        <f t="shared" si="10"/>
        <v>2830</v>
      </c>
      <c r="H56" s="167">
        <f t="shared" si="11"/>
        <v>4560</v>
      </c>
      <c r="I56" s="245">
        <v>0</v>
      </c>
      <c r="J56" s="167">
        <f t="shared" si="3"/>
        <v>1508.8252697366584</v>
      </c>
      <c r="K56" s="167">
        <f t="shared" si="8"/>
        <v>8898.8252697366588</v>
      </c>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4"/>
      <c r="FQ56" s="174"/>
      <c r="FR56" s="174"/>
      <c r="FS56" s="174"/>
      <c r="FT56" s="174"/>
      <c r="FU56" s="174"/>
      <c r="FV56" s="174"/>
      <c r="FW56" s="174"/>
      <c r="FX56" s="174"/>
      <c r="FY56" s="174"/>
      <c r="FZ56" s="174"/>
      <c r="GA56" s="174"/>
      <c r="GB56" s="174"/>
      <c r="GC56" s="174"/>
      <c r="GD56" s="174"/>
      <c r="GE56" s="174"/>
      <c r="GF56" s="174"/>
      <c r="GG56" s="174"/>
      <c r="GH56" s="174"/>
      <c r="GI56" s="174"/>
      <c r="GJ56" s="174"/>
      <c r="GK56" s="174"/>
      <c r="GL56" s="174"/>
      <c r="GM56" s="174"/>
      <c r="GN56" s="174"/>
      <c r="GO56" s="174"/>
      <c r="GP56" s="174"/>
      <c r="GQ56" s="174"/>
      <c r="GR56" s="174"/>
    </row>
    <row r="57" spans="1:200" x14ac:dyDescent="0.2">
      <c r="A57" s="166">
        <f t="shared" si="4"/>
        <v>43</v>
      </c>
      <c r="B57" s="173">
        <f t="shared" si="12"/>
        <v>100000</v>
      </c>
      <c r="C57" s="244">
        <v>0</v>
      </c>
      <c r="D57" s="167">
        <f t="shared" si="13"/>
        <v>100000</v>
      </c>
      <c r="E57" s="167">
        <f t="shared" si="1"/>
        <v>0</v>
      </c>
      <c r="F57" s="169">
        <f t="shared" si="2"/>
        <v>0</v>
      </c>
      <c r="G57" s="167">
        <f t="shared" si="10"/>
        <v>2830</v>
      </c>
      <c r="H57" s="167">
        <f t="shared" si="11"/>
        <v>4560</v>
      </c>
      <c r="I57" s="245">
        <v>0</v>
      </c>
      <c r="J57" s="167">
        <f t="shared" si="3"/>
        <v>1508.8252697366584</v>
      </c>
      <c r="K57" s="167">
        <f t="shared" si="8"/>
        <v>8898.8252697366588</v>
      </c>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4"/>
      <c r="FQ57" s="174"/>
      <c r="FR57" s="174"/>
      <c r="FS57" s="174"/>
      <c r="FT57" s="174"/>
      <c r="FU57" s="174"/>
      <c r="FV57" s="174"/>
      <c r="FW57" s="174"/>
      <c r="FX57" s="174"/>
      <c r="FY57" s="174"/>
      <c r="FZ57" s="174"/>
      <c r="GA57" s="174"/>
      <c r="GB57" s="174"/>
      <c r="GC57" s="174"/>
      <c r="GD57" s="174"/>
      <c r="GE57" s="174"/>
      <c r="GF57" s="174"/>
      <c r="GG57" s="174"/>
      <c r="GH57" s="174"/>
      <c r="GI57" s="174"/>
      <c r="GJ57" s="174"/>
      <c r="GK57" s="174"/>
      <c r="GL57" s="174"/>
      <c r="GM57" s="174"/>
      <c r="GN57" s="174"/>
      <c r="GO57" s="174"/>
      <c r="GP57" s="174"/>
      <c r="GQ57" s="174"/>
      <c r="GR57" s="174"/>
    </row>
    <row r="58" spans="1:200" x14ac:dyDescent="0.2">
      <c r="A58" s="166">
        <f t="shared" si="4"/>
        <v>44</v>
      </c>
      <c r="B58" s="173">
        <f t="shared" si="12"/>
        <v>100000</v>
      </c>
      <c r="C58" s="244">
        <v>0</v>
      </c>
      <c r="D58" s="167">
        <f t="shared" si="13"/>
        <v>100000</v>
      </c>
      <c r="E58" s="167">
        <f t="shared" si="1"/>
        <v>0</v>
      </c>
      <c r="F58" s="169">
        <f t="shared" si="2"/>
        <v>0</v>
      </c>
      <c r="G58" s="167">
        <f t="shared" si="10"/>
        <v>2830</v>
      </c>
      <c r="H58" s="167">
        <f t="shared" si="11"/>
        <v>4560</v>
      </c>
      <c r="I58" s="245">
        <v>0</v>
      </c>
      <c r="J58" s="167">
        <f t="shared" si="3"/>
        <v>1508.8252697366584</v>
      </c>
      <c r="K58" s="167">
        <f t="shared" si="8"/>
        <v>8898.8252697366588</v>
      </c>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4"/>
      <c r="FQ58" s="174"/>
      <c r="FR58" s="174"/>
      <c r="FS58" s="174"/>
      <c r="FT58" s="174"/>
      <c r="FU58" s="174"/>
      <c r="FV58" s="174"/>
      <c r="FW58" s="174"/>
      <c r="FX58" s="174"/>
      <c r="FY58" s="174"/>
      <c r="FZ58" s="174"/>
      <c r="GA58" s="174"/>
      <c r="GB58" s="174"/>
      <c r="GC58" s="174"/>
      <c r="GD58" s="174"/>
      <c r="GE58" s="174"/>
      <c r="GF58" s="174"/>
      <c r="GG58" s="174"/>
      <c r="GH58" s="174"/>
      <c r="GI58" s="174"/>
      <c r="GJ58" s="174"/>
      <c r="GK58" s="174"/>
      <c r="GL58" s="174"/>
      <c r="GM58" s="174"/>
      <c r="GN58" s="174"/>
      <c r="GO58" s="174"/>
      <c r="GP58" s="174"/>
      <c r="GQ58" s="174"/>
      <c r="GR58" s="174"/>
    </row>
    <row r="59" spans="1:200" x14ac:dyDescent="0.2">
      <c r="A59" s="166">
        <f t="shared" si="4"/>
        <v>45</v>
      </c>
      <c r="B59" s="173">
        <f t="shared" ref="B59:B63" si="14">B58-I58</f>
        <v>100000</v>
      </c>
      <c r="C59" s="244">
        <v>0</v>
      </c>
      <c r="D59" s="167">
        <f t="shared" ref="D59:D63" si="15">D58-F58-I58</f>
        <v>100000</v>
      </c>
      <c r="E59" s="167">
        <f t="shared" ref="E59:E64" si="16">E$11*C59</f>
        <v>0</v>
      </c>
      <c r="F59" s="169">
        <f t="shared" ref="F59:F63" si="17">$I$12*(E59-I59*E$11/E$10)</f>
        <v>0</v>
      </c>
      <c r="G59" s="167">
        <f t="shared" si="10"/>
        <v>2830</v>
      </c>
      <c r="H59" s="167">
        <f t="shared" si="11"/>
        <v>4560</v>
      </c>
      <c r="I59" s="245">
        <v>0</v>
      </c>
      <c r="J59" s="167">
        <f t="shared" ref="J59:J63" si="18">(I$11/(1-I$11))*(H59+I59-E59+F59)</f>
        <v>1508.8252697366584</v>
      </c>
      <c r="K59" s="167">
        <f t="shared" ref="K59:K62" si="19">F59+G59+H59+I59+J59</f>
        <v>8898.8252697366588</v>
      </c>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174"/>
      <c r="GR59" s="174"/>
    </row>
    <row r="60" spans="1:200" x14ac:dyDescent="0.2">
      <c r="A60" s="166">
        <f t="shared" si="4"/>
        <v>46</v>
      </c>
      <c r="B60" s="173">
        <f t="shared" si="14"/>
        <v>100000</v>
      </c>
      <c r="C60" s="244">
        <v>0</v>
      </c>
      <c r="D60" s="167">
        <f t="shared" si="15"/>
        <v>100000</v>
      </c>
      <c r="E60" s="167">
        <f t="shared" si="16"/>
        <v>0</v>
      </c>
      <c r="F60" s="169">
        <f t="shared" si="17"/>
        <v>0</v>
      </c>
      <c r="G60" s="167">
        <f t="shared" si="10"/>
        <v>2830</v>
      </c>
      <c r="H60" s="167">
        <f t="shared" si="11"/>
        <v>4560</v>
      </c>
      <c r="I60" s="245">
        <v>0</v>
      </c>
      <c r="J60" s="167">
        <f t="shared" si="18"/>
        <v>1508.8252697366584</v>
      </c>
      <c r="K60" s="167">
        <f t="shared" si="19"/>
        <v>8898.8252697366588</v>
      </c>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c r="FP60" s="174"/>
      <c r="FQ60" s="174"/>
      <c r="FR60" s="174"/>
      <c r="FS60" s="174"/>
      <c r="FT60" s="174"/>
      <c r="FU60" s="174"/>
      <c r="FV60" s="174"/>
      <c r="FW60" s="174"/>
      <c r="FX60" s="174"/>
      <c r="FY60" s="174"/>
      <c r="FZ60" s="174"/>
      <c r="GA60" s="174"/>
      <c r="GB60" s="174"/>
      <c r="GC60" s="174"/>
      <c r="GD60" s="174"/>
      <c r="GE60" s="174"/>
      <c r="GF60" s="174"/>
      <c r="GG60" s="174"/>
      <c r="GH60" s="174"/>
      <c r="GI60" s="174"/>
      <c r="GJ60" s="174"/>
      <c r="GK60" s="174"/>
      <c r="GL60" s="174"/>
      <c r="GM60" s="174"/>
      <c r="GN60" s="174"/>
      <c r="GO60" s="174"/>
      <c r="GP60" s="174"/>
      <c r="GQ60" s="174"/>
      <c r="GR60" s="174"/>
    </row>
    <row r="61" spans="1:200" x14ac:dyDescent="0.2">
      <c r="A61" s="166">
        <f t="shared" si="4"/>
        <v>47</v>
      </c>
      <c r="B61" s="173">
        <f t="shared" si="14"/>
        <v>100000</v>
      </c>
      <c r="C61" s="244">
        <v>0</v>
      </c>
      <c r="D61" s="167">
        <f t="shared" si="15"/>
        <v>100000</v>
      </c>
      <c r="E61" s="167">
        <f t="shared" si="16"/>
        <v>0</v>
      </c>
      <c r="F61" s="169">
        <f t="shared" si="17"/>
        <v>0</v>
      </c>
      <c r="G61" s="167">
        <f t="shared" si="10"/>
        <v>2830</v>
      </c>
      <c r="H61" s="167">
        <f t="shared" si="11"/>
        <v>4560</v>
      </c>
      <c r="I61" s="245">
        <v>0</v>
      </c>
      <c r="J61" s="167">
        <f t="shared" si="18"/>
        <v>1508.8252697366584</v>
      </c>
      <c r="K61" s="167">
        <f t="shared" si="19"/>
        <v>8898.8252697366588</v>
      </c>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row>
    <row r="62" spans="1:200" x14ac:dyDescent="0.2">
      <c r="A62" s="166">
        <f t="shared" si="4"/>
        <v>48</v>
      </c>
      <c r="B62" s="173">
        <f t="shared" si="14"/>
        <v>100000</v>
      </c>
      <c r="C62" s="244">
        <v>0</v>
      </c>
      <c r="D62" s="167">
        <f t="shared" si="15"/>
        <v>100000</v>
      </c>
      <c r="E62" s="167">
        <f t="shared" si="16"/>
        <v>0</v>
      </c>
      <c r="F62" s="169">
        <f t="shared" si="17"/>
        <v>0</v>
      </c>
      <c r="G62" s="167">
        <f t="shared" si="10"/>
        <v>2830</v>
      </c>
      <c r="H62" s="167">
        <f t="shared" si="11"/>
        <v>4560</v>
      </c>
      <c r="I62" s="245">
        <v>0</v>
      </c>
      <c r="J62" s="167">
        <f t="shared" si="18"/>
        <v>1508.8252697366584</v>
      </c>
      <c r="K62" s="167">
        <f t="shared" si="19"/>
        <v>8898.8252697366588</v>
      </c>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4"/>
      <c r="FK62" s="174"/>
      <c r="FL62" s="174"/>
      <c r="FM62" s="174"/>
      <c r="FN62" s="174"/>
      <c r="FO62" s="174"/>
      <c r="FP62" s="174"/>
      <c r="FQ62" s="174"/>
      <c r="FR62" s="174"/>
      <c r="FS62" s="174"/>
      <c r="FT62" s="174"/>
      <c r="FU62" s="174"/>
      <c r="FV62" s="174"/>
      <c r="FW62" s="174"/>
      <c r="FX62" s="174"/>
      <c r="FY62" s="174"/>
      <c r="FZ62" s="174"/>
      <c r="GA62" s="174"/>
      <c r="GB62" s="174"/>
      <c r="GC62" s="174"/>
      <c r="GD62" s="174"/>
      <c r="GE62" s="174"/>
      <c r="GF62" s="174"/>
      <c r="GG62" s="174"/>
      <c r="GH62" s="174"/>
      <c r="GI62" s="174"/>
      <c r="GJ62" s="174"/>
      <c r="GK62" s="174"/>
      <c r="GL62" s="174"/>
      <c r="GM62" s="174"/>
      <c r="GN62" s="174"/>
      <c r="GO62" s="174"/>
      <c r="GP62" s="174"/>
      <c r="GQ62" s="174"/>
      <c r="GR62" s="174"/>
    </row>
    <row r="63" spans="1:200" x14ac:dyDescent="0.2">
      <c r="A63" s="166">
        <f t="shared" si="4"/>
        <v>49</v>
      </c>
      <c r="B63" s="173">
        <f t="shared" si="14"/>
        <v>100000</v>
      </c>
      <c r="C63" s="244">
        <v>0</v>
      </c>
      <c r="D63" s="167">
        <f t="shared" si="15"/>
        <v>100000</v>
      </c>
      <c r="E63" s="167">
        <f t="shared" si="16"/>
        <v>0</v>
      </c>
      <c r="F63" s="169">
        <f t="shared" si="17"/>
        <v>0</v>
      </c>
      <c r="G63" s="167">
        <f t="shared" si="10"/>
        <v>2830</v>
      </c>
      <c r="H63" s="167">
        <f t="shared" si="11"/>
        <v>4560</v>
      </c>
      <c r="I63" s="245">
        <v>0</v>
      </c>
      <c r="J63" s="167">
        <f t="shared" si="18"/>
        <v>1508.8252697366584</v>
      </c>
      <c r="K63" s="167">
        <f>F63+G63+H63+I63+J63</f>
        <v>8898.8252697366588</v>
      </c>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row>
    <row r="64" spans="1:200" x14ac:dyDescent="0.2">
      <c r="A64" s="247">
        <f t="shared" si="4"/>
        <v>50</v>
      </c>
      <c r="B64" s="173">
        <f t="shared" ref="B64" si="20">B63-I63</f>
        <v>100000</v>
      </c>
      <c r="C64" s="244">
        <v>0</v>
      </c>
      <c r="D64" s="167">
        <f t="shared" ref="D64" si="21">D63-F63-I63</f>
        <v>100000</v>
      </c>
      <c r="E64" s="167">
        <f t="shared" si="16"/>
        <v>0</v>
      </c>
      <c r="F64" s="169">
        <f t="shared" ref="F64" si="22">$I$12*(E64-I64*E$11/E$10)</f>
        <v>0</v>
      </c>
      <c r="G64" s="167">
        <f t="shared" ref="G64" si="23">L$4*D64</f>
        <v>2830</v>
      </c>
      <c r="H64" s="167">
        <f t="shared" ref="H64" si="24">D64*(L$5+L$6)</f>
        <v>4560</v>
      </c>
      <c r="I64" s="245">
        <v>0</v>
      </c>
      <c r="J64" s="167">
        <f t="shared" ref="J64" si="25">(I$11/(1-I$11))*(H64+I64-E64+F64)</f>
        <v>1508.8252697366584</v>
      </c>
      <c r="K64" s="167">
        <f>F64+G64+H64+I64+J64</f>
        <v>8898.8252697366588</v>
      </c>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174"/>
      <c r="EZ64" s="174"/>
      <c r="FA64" s="174"/>
      <c r="FB64" s="174"/>
      <c r="FC64" s="174"/>
      <c r="FD64" s="174"/>
      <c r="FE64" s="174"/>
      <c r="FF64" s="174"/>
      <c r="FG64" s="174"/>
      <c r="FH64" s="174"/>
      <c r="FI64" s="174"/>
      <c r="FJ64" s="174"/>
      <c r="FK64" s="174"/>
      <c r="FL64" s="174"/>
      <c r="FM64" s="174"/>
      <c r="FN64" s="174"/>
      <c r="FO64" s="174"/>
      <c r="FP64" s="174"/>
      <c r="FQ64" s="174"/>
      <c r="FR64" s="174"/>
      <c r="FS64" s="174"/>
      <c r="FT64" s="174"/>
      <c r="FU64" s="174"/>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174"/>
      <c r="GR64" s="174"/>
    </row>
    <row r="65" spans="1:200" x14ac:dyDescent="0.2">
      <c r="A65" s="166" t="s">
        <v>13</v>
      </c>
      <c r="B65" s="173"/>
      <c r="C65" s="228" t="s">
        <v>13</v>
      </c>
      <c r="D65" s="167" t="s">
        <v>13</v>
      </c>
      <c r="E65" s="167" t="s">
        <v>13</v>
      </c>
      <c r="F65" s="167" t="s">
        <v>13</v>
      </c>
      <c r="G65" s="167" t="s">
        <v>13</v>
      </c>
      <c r="H65" s="167" t="s">
        <v>13</v>
      </c>
      <c r="I65" s="167" t="s">
        <v>13</v>
      </c>
      <c r="J65" s="167" t="s">
        <v>13</v>
      </c>
      <c r="K65" s="167" t="s">
        <v>13</v>
      </c>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c r="EO65" s="174"/>
      <c r="EP65" s="174"/>
      <c r="EQ65" s="174"/>
      <c r="ER65" s="174"/>
      <c r="ES65" s="174"/>
      <c r="ET65" s="174"/>
      <c r="EU65" s="174"/>
      <c r="EV65" s="174"/>
      <c r="EW65" s="174"/>
      <c r="EX65" s="174"/>
      <c r="EY65" s="174"/>
      <c r="EZ65" s="174"/>
      <c r="FA65" s="174"/>
      <c r="FB65" s="174"/>
      <c r="FC65" s="174"/>
      <c r="FD65" s="174"/>
      <c r="FE65" s="174"/>
      <c r="FF65" s="174"/>
      <c r="FG65" s="174"/>
      <c r="FH65" s="174"/>
      <c r="FI65" s="174"/>
      <c r="FJ65" s="174"/>
      <c r="FK65" s="174"/>
      <c r="FL65" s="174"/>
      <c r="FM65" s="174"/>
      <c r="FN65" s="174"/>
      <c r="FO65" s="174"/>
      <c r="FP65" s="174"/>
      <c r="FQ65" s="174"/>
      <c r="FR65" s="174"/>
      <c r="FS65" s="174"/>
      <c r="FT65" s="174"/>
      <c r="FU65" s="174"/>
      <c r="FV65" s="174"/>
      <c r="FW65" s="174"/>
      <c r="FX65" s="174"/>
      <c r="FY65" s="174"/>
      <c r="FZ65" s="174"/>
      <c r="GA65" s="174"/>
      <c r="GB65" s="174"/>
      <c r="GC65" s="174"/>
      <c r="GD65" s="174"/>
      <c r="GE65" s="174"/>
      <c r="GF65" s="174"/>
      <c r="GG65" s="174"/>
      <c r="GH65" s="174"/>
      <c r="GI65" s="174"/>
      <c r="GJ65" s="174"/>
      <c r="GK65" s="174"/>
      <c r="GL65" s="174"/>
      <c r="GM65" s="174"/>
      <c r="GN65" s="174"/>
      <c r="GO65" s="174"/>
      <c r="GP65" s="174"/>
      <c r="GQ65" s="174"/>
      <c r="GR65" s="174"/>
    </row>
    <row r="66" spans="1:200" x14ac:dyDescent="0.2">
      <c r="A66" s="166" t="s">
        <v>12</v>
      </c>
      <c r="B66" s="173"/>
      <c r="C66" s="228">
        <f>SUM(C15:C63)</f>
        <v>0</v>
      </c>
      <c r="D66" s="167" t="s">
        <v>11</v>
      </c>
      <c r="E66" s="167">
        <f>SUM(E15:E64)</f>
        <v>0</v>
      </c>
      <c r="F66" s="167">
        <f t="shared" ref="F66:K66" si="26">SUM(F15:F64)</f>
        <v>0</v>
      </c>
      <c r="G66" s="167">
        <f t="shared" si="26"/>
        <v>141500</v>
      </c>
      <c r="H66" s="167">
        <f t="shared" si="26"/>
        <v>228000</v>
      </c>
      <c r="I66" s="167">
        <f t="shared" si="26"/>
        <v>0</v>
      </c>
      <c r="J66" s="167">
        <f t="shared" si="26"/>
        <v>75441.263486832831</v>
      </c>
      <c r="K66" s="167">
        <f t="shared" si="26"/>
        <v>444941.26348683267</v>
      </c>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c r="EO66" s="174"/>
      <c r="EP66" s="174"/>
      <c r="EQ66" s="174"/>
      <c r="ER66" s="174"/>
      <c r="ES66" s="174"/>
      <c r="ET66" s="174"/>
      <c r="EU66" s="174"/>
      <c r="EV66" s="174"/>
      <c r="EW66" s="174"/>
      <c r="EX66" s="174"/>
      <c r="EY66" s="174"/>
      <c r="EZ66" s="174"/>
      <c r="FA66" s="174"/>
      <c r="FB66" s="174"/>
      <c r="FC66" s="174"/>
      <c r="FD66" s="174"/>
      <c r="FE66" s="174"/>
      <c r="FF66" s="174"/>
      <c r="FG66" s="174"/>
      <c r="FH66" s="174"/>
      <c r="FI66" s="174"/>
      <c r="FJ66" s="174"/>
      <c r="FK66" s="174"/>
      <c r="FL66" s="174"/>
      <c r="FM66" s="174"/>
      <c r="FN66" s="174"/>
      <c r="FO66" s="174"/>
      <c r="FP66" s="174"/>
      <c r="FQ66" s="174"/>
      <c r="FR66" s="174"/>
      <c r="FS66" s="174"/>
      <c r="FT66" s="174"/>
      <c r="FU66" s="174"/>
      <c r="FV66" s="174"/>
      <c r="FW66" s="174"/>
      <c r="FX66" s="174"/>
      <c r="FY66" s="174"/>
      <c r="FZ66" s="174"/>
      <c r="GA66" s="174"/>
      <c r="GB66" s="174"/>
      <c r="GC66" s="174"/>
      <c r="GD66" s="174"/>
      <c r="GE66" s="174"/>
      <c r="GF66" s="174"/>
      <c r="GG66" s="174"/>
      <c r="GH66" s="174"/>
      <c r="GI66" s="174"/>
      <c r="GJ66" s="174"/>
      <c r="GK66" s="174"/>
      <c r="GL66" s="174"/>
      <c r="GM66" s="174"/>
      <c r="GN66" s="174"/>
      <c r="GO66" s="174"/>
      <c r="GP66" s="174"/>
      <c r="GQ66" s="174"/>
      <c r="GR66" s="174"/>
    </row>
    <row r="67" spans="1:200" x14ac:dyDescent="0.2">
      <c r="B67" s="173"/>
      <c r="C67" s="228"/>
      <c r="D67" s="176"/>
      <c r="E67" s="176"/>
      <c r="F67" s="176"/>
      <c r="G67" s="176"/>
      <c r="H67" s="176"/>
      <c r="I67" s="176"/>
      <c r="J67" s="176"/>
      <c r="K67" s="176"/>
      <c r="L67" s="176"/>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4"/>
      <c r="FZ67" s="174"/>
      <c r="GA67" s="174"/>
      <c r="GB67" s="174"/>
      <c r="GC67" s="174"/>
      <c r="GD67" s="174"/>
      <c r="GE67" s="174"/>
      <c r="GF67" s="174"/>
      <c r="GG67" s="174"/>
      <c r="GH67" s="174"/>
      <c r="GI67" s="174"/>
      <c r="GJ67" s="174"/>
      <c r="GK67" s="174"/>
      <c r="GL67" s="174"/>
      <c r="GM67" s="174"/>
      <c r="GN67" s="174"/>
      <c r="GO67" s="174"/>
      <c r="GP67" s="174"/>
      <c r="GQ67" s="174"/>
      <c r="GR67" s="174"/>
    </row>
    <row r="68" spans="1:200" x14ac:dyDescent="0.2">
      <c r="B68" s="173"/>
      <c r="C68" s="256" t="s">
        <v>10</v>
      </c>
      <c r="D68" s="256"/>
      <c r="E68" s="167">
        <f t="shared" ref="E68:K68" si="27">NPV($L8,E15:E64)</f>
        <v>0</v>
      </c>
      <c r="F68" s="167">
        <f t="shared" si="27"/>
        <v>0</v>
      </c>
      <c r="G68" s="167">
        <f t="shared" si="27"/>
        <v>37211.19140851163</v>
      </c>
      <c r="H68" s="167">
        <f t="shared" si="27"/>
        <v>59958.668841983432</v>
      </c>
      <c r="I68" s="167">
        <f t="shared" si="27"/>
        <v>0</v>
      </c>
      <c r="J68" s="167">
        <f t="shared" si="27"/>
        <v>19839.288308893993</v>
      </c>
      <c r="K68" s="167">
        <f t="shared" si="27"/>
        <v>117009.14855938901</v>
      </c>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c r="EO68" s="174"/>
      <c r="EP68" s="174"/>
      <c r="EQ68" s="174"/>
      <c r="ER68" s="174"/>
      <c r="ES68" s="174"/>
      <c r="ET68" s="174"/>
      <c r="EU68" s="174"/>
      <c r="EV68" s="174"/>
      <c r="EW68" s="174"/>
      <c r="EX68" s="174"/>
      <c r="EY68" s="174"/>
      <c r="EZ68" s="174"/>
      <c r="FA68" s="174"/>
      <c r="FB68" s="174"/>
      <c r="FC68" s="174"/>
      <c r="FD68" s="174"/>
      <c r="FE68" s="174"/>
      <c r="FF68" s="174"/>
      <c r="FG68" s="174"/>
      <c r="FH68" s="174"/>
      <c r="FI68" s="174"/>
      <c r="FJ68" s="174"/>
      <c r="FK68" s="174"/>
      <c r="FL68" s="174"/>
      <c r="FM68" s="174"/>
      <c r="FN68" s="174"/>
      <c r="FO68" s="174"/>
      <c r="FP68" s="174"/>
      <c r="FQ68" s="174"/>
      <c r="FR68" s="174"/>
      <c r="FS68" s="174"/>
      <c r="FT68" s="174"/>
      <c r="FU68" s="174"/>
      <c r="FV68" s="174"/>
      <c r="FW68" s="174"/>
      <c r="FX68" s="174"/>
      <c r="FY68" s="174"/>
      <c r="FZ68" s="174"/>
      <c r="GA68" s="174"/>
      <c r="GB68" s="174"/>
      <c r="GC68" s="174"/>
      <c r="GD68" s="174"/>
      <c r="GE68" s="174"/>
      <c r="GF68" s="174"/>
      <c r="GG68" s="174"/>
      <c r="GH68" s="174"/>
      <c r="GI68" s="174"/>
      <c r="GJ68" s="174"/>
      <c r="GK68" s="174"/>
      <c r="GL68" s="174"/>
      <c r="GM68" s="174"/>
      <c r="GN68" s="174"/>
      <c r="GO68" s="174"/>
      <c r="GP68" s="174"/>
      <c r="GQ68" s="174"/>
      <c r="GR68" s="174"/>
    </row>
    <row r="69" spans="1:200" x14ac:dyDescent="0.2">
      <c r="B69" s="166"/>
      <c r="C69" s="166"/>
      <c r="D69" s="167"/>
      <c r="E69" s="167"/>
      <c r="F69" s="167"/>
      <c r="G69" s="167"/>
      <c r="H69" s="167"/>
      <c r="I69" s="167"/>
      <c r="J69" s="167"/>
      <c r="K69" s="167"/>
      <c r="L69" s="167"/>
      <c r="M69" s="167"/>
      <c r="N69" s="167"/>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row>
    <row r="70" spans="1:200" x14ac:dyDescent="0.2">
      <c r="B70" s="177"/>
      <c r="C70" s="228"/>
      <c r="D70" s="176"/>
      <c r="E70" s="176"/>
      <c r="F70" s="176"/>
      <c r="G70" s="176"/>
      <c r="H70" s="176"/>
      <c r="I70" s="176"/>
      <c r="J70" s="176"/>
      <c r="K70" s="176"/>
      <c r="L70" s="176"/>
      <c r="M70" s="176"/>
      <c r="N70" s="176"/>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c r="EO70" s="174"/>
      <c r="EP70" s="174"/>
      <c r="EQ70" s="174"/>
      <c r="ER70" s="174"/>
      <c r="ES70" s="174"/>
      <c r="ET70" s="174"/>
      <c r="EU70" s="174"/>
      <c r="EV70" s="174"/>
      <c r="EW70" s="174"/>
      <c r="EX70" s="174"/>
      <c r="EY70" s="174"/>
      <c r="EZ70" s="174"/>
      <c r="FA70" s="174"/>
      <c r="FB70" s="174"/>
      <c r="FC70" s="174"/>
      <c r="FD70" s="174"/>
      <c r="FE70" s="174"/>
      <c r="FF70" s="174"/>
      <c r="FG70" s="174"/>
      <c r="FH70" s="174"/>
      <c r="FI70" s="174"/>
      <c r="FJ70" s="174"/>
      <c r="FK70" s="174"/>
      <c r="FL70" s="174"/>
      <c r="FM70" s="174"/>
      <c r="FN70" s="174"/>
      <c r="FO70" s="174"/>
      <c r="FP70" s="174"/>
      <c r="FQ70" s="174"/>
      <c r="FR70" s="174"/>
      <c r="FS70" s="174"/>
      <c r="FT70" s="174"/>
      <c r="FU70" s="174"/>
      <c r="FV70" s="174"/>
      <c r="FW70" s="174"/>
      <c r="FX70" s="174"/>
      <c r="FY70" s="174"/>
      <c r="FZ70" s="174"/>
      <c r="GA70" s="174"/>
      <c r="GB70" s="174"/>
      <c r="GC70" s="174"/>
      <c r="GD70" s="174"/>
      <c r="GE70" s="174"/>
      <c r="GF70" s="174"/>
      <c r="GG70" s="174"/>
      <c r="GH70" s="174"/>
      <c r="GI70" s="174"/>
      <c r="GJ70" s="174"/>
      <c r="GK70" s="174"/>
      <c r="GL70" s="174"/>
      <c r="GM70" s="174"/>
      <c r="GN70" s="174"/>
      <c r="GO70" s="174"/>
      <c r="GP70" s="174"/>
      <c r="GQ70" s="174"/>
      <c r="GR70" s="174"/>
    </row>
    <row r="71" spans="1:200" x14ac:dyDescent="0.2">
      <c r="B71" s="177"/>
      <c r="C71" s="177"/>
      <c r="D71" s="176"/>
      <c r="E71" s="176"/>
      <c r="F71" s="176"/>
      <c r="G71" s="176"/>
      <c r="H71" s="176"/>
      <c r="I71" s="176"/>
      <c r="J71" s="176"/>
      <c r="K71" s="176"/>
      <c r="L71" s="176"/>
      <c r="M71" s="176"/>
      <c r="N71" s="176"/>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c r="FP71" s="174"/>
      <c r="FQ71" s="174"/>
      <c r="FR71" s="174"/>
      <c r="FS71" s="174"/>
      <c r="FT71" s="174"/>
      <c r="FU71" s="174"/>
      <c r="FV71" s="174"/>
      <c r="FW71" s="174"/>
      <c r="FX71" s="174"/>
      <c r="FY71" s="174"/>
      <c r="FZ71" s="174"/>
      <c r="GA71" s="174"/>
      <c r="GB71" s="174"/>
      <c r="GC71" s="174"/>
      <c r="GD71" s="174"/>
      <c r="GE71" s="174"/>
      <c r="GF71" s="174"/>
      <c r="GG71" s="174"/>
      <c r="GH71" s="174"/>
      <c r="GI71" s="174"/>
      <c r="GJ71" s="174"/>
      <c r="GK71" s="174"/>
      <c r="GL71" s="174"/>
      <c r="GM71" s="174"/>
      <c r="GN71" s="174"/>
      <c r="GO71" s="174"/>
      <c r="GP71" s="174"/>
      <c r="GQ71" s="174"/>
      <c r="GR71" s="174"/>
    </row>
    <row r="72" spans="1:200" x14ac:dyDescent="0.2">
      <c r="B72" s="177"/>
      <c r="C72" s="177"/>
      <c r="D72" s="176"/>
      <c r="E72" s="176"/>
      <c r="F72" s="176"/>
      <c r="G72" s="176"/>
      <c r="H72" s="176"/>
      <c r="I72" s="176"/>
      <c r="J72" s="176"/>
      <c r="K72" s="176"/>
      <c r="L72" s="176"/>
      <c r="M72" s="176"/>
      <c r="N72" s="176"/>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c r="EO72" s="174"/>
      <c r="EP72" s="174"/>
      <c r="EQ72" s="174"/>
      <c r="ER72" s="174"/>
      <c r="ES72" s="174"/>
      <c r="ET72" s="174"/>
      <c r="EU72" s="174"/>
      <c r="EV72" s="174"/>
      <c r="EW72" s="174"/>
      <c r="EX72" s="174"/>
      <c r="EY72" s="174"/>
      <c r="EZ72" s="174"/>
      <c r="FA72" s="174"/>
      <c r="FB72" s="174"/>
      <c r="FC72" s="174"/>
      <c r="FD72" s="174"/>
      <c r="FE72" s="174"/>
      <c r="FF72" s="174"/>
      <c r="FG72" s="174"/>
      <c r="FH72" s="174"/>
      <c r="FI72" s="174"/>
      <c r="FJ72" s="174"/>
      <c r="FK72" s="174"/>
      <c r="FL72" s="174"/>
      <c r="FM72" s="174"/>
      <c r="FN72" s="174"/>
      <c r="FO72" s="174"/>
      <c r="FP72" s="174"/>
      <c r="FQ72" s="174"/>
      <c r="FR72" s="174"/>
      <c r="FS72" s="174"/>
      <c r="FT72" s="174"/>
      <c r="FU72" s="174"/>
      <c r="FV72" s="174"/>
      <c r="FW72" s="174"/>
      <c r="FX72" s="174"/>
      <c r="FY72" s="174"/>
      <c r="FZ72" s="174"/>
      <c r="GA72" s="174"/>
      <c r="GB72" s="174"/>
      <c r="GC72" s="174"/>
      <c r="GD72" s="174"/>
      <c r="GE72" s="174"/>
      <c r="GF72" s="174"/>
      <c r="GG72" s="174"/>
      <c r="GH72" s="174"/>
      <c r="GI72" s="174"/>
      <c r="GJ72" s="174"/>
      <c r="GK72" s="174"/>
      <c r="GL72" s="174"/>
      <c r="GM72" s="174"/>
      <c r="GN72" s="174"/>
      <c r="GO72" s="174"/>
      <c r="GP72" s="174"/>
      <c r="GQ72" s="174"/>
      <c r="GR72" s="174"/>
    </row>
    <row r="73" spans="1:200" x14ac:dyDescent="0.2">
      <c r="B73" s="166"/>
      <c r="C73" s="177"/>
      <c r="D73" s="176"/>
      <c r="E73" s="176"/>
      <c r="F73" s="176"/>
      <c r="G73" s="176"/>
      <c r="H73" s="176"/>
      <c r="I73" s="176"/>
      <c r="J73" s="176"/>
      <c r="K73" s="176"/>
      <c r="L73" s="176"/>
      <c r="M73" s="176"/>
      <c r="N73" s="176"/>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c r="EO73" s="174"/>
      <c r="EP73" s="174"/>
      <c r="EQ73" s="174"/>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c r="FP73" s="174"/>
      <c r="FQ73" s="174"/>
      <c r="FR73" s="174"/>
      <c r="FS73" s="174"/>
      <c r="FT73" s="174"/>
      <c r="FU73" s="174"/>
      <c r="FV73" s="174"/>
      <c r="FW73" s="174"/>
      <c r="FX73" s="174"/>
      <c r="FY73" s="174"/>
      <c r="FZ73" s="174"/>
      <c r="GA73" s="174"/>
      <c r="GB73" s="174"/>
      <c r="GC73" s="174"/>
      <c r="GD73" s="174"/>
      <c r="GE73" s="174"/>
      <c r="GF73" s="174"/>
      <c r="GG73" s="174"/>
      <c r="GH73" s="174"/>
      <c r="GI73" s="174"/>
      <c r="GJ73" s="174"/>
      <c r="GK73" s="174"/>
      <c r="GL73" s="174"/>
      <c r="GM73" s="174"/>
      <c r="GN73" s="174"/>
      <c r="GO73" s="174"/>
      <c r="GP73" s="174"/>
      <c r="GQ73" s="174"/>
      <c r="GR73" s="174"/>
    </row>
    <row r="74" spans="1:200" x14ac:dyDescent="0.2">
      <c r="B74" s="177"/>
      <c r="C74" s="177"/>
      <c r="D74" s="176"/>
      <c r="E74" s="176"/>
      <c r="F74" s="176"/>
      <c r="G74" s="176"/>
      <c r="H74" s="176"/>
      <c r="I74" s="176"/>
      <c r="J74" s="176"/>
      <c r="K74" s="176"/>
      <c r="L74" s="176"/>
      <c r="M74" s="176"/>
      <c r="N74" s="176"/>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row>
    <row r="75" spans="1:200" x14ac:dyDescent="0.2">
      <c r="B75" s="177"/>
      <c r="C75" s="177"/>
      <c r="D75" s="176"/>
      <c r="E75" s="176"/>
      <c r="F75" s="176"/>
      <c r="G75" s="176"/>
      <c r="H75" s="176"/>
      <c r="I75" s="176"/>
      <c r="J75" s="176"/>
      <c r="K75" s="176"/>
      <c r="L75" s="176"/>
      <c r="M75" s="176"/>
      <c r="N75" s="176"/>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c r="EN75" s="174"/>
      <c r="EO75" s="174"/>
      <c r="EP75" s="174"/>
      <c r="EQ75" s="174"/>
      <c r="ER75" s="174"/>
      <c r="ES75" s="174"/>
      <c r="ET75" s="174"/>
      <c r="EU75" s="174"/>
      <c r="EV75" s="174"/>
      <c r="EW75" s="174"/>
      <c r="EX75" s="174"/>
      <c r="EY75" s="174"/>
      <c r="EZ75" s="174"/>
      <c r="FA75" s="174"/>
      <c r="FB75" s="174"/>
      <c r="FC75" s="174"/>
      <c r="FD75" s="174"/>
      <c r="FE75" s="174"/>
      <c r="FF75" s="174"/>
      <c r="FG75" s="174"/>
      <c r="FH75" s="174"/>
      <c r="FI75" s="174"/>
      <c r="FJ75" s="174"/>
      <c r="FK75" s="174"/>
      <c r="FL75" s="174"/>
      <c r="FM75" s="174"/>
      <c r="FN75" s="174"/>
      <c r="FO75" s="174"/>
      <c r="FP75" s="174"/>
      <c r="FQ75" s="174"/>
      <c r="FR75" s="174"/>
      <c r="FS75" s="174"/>
      <c r="FT75" s="174"/>
      <c r="FU75" s="174"/>
      <c r="FV75" s="174"/>
      <c r="FW75" s="174"/>
      <c r="FX75" s="174"/>
      <c r="FY75" s="174"/>
      <c r="FZ75" s="174"/>
      <c r="GA75" s="174"/>
      <c r="GB75" s="174"/>
      <c r="GC75" s="174"/>
      <c r="GD75" s="174"/>
      <c r="GE75" s="174"/>
      <c r="GF75" s="174"/>
      <c r="GG75" s="174"/>
      <c r="GH75" s="174"/>
      <c r="GI75" s="174"/>
      <c r="GJ75" s="174"/>
      <c r="GK75" s="174"/>
      <c r="GL75" s="174"/>
      <c r="GM75" s="174"/>
      <c r="GN75" s="174"/>
      <c r="GO75" s="174"/>
      <c r="GP75" s="174"/>
      <c r="GQ75" s="174"/>
      <c r="GR75" s="174"/>
    </row>
    <row r="76" spans="1:200" x14ac:dyDescent="0.2">
      <c r="B76" s="177"/>
      <c r="C76" s="177"/>
      <c r="D76" s="176"/>
      <c r="E76" s="176"/>
      <c r="F76" s="176"/>
      <c r="G76" s="176"/>
      <c r="H76" s="176"/>
      <c r="I76" s="176"/>
      <c r="J76" s="176"/>
      <c r="K76" s="176"/>
      <c r="L76" s="176"/>
      <c r="M76" s="176"/>
      <c r="N76" s="176"/>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row>
    <row r="77" spans="1:200" x14ac:dyDescent="0.2">
      <c r="B77" s="177"/>
      <c r="C77" s="177"/>
      <c r="D77" s="176"/>
      <c r="E77" s="176"/>
      <c r="F77" s="176"/>
      <c r="G77" s="176"/>
      <c r="H77" s="176"/>
      <c r="I77" s="176"/>
      <c r="J77" s="176"/>
      <c r="K77" s="176"/>
      <c r="L77" s="176"/>
      <c r="M77" s="176"/>
      <c r="N77" s="176"/>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4"/>
      <c r="DF77" s="174"/>
      <c r="DG77" s="174"/>
      <c r="DH77" s="174"/>
      <c r="DI77" s="174"/>
      <c r="DJ77" s="174"/>
      <c r="DK77" s="174"/>
      <c r="DL77" s="174"/>
      <c r="DM77" s="174"/>
      <c r="DN77" s="174"/>
      <c r="DO77" s="174"/>
      <c r="DP77" s="174"/>
      <c r="DQ77" s="174"/>
      <c r="DR77" s="174"/>
      <c r="DS77" s="174"/>
      <c r="DT77" s="174"/>
      <c r="DU77" s="174"/>
      <c r="DV77" s="174"/>
      <c r="DW77" s="174"/>
      <c r="DX77" s="174"/>
      <c r="DY77" s="174"/>
      <c r="DZ77" s="174"/>
      <c r="EA77" s="174"/>
      <c r="EB77" s="174"/>
      <c r="EC77" s="174"/>
      <c r="ED77" s="174"/>
      <c r="EE77" s="174"/>
      <c r="EF77" s="174"/>
      <c r="EG77" s="174"/>
      <c r="EH77" s="174"/>
      <c r="EI77" s="174"/>
      <c r="EJ77" s="174"/>
      <c r="EK77" s="174"/>
      <c r="EL77" s="174"/>
      <c r="EM77" s="174"/>
      <c r="EN77" s="174"/>
      <c r="EO77" s="174"/>
      <c r="EP77" s="174"/>
      <c r="EQ77" s="174"/>
      <c r="ER77" s="174"/>
      <c r="ES77" s="174"/>
      <c r="ET77" s="174"/>
      <c r="EU77" s="174"/>
      <c r="EV77" s="174"/>
      <c r="EW77" s="174"/>
      <c r="EX77" s="174"/>
      <c r="EY77" s="174"/>
      <c r="EZ77" s="174"/>
      <c r="FA77" s="174"/>
      <c r="FB77" s="174"/>
      <c r="FC77" s="174"/>
      <c r="FD77" s="174"/>
      <c r="FE77" s="174"/>
      <c r="FF77" s="174"/>
      <c r="FG77" s="174"/>
      <c r="FH77" s="174"/>
      <c r="FI77" s="174"/>
      <c r="FJ77" s="174"/>
      <c r="FK77" s="174"/>
      <c r="FL77" s="174"/>
      <c r="FM77" s="174"/>
      <c r="FN77" s="174"/>
      <c r="FO77" s="174"/>
      <c r="FP77" s="174"/>
      <c r="FQ77" s="174"/>
      <c r="FR77" s="174"/>
      <c r="FS77" s="174"/>
      <c r="FT77" s="174"/>
      <c r="FU77" s="174"/>
      <c r="FV77" s="174"/>
      <c r="FW77" s="174"/>
      <c r="FX77" s="174"/>
      <c r="FY77" s="174"/>
      <c r="FZ77" s="174"/>
      <c r="GA77" s="174"/>
      <c r="GB77" s="174"/>
      <c r="GC77" s="174"/>
      <c r="GD77" s="174"/>
      <c r="GE77" s="174"/>
      <c r="GF77" s="174"/>
      <c r="GG77" s="174"/>
      <c r="GH77" s="174"/>
      <c r="GI77" s="174"/>
      <c r="GJ77" s="174"/>
      <c r="GK77" s="174"/>
      <c r="GL77" s="174"/>
      <c r="GM77" s="174"/>
      <c r="GN77" s="174"/>
      <c r="GO77" s="174"/>
      <c r="GP77" s="174"/>
      <c r="GQ77" s="174"/>
      <c r="GR77" s="174"/>
    </row>
    <row r="78" spans="1:200" x14ac:dyDescent="0.2">
      <c r="B78" s="177"/>
      <c r="C78" s="177"/>
      <c r="D78" s="176"/>
      <c r="E78" s="176"/>
      <c r="F78" s="176"/>
      <c r="G78" s="176"/>
      <c r="H78" s="176"/>
      <c r="I78" s="176"/>
      <c r="J78" s="176"/>
      <c r="K78" s="176"/>
      <c r="L78" s="176"/>
      <c r="M78" s="176"/>
      <c r="N78" s="176"/>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74"/>
      <c r="EA78" s="174"/>
      <c r="EB78" s="174"/>
      <c r="EC78" s="174"/>
      <c r="ED78" s="174"/>
      <c r="EE78" s="174"/>
      <c r="EF78" s="174"/>
      <c r="EG78" s="174"/>
      <c r="EH78" s="174"/>
      <c r="EI78" s="174"/>
      <c r="EJ78" s="174"/>
      <c r="EK78" s="174"/>
      <c r="EL78" s="174"/>
      <c r="EM78" s="174"/>
      <c r="EN78" s="174"/>
      <c r="EO78" s="174"/>
      <c r="EP78" s="174"/>
      <c r="EQ78" s="174"/>
      <c r="ER78" s="174"/>
      <c r="ES78" s="174"/>
      <c r="ET78" s="174"/>
      <c r="EU78" s="174"/>
      <c r="EV78" s="174"/>
      <c r="EW78" s="174"/>
      <c r="EX78" s="174"/>
      <c r="EY78" s="174"/>
      <c r="EZ78" s="174"/>
      <c r="FA78" s="174"/>
      <c r="FB78" s="174"/>
      <c r="FC78" s="174"/>
      <c r="FD78" s="174"/>
      <c r="FE78" s="174"/>
      <c r="FF78" s="174"/>
      <c r="FG78" s="174"/>
      <c r="FH78" s="174"/>
      <c r="FI78" s="174"/>
      <c r="FJ78" s="174"/>
      <c r="FK78" s="174"/>
      <c r="FL78" s="174"/>
      <c r="FM78" s="174"/>
      <c r="FN78" s="174"/>
      <c r="FO78" s="174"/>
      <c r="FP78" s="174"/>
      <c r="FQ78" s="174"/>
      <c r="FR78" s="174"/>
      <c r="FS78" s="174"/>
      <c r="FT78" s="174"/>
      <c r="FU78" s="174"/>
      <c r="FV78" s="174"/>
      <c r="FW78" s="174"/>
      <c r="FX78" s="174"/>
      <c r="FY78" s="174"/>
      <c r="FZ78" s="174"/>
      <c r="GA78" s="174"/>
      <c r="GB78" s="174"/>
      <c r="GC78" s="174"/>
      <c r="GD78" s="174"/>
      <c r="GE78" s="174"/>
      <c r="GF78" s="174"/>
      <c r="GG78" s="174"/>
      <c r="GH78" s="174"/>
      <c r="GI78" s="174"/>
      <c r="GJ78" s="174"/>
      <c r="GK78" s="174"/>
      <c r="GL78" s="174"/>
      <c r="GM78" s="174"/>
      <c r="GN78" s="174"/>
      <c r="GO78" s="174"/>
      <c r="GP78" s="174"/>
      <c r="GQ78" s="174"/>
      <c r="GR78" s="174"/>
    </row>
    <row r="79" spans="1:200" x14ac:dyDescent="0.2">
      <c r="B79" s="177"/>
      <c r="C79" s="177"/>
      <c r="D79" s="176"/>
      <c r="E79" s="176"/>
      <c r="F79" s="176"/>
      <c r="G79" s="176"/>
      <c r="H79" s="176"/>
      <c r="I79" s="176"/>
      <c r="J79" s="176"/>
      <c r="K79" s="176"/>
      <c r="L79" s="176"/>
      <c r="M79" s="176"/>
      <c r="N79" s="176"/>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4"/>
      <c r="EL79" s="174"/>
      <c r="EM79" s="174"/>
      <c r="EN79" s="174"/>
      <c r="EO79" s="174"/>
      <c r="EP79" s="174"/>
      <c r="EQ79" s="174"/>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c r="FP79" s="174"/>
      <c r="FQ79" s="174"/>
      <c r="FR79" s="174"/>
      <c r="FS79" s="174"/>
      <c r="FT79" s="174"/>
      <c r="FU79" s="174"/>
      <c r="FV79" s="174"/>
      <c r="FW79" s="174"/>
      <c r="FX79" s="174"/>
      <c r="FY79" s="174"/>
      <c r="FZ79" s="174"/>
      <c r="GA79" s="174"/>
      <c r="GB79" s="174"/>
      <c r="GC79" s="174"/>
      <c r="GD79" s="174"/>
      <c r="GE79" s="174"/>
      <c r="GF79" s="174"/>
      <c r="GG79" s="174"/>
      <c r="GH79" s="174"/>
      <c r="GI79" s="174"/>
      <c r="GJ79" s="174"/>
      <c r="GK79" s="174"/>
      <c r="GL79" s="174"/>
      <c r="GM79" s="174"/>
      <c r="GN79" s="174"/>
      <c r="GO79" s="174"/>
      <c r="GP79" s="174"/>
      <c r="GQ79" s="174"/>
      <c r="GR79" s="174"/>
    </row>
    <row r="80" spans="1:200" x14ac:dyDescent="0.2">
      <c r="B80" s="177"/>
      <c r="C80" s="177"/>
      <c r="D80" s="176"/>
      <c r="E80" s="176"/>
      <c r="F80" s="176"/>
      <c r="G80" s="176"/>
      <c r="H80" s="176"/>
      <c r="I80" s="176"/>
      <c r="J80" s="176"/>
      <c r="K80" s="176"/>
      <c r="L80" s="176"/>
      <c r="M80" s="176"/>
      <c r="N80" s="176"/>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174"/>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c r="FP80" s="174"/>
      <c r="FQ80" s="174"/>
      <c r="FR80" s="174"/>
      <c r="FS80" s="174"/>
      <c r="FT80" s="174"/>
      <c r="FU80" s="174"/>
      <c r="FV80" s="174"/>
      <c r="FW80" s="174"/>
      <c r="FX80" s="174"/>
      <c r="FY80" s="174"/>
      <c r="FZ80" s="174"/>
      <c r="GA80" s="174"/>
      <c r="GB80" s="174"/>
      <c r="GC80" s="174"/>
      <c r="GD80" s="174"/>
      <c r="GE80" s="174"/>
      <c r="GF80" s="174"/>
      <c r="GG80" s="174"/>
      <c r="GH80" s="174"/>
      <c r="GI80" s="174"/>
      <c r="GJ80" s="174"/>
      <c r="GK80" s="174"/>
      <c r="GL80" s="174"/>
      <c r="GM80" s="174"/>
      <c r="GN80" s="174"/>
      <c r="GO80" s="174"/>
      <c r="GP80" s="174"/>
      <c r="GQ80" s="174"/>
      <c r="GR80" s="174"/>
    </row>
    <row r="81" spans="2:200" x14ac:dyDescent="0.2">
      <c r="B81" s="177"/>
      <c r="C81" s="177"/>
      <c r="D81" s="176"/>
      <c r="E81" s="176"/>
      <c r="F81" s="176"/>
      <c r="G81" s="176"/>
      <c r="H81" s="176"/>
      <c r="I81" s="176"/>
      <c r="J81" s="176"/>
      <c r="K81" s="176"/>
      <c r="L81" s="176"/>
      <c r="M81" s="176"/>
      <c r="N81" s="176"/>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4"/>
      <c r="DF81" s="174"/>
      <c r="DG81" s="174"/>
      <c r="DH81" s="174"/>
      <c r="DI81" s="174"/>
      <c r="DJ81" s="174"/>
      <c r="DK81" s="174"/>
      <c r="DL81" s="174"/>
      <c r="DM81" s="174"/>
      <c r="DN81" s="174"/>
      <c r="DO81" s="174"/>
      <c r="DP81" s="174"/>
      <c r="DQ81" s="174"/>
      <c r="DR81" s="174"/>
      <c r="DS81" s="174"/>
      <c r="DT81" s="174"/>
      <c r="DU81" s="174"/>
      <c r="DV81" s="174"/>
      <c r="DW81" s="174"/>
      <c r="DX81" s="174"/>
      <c r="DY81" s="174"/>
      <c r="DZ81" s="174"/>
      <c r="EA81" s="174"/>
      <c r="EB81" s="174"/>
      <c r="EC81" s="174"/>
      <c r="ED81" s="174"/>
      <c r="EE81" s="174"/>
      <c r="EF81" s="174"/>
      <c r="EG81" s="174"/>
      <c r="EH81" s="174"/>
      <c r="EI81" s="174"/>
      <c r="EJ81" s="174"/>
      <c r="EK81" s="174"/>
      <c r="EL81" s="174"/>
      <c r="EM81" s="174"/>
      <c r="EN81" s="174"/>
      <c r="EO81" s="174"/>
      <c r="EP81" s="174"/>
      <c r="EQ81" s="174"/>
      <c r="ER81" s="174"/>
      <c r="ES81" s="174"/>
      <c r="ET81" s="174"/>
      <c r="EU81" s="174"/>
      <c r="EV81" s="174"/>
      <c r="EW81" s="174"/>
      <c r="EX81" s="174"/>
      <c r="EY81" s="174"/>
      <c r="EZ81" s="174"/>
      <c r="FA81" s="174"/>
      <c r="FB81" s="174"/>
      <c r="FC81" s="174"/>
      <c r="FD81" s="174"/>
      <c r="FE81" s="174"/>
      <c r="FF81" s="174"/>
      <c r="FG81" s="174"/>
      <c r="FH81" s="174"/>
      <c r="FI81" s="174"/>
      <c r="FJ81" s="174"/>
      <c r="FK81" s="174"/>
      <c r="FL81" s="174"/>
      <c r="FM81" s="174"/>
      <c r="FN81" s="174"/>
      <c r="FO81" s="174"/>
      <c r="FP81" s="174"/>
      <c r="FQ81" s="174"/>
      <c r="FR81" s="174"/>
      <c r="FS81" s="174"/>
      <c r="FT81" s="174"/>
      <c r="FU81" s="174"/>
      <c r="FV81" s="174"/>
      <c r="FW81" s="174"/>
      <c r="FX81" s="174"/>
      <c r="FY81" s="174"/>
      <c r="FZ81" s="174"/>
      <c r="GA81" s="174"/>
      <c r="GB81" s="174"/>
      <c r="GC81" s="174"/>
      <c r="GD81" s="174"/>
      <c r="GE81" s="174"/>
      <c r="GF81" s="174"/>
      <c r="GG81" s="174"/>
      <c r="GH81" s="174"/>
      <c r="GI81" s="174"/>
      <c r="GJ81" s="174"/>
      <c r="GK81" s="174"/>
      <c r="GL81" s="174"/>
      <c r="GM81" s="174"/>
      <c r="GN81" s="174"/>
      <c r="GO81" s="174"/>
      <c r="GP81" s="174"/>
      <c r="GQ81" s="174"/>
      <c r="GR81" s="174"/>
    </row>
    <row r="82" spans="2:200" x14ac:dyDescent="0.2">
      <c r="B82" s="177"/>
      <c r="C82" s="177"/>
      <c r="D82" s="176"/>
      <c r="E82" s="176"/>
      <c r="F82" s="176"/>
      <c r="G82" s="176"/>
      <c r="H82" s="176"/>
      <c r="I82" s="176"/>
      <c r="J82" s="176"/>
      <c r="K82" s="176"/>
      <c r="L82" s="176"/>
      <c r="M82" s="176"/>
      <c r="N82" s="176"/>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4"/>
      <c r="DF82" s="174"/>
      <c r="DG82" s="174"/>
      <c r="DH82" s="174"/>
      <c r="DI82" s="174"/>
      <c r="DJ82" s="174"/>
      <c r="DK82" s="174"/>
      <c r="DL82" s="174"/>
      <c r="DM82" s="174"/>
      <c r="DN82" s="174"/>
      <c r="DO82" s="174"/>
      <c r="DP82" s="174"/>
      <c r="DQ82" s="174"/>
      <c r="DR82" s="174"/>
      <c r="DS82" s="174"/>
      <c r="DT82" s="174"/>
      <c r="DU82" s="174"/>
      <c r="DV82" s="174"/>
      <c r="DW82" s="174"/>
      <c r="DX82" s="174"/>
      <c r="DY82" s="174"/>
      <c r="DZ82" s="174"/>
      <c r="EA82" s="174"/>
      <c r="EB82" s="174"/>
      <c r="EC82" s="174"/>
      <c r="ED82" s="174"/>
      <c r="EE82" s="174"/>
      <c r="EF82" s="174"/>
      <c r="EG82" s="174"/>
      <c r="EH82" s="174"/>
      <c r="EI82" s="174"/>
      <c r="EJ82" s="174"/>
      <c r="EK82" s="174"/>
      <c r="EL82" s="174"/>
      <c r="EM82" s="174"/>
      <c r="EN82" s="174"/>
      <c r="EO82" s="174"/>
      <c r="EP82" s="174"/>
      <c r="EQ82" s="174"/>
      <c r="ER82" s="174"/>
      <c r="ES82" s="174"/>
      <c r="ET82" s="174"/>
      <c r="EU82" s="174"/>
      <c r="EV82" s="174"/>
      <c r="EW82" s="174"/>
      <c r="EX82" s="174"/>
      <c r="EY82" s="174"/>
      <c r="EZ82" s="174"/>
      <c r="FA82" s="174"/>
      <c r="FB82" s="174"/>
      <c r="FC82" s="174"/>
      <c r="FD82" s="174"/>
      <c r="FE82" s="174"/>
      <c r="FF82" s="174"/>
      <c r="FG82" s="174"/>
      <c r="FH82" s="174"/>
      <c r="FI82" s="174"/>
      <c r="FJ82" s="174"/>
      <c r="FK82" s="174"/>
      <c r="FL82" s="174"/>
      <c r="FM82" s="174"/>
      <c r="FN82" s="174"/>
      <c r="FO82" s="174"/>
      <c r="FP82" s="174"/>
      <c r="FQ82" s="174"/>
      <c r="FR82" s="174"/>
      <c r="FS82" s="174"/>
      <c r="FT82" s="174"/>
      <c r="FU82" s="174"/>
      <c r="FV82" s="174"/>
      <c r="FW82" s="174"/>
      <c r="FX82" s="174"/>
      <c r="FY82" s="174"/>
      <c r="FZ82" s="174"/>
      <c r="GA82" s="174"/>
      <c r="GB82" s="174"/>
      <c r="GC82" s="174"/>
      <c r="GD82" s="174"/>
      <c r="GE82" s="174"/>
      <c r="GF82" s="174"/>
      <c r="GG82" s="174"/>
      <c r="GH82" s="174"/>
      <c r="GI82" s="174"/>
      <c r="GJ82" s="174"/>
      <c r="GK82" s="174"/>
      <c r="GL82" s="174"/>
      <c r="GM82" s="174"/>
      <c r="GN82" s="174"/>
      <c r="GO82" s="174"/>
      <c r="GP82" s="174"/>
      <c r="GQ82" s="174"/>
      <c r="GR82" s="174"/>
    </row>
    <row r="83" spans="2:200" x14ac:dyDescent="0.2">
      <c r="B83" s="177"/>
      <c r="C83" s="177"/>
      <c r="D83" s="176"/>
      <c r="E83" s="176"/>
      <c r="F83" s="176"/>
      <c r="G83" s="176"/>
      <c r="H83" s="176"/>
      <c r="I83" s="176"/>
      <c r="J83" s="176"/>
      <c r="K83" s="176"/>
      <c r="L83" s="176"/>
      <c r="M83" s="176"/>
      <c r="N83" s="176"/>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4"/>
      <c r="DZ83" s="174"/>
      <c r="EA83" s="174"/>
      <c r="EB83" s="174"/>
      <c r="EC83" s="174"/>
      <c r="ED83" s="174"/>
      <c r="EE83" s="174"/>
      <c r="EF83" s="174"/>
      <c r="EG83" s="174"/>
      <c r="EH83" s="174"/>
      <c r="EI83" s="174"/>
      <c r="EJ83" s="174"/>
      <c r="EK83" s="174"/>
      <c r="EL83" s="174"/>
      <c r="EM83" s="174"/>
      <c r="EN83" s="174"/>
      <c r="EO83" s="174"/>
      <c r="EP83" s="174"/>
      <c r="EQ83" s="174"/>
      <c r="ER83" s="174"/>
      <c r="ES83" s="174"/>
      <c r="ET83" s="174"/>
      <c r="EU83" s="174"/>
      <c r="EV83" s="174"/>
      <c r="EW83" s="174"/>
      <c r="EX83" s="174"/>
      <c r="EY83" s="174"/>
      <c r="EZ83" s="174"/>
      <c r="FA83" s="174"/>
      <c r="FB83" s="174"/>
      <c r="FC83" s="174"/>
      <c r="FD83" s="174"/>
      <c r="FE83" s="174"/>
      <c r="FF83" s="174"/>
      <c r="FG83" s="174"/>
      <c r="FH83" s="174"/>
      <c r="FI83" s="174"/>
      <c r="FJ83" s="174"/>
      <c r="FK83" s="174"/>
      <c r="FL83" s="174"/>
      <c r="FM83" s="174"/>
      <c r="FN83" s="174"/>
      <c r="FO83" s="174"/>
      <c r="FP83" s="174"/>
      <c r="FQ83" s="174"/>
      <c r="FR83" s="174"/>
      <c r="FS83" s="174"/>
      <c r="FT83" s="174"/>
      <c r="FU83" s="174"/>
      <c r="FV83" s="174"/>
      <c r="FW83" s="174"/>
      <c r="FX83" s="174"/>
      <c r="FY83" s="174"/>
      <c r="FZ83" s="174"/>
      <c r="GA83" s="174"/>
      <c r="GB83" s="174"/>
      <c r="GC83" s="174"/>
      <c r="GD83" s="174"/>
      <c r="GE83" s="174"/>
      <c r="GF83" s="174"/>
      <c r="GG83" s="174"/>
      <c r="GH83" s="174"/>
      <c r="GI83" s="174"/>
      <c r="GJ83" s="174"/>
      <c r="GK83" s="174"/>
      <c r="GL83" s="174"/>
      <c r="GM83" s="174"/>
      <c r="GN83" s="174"/>
      <c r="GO83" s="174"/>
      <c r="GP83" s="174"/>
      <c r="GQ83" s="174"/>
      <c r="GR83" s="174"/>
    </row>
    <row r="84" spans="2:200" x14ac:dyDescent="0.2">
      <c r="B84" s="177"/>
      <c r="C84" s="177"/>
      <c r="D84" s="176"/>
      <c r="E84" s="176"/>
      <c r="F84" s="176"/>
      <c r="G84" s="176"/>
      <c r="H84" s="176"/>
      <c r="I84" s="176"/>
      <c r="J84" s="176"/>
      <c r="K84" s="176"/>
      <c r="L84" s="176"/>
      <c r="M84" s="176"/>
      <c r="N84" s="176"/>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4"/>
      <c r="DF84" s="174"/>
      <c r="DG84" s="174"/>
      <c r="DH84" s="174"/>
      <c r="DI84" s="174"/>
      <c r="DJ84" s="174"/>
      <c r="DK84" s="174"/>
      <c r="DL84" s="174"/>
      <c r="DM84" s="174"/>
      <c r="DN84" s="174"/>
      <c r="DO84" s="174"/>
      <c r="DP84" s="174"/>
      <c r="DQ84" s="174"/>
      <c r="DR84" s="174"/>
      <c r="DS84" s="174"/>
      <c r="DT84" s="174"/>
      <c r="DU84" s="174"/>
      <c r="DV84" s="174"/>
      <c r="DW84" s="174"/>
      <c r="DX84" s="174"/>
      <c r="DY84" s="174"/>
      <c r="DZ84" s="174"/>
      <c r="EA84" s="174"/>
      <c r="EB84" s="174"/>
      <c r="EC84" s="174"/>
      <c r="ED84" s="174"/>
      <c r="EE84" s="174"/>
      <c r="EF84" s="174"/>
      <c r="EG84" s="174"/>
      <c r="EH84" s="174"/>
      <c r="EI84" s="174"/>
      <c r="EJ84" s="174"/>
      <c r="EK84" s="174"/>
      <c r="EL84" s="174"/>
      <c r="EM84" s="174"/>
      <c r="EN84" s="174"/>
      <c r="EO84" s="174"/>
      <c r="EP84" s="174"/>
      <c r="EQ84" s="174"/>
      <c r="ER84" s="174"/>
      <c r="ES84" s="174"/>
      <c r="ET84" s="174"/>
      <c r="EU84" s="174"/>
      <c r="EV84" s="174"/>
      <c r="EW84" s="174"/>
      <c r="EX84" s="174"/>
      <c r="EY84" s="174"/>
      <c r="EZ84" s="174"/>
      <c r="FA84" s="174"/>
      <c r="FB84" s="174"/>
      <c r="FC84" s="174"/>
      <c r="FD84" s="174"/>
      <c r="FE84" s="174"/>
      <c r="FF84" s="174"/>
      <c r="FG84" s="174"/>
      <c r="FH84" s="174"/>
      <c r="FI84" s="174"/>
      <c r="FJ84" s="174"/>
      <c r="FK84" s="174"/>
      <c r="FL84" s="174"/>
      <c r="FM84" s="174"/>
      <c r="FN84" s="174"/>
      <c r="FO84" s="174"/>
      <c r="FP84" s="174"/>
      <c r="FQ84" s="174"/>
      <c r="FR84" s="174"/>
      <c r="FS84" s="174"/>
      <c r="FT84" s="174"/>
      <c r="FU84" s="174"/>
      <c r="FV84" s="174"/>
      <c r="FW84" s="174"/>
      <c r="FX84" s="174"/>
      <c r="FY84" s="174"/>
      <c r="FZ84" s="174"/>
      <c r="GA84" s="174"/>
      <c r="GB84" s="174"/>
      <c r="GC84" s="174"/>
      <c r="GD84" s="174"/>
      <c r="GE84" s="174"/>
      <c r="GF84" s="174"/>
      <c r="GG84" s="174"/>
      <c r="GH84" s="174"/>
      <c r="GI84" s="174"/>
      <c r="GJ84" s="174"/>
      <c r="GK84" s="174"/>
      <c r="GL84" s="174"/>
      <c r="GM84" s="174"/>
      <c r="GN84" s="174"/>
      <c r="GO84" s="174"/>
      <c r="GP84" s="174"/>
      <c r="GQ84" s="174"/>
      <c r="GR84" s="174"/>
    </row>
    <row r="85" spans="2:200" x14ac:dyDescent="0.2">
      <c r="B85" s="177"/>
      <c r="C85" s="177"/>
      <c r="D85" s="176"/>
      <c r="E85" s="176"/>
      <c r="F85" s="176"/>
      <c r="G85" s="176"/>
      <c r="H85" s="176"/>
      <c r="I85" s="176"/>
      <c r="J85" s="176"/>
      <c r="K85" s="176"/>
      <c r="L85" s="176"/>
      <c r="M85" s="176"/>
      <c r="N85" s="176"/>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4"/>
      <c r="FZ85" s="174"/>
      <c r="GA85" s="174"/>
      <c r="GB85" s="174"/>
      <c r="GC85" s="174"/>
      <c r="GD85" s="174"/>
      <c r="GE85" s="174"/>
      <c r="GF85" s="174"/>
      <c r="GG85" s="174"/>
      <c r="GH85" s="174"/>
      <c r="GI85" s="174"/>
      <c r="GJ85" s="174"/>
      <c r="GK85" s="174"/>
      <c r="GL85" s="174"/>
      <c r="GM85" s="174"/>
      <c r="GN85" s="174"/>
      <c r="GO85" s="174"/>
      <c r="GP85" s="174"/>
      <c r="GQ85" s="174"/>
      <c r="GR85" s="174"/>
    </row>
    <row r="86" spans="2:200" x14ac:dyDescent="0.2">
      <c r="B86" s="177"/>
      <c r="C86" s="177"/>
      <c r="D86" s="176"/>
      <c r="E86" s="176"/>
      <c r="F86" s="176"/>
      <c r="G86" s="176"/>
      <c r="H86" s="176"/>
      <c r="I86" s="176"/>
      <c r="J86" s="176"/>
      <c r="K86" s="176"/>
      <c r="L86" s="176"/>
      <c r="M86" s="176"/>
      <c r="N86" s="176"/>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c r="DJ86" s="174"/>
      <c r="DK86" s="174"/>
      <c r="DL86" s="174"/>
      <c r="DM86" s="174"/>
      <c r="DN86" s="174"/>
      <c r="DO86" s="174"/>
      <c r="DP86" s="174"/>
      <c r="DQ86" s="174"/>
      <c r="DR86" s="174"/>
      <c r="DS86" s="174"/>
      <c r="DT86" s="174"/>
      <c r="DU86" s="174"/>
      <c r="DV86" s="174"/>
      <c r="DW86" s="174"/>
      <c r="DX86" s="174"/>
      <c r="DY86" s="174"/>
      <c r="DZ86" s="174"/>
      <c r="EA86" s="174"/>
      <c r="EB86" s="174"/>
      <c r="EC86" s="174"/>
      <c r="ED86" s="174"/>
      <c r="EE86" s="174"/>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4"/>
      <c r="FQ86" s="174"/>
      <c r="FR86" s="174"/>
      <c r="FS86" s="174"/>
      <c r="FT86" s="174"/>
      <c r="FU86" s="174"/>
      <c r="FV86" s="174"/>
      <c r="FW86" s="174"/>
      <c r="FX86" s="174"/>
      <c r="FY86" s="174"/>
      <c r="FZ86" s="174"/>
      <c r="GA86" s="174"/>
      <c r="GB86" s="174"/>
      <c r="GC86" s="174"/>
      <c r="GD86" s="174"/>
      <c r="GE86" s="174"/>
      <c r="GF86" s="174"/>
      <c r="GG86" s="174"/>
      <c r="GH86" s="174"/>
      <c r="GI86" s="174"/>
      <c r="GJ86" s="174"/>
      <c r="GK86" s="174"/>
      <c r="GL86" s="174"/>
      <c r="GM86" s="174"/>
      <c r="GN86" s="174"/>
      <c r="GO86" s="174"/>
      <c r="GP86" s="174"/>
      <c r="GQ86" s="174"/>
      <c r="GR86" s="174"/>
    </row>
    <row r="87" spans="2:200" x14ac:dyDescent="0.2">
      <c r="B87" s="177"/>
      <c r="C87" s="177"/>
      <c r="D87" s="176"/>
      <c r="E87" s="176"/>
      <c r="F87" s="176"/>
      <c r="G87" s="176"/>
      <c r="H87" s="176"/>
      <c r="I87" s="176"/>
      <c r="J87" s="176"/>
      <c r="K87" s="176"/>
      <c r="L87" s="176"/>
      <c r="M87" s="176"/>
      <c r="N87" s="176"/>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c r="DJ87" s="174"/>
      <c r="DK87" s="174"/>
      <c r="DL87" s="174"/>
      <c r="DM87" s="174"/>
      <c r="DN87" s="174"/>
      <c r="DO87" s="174"/>
      <c r="DP87" s="174"/>
      <c r="DQ87" s="174"/>
      <c r="DR87" s="174"/>
      <c r="DS87" s="174"/>
      <c r="DT87" s="174"/>
      <c r="DU87" s="174"/>
      <c r="DV87" s="174"/>
      <c r="DW87" s="174"/>
      <c r="DX87" s="174"/>
      <c r="DY87" s="174"/>
      <c r="DZ87" s="174"/>
      <c r="EA87" s="174"/>
      <c r="EB87" s="174"/>
      <c r="EC87" s="174"/>
      <c r="ED87" s="174"/>
      <c r="EE87" s="174"/>
      <c r="EF87" s="174"/>
      <c r="EG87" s="174"/>
      <c r="EH87" s="174"/>
      <c r="EI87" s="174"/>
      <c r="EJ87" s="174"/>
      <c r="EK87" s="174"/>
      <c r="EL87" s="174"/>
      <c r="EM87" s="174"/>
      <c r="EN87" s="174"/>
      <c r="EO87" s="174"/>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c r="FP87" s="174"/>
      <c r="FQ87" s="174"/>
      <c r="FR87" s="174"/>
      <c r="FS87" s="174"/>
      <c r="FT87" s="174"/>
      <c r="FU87" s="174"/>
      <c r="FV87" s="174"/>
      <c r="FW87" s="174"/>
      <c r="FX87" s="174"/>
      <c r="FY87" s="174"/>
      <c r="FZ87" s="174"/>
      <c r="GA87" s="174"/>
      <c r="GB87" s="174"/>
      <c r="GC87" s="174"/>
      <c r="GD87" s="174"/>
      <c r="GE87" s="174"/>
      <c r="GF87" s="174"/>
      <c r="GG87" s="174"/>
      <c r="GH87" s="174"/>
      <c r="GI87" s="174"/>
      <c r="GJ87" s="174"/>
      <c r="GK87" s="174"/>
      <c r="GL87" s="174"/>
      <c r="GM87" s="174"/>
      <c r="GN87" s="174"/>
      <c r="GO87" s="174"/>
      <c r="GP87" s="174"/>
      <c r="GQ87" s="174"/>
      <c r="GR87" s="174"/>
    </row>
    <row r="88" spans="2:200" x14ac:dyDescent="0.2">
      <c r="B88" s="177"/>
      <c r="C88" s="177"/>
      <c r="D88" s="176"/>
      <c r="E88" s="176"/>
      <c r="F88" s="176"/>
      <c r="G88" s="176"/>
      <c r="H88" s="176"/>
      <c r="I88" s="176"/>
      <c r="J88" s="176"/>
      <c r="K88" s="176"/>
      <c r="L88" s="176"/>
      <c r="M88" s="176"/>
      <c r="N88" s="176"/>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174"/>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4"/>
      <c r="FQ88" s="174"/>
      <c r="FR88" s="174"/>
      <c r="FS88" s="174"/>
      <c r="FT88" s="174"/>
      <c r="FU88" s="174"/>
      <c r="FV88" s="174"/>
      <c r="FW88" s="174"/>
      <c r="FX88" s="174"/>
      <c r="FY88" s="174"/>
      <c r="FZ88" s="174"/>
      <c r="GA88" s="174"/>
      <c r="GB88" s="174"/>
      <c r="GC88" s="174"/>
      <c r="GD88" s="174"/>
      <c r="GE88" s="174"/>
      <c r="GF88" s="174"/>
      <c r="GG88" s="174"/>
      <c r="GH88" s="174"/>
      <c r="GI88" s="174"/>
      <c r="GJ88" s="174"/>
      <c r="GK88" s="174"/>
      <c r="GL88" s="174"/>
      <c r="GM88" s="174"/>
      <c r="GN88" s="174"/>
      <c r="GO88" s="174"/>
      <c r="GP88" s="174"/>
      <c r="GQ88" s="174"/>
      <c r="GR88" s="174"/>
    </row>
    <row r="89" spans="2:200" x14ac:dyDescent="0.2">
      <c r="B89" s="177"/>
      <c r="C89" s="177"/>
      <c r="D89" s="176"/>
      <c r="E89" s="176"/>
      <c r="F89" s="176"/>
      <c r="G89" s="176"/>
      <c r="H89" s="176"/>
      <c r="I89" s="176"/>
      <c r="J89" s="176"/>
      <c r="K89" s="176"/>
      <c r="L89" s="176"/>
      <c r="M89" s="176"/>
      <c r="N89" s="176"/>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4"/>
      <c r="EE89" s="17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4"/>
      <c r="FQ89" s="174"/>
      <c r="FR89" s="174"/>
      <c r="FS89" s="174"/>
      <c r="FT89" s="174"/>
      <c r="FU89" s="174"/>
      <c r="FV89" s="174"/>
      <c r="FW89" s="174"/>
      <c r="FX89" s="174"/>
      <c r="FY89" s="174"/>
      <c r="FZ89" s="174"/>
      <c r="GA89" s="174"/>
      <c r="GB89" s="174"/>
      <c r="GC89" s="174"/>
      <c r="GD89" s="174"/>
      <c r="GE89" s="174"/>
      <c r="GF89" s="174"/>
      <c r="GG89" s="174"/>
      <c r="GH89" s="174"/>
      <c r="GI89" s="174"/>
      <c r="GJ89" s="174"/>
      <c r="GK89" s="174"/>
      <c r="GL89" s="174"/>
      <c r="GM89" s="174"/>
      <c r="GN89" s="174"/>
      <c r="GO89" s="174"/>
      <c r="GP89" s="174"/>
      <c r="GQ89" s="174"/>
      <c r="GR89" s="174"/>
    </row>
    <row r="90" spans="2:200" x14ac:dyDescent="0.2">
      <c r="B90" s="177"/>
      <c r="C90" s="177"/>
      <c r="D90" s="176"/>
      <c r="E90" s="176"/>
      <c r="F90" s="176"/>
      <c r="G90" s="176"/>
      <c r="H90" s="176"/>
      <c r="I90" s="176"/>
      <c r="J90" s="176"/>
      <c r="K90" s="176"/>
      <c r="L90" s="176"/>
      <c r="M90" s="176"/>
      <c r="N90" s="176"/>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4"/>
      <c r="EE90" s="174"/>
      <c r="EF90" s="174"/>
      <c r="EG90" s="174"/>
      <c r="EH90" s="174"/>
      <c r="EI90" s="174"/>
      <c r="EJ90" s="174"/>
      <c r="EK90" s="174"/>
      <c r="EL90" s="174"/>
      <c r="EM90" s="174"/>
      <c r="EN90" s="174"/>
      <c r="EO90" s="174"/>
      <c r="EP90" s="174"/>
      <c r="EQ90" s="174"/>
      <c r="ER90" s="174"/>
      <c r="ES90" s="174"/>
      <c r="ET90" s="174"/>
      <c r="EU90" s="174"/>
      <c r="EV90" s="174"/>
      <c r="EW90" s="174"/>
      <c r="EX90" s="174"/>
      <c r="EY90" s="174"/>
      <c r="EZ90" s="174"/>
      <c r="FA90" s="174"/>
      <c r="FB90" s="174"/>
      <c r="FC90" s="174"/>
      <c r="FD90" s="174"/>
      <c r="FE90" s="174"/>
      <c r="FF90" s="174"/>
      <c r="FG90" s="174"/>
      <c r="FH90" s="174"/>
      <c r="FI90" s="174"/>
      <c r="FJ90" s="174"/>
      <c r="FK90" s="174"/>
      <c r="FL90" s="174"/>
      <c r="FM90" s="174"/>
      <c r="FN90" s="174"/>
      <c r="FO90" s="174"/>
      <c r="FP90" s="174"/>
      <c r="FQ90" s="174"/>
      <c r="FR90" s="174"/>
      <c r="FS90" s="174"/>
      <c r="FT90" s="174"/>
      <c r="FU90" s="174"/>
      <c r="FV90" s="174"/>
      <c r="FW90" s="174"/>
      <c r="FX90" s="174"/>
      <c r="FY90" s="174"/>
      <c r="FZ90" s="174"/>
      <c r="GA90" s="174"/>
      <c r="GB90" s="174"/>
      <c r="GC90" s="174"/>
      <c r="GD90" s="174"/>
      <c r="GE90" s="174"/>
      <c r="GF90" s="174"/>
      <c r="GG90" s="174"/>
      <c r="GH90" s="174"/>
      <c r="GI90" s="174"/>
      <c r="GJ90" s="174"/>
      <c r="GK90" s="174"/>
      <c r="GL90" s="174"/>
      <c r="GM90" s="174"/>
      <c r="GN90" s="174"/>
      <c r="GO90" s="174"/>
      <c r="GP90" s="174"/>
      <c r="GQ90" s="174"/>
      <c r="GR90" s="174"/>
    </row>
    <row r="91" spans="2:200" x14ac:dyDescent="0.2">
      <c r="B91" s="177"/>
      <c r="C91" s="177"/>
      <c r="D91" s="176"/>
      <c r="E91" s="176"/>
      <c r="F91" s="176"/>
      <c r="G91" s="176"/>
      <c r="H91" s="176"/>
      <c r="I91" s="176"/>
      <c r="J91" s="176"/>
      <c r="K91" s="176"/>
      <c r="L91" s="176"/>
      <c r="M91" s="176"/>
      <c r="N91" s="176"/>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4"/>
      <c r="GF91" s="174"/>
      <c r="GG91" s="174"/>
      <c r="GH91" s="174"/>
      <c r="GI91" s="174"/>
      <c r="GJ91" s="174"/>
      <c r="GK91" s="174"/>
      <c r="GL91" s="174"/>
      <c r="GM91" s="174"/>
      <c r="GN91" s="174"/>
      <c r="GO91" s="174"/>
      <c r="GP91" s="174"/>
      <c r="GQ91" s="174"/>
      <c r="GR91" s="174"/>
    </row>
    <row r="92" spans="2:200" x14ac:dyDescent="0.2">
      <c r="B92" s="177"/>
      <c r="C92" s="177"/>
      <c r="D92" s="176"/>
      <c r="E92" s="176"/>
      <c r="F92" s="176"/>
      <c r="G92" s="176"/>
      <c r="H92" s="176"/>
      <c r="I92" s="176"/>
      <c r="J92" s="176"/>
      <c r="K92" s="176"/>
      <c r="L92" s="176"/>
      <c r="M92" s="176"/>
      <c r="N92" s="176"/>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4"/>
      <c r="DF92" s="174"/>
      <c r="DG92" s="174"/>
      <c r="DH92" s="174"/>
      <c r="DI92" s="174"/>
      <c r="DJ92" s="174"/>
      <c r="DK92" s="174"/>
      <c r="DL92" s="174"/>
      <c r="DM92" s="174"/>
      <c r="DN92" s="174"/>
      <c r="DO92" s="174"/>
      <c r="DP92" s="174"/>
      <c r="DQ92" s="174"/>
      <c r="DR92" s="174"/>
      <c r="DS92" s="174"/>
      <c r="DT92" s="174"/>
      <c r="DU92" s="174"/>
      <c r="DV92" s="174"/>
      <c r="DW92" s="174"/>
      <c r="DX92" s="174"/>
      <c r="DY92" s="174"/>
      <c r="DZ92" s="174"/>
      <c r="EA92" s="174"/>
      <c r="EB92" s="174"/>
      <c r="EC92" s="174"/>
      <c r="ED92" s="174"/>
      <c r="EE92" s="174"/>
      <c r="EF92" s="174"/>
      <c r="EG92" s="174"/>
      <c r="EH92" s="174"/>
      <c r="EI92" s="174"/>
      <c r="EJ92" s="174"/>
      <c r="EK92" s="174"/>
      <c r="EL92" s="174"/>
      <c r="EM92" s="174"/>
      <c r="EN92" s="174"/>
      <c r="EO92" s="174"/>
      <c r="EP92" s="174"/>
      <c r="EQ92" s="174"/>
      <c r="ER92" s="174"/>
      <c r="ES92" s="174"/>
      <c r="ET92" s="174"/>
      <c r="EU92" s="174"/>
      <c r="EV92" s="174"/>
      <c r="EW92" s="174"/>
      <c r="EX92" s="174"/>
      <c r="EY92" s="174"/>
      <c r="EZ92" s="174"/>
      <c r="FA92" s="174"/>
      <c r="FB92" s="174"/>
      <c r="FC92" s="174"/>
      <c r="FD92" s="174"/>
      <c r="FE92" s="174"/>
      <c r="FF92" s="174"/>
      <c r="FG92" s="174"/>
      <c r="FH92" s="174"/>
      <c r="FI92" s="174"/>
      <c r="FJ92" s="174"/>
      <c r="FK92" s="174"/>
      <c r="FL92" s="174"/>
      <c r="FM92" s="174"/>
      <c r="FN92" s="174"/>
      <c r="FO92" s="174"/>
      <c r="FP92" s="174"/>
      <c r="FQ92" s="174"/>
      <c r="FR92" s="174"/>
      <c r="FS92" s="174"/>
      <c r="FT92" s="174"/>
      <c r="FU92" s="174"/>
      <c r="FV92" s="174"/>
      <c r="FW92" s="174"/>
      <c r="FX92" s="174"/>
      <c r="FY92" s="174"/>
      <c r="FZ92" s="174"/>
      <c r="GA92" s="174"/>
      <c r="GB92" s="174"/>
      <c r="GC92" s="174"/>
      <c r="GD92" s="174"/>
      <c r="GE92" s="174"/>
      <c r="GF92" s="174"/>
      <c r="GG92" s="174"/>
      <c r="GH92" s="174"/>
      <c r="GI92" s="174"/>
      <c r="GJ92" s="174"/>
      <c r="GK92" s="174"/>
      <c r="GL92" s="174"/>
      <c r="GM92" s="174"/>
      <c r="GN92" s="174"/>
      <c r="GO92" s="174"/>
      <c r="GP92" s="174"/>
      <c r="GQ92" s="174"/>
      <c r="GR92" s="174"/>
    </row>
    <row r="93" spans="2:200" x14ac:dyDescent="0.2">
      <c r="B93" s="177"/>
      <c r="C93" s="177"/>
      <c r="D93" s="176"/>
      <c r="E93" s="176"/>
      <c r="F93" s="176"/>
      <c r="G93" s="176"/>
      <c r="H93" s="176"/>
      <c r="I93" s="176"/>
      <c r="J93" s="176"/>
      <c r="K93" s="176"/>
      <c r="L93" s="176"/>
      <c r="M93" s="176"/>
      <c r="N93" s="176"/>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c r="DB93" s="174"/>
      <c r="DC93" s="174"/>
      <c r="DD93" s="174"/>
      <c r="DE93" s="174"/>
      <c r="DF93" s="174"/>
      <c r="DG93" s="174"/>
      <c r="DH93" s="174"/>
      <c r="DI93" s="174"/>
      <c r="DJ93" s="174"/>
      <c r="DK93" s="174"/>
      <c r="DL93" s="174"/>
      <c r="DM93" s="174"/>
      <c r="DN93" s="174"/>
      <c r="DO93" s="174"/>
      <c r="DP93" s="174"/>
      <c r="DQ93" s="174"/>
      <c r="DR93" s="174"/>
      <c r="DS93" s="174"/>
      <c r="DT93" s="174"/>
      <c r="DU93" s="174"/>
      <c r="DV93" s="174"/>
      <c r="DW93" s="174"/>
      <c r="DX93" s="174"/>
      <c r="DY93" s="174"/>
      <c r="DZ93" s="174"/>
      <c r="EA93" s="174"/>
      <c r="EB93" s="174"/>
      <c r="EC93" s="174"/>
      <c r="ED93" s="174"/>
      <c r="EE93" s="174"/>
      <c r="EF93" s="174"/>
      <c r="EG93" s="174"/>
      <c r="EH93" s="174"/>
      <c r="EI93" s="174"/>
      <c r="EJ93" s="174"/>
      <c r="EK93" s="174"/>
      <c r="EL93" s="174"/>
      <c r="EM93" s="174"/>
      <c r="EN93" s="174"/>
      <c r="EO93" s="174"/>
      <c r="EP93" s="174"/>
      <c r="EQ93" s="174"/>
      <c r="ER93" s="174"/>
      <c r="ES93" s="174"/>
      <c r="ET93" s="174"/>
      <c r="EU93" s="174"/>
      <c r="EV93" s="174"/>
      <c r="EW93" s="174"/>
      <c r="EX93" s="174"/>
      <c r="EY93" s="174"/>
      <c r="EZ93" s="174"/>
      <c r="FA93" s="174"/>
      <c r="FB93" s="174"/>
      <c r="FC93" s="174"/>
      <c r="FD93" s="174"/>
      <c r="FE93" s="174"/>
      <c r="FF93" s="174"/>
      <c r="FG93" s="174"/>
      <c r="FH93" s="174"/>
      <c r="FI93" s="174"/>
      <c r="FJ93" s="174"/>
      <c r="FK93" s="174"/>
      <c r="FL93" s="174"/>
      <c r="FM93" s="174"/>
      <c r="FN93" s="174"/>
      <c r="FO93" s="174"/>
      <c r="FP93" s="174"/>
      <c r="FQ93" s="174"/>
      <c r="FR93" s="174"/>
      <c r="FS93" s="174"/>
      <c r="FT93" s="174"/>
      <c r="FU93" s="174"/>
      <c r="FV93" s="174"/>
      <c r="FW93" s="174"/>
      <c r="FX93" s="174"/>
      <c r="FY93" s="174"/>
      <c r="FZ93" s="174"/>
      <c r="GA93" s="174"/>
      <c r="GB93" s="174"/>
      <c r="GC93" s="174"/>
      <c r="GD93" s="174"/>
      <c r="GE93" s="174"/>
      <c r="GF93" s="174"/>
      <c r="GG93" s="174"/>
      <c r="GH93" s="174"/>
      <c r="GI93" s="174"/>
      <c r="GJ93" s="174"/>
      <c r="GK93" s="174"/>
      <c r="GL93" s="174"/>
      <c r="GM93" s="174"/>
      <c r="GN93" s="174"/>
      <c r="GO93" s="174"/>
      <c r="GP93" s="174"/>
      <c r="GQ93" s="174"/>
      <c r="GR93" s="174"/>
    </row>
    <row r="94" spans="2:200" x14ac:dyDescent="0.2">
      <c r="B94" s="177"/>
      <c r="C94" s="177"/>
      <c r="D94" s="176"/>
      <c r="E94" s="176"/>
      <c r="F94" s="176"/>
      <c r="G94" s="176"/>
      <c r="H94" s="176"/>
      <c r="I94" s="176"/>
      <c r="J94" s="176"/>
      <c r="K94" s="176"/>
      <c r="L94" s="176"/>
      <c r="M94" s="176"/>
      <c r="N94" s="176"/>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c r="DJ94" s="174"/>
      <c r="DK94" s="174"/>
      <c r="DL94" s="174"/>
      <c r="DM94" s="174"/>
      <c r="DN94" s="174"/>
      <c r="DO94" s="174"/>
      <c r="DP94" s="174"/>
      <c r="DQ94" s="174"/>
      <c r="DR94" s="174"/>
      <c r="DS94" s="174"/>
      <c r="DT94" s="174"/>
      <c r="DU94" s="174"/>
      <c r="DV94" s="174"/>
      <c r="DW94" s="174"/>
      <c r="DX94" s="174"/>
      <c r="DY94" s="174"/>
      <c r="DZ94" s="174"/>
      <c r="EA94" s="174"/>
      <c r="EB94" s="174"/>
      <c r="EC94" s="174"/>
      <c r="ED94" s="174"/>
      <c r="EE94" s="174"/>
      <c r="EF94" s="174"/>
      <c r="EG94" s="174"/>
      <c r="EH94" s="174"/>
      <c r="EI94" s="174"/>
      <c r="EJ94" s="174"/>
      <c r="EK94" s="174"/>
      <c r="EL94" s="174"/>
      <c r="EM94" s="174"/>
      <c r="EN94" s="174"/>
      <c r="EO94" s="174"/>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c r="FP94" s="174"/>
      <c r="FQ94" s="174"/>
      <c r="FR94" s="174"/>
      <c r="FS94" s="174"/>
      <c r="FT94" s="174"/>
      <c r="FU94" s="174"/>
      <c r="FV94" s="174"/>
      <c r="FW94" s="174"/>
      <c r="FX94" s="174"/>
      <c r="FY94" s="174"/>
      <c r="FZ94" s="174"/>
      <c r="GA94" s="174"/>
      <c r="GB94" s="174"/>
      <c r="GC94" s="174"/>
      <c r="GD94" s="174"/>
      <c r="GE94" s="174"/>
      <c r="GF94" s="174"/>
      <c r="GG94" s="174"/>
      <c r="GH94" s="174"/>
      <c r="GI94" s="174"/>
      <c r="GJ94" s="174"/>
      <c r="GK94" s="174"/>
      <c r="GL94" s="174"/>
      <c r="GM94" s="174"/>
      <c r="GN94" s="174"/>
      <c r="GO94" s="174"/>
      <c r="GP94" s="174"/>
      <c r="GQ94" s="174"/>
      <c r="GR94" s="174"/>
    </row>
    <row r="95" spans="2:200" x14ac:dyDescent="0.2">
      <c r="B95" s="177"/>
      <c r="C95" s="177"/>
      <c r="D95" s="176"/>
      <c r="E95" s="176"/>
      <c r="F95" s="176"/>
      <c r="G95" s="176"/>
      <c r="H95" s="176"/>
      <c r="I95" s="176"/>
      <c r="J95" s="176"/>
      <c r="K95" s="176"/>
      <c r="L95" s="176"/>
      <c r="M95" s="176"/>
      <c r="N95" s="176"/>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4"/>
      <c r="CY95" s="174"/>
      <c r="CZ95" s="174"/>
      <c r="DA95" s="174"/>
      <c r="DB95" s="174"/>
      <c r="DC95" s="174"/>
      <c r="DD95" s="174"/>
      <c r="DE95" s="174"/>
      <c r="DF95" s="174"/>
      <c r="DG95" s="174"/>
      <c r="DH95" s="174"/>
      <c r="DI95" s="174"/>
      <c r="DJ95" s="174"/>
      <c r="DK95" s="174"/>
      <c r="DL95" s="174"/>
      <c r="DM95" s="174"/>
      <c r="DN95" s="174"/>
      <c r="DO95" s="174"/>
      <c r="DP95" s="174"/>
      <c r="DQ95" s="174"/>
      <c r="DR95" s="174"/>
      <c r="DS95" s="174"/>
      <c r="DT95" s="174"/>
      <c r="DU95" s="174"/>
      <c r="DV95" s="174"/>
      <c r="DW95" s="174"/>
      <c r="DX95" s="174"/>
      <c r="DY95" s="174"/>
      <c r="DZ95" s="174"/>
      <c r="EA95" s="174"/>
      <c r="EB95" s="174"/>
      <c r="EC95" s="174"/>
      <c r="ED95" s="174"/>
      <c r="EE95" s="174"/>
      <c r="EF95" s="174"/>
      <c r="EG95" s="174"/>
      <c r="EH95" s="174"/>
      <c r="EI95" s="174"/>
      <c r="EJ95" s="174"/>
      <c r="EK95" s="174"/>
      <c r="EL95" s="174"/>
      <c r="EM95" s="174"/>
      <c r="EN95" s="174"/>
      <c r="EO95" s="174"/>
      <c r="EP95" s="174"/>
      <c r="EQ95" s="174"/>
      <c r="ER95" s="174"/>
      <c r="ES95" s="174"/>
      <c r="ET95" s="174"/>
      <c r="EU95" s="174"/>
      <c r="EV95" s="174"/>
      <c r="EW95" s="174"/>
      <c r="EX95" s="174"/>
      <c r="EY95" s="174"/>
      <c r="EZ95" s="174"/>
      <c r="FA95" s="174"/>
      <c r="FB95" s="174"/>
      <c r="FC95" s="174"/>
      <c r="FD95" s="174"/>
      <c r="FE95" s="174"/>
      <c r="FF95" s="174"/>
      <c r="FG95" s="174"/>
      <c r="FH95" s="174"/>
      <c r="FI95" s="174"/>
      <c r="FJ95" s="174"/>
      <c r="FK95" s="174"/>
      <c r="FL95" s="174"/>
      <c r="FM95" s="174"/>
      <c r="FN95" s="174"/>
      <c r="FO95" s="174"/>
      <c r="FP95" s="174"/>
      <c r="FQ95" s="174"/>
      <c r="FR95" s="174"/>
      <c r="FS95" s="174"/>
      <c r="FT95" s="174"/>
      <c r="FU95" s="174"/>
      <c r="FV95" s="174"/>
      <c r="FW95" s="174"/>
      <c r="FX95" s="174"/>
      <c r="FY95" s="174"/>
      <c r="FZ95" s="174"/>
      <c r="GA95" s="174"/>
      <c r="GB95" s="174"/>
      <c r="GC95" s="174"/>
      <c r="GD95" s="174"/>
      <c r="GE95" s="174"/>
      <c r="GF95" s="174"/>
      <c r="GG95" s="174"/>
      <c r="GH95" s="174"/>
      <c r="GI95" s="174"/>
      <c r="GJ95" s="174"/>
      <c r="GK95" s="174"/>
      <c r="GL95" s="174"/>
      <c r="GM95" s="174"/>
      <c r="GN95" s="174"/>
      <c r="GO95" s="174"/>
      <c r="GP95" s="174"/>
      <c r="GQ95" s="174"/>
      <c r="GR95" s="174"/>
    </row>
    <row r="96" spans="2:200" x14ac:dyDescent="0.2">
      <c r="B96" s="177"/>
      <c r="C96" s="177"/>
      <c r="D96" s="176"/>
      <c r="E96" s="176"/>
      <c r="F96" s="176"/>
      <c r="G96" s="176"/>
      <c r="H96" s="176"/>
      <c r="I96" s="176"/>
      <c r="J96" s="176"/>
      <c r="K96" s="176"/>
      <c r="L96" s="176"/>
      <c r="M96" s="176"/>
      <c r="N96" s="176"/>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c r="DB96" s="174"/>
      <c r="DC96" s="174"/>
      <c r="DD96" s="174"/>
      <c r="DE96" s="174"/>
      <c r="DF96" s="174"/>
      <c r="DG96" s="174"/>
      <c r="DH96" s="174"/>
      <c r="DI96" s="174"/>
      <c r="DJ96" s="174"/>
      <c r="DK96" s="174"/>
      <c r="DL96" s="174"/>
      <c r="DM96" s="174"/>
      <c r="DN96" s="174"/>
      <c r="DO96" s="174"/>
      <c r="DP96" s="174"/>
      <c r="DQ96" s="174"/>
      <c r="DR96" s="174"/>
      <c r="DS96" s="174"/>
      <c r="DT96" s="174"/>
      <c r="DU96" s="174"/>
      <c r="DV96" s="174"/>
      <c r="DW96" s="174"/>
      <c r="DX96" s="174"/>
      <c r="DY96" s="174"/>
      <c r="DZ96" s="174"/>
      <c r="EA96" s="174"/>
      <c r="EB96" s="174"/>
      <c r="EC96" s="174"/>
      <c r="ED96" s="174"/>
      <c r="EE96" s="174"/>
      <c r="EF96" s="174"/>
      <c r="EG96" s="174"/>
      <c r="EH96" s="174"/>
      <c r="EI96" s="174"/>
      <c r="EJ96" s="174"/>
      <c r="EK96" s="174"/>
      <c r="EL96" s="174"/>
      <c r="EM96" s="174"/>
      <c r="EN96" s="174"/>
      <c r="EO96" s="174"/>
      <c r="EP96" s="174"/>
      <c r="EQ96" s="174"/>
      <c r="ER96" s="174"/>
      <c r="ES96" s="174"/>
      <c r="ET96" s="174"/>
      <c r="EU96" s="174"/>
      <c r="EV96" s="174"/>
      <c r="EW96" s="174"/>
      <c r="EX96" s="174"/>
      <c r="EY96" s="174"/>
      <c r="EZ96" s="174"/>
      <c r="FA96" s="174"/>
      <c r="FB96" s="174"/>
      <c r="FC96" s="174"/>
      <c r="FD96" s="174"/>
      <c r="FE96" s="174"/>
      <c r="FF96" s="174"/>
      <c r="FG96" s="174"/>
      <c r="FH96" s="174"/>
      <c r="FI96" s="174"/>
      <c r="FJ96" s="174"/>
      <c r="FK96" s="174"/>
      <c r="FL96" s="174"/>
      <c r="FM96" s="174"/>
      <c r="FN96" s="174"/>
      <c r="FO96" s="174"/>
      <c r="FP96" s="174"/>
      <c r="FQ96" s="174"/>
      <c r="FR96" s="174"/>
      <c r="FS96" s="174"/>
      <c r="FT96" s="174"/>
      <c r="FU96" s="174"/>
      <c r="FV96" s="174"/>
      <c r="FW96" s="174"/>
      <c r="FX96" s="174"/>
      <c r="FY96" s="174"/>
      <c r="FZ96" s="174"/>
      <c r="GA96" s="174"/>
      <c r="GB96" s="174"/>
      <c r="GC96" s="174"/>
      <c r="GD96" s="174"/>
      <c r="GE96" s="174"/>
      <c r="GF96" s="174"/>
      <c r="GG96" s="174"/>
      <c r="GH96" s="174"/>
      <c r="GI96" s="174"/>
      <c r="GJ96" s="174"/>
      <c r="GK96" s="174"/>
      <c r="GL96" s="174"/>
      <c r="GM96" s="174"/>
      <c r="GN96" s="174"/>
      <c r="GO96" s="174"/>
      <c r="GP96" s="174"/>
      <c r="GQ96" s="174"/>
      <c r="GR96" s="174"/>
    </row>
    <row r="97" spans="2:200" x14ac:dyDescent="0.2">
      <c r="B97" s="177"/>
      <c r="C97" s="177"/>
      <c r="D97" s="176"/>
      <c r="E97" s="176"/>
      <c r="F97" s="176"/>
      <c r="G97" s="176"/>
      <c r="H97" s="176"/>
      <c r="I97" s="176"/>
      <c r="J97" s="176"/>
      <c r="K97" s="176"/>
      <c r="L97" s="176"/>
      <c r="M97" s="176"/>
      <c r="N97" s="176"/>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c r="DA97" s="174"/>
      <c r="DB97" s="174"/>
      <c r="DC97" s="174"/>
      <c r="DD97" s="174"/>
      <c r="DE97" s="174"/>
      <c r="DF97" s="174"/>
      <c r="DG97" s="174"/>
      <c r="DH97" s="174"/>
      <c r="DI97" s="174"/>
      <c r="DJ97" s="174"/>
      <c r="DK97" s="174"/>
      <c r="DL97" s="174"/>
      <c r="DM97" s="174"/>
      <c r="DN97" s="174"/>
      <c r="DO97" s="174"/>
      <c r="DP97" s="174"/>
      <c r="DQ97" s="174"/>
      <c r="DR97" s="174"/>
      <c r="DS97" s="174"/>
      <c r="DT97" s="174"/>
      <c r="DU97" s="174"/>
      <c r="DV97" s="174"/>
      <c r="DW97" s="174"/>
      <c r="DX97" s="174"/>
      <c r="DY97" s="174"/>
      <c r="DZ97" s="174"/>
      <c r="EA97" s="174"/>
      <c r="EB97" s="174"/>
      <c r="EC97" s="174"/>
      <c r="ED97" s="174"/>
      <c r="EE97" s="174"/>
      <c r="EF97" s="174"/>
      <c r="EG97" s="174"/>
      <c r="EH97" s="174"/>
      <c r="EI97" s="174"/>
      <c r="EJ97" s="174"/>
      <c r="EK97" s="174"/>
      <c r="EL97" s="174"/>
      <c r="EM97" s="174"/>
      <c r="EN97" s="174"/>
      <c r="EO97" s="174"/>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4"/>
      <c r="FQ97" s="174"/>
      <c r="FR97" s="174"/>
      <c r="FS97" s="174"/>
      <c r="FT97" s="174"/>
      <c r="FU97" s="174"/>
      <c r="FV97" s="174"/>
      <c r="FW97" s="174"/>
      <c r="FX97" s="174"/>
      <c r="FY97" s="174"/>
      <c r="FZ97" s="174"/>
      <c r="GA97" s="174"/>
      <c r="GB97" s="174"/>
      <c r="GC97" s="174"/>
      <c r="GD97" s="174"/>
      <c r="GE97" s="174"/>
      <c r="GF97" s="174"/>
      <c r="GG97" s="174"/>
      <c r="GH97" s="174"/>
      <c r="GI97" s="174"/>
      <c r="GJ97" s="174"/>
      <c r="GK97" s="174"/>
      <c r="GL97" s="174"/>
      <c r="GM97" s="174"/>
      <c r="GN97" s="174"/>
      <c r="GO97" s="174"/>
      <c r="GP97" s="174"/>
      <c r="GQ97" s="174"/>
      <c r="GR97" s="174"/>
    </row>
    <row r="98" spans="2:200" x14ac:dyDescent="0.2">
      <c r="B98" s="177"/>
      <c r="C98" s="177"/>
      <c r="D98" s="176"/>
      <c r="E98" s="176"/>
      <c r="F98" s="176"/>
      <c r="G98" s="176"/>
      <c r="H98" s="176"/>
      <c r="I98" s="176"/>
      <c r="J98" s="176"/>
      <c r="K98" s="176"/>
      <c r="L98" s="176"/>
      <c r="M98" s="176"/>
      <c r="N98" s="176"/>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c r="DB98" s="174"/>
      <c r="DC98" s="174"/>
      <c r="DD98" s="174"/>
      <c r="DE98" s="174"/>
      <c r="DF98" s="174"/>
      <c r="DG98" s="174"/>
      <c r="DH98" s="174"/>
      <c r="DI98" s="174"/>
      <c r="DJ98" s="174"/>
      <c r="DK98" s="174"/>
      <c r="DL98" s="174"/>
      <c r="DM98" s="174"/>
      <c r="DN98" s="174"/>
      <c r="DO98" s="174"/>
      <c r="DP98" s="174"/>
      <c r="DQ98" s="174"/>
      <c r="DR98" s="174"/>
      <c r="DS98" s="174"/>
      <c r="DT98" s="174"/>
      <c r="DU98" s="174"/>
      <c r="DV98" s="174"/>
      <c r="DW98" s="174"/>
      <c r="DX98" s="174"/>
      <c r="DY98" s="174"/>
      <c r="DZ98" s="174"/>
      <c r="EA98" s="174"/>
      <c r="EB98" s="174"/>
      <c r="EC98" s="174"/>
      <c r="ED98" s="174"/>
      <c r="EE98" s="174"/>
      <c r="EF98" s="174"/>
      <c r="EG98" s="174"/>
      <c r="EH98" s="174"/>
      <c r="EI98" s="174"/>
      <c r="EJ98" s="174"/>
      <c r="EK98" s="174"/>
      <c r="EL98" s="174"/>
      <c r="EM98" s="174"/>
      <c r="EN98" s="174"/>
      <c r="EO98" s="174"/>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c r="FP98" s="174"/>
      <c r="FQ98" s="174"/>
      <c r="FR98" s="174"/>
      <c r="FS98" s="174"/>
      <c r="FT98" s="174"/>
      <c r="FU98" s="174"/>
      <c r="FV98" s="174"/>
      <c r="FW98" s="174"/>
      <c r="FX98" s="174"/>
      <c r="FY98" s="174"/>
      <c r="FZ98" s="174"/>
      <c r="GA98" s="174"/>
      <c r="GB98" s="174"/>
      <c r="GC98" s="174"/>
      <c r="GD98" s="174"/>
      <c r="GE98" s="174"/>
      <c r="GF98" s="174"/>
      <c r="GG98" s="174"/>
      <c r="GH98" s="174"/>
      <c r="GI98" s="174"/>
      <c r="GJ98" s="174"/>
      <c r="GK98" s="174"/>
      <c r="GL98" s="174"/>
      <c r="GM98" s="174"/>
      <c r="GN98" s="174"/>
      <c r="GO98" s="174"/>
      <c r="GP98" s="174"/>
      <c r="GQ98" s="174"/>
      <c r="GR98" s="174"/>
    </row>
    <row r="99" spans="2:200" x14ac:dyDescent="0.2">
      <c r="B99" s="177"/>
      <c r="C99" s="177"/>
      <c r="D99" s="176"/>
      <c r="E99" s="176"/>
      <c r="F99" s="176"/>
      <c r="G99" s="176"/>
      <c r="H99" s="176"/>
      <c r="I99" s="176"/>
      <c r="J99" s="176"/>
      <c r="K99" s="176"/>
      <c r="L99" s="176"/>
      <c r="M99" s="176"/>
      <c r="N99" s="176"/>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V99" s="174"/>
      <c r="DW99" s="174"/>
      <c r="DX99" s="174"/>
      <c r="DY99" s="174"/>
      <c r="DZ99" s="174"/>
      <c r="EA99" s="174"/>
      <c r="EB99" s="174"/>
      <c r="EC99" s="174"/>
      <c r="ED99" s="174"/>
      <c r="EE99" s="174"/>
      <c r="EF99" s="174"/>
      <c r="EG99" s="174"/>
      <c r="EH99" s="174"/>
      <c r="EI99" s="174"/>
      <c r="EJ99" s="174"/>
      <c r="EK99" s="174"/>
      <c r="EL99" s="174"/>
      <c r="EM99" s="174"/>
      <c r="EN99" s="174"/>
      <c r="EO99" s="174"/>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c r="FP99" s="174"/>
      <c r="FQ99" s="174"/>
      <c r="FR99" s="174"/>
      <c r="FS99" s="174"/>
      <c r="FT99" s="174"/>
      <c r="FU99" s="174"/>
      <c r="FV99" s="174"/>
      <c r="FW99" s="174"/>
      <c r="FX99" s="174"/>
      <c r="FY99" s="174"/>
      <c r="FZ99" s="174"/>
      <c r="GA99" s="174"/>
      <c r="GB99" s="174"/>
      <c r="GC99" s="174"/>
      <c r="GD99" s="174"/>
      <c r="GE99" s="174"/>
      <c r="GF99" s="174"/>
      <c r="GG99" s="174"/>
      <c r="GH99" s="174"/>
      <c r="GI99" s="174"/>
      <c r="GJ99" s="174"/>
      <c r="GK99" s="174"/>
      <c r="GL99" s="174"/>
      <c r="GM99" s="174"/>
      <c r="GN99" s="174"/>
      <c r="GO99" s="174"/>
      <c r="GP99" s="174"/>
      <c r="GQ99" s="174"/>
      <c r="GR99" s="174"/>
    </row>
    <row r="100" spans="2:200" x14ac:dyDescent="0.2">
      <c r="B100" s="177"/>
      <c r="C100" s="177"/>
      <c r="D100" s="176"/>
      <c r="E100" s="176"/>
      <c r="F100" s="176"/>
      <c r="G100" s="176"/>
      <c r="H100" s="176"/>
      <c r="I100" s="176"/>
      <c r="J100" s="176"/>
      <c r="K100" s="176"/>
      <c r="L100" s="176"/>
      <c r="M100" s="176"/>
      <c r="N100" s="176"/>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174"/>
      <c r="DH100" s="174"/>
      <c r="DI100" s="174"/>
      <c r="DJ100" s="174"/>
      <c r="DK100" s="174"/>
      <c r="DL100" s="174"/>
      <c r="DM100" s="174"/>
      <c r="DN100" s="174"/>
      <c r="DO100" s="174"/>
      <c r="DP100" s="174"/>
      <c r="DQ100" s="174"/>
      <c r="DR100" s="174"/>
      <c r="DS100" s="174"/>
      <c r="DT100" s="174"/>
      <c r="DU100" s="174"/>
      <c r="DV100" s="174"/>
      <c r="DW100" s="174"/>
      <c r="DX100" s="174"/>
      <c r="DY100" s="174"/>
      <c r="DZ100" s="174"/>
      <c r="EA100" s="174"/>
      <c r="EB100" s="174"/>
      <c r="EC100" s="174"/>
      <c r="ED100" s="174"/>
      <c r="EE100" s="174"/>
      <c r="EF100" s="174"/>
      <c r="EG100" s="174"/>
      <c r="EH100" s="174"/>
      <c r="EI100" s="174"/>
      <c r="EJ100" s="174"/>
      <c r="EK100" s="174"/>
      <c r="EL100" s="174"/>
      <c r="EM100" s="174"/>
      <c r="EN100" s="174"/>
      <c r="EO100" s="174"/>
      <c r="EP100" s="174"/>
      <c r="EQ100" s="174"/>
      <c r="ER100" s="174"/>
      <c r="ES100" s="174"/>
      <c r="ET100" s="174"/>
      <c r="EU100" s="174"/>
      <c r="EV100" s="174"/>
      <c r="EW100" s="174"/>
      <c r="EX100" s="174"/>
      <c r="EY100" s="174"/>
      <c r="EZ100" s="174"/>
      <c r="FA100" s="174"/>
      <c r="FB100" s="174"/>
      <c r="FC100" s="174"/>
      <c r="FD100" s="174"/>
      <c r="FE100" s="174"/>
      <c r="FF100" s="174"/>
      <c r="FG100" s="174"/>
      <c r="FH100" s="174"/>
      <c r="FI100" s="174"/>
      <c r="FJ100" s="174"/>
      <c r="FK100" s="174"/>
      <c r="FL100" s="174"/>
      <c r="FM100" s="174"/>
      <c r="FN100" s="174"/>
      <c r="FO100" s="174"/>
      <c r="FP100" s="174"/>
      <c r="FQ100" s="174"/>
      <c r="FR100" s="174"/>
      <c r="FS100" s="174"/>
      <c r="FT100" s="174"/>
      <c r="FU100" s="174"/>
      <c r="FV100" s="174"/>
      <c r="FW100" s="174"/>
      <c r="FX100" s="174"/>
      <c r="FY100" s="174"/>
      <c r="FZ100" s="174"/>
      <c r="GA100" s="174"/>
      <c r="GB100" s="174"/>
      <c r="GC100" s="174"/>
      <c r="GD100" s="174"/>
      <c r="GE100" s="174"/>
      <c r="GF100" s="174"/>
      <c r="GG100" s="174"/>
      <c r="GH100" s="174"/>
      <c r="GI100" s="174"/>
      <c r="GJ100" s="174"/>
      <c r="GK100" s="174"/>
      <c r="GL100" s="174"/>
      <c r="GM100" s="174"/>
      <c r="GN100" s="174"/>
      <c r="GO100" s="174"/>
      <c r="GP100" s="174"/>
      <c r="GQ100" s="174"/>
      <c r="GR100" s="174"/>
    </row>
    <row r="101" spans="2:200" x14ac:dyDescent="0.2">
      <c r="B101" s="177"/>
      <c r="C101" s="177"/>
      <c r="D101" s="176"/>
      <c r="E101" s="176"/>
      <c r="F101" s="176"/>
      <c r="G101" s="176"/>
      <c r="H101" s="176"/>
      <c r="I101" s="176"/>
      <c r="J101" s="176"/>
      <c r="K101" s="176"/>
      <c r="L101" s="176"/>
      <c r="M101" s="176"/>
      <c r="N101" s="176"/>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c r="DB101" s="174"/>
      <c r="DC101" s="174"/>
      <c r="DD101" s="174"/>
      <c r="DE101" s="174"/>
      <c r="DF101" s="174"/>
      <c r="DG101" s="174"/>
      <c r="DH101" s="174"/>
      <c r="DI101" s="174"/>
      <c r="DJ101" s="174"/>
      <c r="DK101" s="174"/>
      <c r="DL101" s="174"/>
      <c r="DM101" s="174"/>
      <c r="DN101" s="174"/>
      <c r="DO101" s="174"/>
      <c r="DP101" s="174"/>
      <c r="DQ101" s="174"/>
      <c r="DR101" s="174"/>
      <c r="DS101" s="174"/>
      <c r="DT101" s="174"/>
      <c r="DU101" s="174"/>
      <c r="DV101" s="174"/>
      <c r="DW101" s="174"/>
      <c r="DX101" s="174"/>
      <c r="DY101" s="174"/>
      <c r="DZ101" s="174"/>
      <c r="EA101" s="174"/>
      <c r="EB101" s="174"/>
      <c r="EC101" s="174"/>
      <c r="ED101" s="174"/>
      <c r="EE101" s="174"/>
      <c r="EF101" s="174"/>
      <c r="EG101" s="174"/>
      <c r="EH101" s="174"/>
      <c r="EI101" s="174"/>
      <c r="EJ101" s="174"/>
      <c r="EK101" s="174"/>
      <c r="EL101" s="174"/>
      <c r="EM101" s="174"/>
      <c r="EN101" s="174"/>
      <c r="EO101" s="174"/>
      <c r="EP101" s="174"/>
      <c r="EQ101" s="174"/>
      <c r="ER101" s="174"/>
      <c r="ES101" s="174"/>
      <c r="ET101" s="174"/>
      <c r="EU101" s="174"/>
      <c r="EV101" s="174"/>
      <c r="EW101" s="174"/>
      <c r="EX101" s="174"/>
      <c r="EY101" s="174"/>
      <c r="EZ101" s="174"/>
      <c r="FA101" s="174"/>
      <c r="FB101" s="174"/>
      <c r="FC101" s="174"/>
      <c r="FD101" s="174"/>
      <c r="FE101" s="174"/>
      <c r="FF101" s="174"/>
      <c r="FG101" s="174"/>
      <c r="FH101" s="174"/>
      <c r="FI101" s="174"/>
      <c r="FJ101" s="174"/>
      <c r="FK101" s="174"/>
      <c r="FL101" s="174"/>
      <c r="FM101" s="174"/>
      <c r="FN101" s="174"/>
      <c r="FO101" s="174"/>
      <c r="FP101" s="174"/>
      <c r="FQ101" s="174"/>
      <c r="FR101" s="174"/>
      <c r="FS101" s="174"/>
      <c r="FT101" s="174"/>
      <c r="FU101" s="174"/>
      <c r="FV101" s="174"/>
      <c r="FW101" s="174"/>
      <c r="FX101" s="174"/>
      <c r="FY101" s="174"/>
      <c r="FZ101" s="174"/>
      <c r="GA101" s="174"/>
      <c r="GB101" s="174"/>
      <c r="GC101" s="174"/>
      <c r="GD101" s="174"/>
      <c r="GE101" s="174"/>
      <c r="GF101" s="174"/>
      <c r="GG101" s="174"/>
      <c r="GH101" s="174"/>
      <c r="GI101" s="174"/>
      <c r="GJ101" s="174"/>
      <c r="GK101" s="174"/>
      <c r="GL101" s="174"/>
      <c r="GM101" s="174"/>
      <c r="GN101" s="174"/>
      <c r="GO101" s="174"/>
      <c r="GP101" s="174"/>
      <c r="GQ101" s="174"/>
      <c r="GR101" s="174"/>
    </row>
    <row r="102" spans="2:200" x14ac:dyDescent="0.2">
      <c r="B102" s="177"/>
      <c r="C102" s="177"/>
      <c r="D102" s="176"/>
      <c r="E102" s="176"/>
      <c r="F102" s="176"/>
      <c r="G102" s="176"/>
      <c r="H102" s="176"/>
      <c r="I102" s="176"/>
      <c r="J102" s="176"/>
      <c r="K102" s="176"/>
      <c r="L102" s="176"/>
      <c r="M102" s="176"/>
      <c r="N102" s="176"/>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4"/>
      <c r="DF102" s="174"/>
      <c r="DG102" s="174"/>
      <c r="DH102" s="174"/>
      <c r="DI102" s="174"/>
      <c r="DJ102" s="174"/>
      <c r="DK102" s="174"/>
      <c r="DL102" s="174"/>
      <c r="DM102" s="174"/>
      <c r="DN102" s="174"/>
      <c r="DO102" s="174"/>
      <c r="DP102" s="174"/>
      <c r="DQ102" s="174"/>
      <c r="DR102" s="174"/>
      <c r="DS102" s="174"/>
      <c r="DT102" s="174"/>
      <c r="DU102" s="174"/>
      <c r="DV102" s="174"/>
      <c r="DW102" s="174"/>
      <c r="DX102" s="174"/>
      <c r="DY102" s="174"/>
      <c r="DZ102" s="174"/>
      <c r="EA102" s="174"/>
      <c r="EB102" s="174"/>
      <c r="EC102" s="174"/>
      <c r="ED102" s="174"/>
      <c r="EE102" s="174"/>
      <c r="EF102" s="174"/>
      <c r="EG102" s="174"/>
      <c r="EH102" s="174"/>
      <c r="EI102" s="174"/>
      <c r="EJ102" s="174"/>
      <c r="EK102" s="174"/>
      <c r="EL102" s="174"/>
      <c r="EM102" s="174"/>
      <c r="EN102" s="174"/>
      <c r="EO102" s="174"/>
      <c r="EP102" s="174"/>
      <c r="EQ102" s="174"/>
      <c r="ER102" s="174"/>
      <c r="ES102" s="174"/>
      <c r="ET102" s="174"/>
      <c r="EU102" s="174"/>
      <c r="EV102" s="174"/>
      <c r="EW102" s="174"/>
      <c r="EX102" s="174"/>
      <c r="EY102" s="174"/>
      <c r="EZ102" s="174"/>
      <c r="FA102" s="174"/>
      <c r="FB102" s="174"/>
      <c r="FC102" s="174"/>
      <c r="FD102" s="174"/>
      <c r="FE102" s="174"/>
      <c r="FF102" s="174"/>
      <c r="FG102" s="174"/>
      <c r="FH102" s="174"/>
      <c r="FI102" s="174"/>
      <c r="FJ102" s="174"/>
      <c r="FK102" s="174"/>
      <c r="FL102" s="174"/>
      <c r="FM102" s="174"/>
      <c r="FN102" s="174"/>
      <c r="FO102" s="174"/>
      <c r="FP102" s="174"/>
      <c r="FQ102" s="174"/>
      <c r="FR102" s="174"/>
      <c r="FS102" s="174"/>
      <c r="FT102" s="174"/>
      <c r="FU102" s="174"/>
      <c r="FV102" s="174"/>
      <c r="FW102" s="174"/>
      <c r="FX102" s="174"/>
      <c r="FY102" s="174"/>
      <c r="FZ102" s="174"/>
      <c r="GA102" s="174"/>
      <c r="GB102" s="174"/>
      <c r="GC102" s="174"/>
      <c r="GD102" s="174"/>
      <c r="GE102" s="174"/>
      <c r="GF102" s="174"/>
      <c r="GG102" s="174"/>
      <c r="GH102" s="174"/>
      <c r="GI102" s="174"/>
      <c r="GJ102" s="174"/>
      <c r="GK102" s="174"/>
      <c r="GL102" s="174"/>
      <c r="GM102" s="174"/>
      <c r="GN102" s="174"/>
      <c r="GO102" s="174"/>
      <c r="GP102" s="174"/>
      <c r="GQ102" s="174"/>
      <c r="GR102" s="174"/>
    </row>
    <row r="103" spans="2:200" x14ac:dyDescent="0.2">
      <c r="B103" s="177"/>
      <c r="C103" s="177"/>
      <c r="D103" s="176"/>
      <c r="E103" s="176"/>
      <c r="F103" s="176"/>
      <c r="G103" s="176"/>
      <c r="H103" s="176"/>
      <c r="I103" s="176"/>
      <c r="J103" s="176"/>
      <c r="K103" s="176"/>
      <c r="L103" s="176"/>
      <c r="M103" s="176"/>
      <c r="N103" s="176"/>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4"/>
      <c r="DF103" s="174"/>
      <c r="DG103" s="174"/>
      <c r="DH103" s="174"/>
      <c r="DI103" s="174"/>
      <c r="DJ103" s="174"/>
      <c r="DK103" s="174"/>
      <c r="DL103" s="174"/>
      <c r="DM103" s="174"/>
      <c r="DN103" s="174"/>
      <c r="DO103" s="174"/>
      <c r="DP103" s="174"/>
      <c r="DQ103" s="174"/>
      <c r="DR103" s="174"/>
      <c r="DS103" s="174"/>
      <c r="DT103" s="174"/>
      <c r="DU103" s="174"/>
      <c r="DV103" s="174"/>
      <c r="DW103" s="174"/>
      <c r="DX103" s="174"/>
      <c r="DY103" s="174"/>
      <c r="DZ103" s="174"/>
      <c r="EA103" s="174"/>
      <c r="EB103" s="174"/>
      <c r="EC103" s="174"/>
      <c r="ED103" s="174"/>
      <c r="EE103" s="174"/>
      <c r="EF103" s="174"/>
      <c r="EG103" s="174"/>
      <c r="EH103" s="174"/>
      <c r="EI103" s="174"/>
      <c r="EJ103" s="174"/>
      <c r="EK103" s="174"/>
      <c r="EL103" s="174"/>
      <c r="EM103" s="174"/>
      <c r="EN103" s="174"/>
      <c r="EO103" s="174"/>
      <c r="EP103" s="174"/>
      <c r="EQ103" s="174"/>
      <c r="ER103" s="174"/>
      <c r="ES103" s="174"/>
      <c r="ET103" s="174"/>
      <c r="EU103" s="174"/>
      <c r="EV103" s="174"/>
      <c r="EW103" s="174"/>
      <c r="EX103" s="174"/>
      <c r="EY103" s="174"/>
      <c r="EZ103" s="174"/>
      <c r="FA103" s="174"/>
      <c r="FB103" s="174"/>
      <c r="FC103" s="174"/>
      <c r="FD103" s="174"/>
      <c r="FE103" s="174"/>
      <c r="FF103" s="174"/>
      <c r="FG103" s="174"/>
      <c r="FH103" s="174"/>
      <c r="FI103" s="174"/>
      <c r="FJ103" s="174"/>
      <c r="FK103" s="174"/>
      <c r="FL103" s="174"/>
      <c r="FM103" s="174"/>
      <c r="FN103" s="174"/>
      <c r="FO103" s="174"/>
      <c r="FP103" s="174"/>
      <c r="FQ103" s="174"/>
      <c r="FR103" s="174"/>
      <c r="FS103" s="174"/>
      <c r="FT103" s="174"/>
      <c r="FU103" s="174"/>
      <c r="FV103" s="174"/>
      <c r="FW103" s="174"/>
      <c r="FX103" s="174"/>
      <c r="FY103" s="174"/>
      <c r="FZ103" s="174"/>
      <c r="GA103" s="174"/>
      <c r="GB103" s="174"/>
      <c r="GC103" s="174"/>
      <c r="GD103" s="174"/>
      <c r="GE103" s="174"/>
      <c r="GF103" s="174"/>
      <c r="GG103" s="174"/>
      <c r="GH103" s="174"/>
      <c r="GI103" s="174"/>
      <c r="GJ103" s="174"/>
      <c r="GK103" s="174"/>
      <c r="GL103" s="174"/>
      <c r="GM103" s="174"/>
      <c r="GN103" s="174"/>
      <c r="GO103" s="174"/>
      <c r="GP103" s="174"/>
      <c r="GQ103" s="174"/>
      <c r="GR103" s="174"/>
    </row>
    <row r="104" spans="2:200" x14ac:dyDescent="0.2">
      <c r="B104" s="177"/>
      <c r="C104" s="177"/>
      <c r="D104" s="176"/>
      <c r="E104" s="176"/>
      <c r="F104" s="176"/>
      <c r="G104" s="176"/>
      <c r="H104" s="176"/>
      <c r="I104" s="176"/>
      <c r="J104" s="176"/>
      <c r="K104" s="176"/>
      <c r="L104" s="176"/>
      <c r="M104" s="176"/>
      <c r="N104" s="176"/>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174"/>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c r="FP104" s="174"/>
      <c r="FQ104" s="174"/>
      <c r="FR104" s="174"/>
      <c r="FS104" s="174"/>
      <c r="FT104" s="174"/>
      <c r="FU104" s="174"/>
      <c r="FV104" s="174"/>
      <c r="FW104" s="174"/>
      <c r="FX104" s="174"/>
      <c r="FY104" s="174"/>
      <c r="FZ104" s="174"/>
      <c r="GA104" s="174"/>
      <c r="GB104" s="174"/>
      <c r="GC104" s="174"/>
      <c r="GD104" s="174"/>
      <c r="GE104" s="174"/>
      <c r="GF104" s="174"/>
      <c r="GG104" s="174"/>
      <c r="GH104" s="174"/>
      <c r="GI104" s="174"/>
      <c r="GJ104" s="174"/>
      <c r="GK104" s="174"/>
      <c r="GL104" s="174"/>
      <c r="GM104" s="174"/>
      <c r="GN104" s="174"/>
      <c r="GO104" s="174"/>
      <c r="GP104" s="174"/>
      <c r="GQ104" s="174"/>
      <c r="GR104" s="174"/>
    </row>
    <row r="105" spans="2:200" x14ac:dyDescent="0.2">
      <c r="B105" s="177"/>
      <c r="C105" s="177"/>
      <c r="D105" s="176"/>
      <c r="E105" s="176"/>
      <c r="F105" s="176"/>
      <c r="G105" s="176"/>
      <c r="H105" s="176"/>
      <c r="I105" s="176"/>
      <c r="J105" s="176"/>
      <c r="K105" s="176"/>
      <c r="L105" s="176"/>
      <c r="M105" s="176"/>
      <c r="N105" s="176"/>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4"/>
      <c r="FQ105" s="174"/>
      <c r="FR105" s="174"/>
      <c r="FS105" s="174"/>
      <c r="FT105" s="174"/>
      <c r="FU105" s="174"/>
      <c r="FV105" s="174"/>
      <c r="FW105" s="174"/>
      <c r="FX105" s="174"/>
      <c r="FY105" s="174"/>
      <c r="FZ105" s="174"/>
      <c r="GA105" s="174"/>
      <c r="GB105" s="174"/>
      <c r="GC105" s="174"/>
      <c r="GD105" s="174"/>
      <c r="GE105" s="174"/>
      <c r="GF105" s="174"/>
      <c r="GG105" s="174"/>
      <c r="GH105" s="174"/>
      <c r="GI105" s="174"/>
      <c r="GJ105" s="174"/>
      <c r="GK105" s="174"/>
      <c r="GL105" s="174"/>
      <c r="GM105" s="174"/>
      <c r="GN105" s="174"/>
      <c r="GO105" s="174"/>
      <c r="GP105" s="174"/>
      <c r="GQ105" s="174"/>
      <c r="GR105" s="174"/>
    </row>
    <row r="106" spans="2:200" x14ac:dyDescent="0.2">
      <c r="B106" s="177"/>
      <c r="C106" s="177"/>
      <c r="D106" s="176"/>
      <c r="E106" s="176"/>
      <c r="F106" s="176"/>
      <c r="G106" s="176"/>
      <c r="H106" s="176"/>
      <c r="I106" s="176"/>
      <c r="J106" s="176"/>
      <c r="K106" s="176"/>
      <c r="L106" s="176"/>
      <c r="M106" s="176"/>
      <c r="N106" s="176"/>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4"/>
      <c r="DZ106" s="174"/>
      <c r="EA106" s="174"/>
      <c r="EB106" s="174"/>
      <c r="EC106" s="174"/>
      <c r="ED106" s="174"/>
      <c r="EE106" s="174"/>
      <c r="EF106" s="174"/>
      <c r="EG106" s="174"/>
      <c r="EH106" s="174"/>
      <c r="EI106" s="174"/>
      <c r="EJ106" s="174"/>
      <c r="EK106" s="174"/>
      <c r="EL106" s="174"/>
      <c r="EM106" s="174"/>
      <c r="EN106" s="174"/>
      <c r="EO106" s="174"/>
      <c r="EP106" s="174"/>
      <c r="EQ106" s="174"/>
      <c r="ER106" s="174"/>
      <c r="ES106" s="174"/>
      <c r="ET106" s="174"/>
      <c r="EU106" s="174"/>
      <c r="EV106" s="174"/>
      <c r="EW106" s="174"/>
      <c r="EX106" s="174"/>
      <c r="EY106" s="174"/>
      <c r="EZ106" s="174"/>
      <c r="FA106" s="174"/>
      <c r="FB106" s="174"/>
      <c r="FC106" s="174"/>
      <c r="FD106" s="174"/>
      <c r="FE106" s="174"/>
      <c r="FF106" s="174"/>
      <c r="FG106" s="174"/>
      <c r="FH106" s="174"/>
      <c r="FI106" s="174"/>
      <c r="FJ106" s="174"/>
      <c r="FK106" s="174"/>
      <c r="FL106" s="174"/>
      <c r="FM106" s="174"/>
      <c r="FN106" s="174"/>
      <c r="FO106" s="174"/>
      <c r="FP106" s="174"/>
      <c r="FQ106" s="174"/>
      <c r="FR106" s="174"/>
      <c r="FS106" s="174"/>
      <c r="FT106" s="174"/>
      <c r="FU106" s="174"/>
      <c r="FV106" s="174"/>
      <c r="FW106" s="174"/>
      <c r="FX106" s="174"/>
      <c r="FY106" s="174"/>
      <c r="FZ106" s="174"/>
      <c r="GA106" s="174"/>
      <c r="GB106" s="174"/>
      <c r="GC106" s="174"/>
      <c r="GD106" s="174"/>
      <c r="GE106" s="174"/>
      <c r="GF106" s="174"/>
      <c r="GG106" s="174"/>
      <c r="GH106" s="174"/>
      <c r="GI106" s="174"/>
      <c r="GJ106" s="174"/>
      <c r="GK106" s="174"/>
      <c r="GL106" s="174"/>
      <c r="GM106" s="174"/>
      <c r="GN106" s="174"/>
      <c r="GO106" s="174"/>
      <c r="GP106" s="174"/>
      <c r="GQ106" s="174"/>
      <c r="GR106" s="174"/>
    </row>
    <row r="107" spans="2:200" x14ac:dyDescent="0.2">
      <c r="B107" s="177"/>
      <c r="C107" s="177"/>
      <c r="D107" s="176"/>
      <c r="E107" s="176"/>
      <c r="F107" s="176"/>
      <c r="G107" s="176"/>
      <c r="H107" s="176"/>
      <c r="I107" s="176"/>
      <c r="J107" s="176"/>
      <c r="K107" s="176"/>
      <c r="L107" s="176"/>
      <c r="M107" s="176"/>
      <c r="N107" s="176"/>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174"/>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c r="FP107" s="174"/>
      <c r="FQ107" s="174"/>
      <c r="FR107" s="174"/>
      <c r="FS107" s="174"/>
      <c r="FT107" s="174"/>
      <c r="FU107" s="174"/>
      <c r="FV107" s="174"/>
      <c r="FW107" s="174"/>
      <c r="FX107" s="174"/>
      <c r="FY107" s="174"/>
      <c r="FZ107" s="174"/>
      <c r="GA107" s="174"/>
      <c r="GB107" s="174"/>
      <c r="GC107" s="174"/>
      <c r="GD107" s="174"/>
      <c r="GE107" s="174"/>
      <c r="GF107" s="174"/>
      <c r="GG107" s="174"/>
      <c r="GH107" s="174"/>
      <c r="GI107" s="174"/>
      <c r="GJ107" s="174"/>
      <c r="GK107" s="174"/>
      <c r="GL107" s="174"/>
      <c r="GM107" s="174"/>
      <c r="GN107" s="174"/>
      <c r="GO107" s="174"/>
      <c r="GP107" s="174"/>
      <c r="GQ107" s="174"/>
      <c r="GR107" s="174"/>
    </row>
    <row r="108" spans="2:200" x14ac:dyDescent="0.2">
      <c r="B108" s="177"/>
      <c r="C108" s="177"/>
      <c r="D108" s="176"/>
      <c r="E108" s="176"/>
      <c r="F108" s="176"/>
      <c r="G108" s="176"/>
      <c r="H108" s="176"/>
      <c r="I108" s="176"/>
      <c r="J108" s="176"/>
      <c r="K108" s="176"/>
      <c r="L108" s="176"/>
      <c r="M108" s="176"/>
      <c r="N108" s="176"/>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4"/>
      <c r="DF108" s="174"/>
      <c r="DG108" s="174"/>
      <c r="DH108" s="174"/>
      <c r="DI108" s="174"/>
      <c r="DJ108" s="174"/>
      <c r="DK108" s="174"/>
      <c r="DL108" s="174"/>
      <c r="DM108" s="174"/>
      <c r="DN108" s="174"/>
      <c r="DO108" s="174"/>
      <c r="DP108" s="174"/>
      <c r="DQ108" s="174"/>
      <c r="DR108" s="174"/>
      <c r="DS108" s="174"/>
      <c r="DT108" s="174"/>
      <c r="DU108" s="174"/>
      <c r="DV108" s="174"/>
      <c r="DW108" s="174"/>
      <c r="DX108" s="174"/>
      <c r="DY108" s="174"/>
      <c r="DZ108" s="174"/>
      <c r="EA108" s="174"/>
      <c r="EB108" s="174"/>
      <c r="EC108" s="174"/>
      <c r="ED108" s="174"/>
      <c r="EE108" s="174"/>
      <c r="EF108" s="174"/>
      <c r="EG108" s="174"/>
      <c r="EH108" s="174"/>
      <c r="EI108" s="174"/>
      <c r="EJ108" s="174"/>
      <c r="EK108" s="174"/>
      <c r="EL108" s="174"/>
      <c r="EM108" s="174"/>
      <c r="EN108" s="174"/>
      <c r="EO108" s="174"/>
      <c r="EP108" s="174"/>
      <c r="EQ108" s="174"/>
      <c r="ER108" s="174"/>
      <c r="ES108" s="174"/>
      <c r="ET108" s="174"/>
      <c r="EU108" s="174"/>
      <c r="EV108" s="174"/>
      <c r="EW108" s="174"/>
      <c r="EX108" s="174"/>
      <c r="EY108" s="174"/>
      <c r="EZ108" s="174"/>
      <c r="FA108" s="174"/>
      <c r="FB108" s="174"/>
      <c r="FC108" s="174"/>
      <c r="FD108" s="174"/>
      <c r="FE108" s="174"/>
      <c r="FF108" s="174"/>
      <c r="FG108" s="174"/>
      <c r="FH108" s="174"/>
      <c r="FI108" s="174"/>
      <c r="FJ108" s="174"/>
      <c r="FK108" s="174"/>
      <c r="FL108" s="174"/>
      <c r="FM108" s="174"/>
      <c r="FN108" s="174"/>
      <c r="FO108" s="174"/>
      <c r="FP108" s="174"/>
      <c r="FQ108" s="174"/>
      <c r="FR108" s="174"/>
      <c r="FS108" s="174"/>
      <c r="FT108" s="174"/>
      <c r="FU108" s="174"/>
      <c r="FV108" s="174"/>
      <c r="FW108" s="174"/>
      <c r="FX108" s="174"/>
      <c r="FY108" s="174"/>
      <c r="FZ108" s="174"/>
      <c r="GA108" s="174"/>
      <c r="GB108" s="174"/>
      <c r="GC108" s="174"/>
      <c r="GD108" s="174"/>
      <c r="GE108" s="174"/>
      <c r="GF108" s="174"/>
      <c r="GG108" s="174"/>
      <c r="GH108" s="174"/>
      <c r="GI108" s="174"/>
      <c r="GJ108" s="174"/>
      <c r="GK108" s="174"/>
      <c r="GL108" s="174"/>
      <c r="GM108" s="174"/>
      <c r="GN108" s="174"/>
      <c r="GO108" s="174"/>
      <c r="GP108" s="174"/>
      <c r="GQ108" s="174"/>
      <c r="GR108" s="174"/>
    </row>
    <row r="109" spans="2:200" x14ac:dyDescent="0.2">
      <c r="B109" s="177"/>
      <c r="C109" s="177"/>
      <c r="D109" s="176"/>
      <c r="E109" s="176"/>
      <c r="F109" s="176"/>
      <c r="G109" s="176"/>
      <c r="H109" s="176"/>
      <c r="I109" s="176"/>
      <c r="J109" s="176"/>
      <c r="K109" s="176"/>
      <c r="L109" s="176"/>
      <c r="M109" s="176"/>
      <c r="N109" s="176"/>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74"/>
      <c r="DU109" s="174"/>
      <c r="DV109" s="174"/>
      <c r="DW109" s="174"/>
      <c r="DX109" s="174"/>
      <c r="DY109" s="174"/>
      <c r="DZ109" s="174"/>
      <c r="EA109" s="174"/>
      <c r="EB109" s="174"/>
      <c r="EC109" s="174"/>
      <c r="ED109" s="174"/>
      <c r="EE109" s="174"/>
      <c r="EF109" s="174"/>
      <c r="EG109" s="174"/>
      <c r="EH109" s="174"/>
      <c r="EI109" s="174"/>
      <c r="EJ109" s="174"/>
      <c r="EK109" s="174"/>
      <c r="EL109" s="174"/>
      <c r="EM109" s="174"/>
      <c r="EN109" s="174"/>
      <c r="EO109" s="174"/>
      <c r="EP109" s="174"/>
      <c r="EQ109" s="174"/>
      <c r="ER109" s="174"/>
      <c r="ES109" s="174"/>
      <c r="ET109" s="174"/>
      <c r="EU109" s="174"/>
      <c r="EV109" s="174"/>
      <c r="EW109" s="174"/>
      <c r="EX109" s="174"/>
      <c r="EY109" s="174"/>
      <c r="EZ109" s="174"/>
      <c r="FA109" s="174"/>
      <c r="FB109" s="174"/>
      <c r="FC109" s="174"/>
      <c r="FD109" s="174"/>
      <c r="FE109" s="174"/>
      <c r="FF109" s="174"/>
      <c r="FG109" s="174"/>
      <c r="FH109" s="174"/>
      <c r="FI109" s="174"/>
      <c r="FJ109" s="174"/>
      <c r="FK109" s="174"/>
      <c r="FL109" s="174"/>
      <c r="FM109" s="174"/>
      <c r="FN109" s="174"/>
      <c r="FO109" s="174"/>
      <c r="FP109" s="174"/>
      <c r="FQ109" s="174"/>
      <c r="FR109" s="174"/>
      <c r="FS109" s="174"/>
      <c r="FT109" s="174"/>
      <c r="FU109" s="174"/>
      <c r="FV109" s="174"/>
      <c r="FW109" s="174"/>
      <c r="FX109" s="174"/>
      <c r="FY109" s="174"/>
      <c r="FZ109" s="174"/>
      <c r="GA109" s="174"/>
      <c r="GB109" s="174"/>
      <c r="GC109" s="174"/>
      <c r="GD109" s="174"/>
      <c r="GE109" s="174"/>
      <c r="GF109" s="174"/>
      <c r="GG109" s="174"/>
      <c r="GH109" s="174"/>
      <c r="GI109" s="174"/>
      <c r="GJ109" s="174"/>
      <c r="GK109" s="174"/>
      <c r="GL109" s="174"/>
      <c r="GM109" s="174"/>
      <c r="GN109" s="174"/>
      <c r="GO109" s="174"/>
      <c r="GP109" s="174"/>
      <c r="GQ109" s="174"/>
      <c r="GR109" s="174"/>
    </row>
    <row r="110" spans="2:200" x14ac:dyDescent="0.2">
      <c r="B110" s="177"/>
      <c r="C110" s="177"/>
      <c r="D110" s="176"/>
      <c r="E110" s="176"/>
      <c r="F110" s="176"/>
      <c r="G110" s="176"/>
      <c r="H110" s="176"/>
      <c r="I110" s="176"/>
      <c r="J110" s="176"/>
      <c r="K110" s="176"/>
      <c r="L110" s="176"/>
      <c r="M110" s="176"/>
      <c r="N110" s="176"/>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c r="DJ110" s="174"/>
      <c r="DK110" s="174"/>
      <c r="DL110" s="174"/>
      <c r="DM110" s="174"/>
      <c r="DN110" s="174"/>
      <c r="DO110" s="174"/>
      <c r="DP110" s="174"/>
      <c r="DQ110" s="174"/>
      <c r="DR110" s="174"/>
      <c r="DS110" s="174"/>
      <c r="DT110" s="174"/>
      <c r="DU110" s="174"/>
      <c r="DV110" s="174"/>
      <c r="DW110" s="174"/>
      <c r="DX110" s="174"/>
      <c r="DY110" s="174"/>
      <c r="DZ110" s="174"/>
      <c r="EA110" s="174"/>
      <c r="EB110" s="174"/>
      <c r="EC110" s="174"/>
      <c r="ED110" s="174"/>
      <c r="EE110" s="174"/>
      <c r="EF110" s="174"/>
      <c r="EG110" s="174"/>
      <c r="EH110" s="174"/>
      <c r="EI110" s="174"/>
      <c r="EJ110" s="174"/>
      <c r="EK110" s="174"/>
      <c r="EL110" s="174"/>
      <c r="EM110" s="174"/>
      <c r="EN110" s="174"/>
      <c r="EO110" s="174"/>
      <c r="EP110" s="174"/>
      <c r="EQ110" s="174"/>
      <c r="ER110" s="174"/>
      <c r="ES110" s="174"/>
      <c r="ET110" s="174"/>
      <c r="EU110" s="174"/>
      <c r="EV110" s="174"/>
      <c r="EW110" s="174"/>
      <c r="EX110" s="174"/>
      <c r="EY110" s="174"/>
      <c r="EZ110" s="174"/>
      <c r="FA110" s="174"/>
      <c r="FB110" s="174"/>
      <c r="FC110" s="174"/>
      <c r="FD110" s="174"/>
      <c r="FE110" s="174"/>
      <c r="FF110" s="174"/>
      <c r="FG110" s="174"/>
      <c r="FH110" s="174"/>
      <c r="FI110" s="174"/>
      <c r="FJ110" s="174"/>
      <c r="FK110" s="174"/>
      <c r="FL110" s="174"/>
      <c r="FM110" s="174"/>
      <c r="FN110" s="174"/>
      <c r="FO110" s="174"/>
      <c r="FP110" s="174"/>
      <c r="FQ110" s="174"/>
      <c r="FR110" s="174"/>
      <c r="FS110" s="174"/>
      <c r="FT110" s="174"/>
      <c r="FU110" s="174"/>
      <c r="FV110" s="174"/>
      <c r="FW110" s="174"/>
      <c r="FX110" s="174"/>
      <c r="FY110" s="174"/>
      <c r="FZ110" s="174"/>
      <c r="GA110" s="174"/>
      <c r="GB110" s="174"/>
      <c r="GC110" s="174"/>
      <c r="GD110" s="174"/>
      <c r="GE110" s="174"/>
      <c r="GF110" s="174"/>
      <c r="GG110" s="174"/>
      <c r="GH110" s="174"/>
      <c r="GI110" s="174"/>
      <c r="GJ110" s="174"/>
      <c r="GK110" s="174"/>
      <c r="GL110" s="174"/>
      <c r="GM110" s="174"/>
      <c r="GN110" s="174"/>
      <c r="GO110" s="174"/>
      <c r="GP110" s="174"/>
      <c r="GQ110" s="174"/>
      <c r="GR110" s="174"/>
    </row>
    <row r="111" spans="2:200" x14ac:dyDescent="0.2">
      <c r="B111" s="177"/>
      <c r="C111" s="177"/>
      <c r="D111" s="176"/>
      <c r="E111" s="176"/>
      <c r="F111" s="176"/>
      <c r="G111" s="176"/>
      <c r="H111" s="176"/>
      <c r="I111" s="176"/>
      <c r="J111" s="176"/>
      <c r="K111" s="176"/>
      <c r="L111" s="176"/>
      <c r="M111" s="176"/>
      <c r="N111" s="176"/>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4"/>
      <c r="DF111" s="174"/>
      <c r="DG111" s="174"/>
      <c r="DH111" s="174"/>
      <c r="DI111" s="174"/>
      <c r="DJ111" s="174"/>
      <c r="DK111" s="174"/>
      <c r="DL111" s="174"/>
      <c r="DM111" s="174"/>
      <c r="DN111" s="174"/>
      <c r="DO111" s="174"/>
      <c r="DP111" s="174"/>
      <c r="DQ111" s="174"/>
      <c r="DR111" s="174"/>
      <c r="DS111" s="174"/>
      <c r="DT111" s="174"/>
      <c r="DU111" s="174"/>
      <c r="DV111" s="174"/>
      <c r="DW111" s="174"/>
      <c r="DX111" s="174"/>
      <c r="DY111" s="174"/>
      <c r="DZ111" s="174"/>
      <c r="EA111" s="174"/>
      <c r="EB111" s="174"/>
      <c r="EC111" s="174"/>
      <c r="ED111" s="174"/>
      <c r="EE111" s="174"/>
      <c r="EF111" s="174"/>
      <c r="EG111" s="174"/>
      <c r="EH111" s="174"/>
      <c r="EI111" s="174"/>
      <c r="EJ111" s="174"/>
      <c r="EK111" s="174"/>
      <c r="EL111" s="174"/>
      <c r="EM111" s="174"/>
      <c r="EN111" s="174"/>
      <c r="EO111" s="174"/>
      <c r="EP111" s="174"/>
      <c r="EQ111" s="174"/>
      <c r="ER111" s="174"/>
      <c r="ES111" s="174"/>
      <c r="ET111" s="174"/>
      <c r="EU111" s="174"/>
      <c r="EV111" s="174"/>
      <c r="EW111" s="174"/>
      <c r="EX111" s="174"/>
      <c r="EY111" s="174"/>
      <c r="EZ111" s="174"/>
      <c r="FA111" s="174"/>
      <c r="FB111" s="174"/>
      <c r="FC111" s="174"/>
      <c r="FD111" s="174"/>
      <c r="FE111" s="174"/>
      <c r="FF111" s="174"/>
      <c r="FG111" s="174"/>
      <c r="FH111" s="174"/>
      <c r="FI111" s="174"/>
      <c r="FJ111" s="174"/>
      <c r="FK111" s="174"/>
      <c r="FL111" s="174"/>
      <c r="FM111" s="174"/>
      <c r="FN111" s="174"/>
      <c r="FO111" s="174"/>
      <c r="FP111" s="174"/>
      <c r="FQ111" s="174"/>
      <c r="FR111" s="174"/>
      <c r="FS111" s="174"/>
      <c r="FT111" s="174"/>
      <c r="FU111" s="174"/>
      <c r="FV111" s="174"/>
      <c r="FW111" s="174"/>
      <c r="FX111" s="174"/>
      <c r="FY111" s="174"/>
      <c r="FZ111" s="174"/>
      <c r="GA111" s="174"/>
      <c r="GB111" s="174"/>
      <c r="GC111" s="174"/>
      <c r="GD111" s="174"/>
      <c r="GE111" s="174"/>
      <c r="GF111" s="174"/>
      <c r="GG111" s="174"/>
      <c r="GH111" s="174"/>
      <c r="GI111" s="174"/>
      <c r="GJ111" s="174"/>
      <c r="GK111" s="174"/>
      <c r="GL111" s="174"/>
      <c r="GM111" s="174"/>
      <c r="GN111" s="174"/>
      <c r="GO111" s="174"/>
      <c r="GP111" s="174"/>
      <c r="GQ111" s="174"/>
      <c r="GR111" s="174"/>
    </row>
    <row r="112" spans="2:200" x14ac:dyDescent="0.2">
      <c r="B112" s="177"/>
      <c r="C112" s="177"/>
      <c r="D112" s="176"/>
      <c r="E112" s="176"/>
      <c r="F112" s="176"/>
      <c r="G112" s="176"/>
      <c r="H112" s="176"/>
      <c r="I112" s="176"/>
      <c r="J112" s="176"/>
      <c r="K112" s="176"/>
      <c r="L112" s="176"/>
      <c r="M112" s="176"/>
      <c r="N112" s="176"/>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4"/>
      <c r="DF112" s="174"/>
      <c r="DG112" s="174"/>
      <c r="DH112" s="174"/>
      <c r="DI112" s="174"/>
      <c r="DJ112" s="174"/>
      <c r="DK112" s="174"/>
      <c r="DL112" s="174"/>
      <c r="DM112" s="174"/>
      <c r="DN112" s="174"/>
      <c r="DO112" s="174"/>
      <c r="DP112" s="174"/>
      <c r="DQ112" s="174"/>
      <c r="DR112" s="174"/>
      <c r="DS112" s="174"/>
      <c r="DT112" s="174"/>
      <c r="DU112" s="174"/>
      <c r="DV112" s="174"/>
      <c r="DW112" s="174"/>
      <c r="DX112" s="174"/>
      <c r="DY112" s="174"/>
      <c r="DZ112" s="174"/>
      <c r="EA112" s="174"/>
      <c r="EB112" s="174"/>
      <c r="EC112" s="174"/>
      <c r="ED112" s="174"/>
      <c r="EE112" s="174"/>
      <c r="EF112" s="174"/>
      <c r="EG112" s="174"/>
      <c r="EH112" s="174"/>
      <c r="EI112" s="174"/>
      <c r="EJ112" s="174"/>
      <c r="EK112" s="174"/>
      <c r="EL112" s="174"/>
      <c r="EM112" s="174"/>
      <c r="EN112" s="174"/>
      <c r="EO112" s="174"/>
      <c r="EP112" s="174"/>
      <c r="EQ112" s="174"/>
      <c r="ER112" s="174"/>
      <c r="ES112" s="174"/>
      <c r="ET112" s="174"/>
      <c r="EU112" s="174"/>
      <c r="EV112" s="174"/>
      <c r="EW112" s="174"/>
      <c r="EX112" s="174"/>
      <c r="EY112" s="174"/>
      <c r="EZ112" s="174"/>
      <c r="FA112" s="174"/>
      <c r="FB112" s="174"/>
      <c r="FC112" s="174"/>
      <c r="FD112" s="174"/>
      <c r="FE112" s="174"/>
      <c r="FF112" s="174"/>
      <c r="FG112" s="174"/>
      <c r="FH112" s="174"/>
      <c r="FI112" s="174"/>
      <c r="FJ112" s="174"/>
      <c r="FK112" s="174"/>
      <c r="FL112" s="174"/>
      <c r="FM112" s="174"/>
      <c r="FN112" s="174"/>
      <c r="FO112" s="174"/>
      <c r="FP112" s="174"/>
      <c r="FQ112" s="174"/>
      <c r="FR112" s="174"/>
      <c r="FS112" s="174"/>
      <c r="FT112" s="174"/>
      <c r="FU112" s="174"/>
      <c r="FV112" s="174"/>
      <c r="FW112" s="174"/>
      <c r="FX112" s="174"/>
      <c r="FY112" s="174"/>
      <c r="FZ112" s="174"/>
      <c r="GA112" s="174"/>
      <c r="GB112" s="174"/>
      <c r="GC112" s="174"/>
      <c r="GD112" s="174"/>
      <c r="GE112" s="174"/>
      <c r="GF112" s="174"/>
      <c r="GG112" s="174"/>
      <c r="GH112" s="174"/>
      <c r="GI112" s="174"/>
      <c r="GJ112" s="174"/>
      <c r="GK112" s="174"/>
      <c r="GL112" s="174"/>
      <c r="GM112" s="174"/>
      <c r="GN112" s="174"/>
      <c r="GO112" s="174"/>
      <c r="GP112" s="174"/>
      <c r="GQ112" s="174"/>
      <c r="GR112" s="174"/>
    </row>
    <row r="113" spans="2:200" x14ac:dyDescent="0.2">
      <c r="B113" s="177"/>
      <c r="C113" s="177"/>
      <c r="D113" s="176"/>
      <c r="E113" s="176"/>
      <c r="F113" s="176"/>
      <c r="G113" s="176"/>
      <c r="H113" s="176"/>
      <c r="I113" s="176"/>
      <c r="J113" s="176"/>
      <c r="K113" s="176"/>
      <c r="L113" s="176"/>
      <c r="M113" s="176"/>
      <c r="N113" s="176"/>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c r="DJ113" s="174"/>
      <c r="DK113" s="174"/>
      <c r="DL113" s="174"/>
      <c r="DM113" s="174"/>
      <c r="DN113" s="174"/>
      <c r="DO113" s="174"/>
      <c r="DP113" s="174"/>
      <c r="DQ113" s="174"/>
      <c r="DR113" s="174"/>
      <c r="DS113" s="174"/>
      <c r="DT113" s="174"/>
      <c r="DU113" s="174"/>
      <c r="DV113" s="174"/>
      <c r="DW113" s="174"/>
      <c r="DX113" s="174"/>
      <c r="DY113" s="174"/>
      <c r="DZ113" s="174"/>
      <c r="EA113" s="174"/>
      <c r="EB113" s="174"/>
      <c r="EC113" s="174"/>
      <c r="ED113" s="174"/>
      <c r="EE113" s="174"/>
      <c r="EF113" s="174"/>
      <c r="EG113" s="174"/>
      <c r="EH113" s="174"/>
      <c r="EI113" s="174"/>
      <c r="EJ113" s="174"/>
      <c r="EK113" s="174"/>
      <c r="EL113" s="174"/>
      <c r="EM113" s="174"/>
      <c r="EN113" s="174"/>
      <c r="EO113" s="174"/>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c r="FP113" s="174"/>
      <c r="FQ113" s="174"/>
      <c r="FR113" s="174"/>
      <c r="FS113" s="174"/>
      <c r="FT113" s="174"/>
      <c r="FU113" s="174"/>
      <c r="FV113" s="174"/>
      <c r="FW113" s="174"/>
      <c r="FX113" s="174"/>
      <c r="FY113" s="174"/>
      <c r="FZ113" s="174"/>
      <c r="GA113" s="174"/>
      <c r="GB113" s="174"/>
      <c r="GC113" s="174"/>
      <c r="GD113" s="174"/>
      <c r="GE113" s="174"/>
      <c r="GF113" s="174"/>
      <c r="GG113" s="174"/>
      <c r="GH113" s="174"/>
      <c r="GI113" s="174"/>
      <c r="GJ113" s="174"/>
      <c r="GK113" s="174"/>
      <c r="GL113" s="174"/>
      <c r="GM113" s="174"/>
      <c r="GN113" s="174"/>
      <c r="GO113" s="174"/>
      <c r="GP113" s="174"/>
      <c r="GQ113" s="174"/>
      <c r="GR113" s="174"/>
    </row>
    <row r="114" spans="2:200" x14ac:dyDescent="0.2">
      <c r="B114" s="177"/>
      <c r="C114" s="177"/>
      <c r="D114" s="176"/>
      <c r="E114" s="176"/>
      <c r="F114" s="176"/>
      <c r="G114" s="176"/>
      <c r="H114" s="176"/>
      <c r="I114" s="176"/>
      <c r="J114" s="176"/>
      <c r="K114" s="176"/>
      <c r="L114" s="176"/>
      <c r="M114" s="176"/>
      <c r="N114" s="176"/>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174"/>
      <c r="DH114" s="174"/>
      <c r="DI114" s="174"/>
      <c r="DJ114" s="174"/>
      <c r="DK114" s="174"/>
      <c r="DL114" s="174"/>
      <c r="DM114" s="174"/>
      <c r="DN114" s="174"/>
      <c r="DO114" s="174"/>
      <c r="DP114" s="174"/>
      <c r="DQ114" s="174"/>
      <c r="DR114" s="174"/>
      <c r="DS114" s="174"/>
      <c r="DT114" s="174"/>
      <c r="DU114" s="174"/>
      <c r="DV114" s="174"/>
      <c r="DW114" s="174"/>
      <c r="DX114" s="174"/>
      <c r="DY114" s="174"/>
      <c r="DZ114" s="174"/>
      <c r="EA114" s="174"/>
      <c r="EB114" s="174"/>
      <c r="EC114" s="174"/>
      <c r="ED114" s="174"/>
      <c r="EE114" s="174"/>
      <c r="EF114" s="174"/>
      <c r="EG114" s="174"/>
      <c r="EH114" s="174"/>
      <c r="EI114" s="174"/>
      <c r="EJ114" s="174"/>
      <c r="EK114" s="174"/>
      <c r="EL114" s="174"/>
      <c r="EM114" s="174"/>
      <c r="EN114" s="174"/>
      <c r="EO114" s="174"/>
      <c r="EP114" s="174"/>
      <c r="EQ114" s="174"/>
      <c r="ER114" s="174"/>
      <c r="ES114" s="174"/>
      <c r="ET114" s="174"/>
      <c r="EU114" s="174"/>
      <c r="EV114" s="174"/>
      <c r="EW114" s="174"/>
      <c r="EX114" s="174"/>
      <c r="EY114" s="174"/>
      <c r="EZ114" s="174"/>
      <c r="FA114" s="174"/>
      <c r="FB114" s="174"/>
      <c r="FC114" s="174"/>
      <c r="FD114" s="174"/>
      <c r="FE114" s="174"/>
      <c r="FF114" s="174"/>
      <c r="FG114" s="174"/>
      <c r="FH114" s="174"/>
      <c r="FI114" s="174"/>
      <c r="FJ114" s="174"/>
      <c r="FK114" s="174"/>
      <c r="FL114" s="174"/>
      <c r="FM114" s="174"/>
      <c r="FN114" s="174"/>
      <c r="FO114" s="174"/>
      <c r="FP114" s="174"/>
      <c r="FQ114" s="174"/>
      <c r="FR114" s="174"/>
      <c r="FS114" s="174"/>
      <c r="FT114" s="174"/>
      <c r="FU114" s="174"/>
      <c r="FV114" s="174"/>
      <c r="FW114" s="174"/>
      <c r="FX114" s="174"/>
      <c r="FY114" s="174"/>
      <c r="FZ114" s="174"/>
      <c r="GA114" s="174"/>
      <c r="GB114" s="174"/>
      <c r="GC114" s="174"/>
      <c r="GD114" s="174"/>
      <c r="GE114" s="174"/>
      <c r="GF114" s="174"/>
      <c r="GG114" s="174"/>
      <c r="GH114" s="174"/>
      <c r="GI114" s="174"/>
      <c r="GJ114" s="174"/>
      <c r="GK114" s="174"/>
      <c r="GL114" s="174"/>
      <c r="GM114" s="174"/>
      <c r="GN114" s="174"/>
      <c r="GO114" s="174"/>
      <c r="GP114" s="174"/>
      <c r="GQ114" s="174"/>
      <c r="GR114" s="174"/>
    </row>
    <row r="115" spans="2:200" x14ac:dyDescent="0.2">
      <c r="B115" s="177"/>
      <c r="C115" s="177"/>
      <c r="D115" s="176"/>
      <c r="E115" s="176"/>
      <c r="F115" s="176"/>
      <c r="G115" s="176"/>
      <c r="H115" s="176"/>
      <c r="I115" s="176"/>
      <c r="J115" s="176"/>
      <c r="K115" s="176"/>
      <c r="L115" s="176"/>
      <c r="M115" s="176"/>
      <c r="N115" s="176"/>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174"/>
      <c r="DU115" s="174"/>
      <c r="DV115" s="174"/>
      <c r="DW115" s="174"/>
      <c r="DX115" s="174"/>
      <c r="DY115" s="174"/>
      <c r="DZ115" s="174"/>
      <c r="EA115" s="174"/>
      <c r="EB115" s="174"/>
      <c r="EC115" s="174"/>
      <c r="ED115" s="174"/>
      <c r="EE115" s="174"/>
      <c r="EF115" s="174"/>
      <c r="EG115" s="174"/>
      <c r="EH115" s="174"/>
      <c r="EI115" s="174"/>
      <c r="EJ115" s="174"/>
      <c r="EK115" s="174"/>
      <c r="EL115" s="174"/>
      <c r="EM115" s="174"/>
      <c r="EN115" s="174"/>
      <c r="EO115" s="174"/>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c r="FP115" s="174"/>
      <c r="FQ115" s="174"/>
      <c r="FR115" s="174"/>
      <c r="FS115" s="174"/>
      <c r="FT115" s="174"/>
      <c r="FU115" s="174"/>
      <c r="FV115" s="174"/>
      <c r="FW115" s="174"/>
      <c r="FX115" s="174"/>
      <c r="FY115" s="174"/>
      <c r="FZ115" s="174"/>
      <c r="GA115" s="174"/>
      <c r="GB115" s="174"/>
      <c r="GC115" s="174"/>
      <c r="GD115" s="174"/>
      <c r="GE115" s="174"/>
      <c r="GF115" s="174"/>
      <c r="GG115" s="174"/>
      <c r="GH115" s="174"/>
      <c r="GI115" s="174"/>
      <c r="GJ115" s="174"/>
      <c r="GK115" s="174"/>
      <c r="GL115" s="174"/>
      <c r="GM115" s="174"/>
      <c r="GN115" s="174"/>
      <c r="GO115" s="174"/>
      <c r="GP115" s="174"/>
      <c r="GQ115" s="174"/>
      <c r="GR115" s="174"/>
    </row>
    <row r="116" spans="2:200" x14ac:dyDescent="0.2">
      <c r="B116" s="177"/>
      <c r="C116" s="177"/>
      <c r="D116" s="176"/>
      <c r="E116" s="176"/>
      <c r="F116" s="176"/>
      <c r="G116" s="176"/>
      <c r="H116" s="176"/>
      <c r="I116" s="176"/>
      <c r="J116" s="176"/>
      <c r="K116" s="176"/>
      <c r="L116" s="176"/>
      <c r="M116" s="176"/>
      <c r="N116" s="176"/>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4"/>
      <c r="DF116" s="174"/>
      <c r="DG116" s="174"/>
      <c r="DH116" s="174"/>
      <c r="DI116" s="174"/>
      <c r="DJ116" s="174"/>
      <c r="DK116" s="174"/>
      <c r="DL116" s="174"/>
      <c r="DM116" s="174"/>
      <c r="DN116" s="174"/>
      <c r="DO116" s="174"/>
      <c r="DP116" s="174"/>
      <c r="DQ116" s="174"/>
      <c r="DR116" s="174"/>
      <c r="DS116" s="174"/>
      <c r="DT116" s="174"/>
      <c r="DU116" s="174"/>
      <c r="DV116" s="174"/>
      <c r="DW116" s="174"/>
      <c r="DX116" s="174"/>
      <c r="DY116" s="174"/>
      <c r="DZ116" s="174"/>
      <c r="EA116" s="174"/>
      <c r="EB116" s="174"/>
      <c r="EC116" s="174"/>
      <c r="ED116" s="174"/>
      <c r="EE116" s="174"/>
      <c r="EF116" s="174"/>
      <c r="EG116" s="174"/>
      <c r="EH116" s="174"/>
      <c r="EI116" s="174"/>
      <c r="EJ116" s="174"/>
      <c r="EK116" s="174"/>
      <c r="EL116" s="174"/>
      <c r="EM116" s="174"/>
      <c r="EN116" s="174"/>
      <c r="EO116" s="174"/>
      <c r="EP116" s="174"/>
      <c r="EQ116" s="174"/>
      <c r="ER116" s="174"/>
      <c r="ES116" s="174"/>
      <c r="ET116" s="174"/>
      <c r="EU116" s="174"/>
      <c r="EV116" s="174"/>
      <c r="EW116" s="174"/>
      <c r="EX116" s="174"/>
      <c r="EY116" s="174"/>
      <c r="EZ116" s="174"/>
      <c r="FA116" s="174"/>
      <c r="FB116" s="174"/>
      <c r="FC116" s="174"/>
      <c r="FD116" s="174"/>
      <c r="FE116" s="174"/>
      <c r="FF116" s="174"/>
      <c r="FG116" s="174"/>
      <c r="FH116" s="174"/>
      <c r="FI116" s="174"/>
      <c r="FJ116" s="174"/>
      <c r="FK116" s="174"/>
      <c r="FL116" s="174"/>
      <c r="FM116" s="174"/>
      <c r="FN116" s="174"/>
      <c r="FO116" s="174"/>
      <c r="FP116" s="174"/>
      <c r="FQ116" s="174"/>
      <c r="FR116" s="174"/>
      <c r="FS116" s="174"/>
      <c r="FT116" s="174"/>
      <c r="FU116" s="174"/>
      <c r="FV116" s="174"/>
      <c r="FW116" s="174"/>
      <c r="FX116" s="174"/>
      <c r="FY116" s="174"/>
      <c r="FZ116" s="174"/>
      <c r="GA116" s="174"/>
      <c r="GB116" s="174"/>
      <c r="GC116" s="174"/>
      <c r="GD116" s="174"/>
      <c r="GE116" s="174"/>
      <c r="GF116" s="174"/>
      <c r="GG116" s="174"/>
      <c r="GH116" s="174"/>
      <c r="GI116" s="174"/>
      <c r="GJ116" s="174"/>
      <c r="GK116" s="174"/>
      <c r="GL116" s="174"/>
      <c r="GM116" s="174"/>
      <c r="GN116" s="174"/>
      <c r="GO116" s="174"/>
      <c r="GP116" s="174"/>
      <c r="GQ116" s="174"/>
      <c r="GR116" s="174"/>
    </row>
    <row r="117" spans="2:200" x14ac:dyDescent="0.2">
      <c r="B117" s="177"/>
      <c r="C117" s="177"/>
      <c r="D117" s="176"/>
      <c r="E117" s="176"/>
      <c r="F117" s="176"/>
      <c r="G117" s="176"/>
      <c r="H117" s="176"/>
      <c r="I117" s="176"/>
      <c r="J117" s="176"/>
      <c r="K117" s="176"/>
      <c r="L117" s="176"/>
      <c r="M117" s="176"/>
      <c r="N117" s="176"/>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74"/>
      <c r="EB117" s="174"/>
      <c r="EC117" s="174"/>
      <c r="ED117" s="174"/>
      <c r="EE117" s="174"/>
      <c r="EF117" s="174"/>
      <c r="EG117" s="174"/>
      <c r="EH117" s="174"/>
      <c r="EI117" s="174"/>
      <c r="EJ117" s="174"/>
      <c r="EK117" s="174"/>
      <c r="EL117" s="174"/>
      <c r="EM117" s="174"/>
      <c r="EN117" s="174"/>
      <c r="EO117" s="174"/>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c r="FP117" s="174"/>
      <c r="FQ117" s="174"/>
      <c r="FR117" s="174"/>
      <c r="FS117" s="174"/>
      <c r="FT117" s="174"/>
      <c r="FU117" s="174"/>
      <c r="FV117" s="174"/>
      <c r="FW117" s="174"/>
      <c r="FX117" s="174"/>
      <c r="FY117" s="174"/>
      <c r="FZ117" s="174"/>
      <c r="GA117" s="174"/>
      <c r="GB117" s="174"/>
      <c r="GC117" s="174"/>
      <c r="GD117" s="174"/>
      <c r="GE117" s="174"/>
      <c r="GF117" s="174"/>
      <c r="GG117" s="174"/>
      <c r="GH117" s="174"/>
      <c r="GI117" s="174"/>
      <c r="GJ117" s="174"/>
      <c r="GK117" s="174"/>
      <c r="GL117" s="174"/>
      <c r="GM117" s="174"/>
      <c r="GN117" s="174"/>
      <c r="GO117" s="174"/>
      <c r="GP117" s="174"/>
      <c r="GQ117" s="174"/>
      <c r="GR117" s="174"/>
    </row>
    <row r="118" spans="2:200" x14ac:dyDescent="0.2">
      <c r="B118" s="177"/>
      <c r="C118" s="177"/>
      <c r="D118" s="176"/>
      <c r="E118" s="176"/>
      <c r="F118" s="176"/>
      <c r="G118" s="176"/>
      <c r="H118" s="176"/>
      <c r="I118" s="176"/>
      <c r="J118" s="176"/>
      <c r="K118" s="176"/>
      <c r="L118" s="176"/>
      <c r="M118" s="176"/>
      <c r="N118" s="176"/>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c r="DY118" s="174"/>
      <c r="DZ118" s="174"/>
      <c r="EA118" s="174"/>
      <c r="EB118" s="174"/>
      <c r="EC118" s="174"/>
      <c r="ED118" s="174"/>
      <c r="EE118" s="174"/>
      <c r="EF118" s="174"/>
      <c r="EG118" s="174"/>
      <c r="EH118" s="174"/>
      <c r="EI118" s="174"/>
      <c r="EJ118" s="174"/>
      <c r="EK118" s="174"/>
      <c r="EL118" s="174"/>
      <c r="EM118" s="174"/>
      <c r="EN118" s="174"/>
      <c r="EO118" s="174"/>
      <c r="EP118" s="174"/>
      <c r="EQ118" s="174"/>
      <c r="ER118" s="174"/>
      <c r="ES118" s="174"/>
      <c r="ET118" s="174"/>
      <c r="EU118" s="174"/>
      <c r="EV118" s="174"/>
      <c r="EW118" s="174"/>
      <c r="EX118" s="174"/>
      <c r="EY118" s="174"/>
      <c r="EZ118" s="174"/>
      <c r="FA118" s="174"/>
      <c r="FB118" s="174"/>
      <c r="FC118" s="174"/>
      <c r="FD118" s="174"/>
      <c r="FE118" s="174"/>
      <c r="FF118" s="174"/>
      <c r="FG118" s="174"/>
      <c r="FH118" s="174"/>
      <c r="FI118" s="174"/>
      <c r="FJ118" s="174"/>
      <c r="FK118" s="174"/>
      <c r="FL118" s="174"/>
      <c r="FM118" s="174"/>
      <c r="FN118" s="174"/>
      <c r="FO118" s="174"/>
      <c r="FP118" s="174"/>
      <c r="FQ118" s="174"/>
      <c r="FR118" s="174"/>
      <c r="FS118" s="174"/>
      <c r="FT118" s="174"/>
      <c r="FU118" s="174"/>
      <c r="FV118" s="174"/>
      <c r="FW118" s="174"/>
      <c r="FX118" s="174"/>
      <c r="FY118" s="174"/>
      <c r="FZ118" s="174"/>
      <c r="GA118" s="174"/>
      <c r="GB118" s="174"/>
      <c r="GC118" s="174"/>
      <c r="GD118" s="174"/>
      <c r="GE118" s="174"/>
      <c r="GF118" s="174"/>
      <c r="GG118" s="174"/>
      <c r="GH118" s="174"/>
      <c r="GI118" s="174"/>
      <c r="GJ118" s="174"/>
      <c r="GK118" s="174"/>
      <c r="GL118" s="174"/>
      <c r="GM118" s="174"/>
      <c r="GN118" s="174"/>
      <c r="GO118" s="174"/>
      <c r="GP118" s="174"/>
      <c r="GQ118" s="174"/>
      <c r="GR118" s="174"/>
    </row>
    <row r="119" spans="2:200" x14ac:dyDescent="0.2">
      <c r="B119" s="177"/>
      <c r="C119" s="177"/>
      <c r="D119" s="176"/>
      <c r="E119" s="176"/>
      <c r="F119" s="176"/>
      <c r="G119" s="176"/>
      <c r="H119" s="176"/>
      <c r="I119" s="176"/>
      <c r="J119" s="176"/>
      <c r="K119" s="176"/>
      <c r="L119" s="176"/>
      <c r="M119" s="176"/>
      <c r="N119" s="176"/>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74"/>
      <c r="EB119" s="174"/>
      <c r="EC119" s="174"/>
      <c r="ED119" s="174"/>
      <c r="EE119" s="174"/>
      <c r="EF119" s="174"/>
      <c r="EG119" s="174"/>
      <c r="EH119" s="174"/>
      <c r="EI119" s="174"/>
      <c r="EJ119" s="174"/>
      <c r="EK119" s="174"/>
      <c r="EL119" s="174"/>
      <c r="EM119" s="174"/>
      <c r="EN119" s="174"/>
      <c r="EO119" s="174"/>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c r="FP119" s="174"/>
      <c r="FQ119" s="174"/>
      <c r="FR119" s="174"/>
      <c r="FS119" s="174"/>
      <c r="FT119" s="174"/>
      <c r="FU119" s="174"/>
      <c r="FV119" s="174"/>
      <c r="FW119" s="174"/>
      <c r="FX119" s="174"/>
      <c r="FY119" s="174"/>
      <c r="FZ119" s="174"/>
      <c r="GA119" s="174"/>
      <c r="GB119" s="174"/>
      <c r="GC119" s="174"/>
      <c r="GD119" s="174"/>
      <c r="GE119" s="174"/>
      <c r="GF119" s="174"/>
      <c r="GG119" s="174"/>
      <c r="GH119" s="174"/>
      <c r="GI119" s="174"/>
      <c r="GJ119" s="174"/>
      <c r="GK119" s="174"/>
      <c r="GL119" s="174"/>
      <c r="GM119" s="174"/>
      <c r="GN119" s="174"/>
      <c r="GO119" s="174"/>
      <c r="GP119" s="174"/>
      <c r="GQ119" s="174"/>
      <c r="GR119" s="174"/>
    </row>
    <row r="120" spans="2:200" x14ac:dyDescent="0.2">
      <c r="B120" s="177"/>
      <c r="C120" s="177"/>
      <c r="D120" s="176"/>
      <c r="E120" s="176"/>
      <c r="F120" s="176"/>
      <c r="G120" s="176"/>
      <c r="H120" s="176"/>
      <c r="I120" s="176"/>
      <c r="J120" s="176"/>
      <c r="K120" s="176"/>
      <c r="L120" s="176"/>
      <c r="M120" s="176"/>
      <c r="N120" s="176"/>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c r="DJ120" s="174"/>
      <c r="DK120" s="174"/>
      <c r="DL120" s="174"/>
      <c r="DM120" s="174"/>
      <c r="DN120" s="174"/>
      <c r="DO120" s="174"/>
      <c r="DP120" s="174"/>
      <c r="DQ120" s="174"/>
      <c r="DR120" s="174"/>
      <c r="DS120" s="174"/>
      <c r="DT120" s="174"/>
      <c r="DU120" s="174"/>
      <c r="DV120" s="174"/>
      <c r="DW120" s="174"/>
      <c r="DX120" s="174"/>
      <c r="DY120" s="174"/>
      <c r="DZ120" s="174"/>
      <c r="EA120" s="174"/>
      <c r="EB120" s="174"/>
      <c r="EC120" s="174"/>
      <c r="ED120" s="174"/>
      <c r="EE120" s="174"/>
      <c r="EF120" s="174"/>
      <c r="EG120" s="174"/>
      <c r="EH120" s="174"/>
      <c r="EI120" s="174"/>
      <c r="EJ120" s="174"/>
      <c r="EK120" s="174"/>
      <c r="EL120" s="174"/>
      <c r="EM120" s="174"/>
      <c r="EN120" s="174"/>
      <c r="EO120" s="174"/>
      <c r="EP120" s="174"/>
      <c r="EQ120" s="174"/>
      <c r="ER120" s="174"/>
      <c r="ES120" s="174"/>
      <c r="ET120" s="174"/>
      <c r="EU120" s="174"/>
      <c r="EV120" s="174"/>
      <c r="EW120" s="174"/>
      <c r="EX120" s="174"/>
      <c r="EY120" s="174"/>
      <c r="EZ120" s="174"/>
      <c r="FA120" s="174"/>
      <c r="FB120" s="174"/>
      <c r="FC120" s="174"/>
      <c r="FD120" s="174"/>
      <c r="FE120" s="174"/>
      <c r="FF120" s="174"/>
      <c r="FG120" s="174"/>
      <c r="FH120" s="174"/>
      <c r="FI120" s="174"/>
      <c r="FJ120" s="174"/>
      <c r="FK120" s="174"/>
      <c r="FL120" s="174"/>
      <c r="FM120" s="174"/>
      <c r="FN120" s="174"/>
      <c r="FO120" s="174"/>
      <c r="FP120" s="174"/>
      <c r="FQ120" s="174"/>
      <c r="FR120" s="174"/>
      <c r="FS120" s="174"/>
      <c r="FT120" s="174"/>
      <c r="FU120" s="174"/>
      <c r="FV120" s="174"/>
      <c r="FW120" s="174"/>
      <c r="FX120" s="174"/>
      <c r="FY120" s="174"/>
      <c r="FZ120" s="174"/>
      <c r="GA120" s="174"/>
      <c r="GB120" s="174"/>
      <c r="GC120" s="174"/>
      <c r="GD120" s="174"/>
      <c r="GE120" s="174"/>
      <c r="GF120" s="174"/>
      <c r="GG120" s="174"/>
      <c r="GH120" s="174"/>
      <c r="GI120" s="174"/>
      <c r="GJ120" s="174"/>
      <c r="GK120" s="174"/>
      <c r="GL120" s="174"/>
      <c r="GM120" s="174"/>
      <c r="GN120" s="174"/>
      <c r="GO120" s="174"/>
      <c r="GP120" s="174"/>
      <c r="GQ120" s="174"/>
      <c r="GR120" s="174"/>
    </row>
    <row r="121" spans="2:200" x14ac:dyDescent="0.2">
      <c r="B121" s="177"/>
      <c r="C121" s="177"/>
      <c r="D121" s="176"/>
      <c r="E121" s="176"/>
      <c r="F121" s="176"/>
      <c r="G121" s="176"/>
      <c r="H121" s="176"/>
      <c r="I121" s="176"/>
      <c r="J121" s="176"/>
      <c r="K121" s="176"/>
      <c r="L121" s="176"/>
      <c r="M121" s="176"/>
      <c r="N121" s="176"/>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c r="DJ121" s="174"/>
      <c r="DK121" s="174"/>
      <c r="DL121" s="174"/>
      <c r="DM121" s="174"/>
      <c r="DN121" s="174"/>
      <c r="DO121" s="174"/>
      <c r="DP121" s="174"/>
      <c r="DQ121" s="174"/>
      <c r="DR121" s="174"/>
      <c r="DS121" s="174"/>
      <c r="DT121" s="174"/>
      <c r="DU121" s="174"/>
      <c r="DV121" s="174"/>
      <c r="DW121" s="174"/>
      <c r="DX121" s="174"/>
      <c r="DY121" s="174"/>
      <c r="DZ121" s="174"/>
      <c r="EA121" s="174"/>
      <c r="EB121" s="174"/>
      <c r="EC121" s="174"/>
      <c r="ED121" s="174"/>
      <c r="EE121" s="174"/>
      <c r="EF121" s="174"/>
      <c r="EG121" s="174"/>
      <c r="EH121" s="174"/>
      <c r="EI121" s="174"/>
      <c r="EJ121" s="174"/>
      <c r="EK121" s="174"/>
      <c r="EL121" s="174"/>
      <c r="EM121" s="174"/>
      <c r="EN121" s="174"/>
      <c r="EO121" s="174"/>
      <c r="EP121" s="174"/>
      <c r="EQ121" s="174"/>
      <c r="ER121" s="174"/>
      <c r="ES121" s="174"/>
      <c r="ET121" s="174"/>
      <c r="EU121" s="174"/>
      <c r="EV121" s="174"/>
      <c r="EW121" s="174"/>
      <c r="EX121" s="174"/>
      <c r="EY121" s="174"/>
      <c r="EZ121" s="174"/>
      <c r="FA121" s="174"/>
      <c r="FB121" s="174"/>
      <c r="FC121" s="174"/>
      <c r="FD121" s="174"/>
      <c r="FE121" s="174"/>
      <c r="FF121" s="174"/>
      <c r="FG121" s="174"/>
      <c r="FH121" s="174"/>
      <c r="FI121" s="174"/>
      <c r="FJ121" s="174"/>
      <c r="FK121" s="174"/>
      <c r="FL121" s="174"/>
      <c r="FM121" s="174"/>
      <c r="FN121" s="174"/>
      <c r="FO121" s="174"/>
      <c r="FP121" s="174"/>
      <c r="FQ121" s="174"/>
      <c r="FR121" s="174"/>
      <c r="FS121" s="174"/>
      <c r="FT121" s="174"/>
      <c r="FU121" s="174"/>
      <c r="FV121" s="174"/>
      <c r="FW121" s="174"/>
      <c r="FX121" s="174"/>
      <c r="FY121" s="174"/>
      <c r="FZ121" s="174"/>
      <c r="GA121" s="174"/>
      <c r="GB121" s="174"/>
      <c r="GC121" s="174"/>
      <c r="GD121" s="174"/>
      <c r="GE121" s="174"/>
      <c r="GF121" s="174"/>
      <c r="GG121" s="174"/>
      <c r="GH121" s="174"/>
      <c r="GI121" s="174"/>
      <c r="GJ121" s="174"/>
      <c r="GK121" s="174"/>
      <c r="GL121" s="174"/>
      <c r="GM121" s="174"/>
      <c r="GN121" s="174"/>
      <c r="GO121" s="174"/>
      <c r="GP121" s="174"/>
      <c r="GQ121" s="174"/>
      <c r="GR121" s="174"/>
    </row>
    <row r="122" spans="2:200" x14ac:dyDescent="0.2">
      <c r="B122" s="177"/>
      <c r="C122" s="177"/>
      <c r="D122" s="176"/>
      <c r="E122" s="176"/>
      <c r="F122" s="176"/>
      <c r="G122" s="176"/>
      <c r="H122" s="176"/>
      <c r="I122" s="176"/>
      <c r="J122" s="176"/>
      <c r="K122" s="176"/>
      <c r="L122" s="176"/>
      <c r="M122" s="176"/>
      <c r="N122" s="176"/>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174"/>
      <c r="EH122" s="174"/>
      <c r="EI122" s="174"/>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c r="GB122" s="174"/>
      <c r="GC122" s="174"/>
      <c r="GD122" s="174"/>
      <c r="GE122" s="174"/>
      <c r="GF122" s="174"/>
      <c r="GG122" s="174"/>
      <c r="GH122" s="174"/>
      <c r="GI122" s="174"/>
      <c r="GJ122" s="174"/>
      <c r="GK122" s="174"/>
      <c r="GL122" s="174"/>
      <c r="GM122" s="174"/>
      <c r="GN122" s="174"/>
      <c r="GO122" s="174"/>
      <c r="GP122" s="174"/>
      <c r="GQ122" s="174"/>
      <c r="GR122" s="174"/>
    </row>
    <row r="123" spans="2:200" x14ac:dyDescent="0.2">
      <c r="B123" s="177"/>
      <c r="C123" s="177"/>
      <c r="D123" s="176"/>
      <c r="E123" s="176"/>
      <c r="F123" s="176"/>
      <c r="G123" s="176"/>
      <c r="H123" s="176"/>
      <c r="I123" s="176"/>
      <c r="J123" s="176"/>
      <c r="K123" s="176"/>
      <c r="L123" s="176"/>
      <c r="M123" s="176"/>
      <c r="N123" s="176"/>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c r="DJ123" s="174"/>
      <c r="DK123" s="174"/>
      <c r="DL123" s="174"/>
      <c r="DM123" s="174"/>
      <c r="DN123" s="174"/>
      <c r="DO123" s="174"/>
      <c r="DP123" s="174"/>
      <c r="DQ123" s="174"/>
      <c r="DR123" s="174"/>
      <c r="DS123" s="174"/>
      <c r="DT123" s="174"/>
      <c r="DU123" s="174"/>
      <c r="DV123" s="174"/>
      <c r="DW123" s="174"/>
      <c r="DX123" s="174"/>
      <c r="DY123" s="174"/>
      <c r="DZ123" s="174"/>
      <c r="EA123" s="174"/>
      <c r="EB123" s="174"/>
      <c r="EC123" s="174"/>
      <c r="ED123" s="174"/>
      <c r="EE123" s="174"/>
      <c r="EF123" s="174"/>
      <c r="EG123" s="174"/>
      <c r="EH123" s="174"/>
      <c r="EI123" s="174"/>
      <c r="EJ123" s="174"/>
      <c r="EK123" s="174"/>
      <c r="EL123" s="174"/>
      <c r="EM123" s="174"/>
      <c r="EN123" s="174"/>
      <c r="EO123" s="174"/>
      <c r="EP123" s="174"/>
      <c r="EQ123" s="174"/>
      <c r="ER123" s="174"/>
      <c r="ES123" s="174"/>
      <c r="ET123" s="174"/>
      <c r="EU123" s="174"/>
      <c r="EV123" s="174"/>
      <c r="EW123" s="174"/>
      <c r="EX123" s="174"/>
      <c r="EY123" s="174"/>
      <c r="EZ123" s="174"/>
      <c r="FA123" s="174"/>
      <c r="FB123" s="174"/>
      <c r="FC123" s="174"/>
      <c r="FD123" s="174"/>
      <c r="FE123" s="174"/>
      <c r="FF123" s="174"/>
      <c r="FG123" s="174"/>
      <c r="FH123" s="174"/>
      <c r="FI123" s="174"/>
      <c r="FJ123" s="174"/>
      <c r="FK123" s="174"/>
      <c r="FL123" s="174"/>
      <c r="FM123" s="174"/>
      <c r="FN123" s="174"/>
      <c r="FO123" s="174"/>
      <c r="FP123" s="174"/>
      <c r="FQ123" s="174"/>
      <c r="FR123" s="174"/>
      <c r="FS123" s="174"/>
      <c r="FT123" s="174"/>
      <c r="FU123" s="174"/>
      <c r="FV123" s="174"/>
      <c r="FW123" s="174"/>
      <c r="FX123" s="174"/>
      <c r="FY123" s="174"/>
      <c r="FZ123" s="174"/>
      <c r="GA123" s="174"/>
      <c r="GB123" s="174"/>
      <c r="GC123" s="174"/>
      <c r="GD123" s="174"/>
      <c r="GE123" s="174"/>
      <c r="GF123" s="174"/>
      <c r="GG123" s="174"/>
      <c r="GH123" s="174"/>
      <c r="GI123" s="174"/>
      <c r="GJ123" s="174"/>
      <c r="GK123" s="174"/>
      <c r="GL123" s="174"/>
      <c r="GM123" s="174"/>
      <c r="GN123" s="174"/>
      <c r="GO123" s="174"/>
      <c r="GP123" s="174"/>
      <c r="GQ123" s="174"/>
      <c r="GR123" s="174"/>
    </row>
    <row r="124" spans="2:200" x14ac:dyDescent="0.2">
      <c r="B124" s="177"/>
      <c r="C124" s="177"/>
      <c r="D124" s="176"/>
      <c r="E124" s="176"/>
      <c r="F124" s="176"/>
      <c r="G124" s="176"/>
      <c r="H124" s="176"/>
      <c r="I124" s="176"/>
      <c r="J124" s="176"/>
      <c r="K124" s="176"/>
      <c r="L124" s="176"/>
      <c r="M124" s="176"/>
      <c r="N124" s="176"/>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c r="DJ124" s="174"/>
      <c r="DK124" s="174"/>
      <c r="DL124" s="174"/>
      <c r="DM124" s="174"/>
      <c r="DN124" s="174"/>
      <c r="DO124" s="174"/>
      <c r="DP124" s="174"/>
      <c r="DQ124" s="174"/>
      <c r="DR124" s="174"/>
      <c r="DS124" s="174"/>
      <c r="DT124" s="174"/>
      <c r="DU124" s="174"/>
      <c r="DV124" s="174"/>
      <c r="DW124" s="174"/>
      <c r="DX124" s="174"/>
      <c r="DY124" s="174"/>
      <c r="DZ124" s="174"/>
      <c r="EA124" s="174"/>
      <c r="EB124" s="174"/>
      <c r="EC124" s="174"/>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174"/>
      <c r="EZ124" s="174"/>
      <c r="FA124" s="174"/>
      <c r="FB124" s="174"/>
      <c r="FC124" s="174"/>
      <c r="FD124" s="174"/>
      <c r="FE124" s="174"/>
      <c r="FF124" s="174"/>
      <c r="FG124" s="174"/>
      <c r="FH124" s="174"/>
      <c r="FI124" s="174"/>
      <c r="FJ124" s="174"/>
      <c r="FK124" s="174"/>
      <c r="FL124" s="174"/>
      <c r="FM124" s="174"/>
      <c r="FN124" s="174"/>
      <c r="FO124" s="174"/>
      <c r="FP124" s="174"/>
      <c r="FQ124" s="174"/>
      <c r="FR124" s="174"/>
      <c r="FS124" s="174"/>
      <c r="FT124" s="174"/>
      <c r="FU124" s="174"/>
      <c r="FV124" s="174"/>
      <c r="FW124" s="174"/>
      <c r="FX124" s="174"/>
      <c r="FY124" s="174"/>
      <c r="FZ124" s="174"/>
      <c r="GA124" s="174"/>
      <c r="GB124" s="174"/>
      <c r="GC124" s="174"/>
      <c r="GD124" s="174"/>
      <c r="GE124" s="174"/>
      <c r="GF124" s="174"/>
      <c r="GG124" s="174"/>
      <c r="GH124" s="174"/>
      <c r="GI124" s="174"/>
      <c r="GJ124" s="174"/>
      <c r="GK124" s="174"/>
      <c r="GL124" s="174"/>
      <c r="GM124" s="174"/>
      <c r="GN124" s="174"/>
      <c r="GO124" s="174"/>
      <c r="GP124" s="174"/>
      <c r="GQ124" s="174"/>
      <c r="GR124" s="174"/>
    </row>
    <row r="125" spans="2:200" x14ac:dyDescent="0.2">
      <c r="B125" s="177"/>
      <c r="C125" s="177"/>
      <c r="D125" s="176"/>
      <c r="E125" s="176"/>
      <c r="F125" s="176"/>
      <c r="G125" s="176"/>
      <c r="H125" s="176"/>
      <c r="I125" s="176"/>
      <c r="J125" s="176"/>
      <c r="K125" s="176"/>
      <c r="L125" s="176"/>
      <c r="M125" s="176"/>
      <c r="N125" s="176"/>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c r="DJ125" s="174"/>
      <c r="DK125" s="174"/>
      <c r="DL125" s="174"/>
      <c r="DM125" s="174"/>
      <c r="DN125" s="174"/>
      <c r="DO125" s="174"/>
      <c r="DP125" s="174"/>
      <c r="DQ125" s="174"/>
      <c r="DR125" s="174"/>
      <c r="DS125" s="174"/>
      <c r="DT125" s="174"/>
      <c r="DU125" s="174"/>
      <c r="DV125" s="174"/>
      <c r="DW125" s="174"/>
      <c r="DX125" s="174"/>
      <c r="DY125" s="174"/>
      <c r="DZ125" s="174"/>
      <c r="EA125" s="174"/>
      <c r="EB125" s="174"/>
      <c r="EC125" s="174"/>
      <c r="ED125" s="174"/>
      <c r="EE125" s="174"/>
      <c r="EF125" s="174"/>
      <c r="EG125" s="174"/>
      <c r="EH125" s="174"/>
      <c r="EI125" s="174"/>
      <c r="EJ125" s="174"/>
      <c r="EK125" s="174"/>
      <c r="EL125" s="174"/>
      <c r="EM125" s="174"/>
      <c r="EN125" s="174"/>
      <c r="EO125" s="174"/>
      <c r="EP125" s="174"/>
      <c r="EQ125" s="174"/>
      <c r="ER125" s="174"/>
      <c r="ES125" s="174"/>
      <c r="ET125" s="174"/>
      <c r="EU125" s="174"/>
      <c r="EV125" s="174"/>
      <c r="EW125" s="174"/>
      <c r="EX125" s="174"/>
      <c r="EY125" s="174"/>
      <c r="EZ125" s="174"/>
      <c r="FA125" s="174"/>
      <c r="FB125" s="174"/>
      <c r="FC125" s="174"/>
      <c r="FD125" s="174"/>
      <c r="FE125" s="174"/>
      <c r="FF125" s="174"/>
      <c r="FG125" s="174"/>
      <c r="FH125" s="174"/>
      <c r="FI125" s="174"/>
      <c r="FJ125" s="174"/>
      <c r="FK125" s="174"/>
      <c r="FL125" s="174"/>
      <c r="FM125" s="174"/>
      <c r="FN125" s="174"/>
      <c r="FO125" s="174"/>
      <c r="FP125" s="174"/>
      <c r="FQ125" s="174"/>
      <c r="FR125" s="174"/>
      <c r="FS125" s="174"/>
      <c r="FT125" s="174"/>
      <c r="FU125" s="174"/>
      <c r="FV125" s="174"/>
      <c r="FW125" s="174"/>
      <c r="FX125" s="174"/>
      <c r="FY125" s="174"/>
      <c r="FZ125" s="174"/>
      <c r="GA125" s="174"/>
      <c r="GB125" s="174"/>
      <c r="GC125" s="174"/>
      <c r="GD125" s="174"/>
      <c r="GE125" s="174"/>
      <c r="GF125" s="174"/>
      <c r="GG125" s="174"/>
      <c r="GH125" s="174"/>
      <c r="GI125" s="174"/>
      <c r="GJ125" s="174"/>
      <c r="GK125" s="174"/>
      <c r="GL125" s="174"/>
      <c r="GM125" s="174"/>
      <c r="GN125" s="174"/>
      <c r="GO125" s="174"/>
      <c r="GP125" s="174"/>
      <c r="GQ125" s="174"/>
      <c r="GR125" s="174"/>
    </row>
    <row r="126" spans="2:200" x14ac:dyDescent="0.2">
      <c r="B126" s="177"/>
      <c r="C126" s="177"/>
      <c r="D126" s="176"/>
      <c r="E126" s="176"/>
      <c r="F126" s="176"/>
      <c r="G126" s="176"/>
      <c r="H126" s="176"/>
      <c r="I126" s="176"/>
      <c r="J126" s="176"/>
      <c r="K126" s="176"/>
      <c r="L126" s="176"/>
      <c r="M126" s="176"/>
      <c r="N126" s="176"/>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74"/>
      <c r="EB126" s="174"/>
      <c r="EC126" s="174"/>
      <c r="ED126" s="174"/>
      <c r="EE126" s="174"/>
      <c r="EF126" s="174"/>
      <c r="EG126" s="174"/>
      <c r="EH126" s="174"/>
      <c r="EI126" s="174"/>
      <c r="EJ126" s="174"/>
      <c r="EK126" s="174"/>
      <c r="EL126" s="174"/>
      <c r="EM126" s="174"/>
      <c r="EN126" s="174"/>
      <c r="EO126" s="174"/>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c r="FP126" s="174"/>
      <c r="FQ126" s="174"/>
      <c r="FR126" s="174"/>
      <c r="FS126" s="174"/>
      <c r="FT126" s="174"/>
      <c r="FU126" s="174"/>
      <c r="FV126" s="174"/>
      <c r="FW126" s="174"/>
      <c r="FX126" s="174"/>
      <c r="FY126" s="174"/>
      <c r="FZ126" s="174"/>
      <c r="GA126" s="174"/>
      <c r="GB126" s="174"/>
      <c r="GC126" s="174"/>
      <c r="GD126" s="174"/>
      <c r="GE126" s="174"/>
      <c r="GF126" s="174"/>
      <c r="GG126" s="174"/>
      <c r="GH126" s="174"/>
      <c r="GI126" s="174"/>
      <c r="GJ126" s="174"/>
      <c r="GK126" s="174"/>
      <c r="GL126" s="174"/>
      <c r="GM126" s="174"/>
      <c r="GN126" s="174"/>
      <c r="GO126" s="174"/>
      <c r="GP126" s="174"/>
      <c r="GQ126" s="174"/>
      <c r="GR126" s="174"/>
    </row>
    <row r="127" spans="2:200" x14ac:dyDescent="0.2">
      <c r="B127" s="177"/>
      <c r="C127" s="177"/>
      <c r="D127" s="176"/>
      <c r="E127" s="176"/>
      <c r="F127" s="176"/>
      <c r="G127" s="176"/>
      <c r="H127" s="176"/>
      <c r="I127" s="176"/>
      <c r="J127" s="176"/>
      <c r="K127" s="176"/>
      <c r="L127" s="176"/>
      <c r="M127" s="176"/>
      <c r="N127" s="176"/>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c r="DJ127" s="174"/>
      <c r="DK127" s="174"/>
      <c r="DL127" s="174"/>
      <c r="DM127" s="174"/>
      <c r="DN127" s="174"/>
      <c r="DO127" s="174"/>
      <c r="DP127" s="174"/>
      <c r="DQ127" s="174"/>
      <c r="DR127" s="174"/>
      <c r="DS127" s="174"/>
      <c r="DT127" s="174"/>
      <c r="DU127" s="174"/>
      <c r="DV127" s="174"/>
      <c r="DW127" s="174"/>
      <c r="DX127" s="174"/>
      <c r="DY127" s="174"/>
      <c r="DZ127" s="174"/>
      <c r="EA127" s="174"/>
      <c r="EB127" s="174"/>
      <c r="EC127" s="174"/>
      <c r="ED127" s="174"/>
      <c r="EE127" s="174"/>
      <c r="EF127" s="174"/>
      <c r="EG127" s="174"/>
      <c r="EH127" s="174"/>
      <c r="EI127" s="174"/>
      <c r="EJ127" s="174"/>
      <c r="EK127" s="174"/>
      <c r="EL127" s="174"/>
      <c r="EM127" s="174"/>
      <c r="EN127" s="174"/>
      <c r="EO127" s="174"/>
      <c r="EP127" s="174"/>
      <c r="EQ127" s="174"/>
      <c r="ER127" s="174"/>
      <c r="ES127" s="174"/>
      <c r="ET127" s="174"/>
      <c r="EU127" s="174"/>
      <c r="EV127" s="174"/>
      <c r="EW127" s="174"/>
      <c r="EX127" s="174"/>
      <c r="EY127" s="174"/>
      <c r="EZ127" s="174"/>
      <c r="FA127" s="174"/>
      <c r="FB127" s="174"/>
      <c r="FC127" s="174"/>
      <c r="FD127" s="174"/>
      <c r="FE127" s="174"/>
      <c r="FF127" s="174"/>
      <c r="FG127" s="174"/>
      <c r="FH127" s="174"/>
      <c r="FI127" s="174"/>
      <c r="FJ127" s="174"/>
      <c r="FK127" s="174"/>
      <c r="FL127" s="174"/>
      <c r="FM127" s="174"/>
      <c r="FN127" s="174"/>
      <c r="FO127" s="174"/>
      <c r="FP127" s="174"/>
      <c r="FQ127" s="174"/>
      <c r="FR127" s="174"/>
      <c r="FS127" s="174"/>
      <c r="FT127" s="174"/>
      <c r="FU127" s="174"/>
      <c r="FV127" s="174"/>
      <c r="FW127" s="174"/>
      <c r="FX127" s="174"/>
      <c r="FY127" s="174"/>
      <c r="FZ127" s="174"/>
      <c r="GA127" s="174"/>
      <c r="GB127" s="174"/>
      <c r="GC127" s="174"/>
      <c r="GD127" s="174"/>
      <c r="GE127" s="174"/>
      <c r="GF127" s="174"/>
      <c r="GG127" s="174"/>
      <c r="GH127" s="174"/>
      <c r="GI127" s="174"/>
      <c r="GJ127" s="174"/>
      <c r="GK127" s="174"/>
      <c r="GL127" s="174"/>
      <c r="GM127" s="174"/>
      <c r="GN127" s="174"/>
      <c r="GO127" s="174"/>
      <c r="GP127" s="174"/>
      <c r="GQ127" s="174"/>
      <c r="GR127" s="174"/>
    </row>
    <row r="128" spans="2:200" x14ac:dyDescent="0.2">
      <c r="B128" s="177"/>
      <c r="C128" s="177"/>
      <c r="D128" s="176"/>
      <c r="E128" s="176"/>
      <c r="F128" s="176"/>
      <c r="G128" s="176"/>
      <c r="H128" s="176"/>
      <c r="I128" s="176"/>
      <c r="J128" s="176"/>
      <c r="K128" s="176"/>
      <c r="L128" s="176"/>
      <c r="M128" s="176"/>
      <c r="N128" s="176"/>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c r="DJ128" s="174"/>
      <c r="DK128" s="174"/>
      <c r="DL128" s="174"/>
      <c r="DM128" s="174"/>
      <c r="DN128" s="174"/>
      <c r="DO128" s="174"/>
      <c r="DP128" s="174"/>
      <c r="DQ128" s="174"/>
      <c r="DR128" s="174"/>
      <c r="DS128" s="174"/>
      <c r="DT128" s="174"/>
      <c r="DU128" s="174"/>
      <c r="DV128" s="174"/>
      <c r="DW128" s="174"/>
      <c r="DX128" s="174"/>
      <c r="DY128" s="174"/>
      <c r="DZ128" s="174"/>
      <c r="EA128" s="174"/>
      <c r="EB128" s="174"/>
      <c r="EC128" s="174"/>
      <c r="ED128" s="174"/>
      <c r="EE128" s="174"/>
      <c r="EF128" s="174"/>
      <c r="EG128" s="174"/>
      <c r="EH128" s="174"/>
      <c r="EI128" s="174"/>
      <c r="EJ128" s="174"/>
      <c r="EK128" s="174"/>
      <c r="EL128" s="174"/>
      <c r="EM128" s="174"/>
      <c r="EN128" s="174"/>
      <c r="EO128" s="174"/>
      <c r="EP128" s="174"/>
      <c r="EQ128" s="174"/>
      <c r="ER128" s="174"/>
      <c r="ES128" s="174"/>
      <c r="ET128" s="174"/>
      <c r="EU128" s="174"/>
      <c r="EV128" s="174"/>
      <c r="EW128" s="174"/>
      <c r="EX128" s="174"/>
      <c r="EY128" s="174"/>
      <c r="EZ128" s="174"/>
      <c r="FA128" s="174"/>
      <c r="FB128" s="174"/>
      <c r="FC128" s="174"/>
      <c r="FD128" s="174"/>
      <c r="FE128" s="174"/>
      <c r="FF128" s="174"/>
      <c r="FG128" s="174"/>
      <c r="FH128" s="174"/>
      <c r="FI128" s="174"/>
      <c r="FJ128" s="174"/>
      <c r="FK128" s="174"/>
      <c r="FL128" s="174"/>
      <c r="FM128" s="174"/>
      <c r="FN128" s="174"/>
      <c r="FO128" s="174"/>
      <c r="FP128" s="174"/>
      <c r="FQ128" s="174"/>
      <c r="FR128" s="174"/>
      <c r="FS128" s="174"/>
      <c r="FT128" s="174"/>
      <c r="FU128" s="174"/>
      <c r="FV128" s="174"/>
      <c r="FW128" s="174"/>
      <c r="FX128" s="174"/>
      <c r="FY128" s="174"/>
      <c r="FZ128" s="174"/>
      <c r="GA128" s="174"/>
      <c r="GB128" s="174"/>
      <c r="GC128" s="174"/>
      <c r="GD128" s="174"/>
      <c r="GE128" s="174"/>
      <c r="GF128" s="174"/>
      <c r="GG128" s="174"/>
      <c r="GH128" s="174"/>
      <c r="GI128" s="174"/>
      <c r="GJ128" s="174"/>
      <c r="GK128" s="174"/>
      <c r="GL128" s="174"/>
      <c r="GM128" s="174"/>
      <c r="GN128" s="174"/>
      <c r="GO128" s="174"/>
      <c r="GP128" s="174"/>
      <c r="GQ128" s="174"/>
      <c r="GR128" s="174"/>
    </row>
    <row r="129" spans="2:200" x14ac:dyDescent="0.2">
      <c r="B129" s="177"/>
      <c r="C129" s="177"/>
      <c r="D129" s="176"/>
      <c r="E129" s="176"/>
      <c r="F129" s="176"/>
      <c r="G129" s="176"/>
      <c r="H129" s="176"/>
      <c r="I129" s="176"/>
      <c r="J129" s="176"/>
      <c r="K129" s="176"/>
      <c r="L129" s="176"/>
      <c r="M129" s="176"/>
      <c r="N129" s="176"/>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4"/>
      <c r="DZ129" s="174"/>
      <c r="EA129" s="174"/>
      <c r="EB129" s="174"/>
      <c r="EC129" s="174"/>
      <c r="ED129" s="174"/>
      <c r="EE129" s="174"/>
      <c r="EF129" s="174"/>
      <c r="EG129" s="174"/>
      <c r="EH129" s="174"/>
      <c r="EI129" s="174"/>
      <c r="EJ129" s="174"/>
      <c r="EK129" s="174"/>
      <c r="EL129" s="174"/>
      <c r="EM129" s="174"/>
      <c r="EN129" s="174"/>
      <c r="EO129" s="174"/>
      <c r="EP129" s="174"/>
      <c r="EQ129" s="174"/>
      <c r="ER129" s="174"/>
      <c r="ES129" s="174"/>
      <c r="ET129" s="174"/>
      <c r="EU129" s="174"/>
      <c r="EV129" s="174"/>
      <c r="EW129" s="174"/>
      <c r="EX129" s="174"/>
      <c r="EY129" s="174"/>
      <c r="EZ129" s="174"/>
      <c r="FA129" s="174"/>
      <c r="FB129" s="174"/>
      <c r="FC129" s="174"/>
      <c r="FD129" s="174"/>
      <c r="FE129" s="174"/>
      <c r="FF129" s="174"/>
      <c r="FG129" s="174"/>
      <c r="FH129" s="174"/>
      <c r="FI129" s="174"/>
      <c r="FJ129" s="174"/>
      <c r="FK129" s="174"/>
      <c r="FL129" s="174"/>
      <c r="FM129" s="174"/>
      <c r="FN129" s="174"/>
      <c r="FO129" s="174"/>
      <c r="FP129" s="174"/>
      <c r="FQ129" s="174"/>
      <c r="FR129" s="174"/>
      <c r="FS129" s="174"/>
      <c r="FT129" s="174"/>
      <c r="FU129" s="174"/>
      <c r="FV129" s="174"/>
      <c r="FW129" s="174"/>
      <c r="FX129" s="174"/>
      <c r="FY129" s="174"/>
      <c r="FZ129" s="174"/>
      <c r="GA129" s="174"/>
      <c r="GB129" s="174"/>
      <c r="GC129" s="174"/>
      <c r="GD129" s="174"/>
      <c r="GE129" s="174"/>
      <c r="GF129" s="174"/>
      <c r="GG129" s="174"/>
      <c r="GH129" s="174"/>
      <c r="GI129" s="174"/>
      <c r="GJ129" s="174"/>
      <c r="GK129" s="174"/>
      <c r="GL129" s="174"/>
      <c r="GM129" s="174"/>
      <c r="GN129" s="174"/>
      <c r="GO129" s="174"/>
      <c r="GP129" s="174"/>
      <c r="GQ129" s="174"/>
      <c r="GR129" s="174"/>
    </row>
    <row r="130" spans="2:200" x14ac:dyDescent="0.2">
      <c r="B130" s="177"/>
      <c r="C130" s="177"/>
      <c r="D130" s="176"/>
      <c r="E130" s="176"/>
      <c r="F130" s="176"/>
      <c r="G130" s="176"/>
      <c r="H130" s="176"/>
      <c r="I130" s="176"/>
      <c r="J130" s="176"/>
      <c r="K130" s="176"/>
      <c r="L130" s="176"/>
      <c r="M130" s="176"/>
      <c r="N130" s="176"/>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74"/>
      <c r="DM130" s="174"/>
      <c r="DN130" s="174"/>
      <c r="DO130" s="174"/>
      <c r="DP130" s="174"/>
      <c r="DQ130" s="174"/>
      <c r="DR130" s="174"/>
      <c r="DS130" s="174"/>
      <c r="DT130" s="174"/>
      <c r="DU130" s="174"/>
      <c r="DV130" s="174"/>
      <c r="DW130" s="174"/>
      <c r="DX130" s="174"/>
      <c r="DY130" s="174"/>
      <c r="DZ130" s="174"/>
      <c r="EA130" s="174"/>
      <c r="EB130" s="174"/>
      <c r="EC130" s="174"/>
      <c r="ED130" s="174"/>
      <c r="EE130" s="174"/>
      <c r="EF130" s="174"/>
      <c r="EG130" s="174"/>
      <c r="EH130" s="174"/>
      <c r="EI130" s="174"/>
      <c r="EJ130" s="174"/>
      <c r="EK130" s="174"/>
      <c r="EL130" s="174"/>
      <c r="EM130" s="174"/>
      <c r="EN130" s="174"/>
      <c r="EO130" s="174"/>
      <c r="EP130" s="174"/>
      <c r="EQ130" s="174"/>
      <c r="ER130" s="174"/>
      <c r="ES130" s="174"/>
      <c r="ET130" s="174"/>
      <c r="EU130" s="174"/>
      <c r="EV130" s="174"/>
      <c r="EW130" s="174"/>
      <c r="EX130" s="174"/>
      <c r="EY130" s="174"/>
      <c r="EZ130" s="174"/>
      <c r="FA130" s="174"/>
      <c r="FB130" s="174"/>
      <c r="FC130" s="174"/>
      <c r="FD130" s="174"/>
      <c r="FE130" s="174"/>
      <c r="FF130" s="174"/>
      <c r="FG130" s="174"/>
      <c r="FH130" s="174"/>
      <c r="FI130" s="174"/>
      <c r="FJ130" s="174"/>
      <c r="FK130" s="174"/>
      <c r="FL130" s="174"/>
      <c r="FM130" s="174"/>
      <c r="FN130" s="174"/>
      <c r="FO130" s="174"/>
      <c r="FP130" s="174"/>
      <c r="FQ130" s="174"/>
      <c r="FR130" s="174"/>
      <c r="FS130" s="174"/>
      <c r="FT130" s="174"/>
      <c r="FU130" s="174"/>
      <c r="FV130" s="174"/>
      <c r="FW130" s="174"/>
      <c r="FX130" s="174"/>
      <c r="FY130" s="174"/>
      <c r="FZ130" s="174"/>
      <c r="GA130" s="174"/>
      <c r="GB130" s="174"/>
      <c r="GC130" s="174"/>
      <c r="GD130" s="174"/>
      <c r="GE130" s="174"/>
      <c r="GF130" s="174"/>
      <c r="GG130" s="174"/>
      <c r="GH130" s="174"/>
      <c r="GI130" s="174"/>
      <c r="GJ130" s="174"/>
      <c r="GK130" s="174"/>
      <c r="GL130" s="174"/>
      <c r="GM130" s="174"/>
      <c r="GN130" s="174"/>
      <c r="GO130" s="174"/>
      <c r="GP130" s="174"/>
      <c r="GQ130" s="174"/>
      <c r="GR130" s="174"/>
    </row>
    <row r="131" spans="2:200" x14ac:dyDescent="0.2">
      <c r="B131" s="177"/>
      <c r="C131" s="177"/>
      <c r="D131" s="176"/>
      <c r="E131" s="176"/>
      <c r="F131" s="176"/>
      <c r="G131" s="176"/>
      <c r="H131" s="176"/>
      <c r="I131" s="176"/>
      <c r="J131" s="176"/>
      <c r="K131" s="176"/>
      <c r="L131" s="176"/>
      <c r="M131" s="176"/>
      <c r="N131" s="176"/>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c r="DJ131" s="174"/>
      <c r="DK131" s="174"/>
      <c r="DL131" s="174"/>
      <c r="DM131" s="174"/>
      <c r="DN131" s="174"/>
      <c r="DO131" s="174"/>
      <c r="DP131" s="174"/>
      <c r="DQ131" s="174"/>
      <c r="DR131" s="174"/>
      <c r="DS131" s="174"/>
      <c r="DT131" s="174"/>
      <c r="DU131" s="174"/>
      <c r="DV131" s="174"/>
      <c r="DW131" s="174"/>
      <c r="DX131" s="174"/>
      <c r="DY131" s="174"/>
      <c r="DZ131" s="174"/>
      <c r="EA131" s="174"/>
      <c r="EB131" s="174"/>
      <c r="EC131" s="174"/>
      <c r="ED131" s="174"/>
      <c r="EE131" s="174"/>
      <c r="EF131" s="174"/>
      <c r="EG131" s="174"/>
      <c r="EH131" s="174"/>
      <c r="EI131" s="174"/>
      <c r="EJ131" s="174"/>
      <c r="EK131" s="174"/>
      <c r="EL131" s="174"/>
      <c r="EM131" s="174"/>
      <c r="EN131" s="174"/>
      <c r="EO131" s="174"/>
      <c r="EP131" s="174"/>
      <c r="EQ131" s="174"/>
      <c r="ER131" s="174"/>
      <c r="ES131" s="174"/>
      <c r="ET131" s="174"/>
      <c r="EU131" s="174"/>
      <c r="EV131" s="174"/>
      <c r="EW131" s="174"/>
      <c r="EX131" s="174"/>
      <c r="EY131" s="174"/>
      <c r="EZ131" s="174"/>
      <c r="FA131" s="174"/>
      <c r="FB131" s="174"/>
      <c r="FC131" s="174"/>
      <c r="FD131" s="174"/>
      <c r="FE131" s="174"/>
      <c r="FF131" s="174"/>
      <c r="FG131" s="174"/>
      <c r="FH131" s="174"/>
      <c r="FI131" s="174"/>
      <c r="FJ131" s="174"/>
      <c r="FK131" s="174"/>
      <c r="FL131" s="174"/>
      <c r="FM131" s="174"/>
      <c r="FN131" s="174"/>
      <c r="FO131" s="174"/>
      <c r="FP131" s="174"/>
      <c r="FQ131" s="174"/>
      <c r="FR131" s="174"/>
      <c r="FS131" s="174"/>
      <c r="FT131" s="174"/>
      <c r="FU131" s="174"/>
      <c r="FV131" s="174"/>
      <c r="FW131" s="174"/>
      <c r="FX131" s="174"/>
      <c r="FY131" s="174"/>
      <c r="FZ131" s="174"/>
      <c r="GA131" s="174"/>
      <c r="GB131" s="174"/>
      <c r="GC131" s="174"/>
      <c r="GD131" s="174"/>
      <c r="GE131" s="174"/>
      <c r="GF131" s="174"/>
      <c r="GG131" s="174"/>
      <c r="GH131" s="174"/>
      <c r="GI131" s="174"/>
      <c r="GJ131" s="174"/>
      <c r="GK131" s="174"/>
      <c r="GL131" s="174"/>
      <c r="GM131" s="174"/>
      <c r="GN131" s="174"/>
      <c r="GO131" s="174"/>
      <c r="GP131" s="174"/>
      <c r="GQ131" s="174"/>
      <c r="GR131" s="174"/>
    </row>
    <row r="132" spans="2:200" x14ac:dyDescent="0.2">
      <c r="B132" s="177"/>
      <c r="C132" s="177"/>
      <c r="D132" s="176"/>
      <c r="E132" s="176"/>
      <c r="F132" s="176"/>
      <c r="G132" s="176"/>
      <c r="H132" s="176"/>
      <c r="I132" s="176"/>
      <c r="J132" s="176"/>
      <c r="K132" s="176"/>
      <c r="L132" s="176"/>
      <c r="M132" s="176"/>
      <c r="N132" s="176"/>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c r="DJ132" s="174"/>
      <c r="DK132" s="174"/>
      <c r="DL132" s="174"/>
      <c r="DM132" s="174"/>
      <c r="DN132" s="174"/>
      <c r="DO132" s="174"/>
      <c r="DP132" s="174"/>
      <c r="DQ132" s="174"/>
      <c r="DR132" s="174"/>
      <c r="DS132" s="174"/>
      <c r="DT132" s="174"/>
      <c r="DU132" s="174"/>
      <c r="DV132" s="174"/>
      <c r="DW132" s="174"/>
      <c r="DX132" s="174"/>
      <c r="DY132" s="174"/>
      <c r="DZ132" s="174"/>
      <c r="EA132" s="174"/>
      <c r="EB132" s="174"/>
      <c r="EC132" s="174"/>
      <c r="ED132" s="174"/>
      <c r="EE132" s="174"/>
      <c r="EF132" s="174"/>
      <c r="EG132" s="174"/>
      <c r="EH132" s="174"/>
      <c r="EI132" s="174"/>
      <c r="EJ132" s="174"/>
      <c r="EK132" s="174"/>
      <c r="EL132" s="174"/>
      <c r="EM132" s="174"/>
      <c r="EN132" s="174"/>
      <c r="EO132" s="174"/>
      <c r="EP132" s="174"/>
      <c r="EQ132" s="174"/>
      <c r="ER132" s="174"/>
      <c r="ES132" s="174"/>
      <c r="ET132" s="174"/>
      <c r="EU132" s="174"/>
      <c r="EV132" s="174"/>
      <c r="EW132" s="174"/>
      <c r="EX132" s="174"/>
      <c r="EY132" s="174"/>
      <c r="EZ132" s="174"/>
      <c r="FA132" s="174"/>
      <c r="FB132" s="174"/>
      <c r="FC132" s="174"/>
      <c r="FD132" s="174"/>
      <c r="FE132" s="174"/>
      <c r="FF132" s="174"/>
      <c r="FG132" s="174"/>
      <c r="FH132" s="174"/>
      <c r="FI132" s="174"/>
      <c r="FJ132" s="174"/>
      <c r="FK132" s="174"/>
      <c r="FL132" s="174"/>
      <c r="FM132" s="174"/>
      <c r="FN132" s="174"/>
      <c r="FO132" s="174"/>
      <c r="FP132" s="174"/>
      <c r="FQ132" s="174"/>
      <c r="FR132" s="174"/>
      <c r="FS132" s="174"/>
      <c r="FT132" s="174"/>
      <c r="FU132" s="174"/>
      <c r="FV132" s="174"/>
      <c r="FW132" s="174"/>
      <c r="FX132" s="174"/>
      <c r="FY132" s="174"/>
      <c r="FZ132" s="174"/>
      <c r="GA132" s="174"/>
      <c r="GB132" s="174"/>
      <c r="GC132" s="174"/>
      <c r="GD132" s="174"/>
      <c r="GE132" s="174"/>
      <c r="GF132" s="174"/>
      <c r="GG132" s="174"/>
      <c r="GH132" s="174"/>
      <c r="GI132" s="174"/>
      <c r="GJ132" s="174"/>
      <c r="GK132" s="174"/>
      <c r="GL132" s="174"/>
      <c r="GM132" s="174"/>
      <c r="GN132" s="174"/>
      <c r="GO132" s="174"/>
      <c r="GP132" s="174"/>
      <c r="GQ132" s="174"/>
      <c r="GR132" s="174"/>
    </row>
    <row r="133" spans="2:200" x14ac:dyDescent="0.2">
      <c r="B133" s="177"/>
      <c r="C133" s="177"/>
      <c r="D133" s="176"/>
      <c r="E133" s="176"/>
      <c r="F133" s="176"/>
      <c r="G133" s="176"/>
      <c r="H133" s="176"/>
      <c r="I133" s="176"/>
      <c r="J133" s="176"/>
      <c r="K133" s="176"/>
      <c r="L133" s="176"/>
      <c r="M133" s="176"/>
      <c r="N133" s="176"/>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c r="DJ133" s="174"/>
      <c r="DK133" s="174"/>
      <c r="DL133" s="174"/>
      <c r="DM133" s="174"/>
      <c r="DN133" s="174"/>
      <c r="DO133" s="174"/>
      <c r="DP133" s="174"/>
      <c r="DQ133" s="174"/>
      <c r="DR133" s="174"/>
      <c r="DS133" s="174"/>
      <c r="DT133" s="174"/>
      <c r="DU133" s="174"/>
      <c r="DV133" s="174"/>
      <c r="DW133" s="174"/>
      <c r="DX133" s="174"/>
      <c r="DY133" s="174"/>
      <c r="DZ133" s="174"/>
      <c r="EA133" s="174"/>
      <c r="EB133" s="174"/>
      <c r="EC133" s="174"/>
      <c r="ED133" s="174"/>
      <c r="EE133" s="174"/>
      <c r="EF133" s="174"/>
      <c r="EG133" s="174"/>
      <c r="EH133" s="174"/>
      <c r="EI133" s="174"/>
      <c r="EJ133" s="174"/>
      <c r="EK133" s="174"/>
      <c r="EL133" s="174"/>
      <c r="EM133" s="174"/>
      <c r="EN133" s="174"/>
      <c r="EO133" s="174"/>
      <c r="EP133" s="174"/>
      <c r="EQ133" s="174"/>
      <c r="ER133" s="174"/>
      <c r="ES133" s="174"/>
      <c r="ET133" s="174"/>
      <c r="EU133" s="174"/>
      <c r="EV133" s="174"/>
      <c r="EW133" s="174"/>
      <c r="EX133" s="174"/>
      <c r="EY133" s="174"/>
      <c r="EZ133" s="174"/>
      <c r="FA133" s="174"/>
      <c r="FB133" s="174"/>
      <c r="FC133" s="174"/>
      <c r="FD133" s="174"/>
      <c r="FE133" s="174"/>
      <c r="FF133" s="174"/>
      <c r="FG133" s="174"/>
      <c r="FH133" s="174"/>
      <c r="FI133" s="174"/>
      <c r="FJ133" s="174"/>
      <c r="FK133" s="174"/>
      <c r="FL133" s="174"/>
      <c r="FM133" s="174"/>
      <c r="FN133" s="174"/>
      <c r="FO133" s="174"/>
      <c r="FP133" s="174"/>
      <c r="FQ133" s="174"/>
      <c r="FR133" s="174"/>
      <c r="FS133" s="174"/>
      <c r="FT133" s="174"/>
      <c r="FU133" s="174"/>
      <c r="FV133" s="174"/>
      <c r="FW133" s="174"/>
      <c r="FX133" s="174"/>
      <c r="FY133" s="174"/>
      <c r="FZ133" s="174"/>
      <c r="GA133" s="174"/>
      <c r="GB133" s="174"/>
      <c r="GC133" s="174"/>
      <c r="GD133" s="174"/>
      <c r="GE133" s="174"/>
      <c r="GF133" s="174"/>
      <c r="GG133" s="174"/>
      <c r="GH133" s="174"/>
      <c r="GI133" s="174"/>
      <c r="GJ133" s="174"/>
      <c r="GK133" s="174"/>
      <c r="GL133" s="174"/>
      <c r="GM133" s="174"/>
      <c r="GN133" s="174"/>
      <c r="GO133" s="174"/>
      <c r="GP133" s="174"/>
      <c r="GQ133" s="174"/>
      <c r="GR133" s="174"/>
    </row>
    <row r="134" spans="2:200" x14ac:dyDescent="0.2">
      <c r="B134" s="177"/>
      <c r="C134" s="177"/>
      <c r="D134" s="176"/>
      <c r="E134" s="176"/>
      <c r="F134" s="176"/>
      <c r="G134" s="176"/>
      <c r="H134" s="176"/>
      <c r="I134" s="176"/>
      <c r="J134" s="176"/>
      <c r="K134" s="176"/>
      <c r="L134" s="176"/>
      <c r="M134" s="176"/>
      <c r="N134" s="176"/>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c r="DJ134" s="174"/>
      <c r="DK134" s="174"/>
      <c r="DL134" s="174"/>
      <c r="DM134" s="174"/>
      <c r="DN134" s="174"/>
      <c r="DO134" s="174"/>
      <c r="DP134" s="174"/>
      <c r="DQ134" s="174"/>
      <c r="DR134" s="174"/>
      <c r="DS134" s="174"/>
      <c r="DT134" s="174"/>
      <c r="DU134" s="174"/>
      <c r="DV134" s="174"/>
      <c r="DW134" s="174"/>
      <c r="DX134" s="174"/>
      <c r="DY134" s="174"/>
      <c r="DZ134" s="174"/>
      <c r="EA134" s="174"/>
      <c r="EB134" s="174"/>
      <c r="EC134" s="174"/>
      <c r="ED134" s="174"/>
      <c r="EE134" s="174"/>
      <c r="EF134" s="174"/>
      <c r="EG134" s="174"/>
      <c r="EH134" s="174"/>
      <c r="EI134" s="174"/>
      <c r="EJ134" s="174"/>
      <c r="EK134" s="174"/>
      <c r="EL134" s="174"/>
      <c r="EM134" s="174"/>
      <c r="EN134" s="174"/>
      <c r="EO134" s="174"/>
      <c r="EP134" s="174"/>
      <c r="EQ134" s="174"/>
      <c r="ER134" s="174"/>
      <c r="ES134" s="174"/>
      <c r="ET134" s="174"/>
      <c r="EU134" s="174"/>
      <c r="EV134" s="174"/>
      <c r="EW134" s="174"/>
      <c r="EX134" s="174"/>
      <c r="EY134" s="174"/>
      <c r="EZ134" s="174"/>
      <c r="FA134" s="174"/>
      <c r="FB134" s="174"/>
      <c r="FC134" s="174"/>
      <c r="FD134" s="174"/>
      <c r="FE134" s="174"/>
      <c r="FF134" s="174"/>
      <c r="FG134" s="174"/>
      <c r="FH134" s="174"/>
      <c r="FI134" s="174"/>
      <c r="FJ134" s="174"/>
      <c r="FK134" s="174"/>
      <c r="FL134" s="174"/>
      <c r="FM134" s="174"/>
      <c r="FN134" s="174"/>
      <c r="FO134" s="174"/>
      <c r="FP134" s="174"/>
      <c r="FQ134" s="174"/>
      <c r="FR134" s="174"/>
      <c r="FS134" s="174"/>
      <c r="FT134" s="174"/>
      <c r="FU134" s="174"/>
      <c r="FV134" s="174"/>
      <c r="FW134" s="174"/>
      <c r="FX134" s="174"/>
      <c r="FY134" s="174"/>
      <c r="FZ134" s="174"/>
      <c r="GA134" s="174"/>
      <c r="GB134" s="174"/>
      <c r="GC134" s="174"/>
      <c r="GD134" s="174"/>
      <c r="GE134" s="174"/>
      <c r="GF134" s="174"/>
      <c r="GG134" s="174"/>
      <c r="GH134" s="174"/>
      <c r="GI134" s="174"/>
      <c r="GJ134" s="174"/>
      <c r="GK134" s="174"/>
      <c r="GL134" s="174"/>
      <c r="GM134" s="174"/>
      <c r="GN134" s="174"/>
      <c r="GO134" s="174"/>
      <c r="GP134" s="174"/>
      <c r="GQ134" s="174"/>
      <c r="GR134" s="174"/>
    </row>
    <row r="135" spans="2:200" x14ac:dyDescent="0.2">
      <c r="B135" s="177"/>
      <c r="C135" s="177"/>
      <c r="D135" s="176"/>
      <c r="E135" s="176"/>
      <c r="F135" s="176"/>
      <c r="G135" s="176"/>
      <c r="H135" s="176"/>
      <c r="I135" s="176"/>
      <c r="J135" s="176"/>
      <c r="K135" s="176"/>
      <c r="L135" s="176"/>
      <c r="M135" s="176"/>
      <c r="N135" s="176"/>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c r="EA135" s="174"/>
      <c r="EB135" s="174"/>
      <c r="EC135" s="174"/>
      <c r="ED135" s="174"/>
      <c r="EE135" s="174"/>
      <c r="EF135" s="174"/>
      <c r="EG135" s="174"/>
      <c r="EH135" s="174"/>
      <c r="EI135" s="174"/>
      <c r="EJ135" s="174"/>
      <c r="EK135" s="174"/>
      <c r="EL135" s="174"/>
      <c r="EM135" s="174"/>
      <c r="EN135" s="174"/>
      <c r="EO135" s="174"/>
      <c r="EP135" s="174"/>
      <c r="EQ135" s="174"/>
      <c r="ER135" s="174"/>
      <c r="ES135" s="174"/>
      <c r="ET135" s="174"/>
      <c r="EU135" s="174"/>
      <c r="EV135" s="174"/>
      <c r="EW135" s="174"/>
      <c r="EX135" s="174"/>
      <c r="EY135" s="174"/>
      <c r="EZ135" s="174"/>
      <c r="FA135" s="174"/>
      <c r="FB135" s="174"/>
      <c r="FC135" s="174"/>
      <c r="FD135" s="174"/>
      <c r="FE135" s="174"/>
      <c r="FF135" s="174"/>
      <c r="FG135" s="174"/>
      <c r="FH135" s="174"/>
      <c r="FI135" s="174"/>
      <c r="FJ135" s="174"/>
      <c r="FK135" s="174"/>
      <c r="FL135" s="174"/>
      <c r="FM135" s="174"/>
      <c r="FN135" s="174"/>
      <c r="FO135" s="174"/>
      <c r="FP135" s="174"/>
      <c r="FQ135" s="174"/>
      <c r="FR135" s="174"/>
      <c r="FS135" s="174"/>
      <c r="FT135" s="174"/>
      <c r="FU135" s="174"/>
      <c r="FV135" s="174"/>
      <c r="FW135" s="174"/>
      <c r="FX135" s="174"/>
      <c r="FY135" s="174"/>
      <c r="FZ135" s="174"/>
      <c r="GA135" s="174"/>
      <c r="GB135" s="174"/>
      <c r="GC135" s="174"/>
      <c r="GD135" s="174"/>
      <c r="GE135" s="174"/>
      <c r="GF135" s="174"/>
      <c r="GG135" s="174"/>
      <c r="GH135" s="174"/>
      <c r="GI135" s="174"/>
      <c r="GJ135" s="174"/>
      <c r="GK135" s="174"/>
      <c r="GL135" s="174"/>
      <c r="GM135" s="174"/>
      <c r="GN135" s="174"/>
      <c r="GO135" s="174"/>
      <c r="GP135" s="174"/>
      <c r="GQ135" s="174"/>
      <c r="GR135" s="174"/>
    </row>
    <row r="136" spans="2:200" x14ac:dyDescent="0.2">
      <c r="B136" s="177"/>
      <c r="C136" s="177"/>
      <c r="D136" s="176"/>
      <c r="E136" s="176"/>
      <c r="F136" s="176"/>
      <c r="G136" s="176"/>
      <c r="H136" s="176"/>
      <c r="I136" s="176"/>
      <c r="J136" s="176"/>
      <c r="K136" s="176"/>
      <c r="L136" s="176"/>
      <c r="M136" s="176"/>
      <c r="N136" s="176"/>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74"/>
      <c r="EB136" s="174"/>
      <c r="EC136" s="174"/>
      <c r="ED136" s="174"/>
      <c r="EE136" s="174"/>
      <c r="EF136" s="174"/>
      <c r="EG136" s="174"/>
      <c r="EH136" s="174"/>
      <c r="EI136" s="174"/>
      <c r="EJ136" s="174"/>
      <c r="EK136" s="174"/>
      <c r="EL136" s="174"/>
      <c r="EM136" s="174"/>
      <c r="EN136" s="174"/>
      <c r="EO136" s="174"/>
      <c r="EP136" s="174"/>
      <c r="EQ136" s="174"/>
      <c r="ER136" s="174"/>
      <c r="ES136" s="174"/>
      <c r="ET136" s="174"/>
      <c r="EU136" s="174"/>
      <c r="EV136" s="174"/>
      <c r="EW136" s="174"/>
      <c r="EX136" s="174"/>
      <c r="EY136" s="174"/>
      <c r="EZ136" s="174"/>
      <c r="FA136" s="174"/>
      <c r="FB136" s="174"/>
      <c r="FC136" s="174"/>
      <c r="FD136" s="174"/>
      <c r="FE136" s="174"/>
      <c r="FF136" s="174"/>
      <c r="FG136" s="174"/>
      <c r="FH136" s="174"/>
      <c r="FI136" s="174"/>
      <c r="FJ136" s="174"/>
      <c r="FK136" s="174"/>
      <c r="FL136" s="174"/>
      <c r="FM136" s="174"/>
      <c r="FN136" s="174"/>
      <c r="FO136" s="174"/>
      <c r="FP136" s="174"/>
      <c r="FQ136" s="174"/>
      <c r="FR136" s="174"/>
      <c r="FS136" s="174"/>
      <c r="FT136" s="174"/>
      <c r="FU136" s="174"/>
      <c r="FV136" s="174"/>
      <c r="FW136" s="174"/>
      <c r="FX136" s="174"/>
      <c r="FY136" s="174"/>
      <c r="FZ136" s="174"/>
      <c r="GA136" s="174"/>
      <c r="GB136" s="174"/>
      <c r="GC136" s="174"/>
      <c r="GD136" s="174"/>
      <c r="GE136" s="174"/>
      <c r="GF136" s="174"/>
      <c r="GG136" s="174"/>
      <c r="GH136" s="174"/>
      <c r="GI136" s="174"/>
      <c r="GJ136" s="174"/>
      <c r="GK136" s="174"/>
      <c r="GL136" s="174"/>
      <c r="GM136" s="174"/>
      <c r="GN136" s="174"/>
      <c r="GO136" s="174"/>
      <c r="GP136" s="174"/>
      <c r="GQ136" s="174"/>
      <c r="GR136" s="174"/>
    </row>
    <row r="137" spans="2:200" x14ac:dyDescent="0.2">
      <c r="B137" s="177"/>
      <c r="C137" s="177"/>
      <c r="D137" s="176"/>
      <c r="E137" s="176"/>
      <c r="F137" s="176"/>
      <c r="G137" s="176"/>
      <c r="H137" s="176"/>
      <c r="I137" s="176"/>
      <c r="J137" s="176"/>
      <c r="K137" s="176"/>
      <c r="L137" s="176"/>
      <c r="M137" s="176"/>
      <c r="N137" s="176"/>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74"/>
      <c r="EB137" s="174"/>
      <c r="EC137" s="174"/>
      <c r="ED137" s="174"/>
      <c r="EE137" s="174"/>
      <c r="EF137" s="174"/>
      <c r="EG137" s="174"/>
      <c r="EH137" s="174"/>
      <c r="EI137" s="174"/>
      <c r="EJ137" s="174"/>
      <c r="EK137" s="174"/>
      <c r="EL137" s="174"/>
      <c r="EM137" s="174"/>
      <c r="EN137" s="174"/>
      <c r="EO137" s="174"/>
      <c r="EP137" s="174"/>
      <c r="EQ137" s="174"/>
      <c r="ER137" s="174"/>
      <c r="ES137" s="174"/>
      <c r="ET137" s="174"/>
      <c r="EU137" s="174"/>
      <c r="EV137" s="174"/>
      <c r="EW137" s="174"/>
      <c r="EX137" s="174"/>
      <c r="EY137" s="174"/>
      <c r="EZ137" s="174"/>
      <c r="FA137" s="174"/>
      <c r="FB137" s="174"/>
      <c r="FC137" s="174"/>
      <c r="FD137" s="174"/>
      <c r="FE137" s="174"/>
      <c r="FF137" s="174"/>
      <c r="FG137" s="174"/>
      <c r="FH137" s="174"/>
      <c r="FI137" s="174"/>
      <c r="FJ137" s="174"/>
      <c r="FK137" s="174"/>
      <c r="FL137" s="174"/>
      <c r="FM137" s="174"/>
      <c r="FN137" s="174"/>
      <c r="FO137" s="174"/>
      <c r="FP137" s="174"/>
      <c r="FQ137" s="174"/>
      <c r="FR137" s="174"/>
      <c r="FS137" s="174"/>
      <c r="FT137" s="174"/>
      <c r="FU137" s="174"/>
      <c r="FV137" s="174"/>
      <c r="FW137" s="174"/>
      <c r="FX137" s="174"/>
      <c r="FY137" s="174"/>
      <c r="FZ137" s="174"/>
      <c r="GA137" s="174"/>
      <c r="GB137" s="174"/>
      <c r="GC137" s="174"/>
      <c r="GD137" s="174"/>
      <c r="GE137" s="174"/>
      <c r="GF137" s="174"/>
      <c r="GG137" s="174"/>
      <c r="GH137" s="174"/>
      <c r="GI137" s="174"/>
      <c r="GJ137" s="174"/>
      <c r="GK137" s="174"/>
      <c r="GL137" s="174"/>
      <c r="GM137" s="174"/>
      <c r="GN137" s="174"/>
      <c r="GO137" s="174"/>
      <c r="GP137" s="174"/>
      <c r="GQ137" s="174"/>
      <c r="GR137" s="174"/>
    </row>
    <row r="138" spans="2:200" x14ac:dyDescent="0.2">
      <c r="B138" s="177"/>
      <c r="C138" s="177"/>
      <c r="D138" s="176"/>
      <c r="E138" s="176"/>
      <c r="F138" s="176"/>
      <c r="G138" s="176"/>
      <c r="H138" s="176"/>
      <c r="I138" s="176"/>
      <c r="J138" s="176"/>
      <c r="K138" s="176"/>
      <c r="L138" s="176"/>
      <c r="M138" s="176"/>
      <c r="N138" s="176"/>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74"/>
      <c r="EB138" s="174"/>
      <c r="EC138" s="174"/>
      <c r="ED138" s="174"/>
      <c r="EE138" s="174"/>
      <c r="EF138" s="174"/>
      <c r="EG138" s="174"/>
      <c r="EH138" s="174"/>
      <c r="EI138" s="174"/>
      <c r="EJ138" s="174"/>
      <c r="EK138" s="174"/>
      <c r="EL138" s="174"/>
      <c r="EM138" s="174"/>
      <c r="EN138" s="174"/>
      <c r="EO138" s="174"/>
      <c r="EP138" s="174"/>
      <c r="EQ138" s="174"/>
      <c r="ER138" s="174"/>
      <c r="ES138" s="174"/>
      <c r="ET138" s="174"/>
      <c r="EU138" s="174"/>
      <c r="EV138" s="174"/>
      <c r="EW138" s="174"/>
      <c r="EX138" s="174"/>
      <c r="EY138" s="174"/>
      <c r="EZ138" s="174"/>
      <c r="FA138" s="174"/>
      <c r="FB138" s="174"/>
      <c r="FC138" s="174"/>
      <c r="FD138" s="174"/>
      <c r="FE138" s="174"/>
      <c r="FF138" s="174"/>
      <c r="FG138" s="174"/>
      <c r="FH138" s="174"/>
      <c r="FI138" s="174"/>
      <c r="FJ138" s="174"/>
      <c r="FK138" s="174"/>
      <c r="FL138" s="174"/>
      <c r="FM138" s="174"/>
      <c r="FN138" s="174"/>
      <c r="FO138" s="174"/>
      <c r="FP138" s="174"/>
      <c r="FQ138" s="174"/>
      <c r="FR138" s="174"/>
      <c r="FS138" s="174"/>
      <c r="FT138" s="174"/>
      <c r="FU138" s="174"/>
      <c r="FV138" s="174"/>
      <c r="FW138" s="174"/>
      <c r="FX138" s="174"/>
      <c r="FY138" s="174"/>
      <c r="FZ138" s="174"/>
      <c r="GA138" s="174"/>
      <c r="GB138" s="174"/>
      <c r="GC138" s="174"/>
      <c r="GD138" s="174"/>
      <c r="GE138" s="174"/>
      <c r="GF138" s="174"/>
      <c r="GG138" s="174"/>
      <c r="GH138" s="174"/>
      <c r="GI138" s="174"/>
      <c r="GJ138" s="174"/>
      <c r="GK138" s="174"/>
      <c r="GL138" s="174"/>
      <c r="GM138" s="174"/>
      <c r="GN138" s="174"/>
      <c r="GO138" s="174"/>
      <c r="GP138" s="174"/>
      <c r="GQ138" s="174"/>
      <c r="GR138" s="174"/>
    </row>
    <row r="139" spans="2:200" x14ac:dyDescent="0.2">
      <c r="B139" s="177"/>
      <c r="C139" s="177"/>
      <c r="D139" s="176"/>
      <c r="E139" s="176"/>
      <c r="F139" s="176"/>
      <c r="G139" s="176"/>
      <c r="H139" s="176"/>
      <c r="I139" s="176"/>
      <c r="J139" s="176"/>
      <c r="K139" s="176"/>
      <c r="L139" s="176"/>
      <c r="M139" s="176"/>
      <c r="N139" s="176"/>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4"/>
      <c r="EW139" s="174"/>
      <c r="EX139" s="174"/>
      <c r="EY139" s="174"/>
      <c r="EZ139" s="174"/>
      <c r="FA139" s="174"/>
      <c r="FB139" s="174"/>
      <c r="FC139" s="174"/>
      <c r="FD139" s="174"/>
      <c r="FE139" s="174"/>
      <c r="FF139" s="174"/>
      <c r="FG139" s="174"/>
      <c r="FH139" s="174"/>
      <c r="FI139" s="174"/>
      <c r="FJ139" s="174"/>
      <c r="FK139" s="174"/>
      <c r="FL139" s="174"/>
      <c r="FM139" s="174"/>
      <c r="FN139" s="174"/>
      <c r="FO139" s="174"/>
      <c r="FP139" s="174"/>
      <c r="FQ139" s="174"/>
      <c r="FR139" s="174"/>
      <c r="FS139" s="174"/>
      <c r="FT139" s="174"/>
      <c r="FU139" s="174"/>
      <c r="FV139" s="174"/>
      <c r="FW139" s="174"/>
      <c r="FX139" s="174"/>
      <c r="FY139" s="174"/>
      <c r="FZ139" s="174"/>
      <c r="GA139" s="174"/>
      <c r="GB139" s="174"/>
      <c r="GC139" s="174"/>
      <c r="GD139" s="174"/>
      <c r="GE139" s="174"/>
      <c r="GF139" s="174"/>
      <c r="GG139" s="174"/>
      <c r="GH139" s="174"/>
      <c r="GI139" s="174"/>
      <c r="GJ139" s="174"/>
      <c r="GK139" s="174"/>
      <c r="GL139" s="174"/>
      <c r="GM139" s="174"/>
      <c r="GN139" s="174"/>
      <c r="GO139" s="174"/>
      <c r="GP139" s="174"/>
      <c r="GQ139" s="174"/>
      <c r="GR139" s="174"/>
    </row>
    <row r="140" spans="2:200" x14ac:dyDescent="0.2">
      <c r="B140" s="177"/>
      <c r="C140" s="177"/>
      <c r="D140" s="176"/>
      <c r="E140" s="176"/>
      <c r="F140" s="176"/>
      <c r="G140" s="176"/>
      <c r="H140" s="176"/>
      <c r="I140" s="176"/>
      <c r="J140" s="176"/>
      <c r="K140" s="176"/>
      <c r="L140" s="176"/>
      <c r="M140" s="176"/>
      <c r="N140" s="176"/>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c r="DJ140" s="174"/>
      <c r="DK140" s="174"/>
      <c r="DL140" s="174"/>
      <c r="DM140" s="174"/>
      <c r="DN140" s="174"/>
      <c r="DO140" s="174"/>
      <c r="DP140" s="174"/>
      <c r="DQ140" s="174"/>
      <c r="DR140" s="174"/>
      <c r="DS140" s="174"/>
      <c r="DT140" s="174"/>
      <c r="DU140" s="174"/>
      <c r="DV140" s="174"/>
      <c r="DW140" s="174"/>
      <c r="DX140" s="174"/>
      <c r="DY140" s="174"/>
      <c r="DZ140" s="174"/>
      <c r="EA140" s="174"/>
      <c r="EB140" s="174"/>
      <c r="EC140" s="174"/>
      <c r="ED140" s="174"/>
      <c r="EE140" s="174"/>
      <c r="EF140" s="174"/>
      <c r="EG140" s="174"/>
      <c r="EH140" s="174"/>
      <c r="EI140" s="174"/>
      <c r="EJ140" s="174"/>
      <c r="EK140" s="174"/>
      <c r="EL140" s="174"/>
      <c r="EM140" s="174"/>
      <c r="EN140" s="174"/>
      <c r="EO140" s="174"/>
      <c r="EP140" s="174"/>
      <c r="EQ140" s="174"/>
      <c r="ER140" s="174"/>
      <c r="ES140" s="174"/>
      <c r="ET140" s="174"/>
      <c r="EU140" s="174"/>
      <c r="EV140" s="174"/>
      <c r="EW140" s="174"/>
      <c r="EX140" s="174"/>
      <c r="EY140" s="174"/>
      <c r="EZ140" s="174"/>
      <c r="FA140" s="174"/>
      <c r="FB140" s="174"/>
      <c r="FC140" s="174"/>
      <c r="FD140" s="174"/>
      <c r="FE140" s="174"/>
      <c r="FF140" s="174"/>
      <c r="FG140" s="174"/>
      <c r="FH140" s="174"/>
      <c r="FI140" s="174"/>
      <c r="FJ140" s="174"/>
      <c r="FK140" s="174"/>
      <c r="FL140" s="174"/>
      <c r="FM140" s="174"/>
      <c r="FN140" s="174"/>
      <c r="FO140" s="174"/>
      <c r="FP140" s="174"/>
      <c r="FQ140" s="174"/>
      <c r="FR140" s="174"/>
      <c r="FS140" s="174"/>
      <c r="FT140" s="174"/>
      <c r="FU140" s="174"/>
      <c r="FV140" s="174"/>
      <c r="FW140" s="174"/>
      <c r="FX140" s="174"/>
      <c r="FY140" s="174"/>
      <c r="FZ140" s="174"/>
      <c r="GA140" s="174"/>
      <c r="GB140" s="174"/>
      <c r="GC140" s="174"/>
      <c r="GD140" s="174"/>
      <c r="GE140" s="174"/>
      <c r="GF140" s="174"/>
      <c r="GG140" s="174"/>
      <c r="GH140" s="174"/>
      <c r="GI140" s="174"/>
      <c r="GJ140" s="174"/>
      <c r="GK140" s="174"/>
      <c r="GL140" s="174"/>
      <c r="GM140" s="174"/>
      <c r="GN140" s="174"/>
      <c r="GO140" s="174"/>
      <c r="GP140" s="174"/>
      <c r="GQ140" s="174"/>
      <c r="GR140" s="174"/>
    </row>
    <row r="141" spans="2:200" x14ac:dyDescent="0.2">
      <c r="B141" s="177"/>
      <c r="C141" s="177"/>
      <c r="D141" s="176"/>
      <c r="E141" s="176"/>
      <c r="F141" s="176"/>
      <c r="G141" s="176"/>
      <c r="H141" s="176"/>
      <c r="I141" s="176"/>
      <c r="J141" s="176"/>
      <c r="K141" s="176"/>
      <c r="L141" s="176"/>
      <c r="M141" s="176"/>
      <c r="N141" s="176"/>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c r="DJ141" s="174"/>
      <c r="DK141" s="174"/>
      <c r="DL141" s="174"/>
      <c r="DM141" s="174"/>
      <c r="DN141" s="174"/>
      <c r="DO141" s="174"/>
      <c r="DP141" s="174"/>
      <c r="DQ141" s="174"/>
      <c r="DR141" s="174"/>
      <c r="DS141" s="174"/>
      <c r="DT141" s="174"/>
      <c r="DU141" s="174"/>
      <c r="DV141" s="174"/>
      <c r="DW141" s="174"/>
      <c r="DX141" s="174"/>
      <c r="DY141" s="174"/>
      <c r="DZ141" s="174"/>
      <c r="EA141" s="174"/>
      <c r="EB141" s="174"/>
      <c r="EC141" s="174"/>
      <c r="ED141" s="174"/>
      <c r="EE141" s="174"/>
      <c r="EF141" s="174"/>
      <c r="EG141" s="174"/>
      <c r="EH141" s="174"/>
      <c r="EI141" s="174"/>
      <c r="EJ141" s="174"/>
      <c r="EK141" s="174"/>
      <c r="EL141" s="174"/>
      <c r="EM141" s="174"/>
      <c r="EN141" s="174"/>
      <c r="EO141" s="174"/>
      <c r="EP141" s="174"/>
      <c r="EQ141" s="174"/>
      <c r="ER141" s="174"/>
      <c r="ES141" s="174"/>
      <c r="ET141" s="174"/>
      <c r="EU141" s="174"/>
      <c r="EV141" s="174"/>
      <c r="EW141" s="174"/>
      <c r="EX141" s="174"/>
      <c r="EY141" s="174"/>
      <c r="EZ141" s="174"/>
      <c r="FA141" s="174"/>
      <c r="FB141" s="174"/>
      <c r="FC141" s="174"/>
      <c r="FD141" s="174"/>
      <c r="FE141" s="174"/>
      <c r="FF141" s="174"/>
      <c r="FG141" s="174"/>
      <c r="FH141" s="174"/>
      <c r="FI141" s="174"/>
      <c r="FJ141" s="174"/>
      <c r="FK141" s="174"/>
      <c r="FL141" s="174"/>
      <c r="FM141" s="174"/>
      <c r="FN141" s="174"/>
      <c r="FO141" s="174"/>
      <c r="FP141" s="174"/>
      <c r="FQ141" s="174"/>
      <c r="FR141" s="174"/>
      <c r="FS141" s="174"/>
      <c r="FT141" s="174"/>
      <c r="FU141" s="174"/>
      <c r="FV141" s="174"/>
      <c r="FW141" s="174"/>
      <c r="FX141" s="174"/>
      <c r="FY141" s="174"/>
      <c r="FZ141" s="174"/>
      <c r="GA141" s="174"/>
      <c r="GB141" s="174"/>
      <c r="GC141" s="174"/>
      <c r="GD141" s="174"/>
      <c r="GE141" s="174"/>
      <c r="GF141" s="174"/>
      <c r="GG141" s="174"/>
      <c r="GH141" s="174"/>
      <c r="GI141" s="174"/>
      <c r="GJ141" s="174"/>
      <c r="GK141" s="174"/>
      <c r="GL141" s="174"/>
      <c r="GM141" s="174"/>
      <c r="GN141" s="174"/>
      <c r="GO141" s="174"/>
      <c r="GP141" s="174"/>
      <c r="GQ141" s="174"/>
      <c r="GR141" s="174"/>
    </row>
    <row r="142" spans="2:200" x14ac:dyDescent="0.2">
      <c r="B142" s="177"/>
      <c r="C142" s="177"/>
      <c r="D142" s="176"/>
      <c r="E142" s="176"/>
      <c r="F142" s="176"/>
      <c r="G142" s="176"/>
      <c r="H142" s="176"/>
      <c r="I142" s="176"/>
      <c r="J142" s="176"/>
      <c r="K142" s="176"/>
      <c r="L142" s="176"/>
      <c r="M142" s="176"/>
      <c r="N142" s="176"/>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74"/>
      <c r="EB142" s="174"/>
      <c r="EC142" s="174"/>
      <c r="ED142" s="174"/>
      <c r="EE142" s="174"/>
      <c r="EF142" s="174"/>
      <c r="EG142" s="174"/>
      <c r="EH142" s="174"/>
      <c r="EI142" s="174"/>
      <c r="EJ142" s="174"/>
      <c r="EK142" s="174"/>
      <c r="EL142" s="174"/>
      <c r="EM142" s="174"/>
      <c r="EN142" s="174"/>
      <c r="EO142" s="174"/>
      <c r="EP142" s="174"/>
      <c r="EQ142" s="174"/>
      <c r="ER142" s="174"/>
      <c r="ES142" s="174"/>
      <c r="ET142" s="174"/>
      <c r="EU142" s="174"/>
      <c r="EV142" s="174"/>
      <c r="EW142" s="174"/>
      <c r="EX142" s="174"/>
      <c r="EY142" s="174"/>
      <c r="EZ142" s="174"/>
      <c r="FA142" s="174"/>
      <c r="FB142" s="174"/>
      <c r="FC142" s="174"/>
      <c r="FD142" s="174"/>
      <c r="FE142" s="174"/>
      <c r="FF142" s="174"/>
      <c r="FG142" s="174"/>
      <c r="FH142" s="174"/>
      <c r="FI142" s="174"/>
      <c r="FJ142" s="174"/>
      <c r="FK142" s="174"/>
      <c r="FL142" s="174"/>
      <c r="FM142" s="174"/>
      <c r="FN142" s="174"/>
      <c r="FO142" s="174"/>
      <c r="FP142" s="174"/>
      <c r="FQ142" s="174"/>
      <c r="FR142" s="174"/>
      <c r="FS142" s="174"/>
      <c r="FT142" s="174"/>
      <c r="FU142" s="174"/>
      <c r="FV142" s="174"/>
      <c r="FW142" s="174"/>
      <c r="FX142" s="174"/>
      <c r="FY142" s="174"/>
      <c r="FZ142" s="174"/>
      <c r="GA142" s="174"/>
      <c r="GB142" s="174"/>
      <c r="GC142" s="174"/>
      <c r="GD142" s="174"/>
      <c r="GE142" s="174"/>
      <c r="GF142" s="174"/>
      <c r="GG142" s="174"/>
      <c r="GH142" s="174"/>
      <c r="GI142" s="174"/>
      <c r="GJ142" s="174"/>
      <c r="GK142" s="174"/>
      <c r="GL142" s="174"/>
      <c r="GM142" s="174"/>
      <c r="GN142" s="174"/>
      <c r="GO142" s="174"/>
      <c r="GP142" s="174"/>
      <c r="GQ142" s="174"/>
      <c r="GR142" s="174"/>
    </row>
    <row r="143" spans="2:200" x14ac:dyDescent="0.2">
      <c r="B143" s="177"/>
      <c r="C143" s="177"/>
      <c r="D143" s="176"/>
      <c r="E143" s="176"/>
      <c r="F143" s="176"/>
      <c r="G143" s="176"/>
      <c r="H143" s="176"/>
      <c r="I143" s="176"/>
      <c r="J143" s="176"/>
      <c r="K143" s="176"/>
      <c r="L143" s="176"/>
      <c r="M143" s="176"/>
      <c r="N143" s="176"/>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74"/>
      <c r="EB143" s="174"/>
      <c r="EC143" s="174"/>
      <c r="ED143" s="174"/>
      <c r="EE143" s="174"/>
      <c r="EF143" s="174"/>
      <c r="EG143" s="174"/>
      <c r="EH143" s="174"/>
      <c r="EI143" s="174"/>
      <c r="EJ143" s="174"/>
      <c r="EK143" s="174"/>
      <c r="EL143" s="174"/>
      <c r="EM143" s="174"/>
      <c r="EN143" s="174"/>
      <c r="EO143" s="174"/>
      <c r="EP143" s="174"/>
      <c r="EQ143" s="174"/>
      <c r="ER143" s="174"/>
      <c r="ES143" s="174"/>
      <c r="ET143" s="174"/>
      <c r="EU143" s="174"/>
      <c r="EV143" s="174"/>
      <c r="EW143" s="174"/>
      <c r="EX143" s="174"/>
      <c r="EY143" s="174"/>
      <c r="EZ143" s="174"/>
      <c r="FA143" s="174"/>
      <c r="FB143" s="174"/>
      <c r="FC143" s="174"/>
      <c r="FD143" s="174"/>
      <c r="FE143" s="174"/>
      <c r="FF143" s="174"/>
      <c r="FG143" s="174"/>
      <c r="FH143" s="174"/>
      <c r="FI143" s="174"/>
      <c r="FJ143" s="174"/>
      <c r="FK143" s="174"/>
      <c r="FL143" s="174"/>
      <c r="FM143" s="174"/>
      <c r="FN143" s="174"/>
      <c r="FO143" s="174"/>
      <c r="FP143" s="174"/>
      <c r="FQ143" s="174"/>
      <c r="FR143" s="174"/>
      <c r="FS143" s="174"/>
      <c r="FT143" s="174"/>
      <c r="FU143" s="174"/>
      <c r="FV143" s="174"/>
      <c r="FW143" s="174"/>
      <c r="FX143" s="174"/>
      <c r="FY143" s="174"/>
      <c r="FZ143" s="174"/>
      <c r="GA143" s="174"/>
      <c r="GB143" s="174"/>
      <c r="GC143" s="174"/>
      <c r="GD143" s="174"/>
      <c r="GE143" s="174"/>
      <c r="GF143" s="174"/>
      <c r="GG143" s="174"/>
      <c r="GH143" s="174"/>
      <c r="GI143" s="174"/>
      <c r="GJ143" s="174"/>
      <c r="GK143" s="174"/>
      <c r="GL143" s="174"/>
      <c r="GM143" s="174"/>
      <c r="GN143" s="174"/>
      <c r="GO143" s="174"/>
      <c r="GP143" s="174"/>
      <c r="GQ143" s="174"/>
      <c r="GR143" s="174"/>
    </row>
    <row r="144" spans="2:200" x14ac:dyDescent="0.2">
      <c r="B144" s="177"/>
      <c r="C144" s="177"/>
      <c r="D144" s="176"/>
      <c r="E144" s="176"/>
      <c r="F144" s="176"/>
      <c r="G144" s="176"/>
      <c r="H144" s="176"/>
      <c r="I144" s="176"/>
      <c r="J144" s="176"/>
      <c r="K144" s="176"/>
      <c r="L144" s="176"/>
      <c r="M144" s="176"/>
      <c r="N144" s="176"/>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c r="DJ144" s="174"/>
      <c r="DK144" s="174"/>
      <c r="DL144" s="174"/>
      <c r="DM144" s="174"/>
      <c r="DN144" s="174"/>
      <c r="DO144" s="174"/>
      <c r="DP144" s="174"/>
      <c r="DQ144" s="174"/>
      <c r="DR144" s="174"/>
      <c r="DS144" s="174"/>
      <c r="DT144" s="174"/>
      <c r="DU144" s="174"/>
      <c r="DV144" s="174"/>
      <c r="DW144" s="174"/>
      <c r="DX144" s="174"/>
      <c r="DY144" s="174"/>
      <c r="DZ144" s="174"/>
      <c r="EA144" s="174"/>
      <c r="EB144" s="174"/>
      <c r="EC144" s="174"/>
      <c r="ED144" s="174"/>
      <c r="EE144" s="174"/>
      <c r="EF144" s="174"/>
      <c r="EG144" s="174"/>
      <c r="EH144" s="174"/>
      <c r="EI144" s="174"/>
      <c r="EJ144" s="174"/>
      <c r="EK144" s="174"/>
      <c r="EL144" s="174"/>
      <c r="EM144" s="174"/>
      <c r="EN144" s="174"/>
      <c r="EO144" s="174"/>
      <c r="EP144" s="174"/>
      <c r="EQ144" s="174"/>
      <c r="ER144" s="174"/>
      <c r="ES144" s="174"/>
      <c r="ET144" s="174"/>
      <c r="EU144" s="174"/>
      <c r="EV144" s="174"/>
      <c r="EW144" s="174"/>
      <c r="EX144" s="174"/>
      <c r="EY144" s="174"/>
      <c r="EZ144" s="174"/>
      <c r="FA144" s="174"/>
      <c r="FB144" s="174"/>
      <c r="FC144" s="174"/>
      <c r="FD144" s="174"/>
      <c r="FE144" s="174"/>
      <c r="FF144" s="174"/>
      <c r="FG144" s="174"/>
      <c r="FH144" s="174"/>
      <c r="FI144" s="174"/>
      <c r="FJ144" s="174"/>
      <c r="FK144" s="174"/>
      <c r="FL144" s="174"/>
      <c r="FM144" s="174"/>
      <c r="FN144" s="174"/>
      <c r="FO144" s="174"/>
      <c r="FP144" s="174"/>
      <c r="FQ144" s="174"/>
      <c r="FR144" s="174"/>
      <c r="FS144" s="174"/>
      <c r="FT144" s="174"/>
      <c r="FU144" s="174"/>
      <c r="FV144" s="174"/>
      <c r="FW144" s="174"/>
      <c r="FX144" s="174"/>
      <c r="FY144" s="174"/>
      <c r="FZ144" s="174"/>
      <c r="GA144" s="174"/>
      <c r="GB144" s="174"/>
      <c r="GC144" s="174"/>
      <c r="GD144" s="174"/>
      <c r="GE144" s="174"/>
      <c r="GF144" s="174"/>
      <c r="GG144" s="174"/>
      <c r="GH144" s="174"/>
      <c r="GI144" s="174"/>
      <c r="GJ144" s="174"/>
      <c r="GK144" s="174"/>
      <c r="GL144" s="174"/>
      <c r="GM144" s="174"/>
      <c r="GN144" s="174"/>
      <c r="GO144" s="174"/>
      <c r="GP144" s="174"/>
      <c r="GQ144" s="174"/>
      <c r="GR144" s="174"/>
    </row>
    <row r="145" spans="2:200" x14ac:dyDescent="0.2">
      <c r="B145" s="177"/>
      <c r="C145" s="177"/>
      <c r="D145" s="176"/>
      <c r="E145" s="176"/>
      <c r="F145" s="176"/>
      <c r="G145" s="176"/>
      <c r="H145" s="176"/>
      <c r="I145" s="176"/>
      <c r="J145" s="176"/>
      <c r="K145" s="176"/>
      <c r="L145" s="176"/>
      <c r="M145" s="176"/>
      <c r="N145" s="176"/>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c r="DJ145" s="174"/>
      <c r="DK145" s="174"/>
      <c r="DL145" s="174"/>
      <c r="DM145" s="174"/>
      <c r="DN145" s="174"/>
      <c r="DO145" s="174"/>
      <c r="DP145" s="174"/>
      <c r="DQ145" s="174"/>
      <c r="DR145" s="174"/>
      <c r="DS145" s="174"/>
      <c r="DT145" s="174"/>
      <c r="DU145" s="174"/>
      <c r="DV145" s="174"/>
      <c r="DW145" s="174"/>
      <c r="DX145" s="174"/>
      <c r="DY145" s="174"/>
      <c r="DZ145" s="174"/>
      <c r="EA145" s="174"/>
      <c r="EB145" s="174"/>
      <c r="EC145" s="174"/>
      <c r="ED145" s="174"/>
      <c r="EE145" s="174"/>
      <c r="EF145" s="174"/>
      <c r="EG145" s="174"/>
      <c r="EH145" s="174"/>
      <c r="EI145" s="174"/>
      <c r="EJ145" s="174"/>
      <c r="EK145" s="174"/>
      <c r="EL145" s="174"/>
      <c r="EM145" s="174"/>
      <c r="EN145" s="174"/>
      <c r="EO145" s="174"/>
      <c r="EP145" s="174"/>
      <c r="EQ145" s="174"/>
      <c r="ER145" s="174"/>
      <c r="ES145" s="174"/>
      <c r="ET145" s="174"/>
      <c r="EU145" s="174"/>
      <c r="EV145" s="174"/>
      <c r="EW145" s="174"/>
      <c r="EX145" s="174"/>
      <c r="EY145" s="174"/>
      <c r="EZ145" s="174"/>
      <c r="FA145" s="174"/>
      <c r="FB145" s="174"/>
      <c r="FC145" s="174"/>
      <c r="FD145" s="174"/>
      <c r="FE145" s="174"/>
      <c r="FF145" s="174"/>
      <c r="FG145" s="174"/>
      <c r="FH145" s="174"/>
      <c r="FI145" s="174"/>
      <c r="FJ145" s="174"/>
      <c r="FK145" s="174"/>
      <c r="FL145" s="174"/>
      <c r="FM145" s="174"/>
      <c r="FN145" s="174"/>
      <c r="FO145" s="174"/>
      <c r="FP145" s="174"/>
      <c r="FQ145" s="174"/>
      <c r="FR145" s="174"/>
      <c r="FS145" s="174"/>
      <c r="FT145" s="174"/>
      <c r="FU145" s="174"/>
      <c r="FV145" s="174"/>
      <c r="FW145" s="174"/>
      <c r="FX145" s="174"/>
      <c r="FY145" s="174"/>
      <c r="FZ145" s="174"/>
      <c r="GA145" s="174"/>
      <c r="GB145" s="174"/>
      <c r="GC145" s="174"/>
      <c r="GD145" s="174"/>
      <c r="GE145" s="174"/>
      <c r="GF145" s="174"/>
      <c r="GG145" s="174"/>
      <c r="GH145" s="174"/>
      <c r="GI145" s="174"/>
      <c r="GJ145" s="174"/>
      <c r="GK145" s="174"/>
      <c r="GL145" s="174"/>
      <c r="GM145" s="174"/>
      <c r="GN145" s="174"/>
      <c r="GO145" s="174"/>
      <c r="GP145" s="174"/>
      <c r="GQ145" s="174"/>
      <c r="GR145" s="174"/>
    </row>
    <row r="146" spans="2:200" x14ac:dyDescent="0.2">
      <c r="B146" s="177"/>
      <c r="C146" s="177"/>
      <c r="D146" s="176"/>
      <c r="E146" s="176"/>
      <c r="F146" s="176"/>
      <c r="G146" s="176"/>
      <c r="H146" s="176"/>
      <c r="I146" s="176"/>
      <c r="J146" s="176"/>
      <c r="K146" s="176"/>
      <c r="L146" s="176"/>
      <c r="M146" s="176"/>
      <c r="N146" s="176"/>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74"/>
      <c r="EB146" s="174"/>
      <c r="EC146" s="174"/>
      <c r="ED146" s="174"/>
      <c r="EE146" s="174"/>
      <c r="EF146" s="174"/>
      <c r="EG146" s="174"/>
      <c r="EH146" s="174"/>
      <c r="EI146" s="174"/>
      <c r="EJ146" s="174"/>
      <c r="EK146" s="174"/>
      <c r="EL146" s="174"/>
      <c r="EM146" s="174"/>
      <c r="EN146" s="174"/>
      <c r="EO146" s="174"/>
      <c r="EP146" s="174"/>
      <c r="EQ146" s="174"/>
      <c r="ER146" s="174"/>
      <c r="ES146" s="174"/>
      <c r="ET146" s="174"/>
      <c r="EU146" s="174"/>
      <c r="EV146" s="174"/>
      <c r="EW146" s="174"/>
      <c r="EX146" s="174"/>
      <c r="EY146" s="174"/>
      <c r="EZ146" s="174"/>
      <c r="FA146" s="174"/>
      <c r="FB146" s="174"/>
      <c r="FC146" s="174"/>
      <c r="FD146" s="174"/>
      <c r="FE146" s="174"/>
      <c r="FF146" s="174"/>
      <c r="FG146" s="174"/>
      <c r="FH146" s="174"/>
      <c r="FI146" s="174"/>
      <c r="FJ146" s="174"/>
      <c r="FK146" s="174"/>
      <c r="FL146" s="174"/>
      <c r="FM146" s="174"/>
      <c r="FN146" s="174"/>
      <c r="FO146" s="174"/>
      <c r="FP146" s="174"/>
      <c r="FQ146" s="174"/>
      <c r="FR146" s="174"/>
      <c r="FS146" s="174"/>
      <c r="FT146" s="174"/>
      <c r="FU146" s="174"/>
      <c r="FV146" s="174"/>
      <c r="FW146" s="174"/>
      <c r="FX146" s="174"/>
      <c r="FY146" s="174"/>
      <c r="FZ146" s="174"/>
      <c r="GA146" s="174"/>
      <c r="GB146" s="174"/>
      <c r="GC146" s="174"/>
      <c r="GD146" s="174"/>
      <c r="GE146" s="174"/>
      <c r="GF146" s="174"/>
      <c r="GG146" s="174"/>
      <c r="GH146" s="174"/>
      <c r="GI146" s="174"/>
      <c r="GJ146" s="174"/>
      <c r="GK146" s="174"/>
      <c r="GL146" s="174"/>
      <c r="GM146" s="174"/>
      <c r="GN146" s="174"/>
      <c r="GO146" s="174"/>
      <c r="GP146" s="174"/>
      <c r="GQ146" s="174"/>
      <c r="GR146" s="174"/>
    </row>
    <row r="147" spans="2:200" x14ac:dyDescent="0.2">
      <c r="B147" s="177"/>
      <c r="C147" s="177"/>
      <c r="D147" s="176"/>
      <c r="E147" s="176"/>
      <c r="F147" s="176"/>
      <c r="G147" s="176"/>
      <c r="H147" s="176"/>
      <c r="I147" s="176"/>
      <c r="J147" s="176"/>
      <c r="K147" s="176"/>
      <c r="L147" s="176"/>
      <c r="M147" s="176"/>
      <c r="N147" s="176"/>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74"/>
      <c r="EB147" s="174"/>
      <c r="EC147" s="174"/>
      <c r="ED147" s="174"/>
      <c r="EE147" s="174"/>
      <c r="EF147" s="174"/>
      <c r="EG147" s="174"/>
      <c r="EH147" s="174"/>
      <c r="EI147" s="174"/>
      <c r="EJ147" s="174"/>
      <c r="EK147" s="174"/>
      <c r="EL147" s="174"/>
      <c r="EM147" s="174"/>
      <c r="EN147" s="174"/>
      <c r="EO147" s="174"/>
      <c r="EP147" s="174"/>
      <c r="EQ147" s="174"/>
      <c r="ER147" s="174"/>
      <c r="ES147" s="174"/>
      <c r="ET147" s="174"/>
      <c r="EU147" s="174"/>
      <c r="EV147" s="174"/>
      <c r="EW147" s="174"/>
      <c r="EX147" s="174"/>
      <c r="EY147" s="174"/>
      <c r="EZ147" s="174"/>
      <c r="FA147" s="174"/>
      <c r="FB147" s="174"/>
      <c r="FC147" s="174"/>
      <c r="FD147" s="174"/>
      <c r="FE147" s="174"/>
      <c r="FF147" s="174"/>
      <c r="FG147" s="174"/>
      <c r="FH147" s="174"/>
      <c r="FI147" s="174"/>
      <c r="FJ147" s="174"/>
      <c r="FK147" s="174"/>
      <c r="FL147" s="174"/>
      <c r="FM147" s="174"/>
      <c r="FN147" s="174"/>
      <c r="FO147" s="174"/>
      <c r="FP147" s="174"/>
      <c r="FQ147" s="174"/>
      <c r="FR147" s="174"/>
      <c r="FS147" s="174"/>
      <c r="FT147" s="174"/>
      <c r="FU147" s="174"/>
      <c r="FV147" s="174"/>
      <c r="FW147" s="174"/>
      <c r="FX147" s="174"/>
      <c r="FY147" s="174"/>
      <c r="FZ147" s="174"/>
      <c r="GA147" s="174"/>
      <c r="GB147" s="174"/>
      <c r="GC147" s="174"/>
      <c r="GD147" s="174"/>
      <c r="GE147" s="174"/>
      <c r="GF147" s="174"/>
      <c r="GG147" s="174"/>
      <c r="GH147" s="174"/>
      <c r="GI147" s="174"/>
      <c r="GJ147" s="174"/>
      <c r="GK147" s="174"/>
      <c r="GL147" s="174"/>
      <c r="GM147" s="174"/>
      <c r="GN147" s="174"/>
      <c r="GO147" s="174"/>
      <c r="GP147" s="174"/>
      <c r="GQ147" s="174"/>
      <c r="GR147" s="174"/>
    </row>
    <row r="148" spans="2:200" x14ac:dyDescent="0.2">
      <c r="B148" s="177"/>
      <c r="C148" s="177"/>
      <c r="D148" s="176"/>
      <c r="E148" s="176"/>
      <c r="F148" s="176"/>
      <c r="G148" s="176"/>
      <c r="H148" s="176"/>
      <c r="I148" s="176"/>
      <c r="J148" s="176"/>
      <c r="K148" s="176"/>
      <c r="L148" s="176"/>
      <c r="M148" s="176"/>
      <c r="N148" s="176"/>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c r="DJ148" s="174"/>
      <c r="DK148" s="174"/>
      <c r="DL148" s="174"/>
      <c r="DM148" s="174"/>
      <c r="DN148" s="174"/>
      <c r="DO148" s="174"/>
      <c r="DP148" s="174"/>
      <c r="DQ148" s="174"/>
      <c r="DR148" s="174"/>
      <c r="DS148" s="174"/>
      <c r="DT148" s="174"/>
      <c r="DU148" s="174"/>
      <c r="DV148" s="174"/>
      <c r="DW148" s="174"/>
      <c r="DX148" s="174"/>
      <c r="DY148" s="174"/>
      <c r="DZ148" s="174"/>
      <c r="EA148" s="174"/>
      <c r="EB148" s="174"/>
      <c r="EC148" s="174"/>
      <c r="ED148" s="174"/>
      <c r="EE148" s="174"/>
      <c r="EF148" s="174"/>
      <c r="EG148" s="174"/>
      <c r="EH148" s="174"/>
      <c r="EI148" s="174"/>
      <c r="EJ148" s="174"/>
      <c r="EK148" s="174"/>
      <c r="EL148" s="174"/>
      <c r="EM148" s="174"/>
      <c r="EN148" s="174"/>
      <c r="EO148" s="174"/>
      <c r="EP148" s="174"/>
      <c r="EQ148" s="174"/>
      <c r="ER148" s="174"/>
      <c r="ES148" s="174"/>
      <c r="ET148" s="174"/>
      <c r="EU148" s="174"/>
      <c r="EV148" s="174"/>
      <c r="EW148" s="174"/>
      <c r="EX148" s="174"/>
      <c r="EY148" s="174"/>
      <c r="EZ148" s="174"/>
      <c r="FA148" s="174"/>
      <c r="FB148" s="174"/>
      <c r="FC148" s="174"/>
      <c r="FD148" s="174"/>
      <c r="FE148" s="174"/>
      <c r="FF148" s="174"/>
      <c r="FG148" s="174"/>
      <c r="FH148" s="174"/>
      <c r="FI148" s="174"/>
      <c r="FJ148" s="174"/>
      <c r="FK148" s="174"/>
      <c r="FL148" s="174"/>
      <c r="FM148" s="174"/>
      <c r="FN148" s="174"/>
      <c r="FO148" s="174"/>
      <c r="FP148" s="174"/>
      <c r="FQ148" s="174"/>
      <c r="FR148" s="174"/>
      <c r="FS148" s="174"/>
      <c r="FT148" s="174"/>
      <c r="FU148" s="174"/>
      <c r="FV148" s="174"/>
      <c r="FW148" s="174"/>
      <c r="FX148" s="174"/>
      <c r="FY148" s="174"/>
      <c r="FZ148" s="174"/>
      <c r="GA148" s="174"/>
      <c r="GB148" s="174"/>
      <c r="GC148" s="174"/>
      <c r="GD148" s="174"/>
      <c r="GE148" s="174"/>
      <c r="GF148" s="174"/>
      <c r="GG148" s="174"/>
      <c r="GH148" s="174"/>
      <c r="GI148" s="174"/>
      <c r="GJ148" s="174"/>
      <c r="GK148" s="174"/>
      <c r="GL148" s="174"/>
      <c r="GM148" s="174"/>
      <c r="GN148" s="174"/>
      <c r="GO148" s="174"/>
      <c r="GP148" s="174"/>
      <c r="GQ148" s="174"/>
      <c r="GR148" s="174"/>
    </row>
    <row r="149" spans="2:200" x14ac:dyDescent="0.2">
      <c r="B149" s="177"/>
      <c r="C149" s="177"/>
      <c r="D149" s="176"/>
      <c r="E149" s="176"/>
      <c r="F149" s="176"/>
      <c r="G149" s="176"/>
      <c r="H149" s="176"/>
      <c r="I149" s="176"/>
      <c r="J149" s="176"/>
      <c r="K149" s="176"/>
      <c r="L149" s="176"/>
      <c r="M149" s="176"/>
      <c r="N149" s="176"/>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c r="DJ149" s="174"/>
      <c r="DK149" s="174"/>
      <c r="DL149" s="174"/>
      <c r="DM149" s="174"/>
      <c r="DN149" s="174"/>
      <c r="DO149" s="174"/>
      <c r="DP149" s="174"/>
      <c r="DQ149" s="174"/>
      <c r="DR149" s="174"/>
      <c r="DS149" s="174"/>
      <c r="DT149" s="174"/>
      <c r="DU149" s="174"/>
      <c r="DV149" s="174"/>
      <c r="DW149" s="174"/>
      <c r="DX149" s="174"/>
      <c r="DY149" s="174"/>
      <c r="DZ149" s="174"/>
      <c r="EA149" s="174"/>
      <c r="EB149" s="174"/>
      <c r="EC149" s="174"/>
      <c r="ED149" s="174"/>
      <c r="EE149" s="174"/>
      <c r="EF149" s="174"/>
      <c r="EG149" s="174"/>
      <c r="EH149" s="174"/>
      <c r="EI149" s="174"/>
      <c r="EJ149" s="174"/>
      <c r="EK149" s="174"/>
      <c r="EL149" s="174"/>
      <c r="EM149" s="174"/>
      <c r="EN149" s="174"/>
      <c r="EO149" s="174"/>
      <c r="EP149" s="174"/>
      <c r="EQ149" s="174"/>
      <c r="ER149" s="174"/>
      <c r="ES149" s="174"/>
      <c r="ET149" s="174"/>
      <c r="EU149" s="174"/>
      <c r="EV149" s="174"/>
      <c r="EW149" s="174"/>
      <c r="EX149" s="174"/>
      <c r="EY149" s="174"/>
      <c r="EZ149" s="174"/>
      <c r="FA149" s="174"/>
      <c r="FB149" s="174"/>
      <c r="FC149" s="174"/>
      <c r="FD149" s="174"/>
      <c r="FE149" s="174"/>
      <c r="FF149" s="174"/>
      <c r="FG149" s="174"/>
      <c r="FH149" s="174"/>
      <c r="FI149" s="174"/>
      <c r="FJ149" s="174"/>
      <c r="FK149" s="174"/>
      <c r="FL149" s="174"/>
      <c r="FM149" s="174"/>
      <c r="FN149" s="174"/>
      <c r="FO149" s="174"/>
      <c r="FP149" s="174"/>
      <c r="FQ149" s="174"/>
      <c r="FR149" s="174"/>
      <c r="FS149" s="174"/>
      <c r="FT149" s="174"/>
      <c r="FU149" s="174"/>
      <c r="FV149" s="174"/>
      <c r="FW149" s="174"/>
      <c r="FX149" s="174"/>
      <c r="FY149" s="174"/>
      <c r="FZ149" s="174"/>
      <c r="GA149" s="174"/>
      <c r="GB149" s="174"/>
      <c r="GC149" s="174"/>
      <c r="GD149" s="174"/>
      <c r="GE149" s="174"/>
      <c r="GF149" s="174"/>
      <c r="GG149" s="174"/>
      <c r="GH149" s="174"/>
      <c r="GI149" s="174"/>
      <c r="GJ149" s="174"/>
      <c r="GK149" s="174"/>
      <c r="GL149" s="174"/>
      <c r="GM149" s="174"/>
      <c r="GN149" s="174"/>
      <c r="GO149" s="174"/>
      <c r="GP149" s="174"/>
      <c r="GQ149" s="174"/>
      <c r="GR149" s="174"/>
    </row>
    <row r="150" spans="2:200" x14ac:dyDescent="0.2">
      <c r="B150" s="177"/>
      <c r="C150" s="177"/>
      <c r="D150" s="176"/>
      <c r="E150" s="176"/>
      <c r="F150" s="176"/>
      <c r="G150" s="176"/>
      <c r="H150" s="176"/>
      <c r="I150" s="176"/>
      <c r="J150" s="176"/>
      <c r="K150" s="176"/>
      <c r="L150" s="176"/>
      <c r="M150" s="176"/>
      <c r="N150" s="176"/>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74"/>
      <c r="EB150" s="174"/>
      <c r="EC150" s="174"/>
      <c r="ED150" s="174"/>
      <c r="EE150" s="174"/>
      <c r="EF150" s="174"/>
      <c r="EG150" s="174"/>
      <c r="EH150" s="174"/>
      <c r="EI150" s="174"/>
      <c r="EJ150" s="174"/>
      <c r="EK150" s="174"/>
      <c r="EL150" s="174"/>
      <c r="EM150" s="174"/>
      <c r="EN150" s="174"/>
      <c r="EO150" s="174"/>
      <c r="EP150" s="174"/>
      <c r="EQ150" s="174"/>
      <c r="ER150" s="174"/>
      <c r="ES150" s="174"/>
      <c r="ET150" s="174"/>
      <c r="EU150" s="174"/>
      <c r="EV150" s="174"/>
      <c r="EW150" s="174"/>
      <c r="EX150" s="174"/>
      <c r="EY150" s="174"/>
      <c r="EZ150" s="174"/>
      <c r="FA150" s="174"/>
      <c r="FB150" s="174"/>
      <c r="FC150" s="174"/>
      <c r="FD150" s="174"/>
      <c r="FE150" s="174"/>
      <c r="FF150" s="174"/>
      <c r="FG150" s="174"/>
      <c r="FH150" s="174"/>
      <c r="FI150" s="174"/>
      <c r="FJ150" s="174"/>
      <c r="FK150" s="174"/>
      <c r="FL150" s="174"/>
      <c r="FM150" s="174"/>
      <c r="FN150" s="174"/>
      <c r="FO150" s="174"/>
      <c r="FP150" s="174"/>
      <c r="FQ150" s="174"/>
      <c r="FR150" s="174"/>
      <c r="FS150" s="174"/>
      <c r="FT150" s="174"/>
      <c r="FU150" s="174"/>
      <c r="FV150" s="174"/>
      <c r="FW150" s="174"/>
      <c r="FX150" s="174"/>
      <c r="FY150" s="174"/>
      <c r="FZ150" s="174"/>
      <c r="GA150" s="174"/>
      <c r="GB150" s="174"/>
      <c r="GC150" s="174"/>
      <c r="GD150" s="174"/>
      <c r="GE150" s="174"/>
      <c r="GF150" s="174"/>
      <c r="GG150" s="174"/>
      <c r="GH150" s="174"/>
      <c r="GI150" s="174"/>
      <c r="GJ150" s="174"/>
      <c r="GK150" s="174"/>
      <c r="GL150" s="174"/>
      <c r="GM150" s="174"/>
      <c r="GN150" s="174"/>
      <c r="GO150" s="174"/>
      <c r="GP150" s="174"/>
      <c r="GQ150" s="174"/>
      <c r="GR150" s="174"/>
    </row>
    <row r="151" spans="2:200" x14ac:dyDescent="0.2">
      <c r="B151" s="177"/>
      <c r="C151" s="177"/>
      <c r="D151" s="176"/>
      <c r="E151" s="176"/>
      <c r="F151" s="176"/>
      <c r="G151" s="176"/>
      <c r="H151" s="176"/>
      <c r="I151" s="176"/>
      <c r="J151" s="176"/>
      <c r="K151" s="176"/>
      <c r="L151" s="176"/>
      <c r="M151" s="176"/>
      <c r="N151" s="176"/>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74"/>
      <c r="EB151" s="174"/>
      <c r="EC151" s="174"/>
      <c r="ED151" s="174"/>
      <c r="EE151" s="174"/>
      <c r="EF151" s="174"/>
      <c r="EG151" s="174"/>
      <c r="EH151" s="174"/>
      <c r="EI151" s="174"/>
      <c r="EJ151" s="174"/>
      <c r="EK151" s="174"/>
      <c r="EL151" s="174"/>
      <c r="EM151" s="174"/>
      <c r="EN151" s="174"/>
      <c r="EO151" s="174"/>
      <c r="EP151" s="174"/>
      <c r="EQ151" s="174"/>
      <c r="ER151" s="174"/>
      <c r="ES151" s="174"/>
      <c r="ET151" s="174"/>
      <c r="EU151" s="174"/>
      <c r="EV151" s="174"/>
      <c r="EW151" s="174"/>
      <c r="EX151" s="174"/>
      <c r="EY151" s="174"/>
      <c r="EZ151" s="174"/>
      <c r="FA151" s="174"/>
      <c r="FB151" s="174"/>
      <c r="FC151" s="174"/>
      <c r="FD151" s="174"/>
      <c r="FE151" s="174"/>
      <c r="FF151" s="174"/>
      <c r="FG151" s="174"/>
      <c r="FH151" s="174"/>
      <c r="FI151" s="174"/>
      <c r="FJ151" s="174"/>
      <c r="FK151" s="174"/>
      <c r="FL151" s="174"/>
      <c r="FM151" s="174"/>
      <c r="FN151" s="174"/>
      <c r="FO151" s="174"/>
      <c r="FP151" s="174"/>
      <c r="FQ151" s="174"/>
      <c r="FR151" s="174"/>
      <c r="FS151" s="174"/>
      <c r="FT151" s="174"/>
      <c r="FU151" s="174"/>
      <c r="FV151" s="174"/>
      <c r="FW151" s="174"/>
      <c r="FX151" s="174"/>
      <c r="FY151" s="174"/>
      <c r="FZ151" s="174"/>
      <c r="GA151" s="174"/>
      <c r="GB151" s="174"/>
      <c r="GC151" s="174"/>
      <c r="GD151" s="174"/>
      <c r="GE151" s="174"/>
      <c r="GF151" s="174"/>
      <c r="GG151" s="174"/>
      <c r="GH151" s="174"/>
      <c r="GI151" s="174"/>
      <c r="GJ151" s="174"/>
      <c r="GK151" s="174"/>
      <c r="GL151" s="174"/>
      <c r="GM151" s="174"/>
      <c r="GN151" s="174"/>
      <c r="GO151" s="174"/>
      <c r="GP151" s="174"/>
      <c r="GQ151" s="174"/>
      <c r="GR151" s="174"/>
    </row>
  </sheetData>
  <mergeCells count="15">
    <mergeCell ref="C68:D68"/>
    <mergeCell ref="J12:L12"/>
    <mergeCell ref="J10:L10"/>
    <mergeCell ref="C9:D9"/>
    <mergeCell ref="C10:D10"/>
    <mergeCell ref="C11:D11"/>
    <mergeCell ref="C12:D12"/>
    <mergeCell ref="A1:G1"/>
    <mergeCell ref="A2:G2"/>
    <mergeCell ref="I8:K8"/>
    <mergeCell ref="I1:L1"/>
    <mergeCell ref="J11:L11"/>
    <mergeCell ref="C5:D5"/>
    <mergeCell ref="C6:D6"/>
    <mergeCell ref="C7:D7"/>
  </mergeCells>
  <printOptions horizontalCentered="1"/>
  <pageMargins left="0.25" right="0.25" top="0.75" bottom="0.75" header="0.3" footer="0.3"/>
  <pageSetup scale="52" orientation="landscape" r:id="rId1"/>
  <headerFooter alignWithMargins="0">
    <oddFooter>&amp;L&amp;"Arial,Regular"&amp;8&amp;F&amp;C&amp;A&amp;R&amp;"Arial,Regular"Advice No. 18-xxxx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7"/>
  <sheetViews>
    <sheetView workbookViewId="0">
      <selection activeCell="N16" sqref="N16"/>
    </sheetView>
  </sheetViews>
  <sheetFormatPr defaultRowHeight="11.25" x14ac:dyDescent="0.2"/>
  <cols>
    <col min="1" max="1" width="0.5703125" style="31" customWidth="1"/>
    <col min="2" max="2" width="9" style="31" customWidth="1"/>
    <col min="3" max="3" width="0.5703125" style="31" customWidth="1"/>
    <col min="4" max="4" width="41.5703125" style="31" bestFit="1" customWidth="1"/>
    <col min="5" max="5" width="0.5703125" style="31" customWidth="1"/>
    <col min="6" max="6" width="11.42578125" style="31" customWidth="1"/>
    <col min="7" max="7" width="0.5703125" style="31" customWidth="1"/>
    <col min="8" max="8" width="9.140625" style="31"/>
    <col min="9" max="9" width="0.5703125" style="31" customWidth="1"/>
    <col min="10" max="10" width="9.140625" style="31"/>
    <col min="11" max="11" width="0.5703125" style="31" customWidth="1"/>
    <col min="12" max="12" width="18.7109375" style="31" bestFit="1" customWidth="1"/>
    <col min="13" max="13" width="0.5703125" style="31" customWidth="1"/>
    <col min="14" max="14" width="14.5703125" style="31" bestFit="1" customWidth="1"/>
    <col min="15" max="15" width="0.5703125" style="31" customWidth="1"/>
    <col min="16" max="16" width="12" style="31" bestFit="1" customWidth="1"/>
    <col min="17" max="17" width="0.5703125" style="31" customWidth="1"/>
    <col min="18" max="18" width="11" style="31" bestFit="1" customWidth="1"/>
    <col min="19" max="19" width="0.5703125" style="31" customWidth="1"/>
    <col min="20" max="20" width="8.85546875" style="31" bestFit="1" customWidth="1"/>
    <col min="21" max="21" width="0.5703125" style="31" customWidth="1"/>
    <col min="22" max="22" width="10.140625" style="31" customWidth="1"/>
    <col min="23" max="23" width="0.5703125" style="31" customWidth="1"/>
    <col min="24" max="24" width="9.140625" style="31"/>
    <col min="25" max="25" width="1.140625" style="31" customWidth="1"/>
    <col min="26" max="26" width="19.7109375" style="31" bestFit="1" customWidth="1"/>
    <col min="27" max="16384" width="9.140625" style="31"/>
  </cols>
  <sheetData>
    <row r="1" spans="2:29" ht="12" thickBot="1" x14ac:dyDescent="0.25"/>
    <row r="2" spans="2:29" x14ac:dyDescent="0.2">
      <c r="B2" s="32" t="s">
        <v>70</v>
      </c>
      <c r="C2" s="33"/>
      <c r="D2" s="33"/>
      <c r="E2" s="33"/>
      <c r="F2" s="33"/>
      <c r="G2" s="33"/>
      <c r="H2" s="33"/>
      <c r="I2" s="33"/>
      <c r="J2" s="33"/>
      <c r="K2" s="33"/>
      <c r="L2" s="33"/>
      <c r="M2" s="33"/>
      <c r="N2" s="33"/>
      <c r="O2" s="33"/>
      <c r="P2" s="33"/>
      <c r="Q2" s="33"/>
      <c r="R2" s="33"/>
      <c r="S2" s="33"/>
      <c r="T2" s="33"/>
      <c r="U2" s="33"/>
      <c r="V2" s="34"/>
      <c r="W2" s="34"/>
      <c r="X2" s="35"/>
    </row>
    <row r="3" spans="2:29" x14ac:dyDescent="0.2">
      <c r="B3" s="36" t="s">
        <v>71</v>
      </c>
      <c r="C3" s="37"/>
      <c r="D3" s="37"/>
      <c r="E3" s="37"/>
      <c r="F3" s="37"/>
      <c r="G3" s="37"/>
      <c r="H3" s="37"/>
      <c r="I3" s="37"/>
      <c r="J3" s="37"/>
      <c r="K3" s="37"/>
      <c r="L3" s="37"/>
      <c r="M3" s="37"/>
      <c r="N3" s="37"/>
      <c r="O3" s="37"/>
      <c r="P3" s="37"/>
      <c r="Q3" s="37"/>
      <c r="R3" s="37"/>
      <c r="S3" s="37"/>
      <c r="T3" s="37"/>
      <c r="U3" s="37"/>
      <c r="V3" s="38"/>
      <c r="W3" s="38"/>
      <c r="X3" s="39"/>
    </row>
    <row r="4" spans="2:29" x14ac:dyDescent="0.2">
      <c r="B4" s="36"/>
      <c r="C4" s="37"/>
      <c r="D4" s="37"/>
      <c r="E4" s="37"/>
      <c r="F4" s="37"/>
      <c r="G4" s="37"/>
      <c r="H4" s="37"/>
      <c r="I4" s="37"/>
      <c r="J4" s="37"/>
      <c r="K4" s="37"/>
      <c r="L4" s="37"/>
      <c r="M4" s="37"/>
      <c r="N4" s="37"/>
      <c r="O4" s="37"/>
      <c r="P4" s="37"/>
      <c r="Q4" s="37"/>
      <c r="R4" s="37"/>
      <c r="S4" s="37"/>
      <c r="T4" s="37"/>
      <c r="U4" s="37"/>
      <c r="V4" s="38"/>
      <c r="W4" s="38"/>
      <c r="X4" s="39"/>
    </row>
    <row r="5" spans="2:29" x14ac:dyDescent="0.2">
      <c r="B5" s="36" t="s">
        <v>72</v>
      </c>
      <c r="C5" s="37"/>
      <c r="D5" s="37"/>
      <c r="E5" s="37"/>
      <c r="F5" s="37"/>
      <c r="G5" s="37"/>
      <c r="H5" s="37"/>
      <c r="I5" s="37"/>
      <c r="J5" s="37"/>
      <c r="K5" s="37"/>
      <c r="L5" s="37"/>
      <c r="M5" s="37"/>
      <c r="N5" s="37"/>
      <c r="O5" s="37"/>
      <c r="P5" s="37"/>
      <c r="Q5" s="37"/>
      <c r="R5" s="37"/>
      <c r="S5" s="37"/>
      <c r="T5" s="37"/>
      <c r="U5" s="37"/>
      <c r="V5" s="38"/>
      <c r="W5" s="38"/>
      <c r="X5" s="39"/>
    </row>
    <row r="6" spans="2:29" x14ac:dyDescent="0.2">
      <c r="B6" s="36" t="s">
        <v>73</v>
      </c>
      <c r="C6" s="37"/>
      <c r="D6" s="37"/>
      <c r="E6" s="37"/>
      <c r="F6" s="37"/>
      <c r="G6" s="37"/>
      <c r="H6" s="37"/>
      <c r="I6" s="37"/>
      <c r="J6" s="37"/>
      <c r="K6" s="37"/>
      <c r="L6" s="37"/>
      <c r="M6" s="37"/>
      <c r="N6" s="37"/>
      <c r="O6" s="37"/>
      <c r="P6" s="37"/>
      <c r="Q6" s="37"/>
      <c r="R6" s="37"/>
      <c r="S6" s="37"/>
      <c r="T6" s="37"/>
      <c r="U6" s="37"/>
      <c r="V6" s="38"/>
      <c r="W6" s="38"/>
      <c r="X6" s="39"/>
    </row>
    <row r="7" spans="2:29" x14ac:dyDescent="0.2">
      <c r="B7" s="40"/>
      <c r="C7" s="41"/>
      <c r="D7" s="41"/>
      <c r="E7" s="41"/>
      <c r="F7" s="41"/>
      <c r="G7" s="41"/>
      <c r="H7" s="41"/>
      <c r="I7" s="41"/>
      <c r="J7" s="41"/>
      <c r="K7" s="41"/>
      <c r="L7" s="41"/>
      <c r="M7" s="41"/>
      <c r="N7" s="41"/>
      <c r="O7" s="41"/>
      <c r="P7" s="41"/>
      <c r="Q7" s="41"/>
      <c r="R7" s="41"/>
      <c r="S7" s="41"/>
      <c r="T7" s="41"/>
      <c r="U7" s="41"/>
      <c r="V7" s="42" t="s">
        <v>74</v>
      </c>
      <c r="W7" s="43"/>
      <c r="X7" s="44"/>
    </row>
    <row r="8" spans="2:29" x14ac:dyDescent="0.2">
      <c r="B8" s="45"/>
      <c r="C8" s="46"/>
      <c r="D8" s="46"/>
      <c r="E8" s="46"/>
      <c r="F8" s="47"/>
      <c r="G8" s="46"/>
      <c r="H8" s="46"/>
      <c r="I8" s="46"/>
      <c r="J8" s="48"/>
      <c r="K8" s="46"/>
      <c r="L8" s="46"/>
      <c r="M8" s="46"/>
      <c r="N8" s="49"/>
      <c r="O8" s="49"/>
      <c r="P8" s="49"/>
      <c r="Q8" s="49"/>
      <c r="R8" s="50"/>
      <c r="S8" s="29"/>
      <c r="T8" s="29"/>
      <c r="U8" s="29"/>
      <c r="V8" s="42" t="s">
        <v>75</v>
      </c>
      <c r="W8" s="43"/>
      <c r="X8" s="44"/>
    </row>
    <row r="9" spans="2:29" x14ac:dyDescent="0.2">
      <c r="B9" s="51"/>
      <c r="C9" s="25"/>
      <c r="D9" s="52"/>
      <c r="E9" s="13"/>
      <c r="F9" s="13" t="s">
        <v>76</v>
      </c>
      <c r="G9" s="13"/>
      <c r="H9" s="13"/>
      <c r="I9" s="13"/>
      <c r="J9" s="22" t="s">
        <v>77</v>
      </c>
      <c r="K9" s="13"/>
      <c r="L9" s="13" t="s">
        <v>78</v>
      </c>
      <c r="M9" s="13"/>
      <c r="N9" s="21" t="s">
        <v>79</v>
      </c>
      <c r="O9" s="21"/>
      <c r="P9" s="21"/>
      <c r="Q9" s="21"/>
      <c r="R9" s="53" t="s">
        <v>80</v>
      </c>
      <c r="S9" s="54"/>
      <c r="T9" s="54"/>
      <c r="U9" s="55"/>
      <c r="V9" s="42" t="s">
        <v>81</v>
      </c>
      <c r="W9" s="42"/>
      <c r="X9" s="56" t="s">
        <v>82</v>
      </c>
    </row>
    <row r="10" spans="2:29" x14ac:dyDescent="0.2">
      <c r="B10" s="51"/>
      <c r="C10" s="25"/>
      <c r="D10" s="13"/>
      <c r="E10" s="13"/>
      <c r="F10" s="13" t="s">
        <v>83</v>
      </c>
      <c r="G10" s="13"/>
      <c r="H10" s="13" t="s">
        <v>84</v>
      </c>
      <c r="I10" s="13"/>
      <c r="J10" s="22" t="s">
        <v>85</v>
      </c>
      <c r="K10" s="13"/>
      <c r="L10" s="13" t="s">
        <v>86</v>
      </c>
      <c r="M10" s="13"/>
      <c r="N10" s="21" t="s">
        <v>87</v>
      </c>
      <c r="O10" s="21"/>
      <c r="P10" s="21" t="s">
        <v>88</v>
      </c>
      <c r="Q10" s="21"/>
      <c r="R10" s="14" t="s">
        <v>89</v>
      </c>
      <c r="S10" s="15"/>
      <c r="T10" s="16" t="s">
        <v>90</v>
      </c>
      <c r="U10" s="55"/>
      <c r="V10" s="42" t="s">
        <v>85</v>
      </c>
      <c r="W10" s="42"/>
      <c r="X10" s="56" t="s">
        <v>91</v>
      </c>
      <c r="AA10" s="93"/>
      <c r="AB10" s="93" t="s">
        <v>133</v>
      </c>
    </row>
    <row r="11" spans="2:29" ht="12" thickBot="1" x14ac:dyDescent="0.25">
      <c r="B11" s="51"/>
      <c r="C11" s="25"/>
      <c r="D11" s="13" t="s">
        <v>92</v>
      </c>
      <c r="E11" s="13"/>
      <c r="F11" s="17" t="s">
        <v>93</v>
      </c>
      <c r="G11" s="13"/>
      <c r="H11" s="13" t="s">
        <v>94</v>
      </c>
      <c r="I11" s="13"/>
      <c r="J11" s="22" t="s">
        <v>95</v>
      </c>
      <c r="K11" s="13"/>
      <c r="L11" s="57" t="s">
        <v>96</v>
      </c>
      <c r="M11" s="13"/>
      <c r="N11" s="21" t="s">
        <v>97</v>
      </c>
      <c r="O11" s="21"/>
      <c r="P11" s="21" t="s">
        <v>98</v>
      </c>
      <c r="Q11" s="21"/>
      <c r="R11" s="21" t="s">
        <v>99</v>
      </c>
      <c r="S11" s="13"/>
      <c r="T11" s="52" t="s">
        <v>100</v>
      </c>
      <c r="U11" s="55"/>
      <c r="V11" s="18" t="s">
        <v>100</v>
      </c>
      <c r="W11" s="42"/>
      <c r="X11" s="58" t="s">
        <v>100</v>
      </c>
      <c r="AA11" s="93" t="s">
        <v>132</v>
      </c>
      <c r="AB11" s="93" t="s">
        <v>134</v>
      </c>
    </row>
    <row r="12" spans="2:29" x14ac:dyDescent="0.2">
      <c r="B12" s="51"/>
      <c r="C12" s="25"/>
      <c r="D12" s="14">
        <v>-1</v>
      </c>
      <c r="E12" s="23"/>
      <c r="F12" s="14">
        <v>-2</v>
      </c>
      <c r="G12" s="23"/>
      <c r="H12" s="19">
        <v>-3</v>
      </c>
      <c r="I12" s="23"/>
      <c r="J12" s="14">
        <v>-4</v>
      </c>
      <c r="K12" s="23"/>
      <c r="L12" s="14">
        <v>-5</v>
      </c>
      <c r="M12" s="21"/>
      <c r="N12" s="14">
        <v>-6</v>
      </c>
      <c r="O12" s="21"/>
      <c r="P12" s="14">
        <v>-7</v>
      </c>
      <c r="Q12" s="50"/>
      <c r="R12" s="14">
        <v>-8</v>
      </c>
      <c r="S12" s="23"/>
      <c r="T12" s="20" t="s">
        <v>101</v>
      </c>
      <c r="U12" s="29"/>
      <c r="V12" s="14">
        <v>-10</v>
      </c>
      <c r="W12" s="43"/>
      <c r="X12" s="59">
        <v>-11</v>
      </c>
      <c r="Z12" s="60" t="s">
        <v>61</v>
      </c>
      <c r="AA12" s="96">
        <f>T18/100</f>
        <v>2.0400000000000001E-2</v>
      </c>
      <c r="AB12" s="97">
        <f>ROUND(1/AA12,0)</f>
        <v>49</v>
      </c>
      <c r="AC12" s="61" t="s">
        <v>67</v>
      </c>
    </row>
    <row r="13" spans="2:29" x14ac:dyDescent="0.2">
      <c r="B13" s="51"/>
      <c r="C13" s="25"/>
      <c r="D13" s="65" t="s">
        <v>102</v>
      </c>
      <c r="E13" s="23"/>
      <c r="F13" s="21"/>
      <c r="G13" s="23"/>
      <c r="H13" s="22"/>
      <c r="I13" s="23"/>
      <c r="J13" s="21"/>
      <c r="K13" s="23"/>
      <c r="L13" s="21"/>
      <c r="M13" s="21"/>
      <c r="N13" s="21"/>
      <c r="O13" s="21"/>
      <c r="P13" s="21"/>
      <c r="Q13" s="50"/>
      <c r="R13" s="21"/>
      <c r="S13" s="23"/>
      <c r="T13" s="23"/>
      <c r="U13" s="29"/>
      <c r="V13" s="43"/>
      <c r="W13" s="43"/>
      <c r="X13" s="44"/>
      <c r="Z13" s="51"/>
      <c r="AA13" s="95"/>
      <c r="AB13" s="94"/>
      <c r="AC13" s="64"/>
    </row>
    <row r="14" spans="2:29" x14ac:dyDescent="0.2">
      <c r="B14" s="51"/>
      <c r="C14" s="29"/>
      <c r="D14" s="65"/>
      <c r="E14" s="29"/>
      <c r="F14" s="66"/>
      <c r="G14" s="29"/>
      <c r="H14" s="29"/>
      <c r="I14" s="29"/>
      <c r="J14" s="67"/>
      <c r="K14" s="29"/>
      <c r="L14" s="29"/>
      <c r="M14" s="29"/>
      <c r="N14" s="68"/>
      <c r="O14" s="68"/>
      <c r="P14" s="68"/>
      <c r="Q14" s="68"/>
      <c r="R14" s="68"/>
      <c r="S14" s="29"/>
      <c r="T14" s="29"/>
      <c r="U14" s="29"/>
      <c r="V14" s="43"/>
      <c r="W14" s="43"/>
      <c r="X14" s="44"/>
      <c r="Z14" s="69" t="s">
        <v>62</v>
      </c>
      <c r="AA14" s="98">
        <f>T20/100</f>
        <v>3.1400000000000004E-2</v>
      </c>
      <c r="AB14" s="94">
        <f t="shared" ref="AB14:AB17" si="0">ROUND(1/AA14,0)</f>
        <v>32</v>
      </c>
      <c r="AC14" s="64" t="s">
        <v>67</v>
      </c>
    </row>
    <row r="15" spans="2:29" x14ac:dyDescent="0.2">
      <c r="B15" s="62"/>
      <c r="C15" s="70"/>
      <c r="D15" s="30" t="s">
        <v>116</v>
      </c>
      <c r="E15" s="70"/>
      <c r="F15" s="70"/>
      <c r="G15" s="70"/>
      <c r="H15" s="70"/>
      <c r="I15" s="70"/>
      <c r="J15" s="70"/>
      <c r="K15" s="70"/>
      <c r="L15" s="70"/>
      <c r="M15" s="70"/>
      <c r="N15" s="70"/>
      <c r="O15" s="70"/>
      <c r="P15" s="70"/>
      <c r="Q15" s="70"/>
      <c r="R15" s="70"/>
      <c r="S15" s="70"/>
      <c r="T15" s="70"/>
      <c r="U15" s="70"/>
      <c r="V15" s="70"/>
      <c r="W15" s="70"/>
      <c r="X15" s="64"/>
      <c r="Z15" s="69" t="s">
        <v>63</v>
      </c>
      <c r="AA15" s="98">
        <f>T21/100</f>
        <v>3.7400000000000003E-2</v>
      </c>
      <c r="AB15" s="94">
        <f t="shared" si="0"/>
        <v>27</v>
      </c>
      <c r="AC15" s="64" t="s">
        <v>67</v>
      </c>
    </row>
    <row r="16" spans="2:29" x14ac:dyDescent="0.2">
      <c r="B16" s="71">
        <v>360.1</v>
      </c>
      <c r="C16" s="29"/>
      <c r="D16" s="72" t="s">
        <v>103</v>
      </c>
      <c r="E16" s="70"/>
      <c r="F16" s="70"/>
      <c r="G16" s="70"/>
      <c r="H16" s="73" t="s">
        <v>143</v>
      </c>
      <c r="I16" s="74"/>
      <c r="J16" s="75">
        <v>0</v>
      </c>
      <c r="K16" s="70"/>
      <c r="L16" s="76">
        <v>6192997.7800000003</v>
      </c>
      <c r="M16" s="77"/>
      <c r="N16" s="76">
        <v>3154464.1</v>
      </c>
      <c r="O16" s="77"/>
      <c r="P16" s="78">
        <v>3038534</v>
      </c>
      <c r="Q16" s="63"/>
      <c r="R16" s="78">
        <v>69962</v>
      </c>
      <c r="S16" s="70"/>
      <c r="T16" s="79">
        <v>1.1299999999999999</v>
      </c>
      <c r="U16" s="80"/>
      <c r="V16" s="79">
        <v>1.1299999999999999</v>
      </c>
      <c r="W16" s="80"/>
      <c r="X16" s="81">
        <v>0</v>
      </c>
      <c r="Z16" s="69" t="s">
        <v>65</v>
      </c>
      <c r="AA16" s="98">
        <f>T22/100</f>
        <v>1.77E-2</v>
      </c>
      <c r="AB16" s="94">
        <f t="shared" si="0"/>
        <v>56</v>
      </c>
      <c r="AC16" s="64" t="s">
        <v>67</v>
      </c>
    </row>
    <row r="17" spans="2:29" x14ac:dyDescent="0.2">
      <c r="B17" s="71">
        <v>361</v>
      </c>
      <c r="C17" s="29"/>
      <c r="D17" s="29" t="s">
        <v>104</v>
      </c>
      <c r="E17" s="70"/>
      <c r="F17" s="70"/>
      <c r="G17" s="70"/>
      <c r="H17" s="73" t="s">
        <v>144</v>
      </c>
      <c r="I17" s="74"/>
      <c r="J17" s="75">
        <v>-10</v>
      </c>
      <c r="K17" s="70"/>
      <c r="L17" s="76">
        <v>7980826.7300000004</v>
      </c>
      <c r="M17" s="77"/>
      <c r="N17" s="76">
        <v>2327040.6800000002</v>
      </c>
      <c r="O17" s="77"/>
      <c r="P17" s="78">
        <v>6451869</v>
      </c>
      <c r="Q17" s="63"/>
      <c r="R17" s="78">
        <v>140499</v>
      </c>
      <c r="S17" s="70"/>
      <c r="T17" s="79">
        <v>1.76</v>
      </c>
      <c r="U17" s="80"/>
      <c r="V17" s="79">
        <v>1.6</v>
      </c>
      <c r="W17" s="80"/>
      <c r="X17" s="81">
        <v>0.16</v>
      </c>
      <c r="Z17" s="62" t="s">
        <v>64</v>
      </c>
      <c r="AA17" s="98">
        <f>T23/100</f>
        <v>3.9300000000000002E-2</v>
      </c>
      <c r="AB17" s="94">
        <f t="shared" si="0"/>
        <v>25</v>
      </c>
      <c r="AC17" s="64" t="s">
        <v>67</v>
      </c>
    </row>
    <row r="18" spans="2:29" ht="12" thickBot="1" x14ac:dyDescent="0.25">
      <c r="B18" s="71">
        <v>362</v>
      </c>
      <c r="C18" s="29"/>
      <c r="D18" s="29" t="s">
        <v>105</v>
      </c>
      <c r="E18" s="70"/>
      <c r="F18" s="70"/>
      <c r="G18" s="70"/>
      <c r="H18" s="73" t="s">
        <v>145</v>
      </c>
      <c r="I18" s="74"/>
      <c r="J18" s="75">
        <v>-15</v>
      </c>
      <c r="K18" s="70"/>
      <c r="L18" s="76">
        <v>434912648.51999998</v>
      </c>
      <c r="M18" s="77"/>
      <c r="N18" s="76">
        <v>125213289.48</v>
      </c>
      <c r="O18" s="77"/>
      <c r="P18" s="78">
        <v>374936256</v>
      </c>
      <c r="Q18" s="63"/>
      <c r="R18" s="78">
        <v>8871422</v>
      </c>
      <c r="S18" s="70"/>
      <c r="T18" s="79">
        <v>2.04</v>
      </c>
      <c r="U18" s="80"/>
      <c r="V18" s="79">
        <v>1.681304347826087</v>
      </c>
      <c r="W18" s="80"/>
      <c r="X18" s="81">
        <v>0.35478260869565215</v>
      </c>
      <c r="Z18" s="82" t="s">
        <v>66</v>
      </c>
      <c r="AA18" s="83"/>
      <c r="AB18" s="84">
        <f>ROUND(AVERAGE(AB14:AB17),0)</f>
        <v>35</v>
      </c>
      <c r="AC18" s="85" t="s">
        <v>67</v>
      </c>
    </row>
    <row r="19" spans="2:29" x14ac:dyDescent="0.2">
      <c r="B19" s="71">
        <v>363</v>
      </c>
      <c r="C19" s="29"/>
      <c r="D19" s="29" t="s">
        <v>106</v>
      </c>
      <c r="E19" s="70"/>
      <c r="F19" s="70"/>
      <c r="G19" s="70"/>
      <c r="H19" s="73" t="s">
        <v>146</v>
      </c>
      <c r="I19" s="74"/>
      <c r="J19" s="75">
        <v>0</v>
      </c>
      <c r="K19" s="70"/>
      <c r="L19" s="76">
        <v>1194182.8600000001</v>
      </c>
      <c r="M19" s="77"/>
      <c r="N19" s="76">
        <v>23908.84</v>
      </c>
      <c r="O19" s="77"/>
      <c r="P19" s="78">
        <v>1170274</v>
      </c>
      <c r="Q19" s="63"/>
      <c r="R19" s="78">
        <v>59617</v>
      </c>
      <c r="S19" s="70"/>
      <c r="T19" s="79">
        <v>4.99</v>
      </c>
      <c r="U19" s="80"/>
      <c r="V19" s="79">
        <v>4.99</v>
      </c>
      <c r="W19" s="80"/>
      <c r="X19" s="81">
        <v>0</v>
      </c>
    </row>
    <row r="20" spans="2:29" x14ac:dyDescent="0.2">
      <c r="B20" s="71">
        <v>364</v>
      </c>
      <c r="C20" s="29"/>
      <c r="D20" s="29" t="s">
        <v>107</v>
      </c>
      <c r="E20" s="70"/>
      <c r="F20" s="70"/>
      <c r="G20" s="70"/>
      <c r="H20" s="73" t="s">
        <v>147</v>
      </c>
      <c r="I20" s="74"/>
      <c r="J20" s="75">
        <v>-50</v>
      </c>
      <c r="K20" s="70"/>
      <c r="L20" s="76">
        <v>340904415.12</v>
      </c>
      <c r="M20" s="77"/>
      <c r="N20" s="76">
        <v>146427146.66</v>
      </c>
      <c r="O20" s="77"/>
      <c r="P20" s="78">
        <v>364929476</v>
      </c>
      <c r="Q20" s="63"/>
      <c r="R20" s="78">
        <v>10713901</v>
      </c>
      <c r="S20" s="70"/>
      <c r="T20" s="79">
        <v>3.14</v>
      </c>
      <c r="U20" s="80"/>
      <c r="V20" s="79">
        <v>2.0499999999999998</v>
      </c>
      <c r="W20" s="80"/>
      <c r="X20" s="81">
        <v>1.0900000000000001</v>
      </c>
    </row>
    <row r="21" spans="2:29" x14ac:dyDescent="0.2">
      <c r="B21" s="71">
        <v>365</v>
      </c>
      <c r="C21" s="29"/>
      <c r="D21" s="29" t="s">
        <v>108</v>
      </c>
      <c r="E21" s="70"/>
      <c r="F21" s="70"/>
      <c r="G21" s="70"/>
      <c r="H21" s="73" t="s">
        <v>148</v>
      </c>
      <c r="I21" s="74"/>
      <c r="J21" s="75">
        <v>-25</v>
      </c>
      <c r="K21" s="70"/>
      <c r="L21" s="76">
        <v>409216186.50999999</v>
      </c>
      <c r="M21" s="77"/>
      <c r="N21" s="76">
        <v>120401104.94</v>
      </c>
      <c r="O21" s="77"/>
      <c r="P21" s="78">
        <v>391119128</v>
      </c>
      <c r="Q21" s="63"/>
      <c r="R21" s="78">
        <v>15306553</v>
      </c>
      <c r="S21" s="70"/>
      <c r="T21" s="79">
        <v>3.74</v>
      </c>
      <c r="U21" s="80"/>
      <c r="V21" s="79">
        <v>2.9000000000000004</v>
      </c>
      <c r="W21" s="80"/>
      <c r="X21" s="81">
        <v>0.84</v>
      </c>
    </row>
    <row r="22" spans="2:29" x14ac:dyDescent="0.2">
      <c r="B22" s="71">
        <v>366</v>
      </c>
      <c r="C22" s="29"/>
      <c r="D22" s="29" t="s">
        <v>109</v>
      </c>
      <c r="E22" s="70"/>
      <c r="F22" s="70"/>
      <c r="G22" s="70"/>
      <c r="H22" s="73" t="s">
        <v>149</v>
      </c>
      <c r="I22" s="74"/>
      <c r="J22" s="75">
        <v>-10</v>
      </c>
      <c r="K22" s="70"/>
      <c r="L22" s="76">
        <v>672272622.88</v>
      </c>
      <c r="M22" s="77"/>
      <c r="N22" s="76">
        <v>261027349.00999999</v>
      </c>
      <c r="O22" s="77"/>
      <c r="P22" s="78">
        <v>478472536</v>
      </c>
      <c r="Q22" s="63"/>
      <c r="R22" s="78">
        <v>11912719</v>
      </c>
      <c r="S22" s="70"/>
      <c r="T22" s="79">
        <v>1.77</v>
      </c>
      <c r="U22" s="80"/>
      <c r="V22" s="79">
        <v>1.61</v>
      </c>
      <c r="W22" s="80"/>
      <c r="X22" s="81">
        <v>0.16</v>
      </c>
    </row>
    <row r="23" spans="2:29" x14ac:dyDescent="0.2">
      <c r="B23" s="71">
        <v>367</v>
      </c>
      <c r="C23" s="29"/>
      <c r="D23" s="29" t="s">
        <v>110</v>
      </c>
      <c r="E23" s="70"/>
      <c r="F23" s="70"/>
      <c r="G23" s="70"/>
      <c r="H23" s="73" t="s">
        <v>148</v>
      </c>
      <c r="I23" s="74"/>
      <c r="J23" s="75">
        <v>-40</v>
      </c>
      <c r="K23" s="70"/>
      <c r="L23" s="76">
        <v>844856752.28999996</v>
      </c>
      <c r="M23" s="77"/>
      <c r="N23" s="76">
        <v>341308279.60000002</v>
      </c>
      <c r="O23" s="77"/>
      <c r="P23" s="78">
        <v>841491174</v>
      </c>
      <c r="Q23" s="63"/>
      <c r="R23" s="78">
        <v>33220993</v>
      </c>
      <c r="S23" s="70"/>
      <c r="T23" s="79">
        <v>3.93</v>
      </c>
      <c r="U23" s="80"/>
      <c r="V23" s="79">
        <v>2.75</v>
      </c>
      <c r="W23" s="80"/>
      <c r="X23" s="81">
        <v>1.18</v>
      </c>
    </row>
    <row r="24" spans="2:29" x14ac:dyDescent="0.2">
      <c r="B24" s="71">
        <v>368</v>
      </c>
      <c r="C24" s="29"/>
      <c r="D24" s="29" t="s">
        <v>111</v>
      </c>
      <c r="E24" s="70"/>
      <c r="F24" s="70"/>
      <c r="G24" s="70"/>
      <c r="H24" s="73" t="s">
        <v>150</v>
      </c>
      <c r="I24" s="74"/>
      <c r="J24" s="75">
        <v>-50</v>
      </c>
      <c r="K24" s="70"/>
      <c r="L24" s="76">
        <v>462673680.60000002</v>
      </c>
      <c r="M24" s="77"/>
      <c r="N24" s="76">
        <v>181111959.47999999</v>
      </c>
      <c r="O24" s="77"/>
      <c r="P24" s="78">
        <v>512898561</v>
      </c>
      <c r="Q24" s="63"/>
      <c r="R24" s="78">
        <v>18805777</v>
      </c>
      <c r="S24" s="70"/>
      <c r="T24" s="79">
        <v>4.0599999999999996</v>
      </c>
      <c r="U24" s="80"/>
      <c r="V24" s="79">
        <v>2.6558666666666668</v>
      </c>
      <c r="W24" s="80"/>
      <c r="X24" s="81">
        <v>1.4074666666666666</v>
      </c>
    </row>
    <row r="25" spans="2:29" x14ac:dyDescent="0.2">
      <c r="B25" s="71">
        <v>369</v>
      </c>
      <c r="C25" s="29"/>
      <c r="D25" s="29" t="s">
        <v>112</v>
      </c>
      <c r="E25" s="70"/>
      <c r="F25" s="70"/>
      <c r="G25" s="70"/>
      <c r="H25" s="73" t="s">
        <v>149</v>
      </c>
      <c r="I25" s="74"/>
      <c r="J25" s="75">
        <v>-60</v>
      </c>
      <c r="K25" s="70"/>
      <c r="L25" s="76">
        <v>182057677.19</v>
      </c>
      <c r="M25" s="77"/>
      <c r="N25" s="76">
        <v>116569686.06999999</v>
      </c>
      <c r="O25" s="77"/>
      <c r="P25" s="78">
        <v>174722597</v>
      </c>
      <c r="Q25" s="63"/>
      <c r="R25" s="78">
        <v>5727599</v>
      </c>
      <c r="S25" s="70"/>
      <c r="T25" s="79">
        <v>3.15</v>
      </c>
      <c r="U25" s="80"/>
      <c r="V25" s="79">
        <v>1.97</v>
      </c>
      <c r="W25" s="80"/>
      <c r="X25" s="81">
        <v>1.18</v>
      </c>
    </row>
    <row r="26" spans="2:29" x14ac:dyDescent="0.2">
      <c r="B26" s="71">
        <v>370</v>
      </c>
      <c r="C26" s="29"/>
      <c r="D26" s="86" t="s">
        <v>113</v>
      </c>
      <c r="E26" s="70"/>
      <c r="F26" s="70"/>
      <c r="G26" s="70"/>
      <c r="H26" s="73" t="s">
        <v>151</v>
      </c>
      <c r="I26" s="74"/>
      <c r="J26" s="75">
        <v>-10</v>
      </c>
      <c r="K26" s="70"/>
      <c r="L26" s="76">
        <v>140665913.55000001</v>
      </c>
      <c r="M26" s="77"/>
      <c r="N26" s="76">
        <v>34679835.299999997</v>
      </c>
      <c r="O26" s="77"/>
      <c r="P26" s="78">
        <v>120052670</v>
      </c>
      <c r="Q26" s="63"/>
      <c r="R26" s="78">
        <v>11730432</v>
      </c>
      <c r="S26" s="70"/>
      <c r="T26" s="79">
        <v>8.34</v>
      </c>
      <c r="U26" s="80"/>
      <c r="V26" s="79">
        <v>7.58</v>
      </c>
      <c r="W26" s="80"/>
      <c r="X26" s="81">
        <v>0.76</v>
      </c>
    </row>
    <row r="27" spans="2:29" x14ac:dyDescent="0.2">
      <c r="B27" s="71">
        <v>373</v>
      </c>
      <c r="C27" s="29"/>
      <c r="D27" s="29" t="s">
        <v>114</v>
      </c>
      <c r="E27" s="70"/>
      <c r="F27" s="70"/>
      <c r="G27" s="70"/>
      <c r="H27" s="73" t="s">
        <v>152</v>
      </c>
      <c r="I27" s="74"/>
      <c r="J27" s="75">
        <v>-15</v>
      </c>
      <c r="K27" s="70"/>
      <c r="L27" s="76">
        <v>53727968.479999997</v>
      </c>
      <c r="M27" s="77"/>
      <c r="N27" s="76">
        <v>18793323.43</v>
      </c>
      <c r="O27" s="77"/>
      <c r="P27" s="78">
        <v>42993840</v>
      </c>
      <c r="Q27" s="63"/>
      <c r="R27" s="78">
        <v>2552518</v>
      </c>
      <c r="S27" s="70"/>
      <c r="T27" s="79">
        <v>4.75</v>
      </c>
      <c r="U27" s="80"/>
      <c r="V27" s="79">
        <v>4.09</v>
      </c>
      <c r="W27" s="80"/>
      <c r="X27" s="81">
        <v>0.66</v>
      </c>
    </row>
    <row r="28" spans="2:29" x14ac:dyDescent="0.2">
      <c r="B28" s="71"/>
      <c r="C28" s="29"/>
      <c r="D28" s="29"/>
      <c r="E28" s="70"/>
      <c r="F28" s="70"/>
      <c r="G28" s="70"/>
      <c r="H28" s="70"/>
      <c r="I28" s="70"/>
      <c r="J28" s="87"/>
      <c r="K28" s="70"/>
      <c r="L28" s="88"/>
      <c r="M28" s="88"/>
      <c r="N28" s="88"/>
      <c r="O28" s="88"/>
      <c r="P28" s="88"/>
      <c r="Q28" s="88"/>
      <c r="R28" s="88"/>
      <c r="S28" s="88"/>
      <c r="T28" s="88"/>
      <c r="U28" s="70"/>
      <c r="V28" s="70"/>
      <c r="W28" s="70"/>
      <c r="X28" s="64"/>
    </row>
    <row r="29" spans="2:29" x14ac:dyDescent="0.2">
      <c r="B29" s="71"/>
      <c r="C29" s="29"/>
      <c r="D29" s="65" t="s">
        <v>115</v>
      </c>
      <c r="E29" s="70"/>
      <c r="F29" s="70"/>
      <c r="G29" s="70"/>
      <c r="H29" s="70"/>
      <c r="I29" s="70"/>
      <c r="J29" s="70"/>
      <c r="K29" s="70"/>
      <c r="L29" s="24">
        <f>+SUBTOTAL(9,L16:L27)</f>
        <v>3556655872.5100002</v>
      </c>
      <c r="M29" s="25"/>
      <c r="N29" s="26">
        <f>+SUBTOTAL(9,N16:N27)</f>
        <v>1351037387.5899999</v>
      </c>
      <c r="O29" s="27"/>
      <c r="P29" s="26">
        <f>+SUBTOTAL(9,P16:P27)</f>
        <v>3312276915</v>
      </c>
      <c r="Q29" s="27"/>
      <c r="R29" s="26">
        <f>+SUBTOTAL(9,R16:R27)</f>
        <v>119111992</v>
      </c>
      <c r="S29" s="25"/>
      <c r="T29" s="28">
        <f>ROUND(R29/L29*100,2)</f>
        <v>3.35</v>
      </c>
      <c r="U29" s="29"/>
      <c r="V29" s="70"/>
      <c r="W29" s="70"/>
      <c r="X29" s="64"/>
    </row>
    <row r="30" spans="2:29" ht="12" thickBot="1" x14ac:dyDescent="0.25">
      <c r="B30" s="89"/>
      <c r="C30" s="90"/>
      <c r="D30" s="90"/>
      <c r="E30" s="90"/>
      <c r="F30" s="90"/>
      <c r="G30" s="90"/>
      <c r="H30" s="90"/>
      <c r="I30" s="90"/>
      <c r="J30" s="90"/>
      <c r="K30" s="90"/>
      <c r="L30" s="90"/>
      <c r="M30" s="90"/>
      <c r="N30" s="90"/>
      <c r="O30" s="90"/>
      <c r="P30" s="90"/>
      <c r="Q30" s="90"/>
      <c r="R30" s="90"/>
      <c r="S30" s="90"/>
      <c r="T30" s="90"/>
      <c r="U30" s="90"/>
      <c r="V30" s="90"/>
      <c r="W30" s="90"/>
      <c r="X30" s="91"/>
    </row>
    <row r="37" spans="16:16" x14ac:dyDescent="0.2">
      <c r="P37" s="92"/>
    </row>
  </sheetData>
  <printOptions horizontalCentered="1"/>
  <pageMargins left="0.25" right="0.25" top="0.75" bottom="0.75" header="0.3" footer="0.3"/>
  <pageSetup scale="78" orientation="landscape" r:id="rId1"/>
  <headerFooter alignWithMargins="0">
    <oddFooter>&amp;L&amp;"Arial,Regular"&amp;8&amp;F&amp;C&amp;A&amp;R&amp;"Arial,Regular"Advice No. 18-xxxx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734C6C0364064BB10A1197C734B99B" ma:contentTypeVersion="44" ma:contentTypeDescription="" ma:contentTypeScope="" ma:versionID="9ee69fffaef5613fdda0ae5a0298f4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2020-12-02T08:00:00+00:00</OpenedDate>
    <SignificantOrder xmlns="dc463f71-b30c-4ab2-9473-d307f9d35888">false</SignificantOrder>
    <Date1 xmlns="dc463f71-b30c-4ab2-9473-d307f9d35888">2020-12-02T08:00:00+00:00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200970</DocketNumber>
    <DelegatedOrder xmlns="dc463f71-b30c-4ab2-9473-d307f9d35888">false</DelegatedOrder>
  </documentManagement>
</p:properties>
</file>

<file path=customXml/itemProps1.xml><?xml version="1.0" encoding="utf-8"?>
<ds:datastoreItem xmlns:ds="http://schemas.openxmlformats.org/officeDocument/2006/customXml" ds:itemID="{7D92B481-D8EC-4F2A-AA8A-4A1609273132}">
  <ds:schemaRefs>
    <ds:schemaRef ds:uri="http://schemas.microsoft.com/PowerBIAddIn"/>
  </ds:schemaRefs>
</ds:datastoreItem>
</file>

<file path=customXml/itemProps2.xml><?xml version="1.0" encoding="utf-8"?>
<ds:datastoreItem xmlns:ds="http://schemas.openxmlformats.org/officeDocument/2006/customXml" ds:itemID="{1886E250-81AB-4996-968E-5ABE3AEA02CC}"/>
</file>

<file path=customXml/itemProps3.xml><?xml version="1.0" encoding="utf-8"?>
<ds:datastoreItem xmlns:ds="http://schemas.openxmlformats.org/officeDocument/2006/customXml" ds:itemID="{070AD74C-861A-445F-8887-A1B188D993A9}"/>
</file>

<file path=customXml/itemProps4.xml><?xml version="1.0" encoding="utf-8"?>
<ds:datastoreItem xmlns:ds="http://schemas.openxmlformats.org/officeDocument/2006/customXml" ds:itemID="{BAAF523F-A77F-4D9F-BC6C-E28367DB4A3B}"/>
</file>

<file path=customXml/itemProps5.xml><?xml version="1.0" encoding="utf-8"?>
<ds:datastoreItem xmlns:ds="http://schemas.openxmlformats.org/officeDocument/2006/customXml" ds:itemID="{CC4F2DF3-C388-48D1-B97E-30E2848F7E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FCR Read Me</vt:lpstr>
      <vt:lpstr>Sch 62 FCR Table</vt:lpstr>
      <vt:lpstr>Workpapers -&gt;</vt:lpstr>
      <vt:lpstr>FCR Rates Feeder</vt:lpstr>
      <vt:lpstr>FCR Rates Sub</vt:lpstr>
      <vt:lpstr>Lvl FCR Sub Equip</vt:lpstr>
      <vt:lpstr>Lvl FCR Feeder</vt:lpstr>
      <vt:lpstr>LvlFCR Land</vt:lpstr>
      <vt:lpstr>Sub &amp; Feeder Depr Life</vt:lpstr>
      <vt:lpstr>'FCR Rates Feeder'!Print_Area</vt:lpstr>
      <vt:lpstr>'FCR Rates Sub'!Print_Area</vt:lpstr>
      <vt:lpstr>'FCR Read Me'!Print_Area</vt:lpstr>
      <vt:lpstr>'Lvl FCR Feeder'!Print_Area</vt:lpstr>
      <vt:lpstr>'Lvl FCR Sub Equip'!Print_Area</vt:lpstr>
      <vt:lpstr>'LvlFCR Land'!Print_Area</vt:lpstr>
      <vt:lpstr>'Sch 62 FCR Table'!Print_Area</vt:lpstr>
      <vt:lpstr>'Sub &amp; Feeder Depr Life'!Print_Area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Veronica Martin</cp:lastModifiedBy>
  <cp:lastPrinted>2017-12-29T01:11:20Z</cp:lastPrinted>
  <dcterms:created xsi:type="dcterms:W3CDTF">2013-09-13T17:20:41Z</dcterms:created>
  <dcterms:modified xsi:type="dcterms:W3CDTF">2020-12-01T23:24:46Z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0x0101006E56B4D1795A2E4DB2F0B01679ED314A0070734C6C0364064BB10A1197C734B99B</vt:lpwstr>
  </property>
  <property fmtid="{D5CDD505-2E9C-101B-9397-08002B2CF9AE}" pid="3" name="_docset_NoMedatataSyncRequired">
    <vt:lpwstr>False</vt:lpwstr>
  </property>
  <property fmtid="{D5CDD505-2E9C-101B-9397-08002B2CF9AE}" pid="4" name="IsEFSEC">
    <vt:bool>false</vt:bool>
  </property>
</Properties>
</file>