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\Desktop\ACTIVELY working on\Send to UTC 12.01.20\"/>
    </mc:Choice>
  </mc:AlternateContent>
  <xr:revisionPtr revIDLastSave="0" documentId="13_ncr:1_{4583D902-904C-4B7C-A316-3203770518CD}" xr6:coauthVersionLast="45" xr6:coauthVersionMax="45" xr10:uidLastSave="{00000000-0000-0000-0000-000000000000}"/>
  <bookViews>
    <workbookView xWindow="-2340" yWindow="-16320" windowWidth="29040" windowHeight="15840" xr2:uid="{89925656-A4C9-465B-83C1-026FE9CFFC18}"/>
  </bookViews>
  <sheets>
    <sheet name="LCBC Pro For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E52" i="1"/>
  <c r="H52" i="1" s="1"/>
  <c r="E50" i="1"/>
  <c r="H50" i="1" s="1"/>
  <c r="E49" i="1"/>
  <c r="H49" i="1" s="1"/>
  <c r="E48" i="1"/>
  <c r="H48" i="1" s="1"/>
  <c r="E47" i="1"/>
  <c r="H47" i="1" s="1"/>
  <c r="E45" i="1"/>
  <c r="H45" i="1" s="1"/>
  <c r="E44" i="1"/>
  <c r="H44" i="1" s="1"/>
  <c r="E43" i="1"/>
  <c r="H43" i="1" s="1"/>
  <c r="E42" i="1"/>
  <c r="H42" i="1" s="1"/>
  <c r="G39" i="1"/>
  <c r="D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28" i="1"/>
  <c r="D28" i="1"/>
  <c r="E27" i="1"/>
  <c r="H27" i="1" s="1"/>
  <c r="E25" i="1"/>
  <c r="H25" i="1" s="1"/>
  <c r="G22" i="1"/>
  <c r="G55" i="1" s="1"/>
  <c r="D22" i="1"/>
  <c r="E21" i="1"/>
  <c r="H21" i="1" s="1"/>
  <c r="E19" i="1"/>
  <c r="H19" i="1" s="1"/>
  <c r="G15" i="1"/>
  <c r="E14" i="1"/>
  <c r="H14" i="1" s="1"/>
  <c r="E13" i="1"/>
  <c r="H13" i="1" s="1"/>
  <c r="G60" i="1" l="1"/>
  <c r="G57" i="1"/>
  <c r="C15" i="1"/>
  <c r="C65" i="1" s="1"/>
  <c r="C22" i="1"/>
  <c r="C39" i="1"/>
  <c r="C28" i="1"/>
  <c r="E31" i="1"/>
  <c r="E39" i="1" s="1"/>
  <c r="C53" i="1"/>
  <c r="E20" i="1"/>
  <c r="E26" i="1"/>
  <c r="H31" i="1" l="1"/>
  <c r="H39" i="1" s="1"/>
  <c r="C55" i="1"/>
  <c r="C64" i="1" s="1"/>
  <c r="C66" i="1" s="1"/>
  <c r="C68" i="1" s="1"/>
  <c r="D12" i="1" s="1"/>
  <c r="H26" i="1"/>
  <c r="H28" i="1" s="1"/>
  <c r="E28" i="1"/>
  <c r="H20" i="1"/>
  <c r="H22" i="1" s="1"/>
  <c r="E22" i="1"/>
  <c r="C57" i="1" l="1"/>
  <c r="C60" i="1"/>
  <c r="E12" i="1"/>
  <c r="D15" i="1"/>
  <c r="D46" i="1" l="1"/>
  <c r="D51" i="1"/>
  <c r="E51" i="1" s="1"/>
  <c r="H51" i="1" s="1"/>
  <c r="E15" i="1"/>
  <c r="H12" i="1"/>
  <c r="H15" i="1" s="1"/>
  <c r="E65" i="1" l="1"/>
  <c r="E46" i="1"/>
  <c r="D53" i="1"/>
  <c r="D55" i="1" s="1"/>
  <c r="D57" i="1" s="1"/>
  <c r="H65" i="1" l="1"/>
  <c r="H46" i="1"/>
  <c r="H53" i="1" s="1"/>
  <c r="H55" i="1" s="1"/>
  <c r="E53" i="1"/>
  <c r="E55" i="1" s="1"/>
  <c r="E64" i="1" l="1"/>
  <c r="E60" i="1"/>
  <c r="E57" i="1"/>
  <c r="H60" i="1"/>
  <c r="H57" i="1"/>
  <c r="H64" i="1" l="1"/>
  <c r="E66" i="1"/>
  <c r="E68" i="1" l="1"/>
  <c r="H66" i="1"/>
</calcChain>
</file>

<file path=xl/sharedStrings.xml><?xml version="1.0" encoding="utf-8"?>
<sst xmlns="http://schemas.openxmlformats.org/spreadsheetml/2006/main" count="76" uniqueCount="73">
  <si>
    <t>Pro Forma Income Statement - in WUTC Annual Report  Format</t>
  </si>
  <si>
    <t>Short allowed Income</t>
  </si>
  <si>
    <t>Line</t>
  </si>
  <si>
    <t>Operating Revenues</t>
  </si>
  <si>
    <t>Passenger</t>
  </si>
  <si>
    <t>Freight</t>
  </si>
  <si>
    <t>Other - Food Service, Souvenirs</t>
  </si>
  <si>
    <t>Total Revenue</t>
  </si>
  <si>
    <t>Operating Expenses</t>
  </si>
  <si>
    <t>Direct Payroll</t>
  </si>
  <si>
    <t>Officers, Owners &amp; Spouses</t>
  </si>
  <si>
    <t>Crew (Full &amp; Part Time)</t>
  </si>
  <si>
    <t>Other</t>
  </si>
  <si>
    <t>Total Payroll</t>
  </si>
  <si>
    <t>Fringe Benefits</t>
  </si>
  <si>
    <t>Employee Benefits</t>
  </si>
  <si>
    <t xml:space="preserve">Payroll Taxes </t>
  </si>
  <si>
    <t>Total Fringe Benefits</t>
  </si>
  <si>
    <t>Transportation</t>
  </si>
  <si>
    <t>Vessel Repair &amp; Maintenance</t>
  </si>
  <si>
    <t>Fuel &amp; Oil</t>
  </si>
  <si>
    <t>Stores, Supplies &amp; Equipment</t>
  </si>
  <si>
    <t>Increased costs due to program subscriptions and services</t>
  </si>
  <si>
    <t>Port, Warfage, &amp; Dockage</t>
  </si>
  <si>
    <t>increased due to NPS CUA Fee &amp; USFS increase</t>
  </si>
  <si>
    <t>COGS-Food/Souv.</t>
  </si>
  <si>
    <t>Vessel Insurance</t>
  </si>
  <si>
    <t>Vessel Depreciation</t>
  </si>
  <si>
    <t>Adjusted to Acquisition Adj Allowed</t>
  </si>
  <si>
    <t>Claims</t>
  </si>
  <si>
    <t>Total Transportation</t>
  </si>
  <si>
    <t>General</t>
  </si>
  <si>
    <t>Office Supplies &amp; Postage</t>
  </si>
  <si>
    <t>Legal &amp; Accounting</t>
  </si>
  <si>
    <t>Utilities &amp; Communication</t>
  </si>
  <si>
    <t>Traffic &amp; Advertising</t>
  </si>
  <si>
    <t>Agency Fees &amp; Commissions</t>
  </si>
  <si>
    <t>Operating Rents (Other than Vessel)</t>
  </si>
  <si>
    <t>Insurance (Other than Vessel)</t>
  </si>
  <si>
    <t>Depreciation (Other than Vessel) &amp; Amortization</t>
  </si>
  <si>
    <t>Property Taxes (R.E., P.P. &amp; Wtrcrft)</t>
  </si>
  <si>
    <t>Business Taxes</t>
  </si>
  <si>
    <t>Excise Tax difference due to less income</t>
  </si>
  <si>
    <t>Other - General Repairs, CC Discount</t>
  </si>
  <si>
    <t>Difference due to CC fees dependent on income</t>
  </si>
  <si>
    <t>Total General</t>
  </si>
  <si>
    <t xml:space="preserve">Total Operating Expenses </t>
  </si>
  <si>
    <t>Net Operating Income</t>
  </si>
  <si>
    <t>Operating Ratio</t>
  </si>
  <si>
    <t>Total Expenses divided by .93 = allowed income</t>
  </si>
  <si>
    <t xml:space="preserve">Income on Proforma  </t>
  </si>
  <si>
    <t>% Increase to recover income allowed</t>
  </si>
  <si>
    <t xml:space="preserve">1/20/20 Final Rate Case </t>
  </si>
  <si>
    <t>Lake Chelan Boat Company</t>
  </si>
  <si>
    <t>Pro Forma at full income  allowance</t>
  </si>
  <si>
    <t>Variance 1/20/20 Rate Case vs Current Case</t>
  </si>
  <si>
    <t>Short allowed</t>
  </si>
  <si>
    <t>Changed due to costs of runs &amp; reduced fuel price per gallon</t>
  </si>
  <si>
    <t>Changed due to reduced costs of runs</t>
  </si>
  <si>
    <t>Changed due to reduced wages in costs of runs</t>
  </si>
  <si>
    <t>Last rate R&amp;M low - need higher R&amp;M for basic care</t>
  </si>
  <si>
    <t>UTC fees based on income, so this changes due to income change</t>
  </si>
  <si>
    <r>
      <t xml:space="preserve">Revenue Requirement </t>
    </r>
    <r>
      <rPr>
        <b/>
        <sz val="11"/>
        <color rgb="FFFF0000"/>
        <rFont val="Arial"/>
        <family val="2"/>
      </rPr>
      <t>(Revenue Deficiency)</t>
    </r>
  </si>
  <si>
    <t>Freight Income actual Nov 2019 thru Oct 2020</t>
  </si>
  <si>
    <t>Future 12 month income at reduced passenger counts, rates &amp; schedules</t>
  </si>
  <si>
    <t>Rate Case    Pro Forma</t>
  </si>
  <si>
    <t>Pro Forma (column C) indicates P&amp;L for company afer rate case:</t>
  </si>
  <si>
    <r>
      <rPr>
        <u/>
        <sz val="11"/>
        <rFont val="Arial"/>
        <family val="2"/>
      </rPr>
      <t>Fixed Expenses</t>
    </r>
    <r>
      <rPr>
        <sz val="11"/>
        <rFont val="Arial"/>
        <family val="2"/>
      </rPr>
      <t xml:space="preserve"> - at last rate case expense (finalized on 1/20/20) with minimal changes, noted in Column I</t>
    </r>
  </si>
  <si>
    <r>
      <rPr>
        <u/>
        <sz val="11"/>
        <rFont val="Arial"/>
        <family val="2"/>
      </rPr>
      <t>Operating Expenses</t>
    </r>
    <r>
      <rPr>
        <sz val="11"/>
        <rFont val="Arial"/>
        <family val="2"/>
      </rPr>
      <t xml:space="preserve"> - Stated at the costs per run per boat, in Time Schedule No. 36</t>
    </r>
  </si>
  <si>
    <t>Income Allowance calculation</t>
  </si>
  <si>
    <t>$ taken away from officer wages for Other income generated in past-charters/food</t>
  </si>
  <si>
    <r>
      <rPr>
        <u/>
        <sz val="11"/>
        <rFont val="Arial"/>
        <family val="2"/>
      </rPr>
      <t>Income</t>
    </r>
    <r>
      <rPr>
        <sz val="11"/>
        <rFont val="Arial"/>
        <family val="2"/>
      </rPr>
      <t xml:space="preserve"> - based on estimated ridership for Time Schedule No. 36 at new rate structure - Last 12 months ridership plus </t>
    </r>
  </si>
  <si>
    <t>known 2021 Holden Village visitation and small % of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</si>
</sst>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9">
    <xf numFmtId="0" fontId="0" fillId="0" borderId="0" xfId="0"/>
    <xf numFmtId="1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Fill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Border="1"/>
    <xf numFmtId="0" fontId="10" fillId="0" borderId="0" xfId="0" applyFont="1" applyFill="1"/>
    <xf numFmtId="1" fontId="11" fillId="0" borderId="0" xfId="0" applyNumberFormat="1" applyFont="1"/>
    <xf numFmtId="0" fontId="6" fillId="0" borderId="2" xfId="0" applyFont="1" applyBorder="1" applyAlignment="1">
      <alignment horizontal="left"/>
    </xf>
    <xf numFmtId="38" fontId="3" fillId="0" borderId="3" xfId="0" applyNumberFormat="1" applyFont="1" applyBorder="1" applyAlignment="1">
      <alignment horizontal="center" wrapText="1"/>
    </xf>
    <xf numFmtId="0" fontId="2" fillId="0" borderId="5" xfId="0" applyFont="1" applyBorder="1"/>
    <xf numFmtId="38" fontId="3" fillId="0" borderId="6" xfId="0" quotePrefix="1" applyNumberFormat="1" applyFont="1" applyBorder="1" applyAlignment="1">
      <alignment horizontal="center" wrapText="1"/>
    </xf>
    <xf numFmtId="0" fontId="3" fillId="0" borderId="5" xfId="0" applyFont="1" applyBorder="1"/>
    <xf numFmtId="38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164" fontId="2" fillId="0" borderId="6" xfId="3" applyNumberFormat="1" applyFont="1" applyFill="1" applyBorder="1"/>
    <xf numFmtId="38" fontId="2" fillId="5" borderId="6" xfId="1" applyNumberFormat="1" applyFont="1" applyFill="1" applyBorder="1"/>
    <xf numFmtId="38" fontId="2" fillId="0" borderId="6" xfId="1" applyNumberFormat="1" applyFont="1" applyBorder="1"/>
    <xf numFmtId="38" fontId="2" fillId="0" borderId="6" xfId="1" applyNumberFormat="1" applyFont="1" applyFill="1" applyBorder="1"/>
    <xf numFmtId="38" fontId="2" fillId="0" borderId="7" xfId="1" applyNumberFormat="1" applyFont="1" applyBorder="1"/>
    <xf numFmtId="38" fontId="3" fillId="0" borderId="6" xfId="1" applyNumberFormat="1" applyFont="1" applyFill="1" applyBorder="1"/>
    <xf numFmtId="0" fontId="5" fillId="0" borderId="5" xfId="0" applyFont="1" applyBorder="1"/>
    <xf numFmtId="38" fontId="3" fillId="0" borderId="6" xfId="1" applyNumberFormat="1" applyFont="1" applyBorder="1" applyAlignment="1">
      <alignment horizontal="right"/>
    </xf>
    <xf numFmtId="38" fontId="3" fillId="0" borderId="6" xfId="1" applyNumberFormat="1" applyFont="1" applyFill="1" applyBorder="1" applyAlignment="1">
      <alignment horizontal="right"/>
    </xf>
    <xf numFmtId="0" fontId="6" fillId="0" borderId="5" xfId="0" applyFont="1" applyBorder="1"/>
    <xf numFmtId="38" fontId="6" fillId="0" borderId="6" xfId="1" applyNumberFormat="1" applyFont="1" applyFill="1" applyBorder="1"/>
    <xf numFmtId="10" fontId="3" fillId="0" borderId="6" xfId="2" applyNumberFormat="1" applyFont="1" applyFill="1" applyBorder="1"/>
    <xf numFmtId="0" fontId="2" fillId="0" borderId="6" xfId="0" applyFont="1" applyBorder="1"/>
    <xf numFmtId="38" fontId="3" fillId="0" borderId="6" xfId="0" applyNumberFormat="1" applyFont="1" applyBorder="1" applyAlignment="1">
      <alignment horizontal="center" wrapText="1"/>
    </xf>
    <xf numFmtId="164" fontId="2" fillId="0" borderId="7" xfId="0" applyNumberFormat="1" applyFont="1" applyBorder="1"/>
    <xf numFmtId="0" fontId="7" fillId="0" borderId="5" xfId="0" applyFont="1" applyBorder="1"/>
    <xf numFmtId="40" fontId="2" fillId="0" borderId="6" xfId="0" applyNumberFormat="1" applyFont="1" applyBorder="1"/>
    <xf numFmtId="40" fontId="2" fillId="0" borderId="7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8" xfId="0" applyFont="1" applyBorder="1"/>
    <xf numFmtId="10" fontId="3" fillId="6" borderId="9" xfId="0" applyNumberFormat="1" applyFont="1" applyFill="1" applyBorder="1"/>
    <xf numFmtId="10" fontId="2" fillId="0" borderId="9" xfId="0" applyNumberFormat="1" applyFont="1" applyBorder="1"/>
    <xf numFmtId="164" fontId="2" fillId="0" borderId="10" xfId="0" applyNumberFormat="1" applyFont="1" applyBorder="1"/>
    <xf numFmtId="38" fontId="3" fillId="0" borderId="11" xfId="1" applyNumberFormat="1" applyFont="1" applyFill="1" applyBorder="1"/>
    <xf numFmtId="38" fontId="2" fillId="0" borderId="9" xfId="1" applyNumberFormat="1" applyFont="1" applyFill="1" applyBorder="1"/>
    <xf numFmtId="38" fontId="2" fillId="0" borderId="9" xfId="1" applyNumberFormat="1" applyFont="1" applyBorder="1"/>
    <xf numFmtId="38" fontId="3" fillId="0" borderId="12" xfId="1" applyNumberFormat="1" applyFont="1" applyFill="1" applyBorder="1"/>
    <xf numFmtId="38" fontId="2" fillId="0" borderId="10" xfId="1" applyNumberFormat="1" applyFont="1" applyBorder="1"/>
    <xf numFmtId="38" fontId="2" fillId="0" borderId="11" xfId="1" applyNumberFormat="1" applyFont="1" applyFill="1" applyBorder="1"/>
    <xf numFmtId="38" fontId="2" fillId="0" borderId="12" xfId="1" applyNumberFormat="1" applyFont="1" applyFill="1" applyBorder="1"/>
    <xf numFmtId="38" fontId="2" fillId="0" borderId="11" xfId="1" applyNumberFormat="1" applyFont="1" applyBorder="1"/>
    <xf numFmtId="38" fontId="2" fillId="0" borderId="12" xfId="1" applyNumberFormat="1" applyFont="1" applyBorder="1"/>
    <xf numFmtId="38" fontId="2" fillId="0" borderId="14" xfId="1" applyNumberFormat="1" applyFont="1" applyBorder="1"/>
    <xf numFmtId="38" fontId="3" fillId="0" borderId="13" xfId="1" applyNumberFormat="1" applyFont="1" applyFill="1" applyBorder="1"/>
    <xf numFmtId="38" fontId="2" fillId="0" borderId="16" xfId="1" applyNumberFormat="1" applyFont="1" applyBorder="1"/>
    <xf numFmtId="38" fontId="3" fillId="0" borderId="15" xfId="1" applyNumberFormat="1" applyFont="1" applyFill="1" applyBorder="1"/>
    <xf numFmtId="38" fontId="2" fillId="0" borderId="18" xfId="1" applyNumberFormat="1" applyFont="1" applyBorder="1"/>
    <xf numFmtId="38" fontId="3" fillId="5" borderId="11" xfId="1" applyNumberFormat="1" applyFont="1" applyFill="1" applyBorder="1" applyAlignment="1">
      <alignment horizontal="center"/>
    </xf>
    <xf numFmtId="38" fontId="6" fillId="6" borderId="17" xfId="1" applyNumberFormat="1" applyFont="1" applyFill="1" applyBorder="1"/>
    <xf numFmtId="38" fontId="6" fillId="5" borderId="17" xfId="1" applyNumberFormat="1" applyFont="1" applyFill="1" applyBorder="1"/>
    <xf numFmtId="38" fontId="6" fillId="0" borderId="17" xfId="1" applyNumberFormat="1" applyFont="1" applyFill="1" applyBorder="1"/>
    <xf numFmtId="38" fontId="2" fillId="0" borderId="20" xfId="1" applyNumberFormat="1" applyFont="1" applyBorder="1"/>
    <xf numFmtId="38" fontId="6" fillId="0" borderId="19" xfId="1" applyNumberFormat="1" applyFont="1" applyFill="1" applyBorder="1"/>
    <xf numFmtId="38" fontId="3" fillId="0" borderId="11" xfId="0" applyNumberFormat="1" applyFont="1" applyBorder="1" applyAlignment="1">
      <alignment horizontal="center" wrapText="1"/>
    </xf>
    <xf numFmtId="164" fontId="2" fillId="0" borderId="12" xfId="0" applyNumberFormat="1" applyFont="1" applyBorder="1"/>
    <xf numFmtId="10" fontId="3" fillId="3" borderId="17" xfId="2" applyNumberFormat="1" applyFont="1" applyFill="1" applyBorder="1"/>
    <xf numFmtId="10" fontId="3" fillId="0" borderId="19" xfId="2" applyNumberFormat="1" applyFont="1" applyFill="1" applyBorder="1"/>
    <xf numFmtId="40" fontId="3" fillId="6" borderId="11" xfId="0" applyNumberFormat="1" applyFont="1" applyFill="1" applyBorder="1"/>
    <xf numFmtId="40" fontId="2" fillId="0" borderId="9" xfId="0" applyNumberFormat="1" applyFont="1" applyBorder="1"/>
    <xf numFmtId="40" fontId="2" fillId="0" borderId="11" xfId="0" applyNumberFormat="1" applyFont="1" applyBorder="1"/>
    <xf numFmtId="10" fontId="3" fillId="0" borderId="17" xfId="2" applyNumberFormat="1" applyFont="1" applyFill="1" applyBorder="1"/>
    <xf numFmtId="10" fontId="3" fillId="6" borderId="17" xfId="2" applyNumberFormat="1" applyFont="1" applyFill="1" applyBorder="1"/>
    <xf numFmtId="40" fontId="2" fillId="0" borderId="12" xfId="0" applyNumberFormat="1" applyFont="1" applyBorder="1"/>
    <xf numFmtId="40" fontId="2" fillId="0" borderId="10" xfId="0" applyNumberFormat="1" applyFont="1" applyBorder="1"/>
    <xf numFmtId="38" fontId="3" fillId="2" borderId="3" xfId="0" applyNumberFormat="1" applyFont="1" applyFill="1" applyBorder="1" applyAlignment="1">
      <alignment horizontal="center" wrapText="1"/>
    </xf>
    <xf numFmtId="38" fontId="3" fillId="2" borderId="6" xfId="0" applyNumberFormat="1" applyFont="1" applyFill="1" applyBorder="1" applyAlignment="1">
      <alignment horizontal="center" wrapText="1"/>
    </xf>
    <xf numFmtId="38" fontId="3" fillId="4" borderId="4" xfId="0" applyNumberFormat="1" applyFont="1" applyFill="1" applyBorder="1" applyAlignment="1">
      <alignment horizontal="center" wrapText="1"/>
    </xf>
    <xf numFmtId="38" fontId="3" fillId="4" borderId="7" xfId="0" applyNumberFormat="1" applyFont="1" applyFill="1" applyBorder="1" applyAlignment="1">
      <alignment horizontal="center" wrapText="1"/>
    </xf>
    <xf numFmtId="38" fontId="3" fillId="6" borderId="11" xfId="0" applyNumberFormat="1" applyFont="1" applyFill="1" applyBorder="1" applyAlignment="1">
      <alignment horizontal="center" wrapText="1"/>
    </xf>
    <xf numFmtId="38" fontId="3" fillId="6" borderId="6" xfId="0" quotePrefix="1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38" fontId="3" fillId="6" borderId="3" xfId="0" applyNumberFormat="1" applyFont="1" applyFill="1" applyBorder="1" applyAlignment="1">
      <alignment horizontal="center" wrapText="1"/>
    </xf>
    <xf numFmtId="38" fontId="3" fillId="0" borderId="3" xfId="0" applyNumberFormat="1" applyFont="1" applyBorder="1" applyAlignment="1">
      <alignment horizontal="center" wrapText="1"/>
    </xf>
    <xf numFmtId="38" fontId="3" fillId="0" borderId="6" xfId="0" applyNumberFormat="1" applyFont="1" applyBorder="1" applyAlignment="1">
      <alignment horizontal="center" wrapText="1"/>
    </xf>
  </cellXfs>
  <cellStyles count="4">
    <cellStyle name="Comma" xfId="1" builtinId="3"/>
    <cellStyle name="Currency 5" xfId="3" xr:uid="{2A3DBAFB-965B-4D2D-A4F7-201C5261E564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4DFB1-22DF-42EF-BE89-69AC6851FDFE}">
  <dimension ref="A1:O72"/>
  <sheetViews>
    <sheetView tabSelected="1" workbookViewId="0">
      <selection activeCell="I31" sqref="I31"/>
    </sheetView>
  </sheetViews>
  <sheetFormatPr defaultRowHeight="14.25" x14ac:dyDescent="0.2"/>
  <cols>
    <col min="1" max="1" width="3.42578125" style="1" customWidth="1"/>
    <col min="2" max="2" width="45.140625" style="2" customWidth="1"/>
    <col min="3" max="3" width="14.42578125" style="2" customWidth="1"/>
    <col min="4" max="4" width="11.7109375" style="2" customWidth="1"/>
    <col min="5" max="5" width="13.5703125" style="2" customWidth="1"/>
    <col min="6" max="6" width="1.5703125" style="2" customWidth="1"/>
    <col min="7" max="7" width="14" style="2" customWidth="1"/>
    <col min="8" max="8" width="13.5703125" style="2" customWidth="1"/>
    <col min="9" max="9" width="65" style="14" customWidth="1"/>
    <col min="10" max="10" width="13.42578125" style="2" customWidth="1"/>
    <col min="11" max="11" width="2.140625" style="2" customWidth="1"/>
    <col min="12" max="16384" width="9.140625" style="2"/>
  </cols>
  <sheetData>
    <row r="1" spans="1:9" ht="15" x14ac:dyDescent="0.25">
      <c r="B1" s="85" t="s">
        <v>0</v>
      </c>
      <c r="C1" s="85"/>
      <c r="D1" s="85"/>
      <c r="E1" s="85"/>
      <c r="F1" s="85"/>
    </row>
    <row r="2" spans="1:9" ht="9.75" customHeight="1" x14ac:dyDescent="0.25">
      <c r="A2" s="11"/>
      <c r="B2" s="9"/>
      <c r="C2" s="9"/>
      <c r="D2" s="9"/>
      <c r="E2" s="9"/>
      <c r="F2" s="9"/>
      <c r="G2" s="8"/>
    </row>
    <row r="3" spans="1:9" ht="15" x14ac:dyDescent="0.25">
      <c r="A3" s="13" t="s">
        <v>66</v>
      </c>
    </row>
    <row r="4" spans="1:9" x14ac:dyDescent="0.2">
      <c r="A4" s="2" t="s">
        <v>71</v>
      </c>
    </row>
    <row r="5" spans="1:9" x14ac:dyDescent="0.2">
      <c r="A5" s="2"/>
      <c r="B5" s="2" t="s">
        <v>72</v>
      </c>
    </row>
    <row r="6" spans="1:9" ht="15" x14ac:dyDescent="0.25">
      <c r="A6" s="12" t="s">
        <v>67</v>
      </c>
      <c r="C6" s="9"/>
      <c r="D6" s="9"/>
      <c r="E6" s="9"/>
      <c r="F6" s="8"/>
    </row>
    <row r="7" spans="1:9" ht="15" x14ac:dyDescent="0.25">
      <c r="A7" s="12" t="s">
        <v>68</v>
      </c>
      <c r="C7" s="9"/>
      <c r="D7" s="9"/>
      <c r="E7" s="9"/>
      <c r="F7" s="8"/>
    </row>
    <row r="8" spans="1:9" ht="8.25" customHeight="1" x14ac:dyDescent="0.25">
      <c r="B8" s="10"/>
      <c r="C8" s="3"/>
      <c r="D8" s="3"/>
      <c r="E8" s="3"/>
      <c r="F8" s="3"/>
      <c r="G8" s="4"/>
      <c r="H8" s="5"/>
    </row>
    <row r="9" spans="1:9" ht="22.5" customHeight="1" x14ac:dyDescent="0.25">
      <c r="B9" s="18" t="s">
        <v>53</v>
      </c>
      <c r="C9" s="86" t="s">
        <v>65</v>
      </c>
      <c r="D9" s="87" t="s">
        <v>1</v>
      </c>
      <c r="E9" s="87" t="s">
        <v>54</v>
      </c>
      <c r="F9" s="19"/>
      <c r="G9" s="79" t="s">
        <v>52</v>
      </c>
      <c r="H9" s="81" t="s">
        <v>55</v>
      </c>
    </row>
    <row r="10" spans="1:9" ht="22.5" customHeight="1" x14ac:dyDescent="0.25">
      <c r="A10" s="17" t="s">
        <v>2</v>
      </c>
      <c r="B10" s="20"/>
      <c r="C10" s="84"/>
      <c r="D10" s="88"/>
      <c r="E10" s="88"/>
      <c r="F10" s="21"/>
      <c r="G10" s="80"/>
      <c r="H10" s="82"/>
    </row>
    <row r="11" spans="1:9" ht="15" x14ac:dyDescent="0.25">
      <c r="B11" s="22" t="s">
        <v>3</v>
      </c>
      <c r="C11" s="23"/>
      <c r="D11" s="23"/>
      <c r="E11" s="23"/>
      <c r="F11" s="23"/>
      <c r="G11" s="23"/>
      <c r="H11" s="24"/>
    </row>
    <row r="12" spans="1:9" x14ac:dyDescent="0.2">
      <c r="A12" s="1">
        <v>1</v>
      </c>
      <c r="B12" s="20" t="s">
        <v>4</v>
      </c>
      <c r="C12" s="25">
        <v>1403441</v>
      </c>
      <c r="D12" s="26">
        <f>C12*C68</f>
        <v>118488.640498216</v>
      </c>
      <c r="E12" s="27">
        <f>C12+D12</f>
        <v>1521929.640498216</v>
      </c>
      <c r="F12" s="28"/>
      <c r="G12" s="27">
        <v>1585964.7609659249</v>
      </c>
      <c r="H12" s="29">
        <f>E12-G12</f>
        <v>-64035.120467708912</v>
      </c>
      <c r="I12" s="14" t="s">
        <v>64</v>
      </c>
    </row>
    <row r="13" spans="1:9" x14ac:dyDescent="0.2">
      <c r="A13" s="1">
        <v>2</v>
      </c>
      <c r="B13" s="20" t="s">
        <v>5</v>
      </c>
      <c r="C13" s="28">
        <v>89909</v>
      </c>
      <c r="D13" s="28"/>
      <c r="E13" s="27">
        <f>C13+D13</f>
        <v>89909</v>
      </c>
      <c r="F13" s="28"/>
      <c r="G13" s="27">
        <v>127081.87074074073</v>
      </c>
      <c r="H13" s="29">
        <f>E13-G13</f>
        <v>-37172.870740740735</v>
      </c>
      <c r="I13" s="14" t="s">
        <v>63</v>
      </c>
    </row>
    <row r="14" spans="1:9" x14ac:dyDescent="0.2">
      <c r="A14" s="1">
        <v>3</v>
      </c>
      <c r="B14" s="20" t="s">
        <v>6</v>
      </c>
      <c r="C14" s="49">
        <v>0</v>
      </c>
      <c r="D14" s="49"/>
      <c r="E14" s="50">
        <f>C14+D14</f>
        <v>0</v>
      </c>
      <c r="F14" s="28"/>
      <c r="G14" s="50">
        <v>0</v>
      </c>
      <c r="H14" s="52">
        <f>E14-G14</f>
        <v>0</v>
      </c>
    </row>
    <row r="15" spans="1:9" ht="15" x14ac:dyDescent="0.25">
      <c r="A15" s="1">
        <v>4</v>
      </c>
      <c r="B15" s="22" t="s">
        <v>7</v>
      </c>
      <c r="C15" s="48">
        <f t="shared" ref="C15:E15" si="0">SUM(C12:C14)</f>
        <v>1493350</v>
      </c>
      <c r="D15" s="48">
        <f t="shared" si="0"/>
        <v>118488.640498216</v>
      </c>
      <c r="E15" s="48">
        <f t="shared" si="0"/>
        <v>1611838.640498216</v>
      </c>
      <c r="F15" s="30"/>
      <c r="G15" s="48">
        <f>SUM(G12:G14)</f>
        <v>1713046.6317066657</v>
      </c>
      <c r="H15" s="51">
        <f>SUM(H12:H14)</f>
        <v>-101207.99120844965</v>
      </c>
    </row>
    <row r="16" spans="1:9" ht="8.25" customHeight="1" x14ac:dyDescent="0.2">
      <c r="B16" s="20"/>
      <c r="C16" s="27"/>
      <c r="D16" s="27"/>
      <c r="E16" s="27"/>
      <c r="F16" s="28"/>
      <c r="G16" s="27"/>
      <c r="H16" s="29"/>
    </row>
    <row r="17" spans="1:9" ht="15" x14ac:dyDescent="0.25">
      <c r="B17" s="22" t="s">
        <v>8</v>
      </c>
      <c r="C17" s="27"/>
      <c r="D17" s="27"/>
      <c r="E17" s="27"/>
      <c r="F17" s="28"/>
      <c r="G17" s="27"/>
      <c r="H17" s="29"/>
    </row>
    <row r="18" spans="1:9" x14ac:dyDescent="0.2">
      <c r="B18" s="31" t="s">
        <v>9</v>
      </c>
      <c r="C18" s="27"/>
      <c r="D18" s="27"/>
      <c r="E18" s="27"/>
      <c r="F18" s="27"/>
      <c r="G18" s="27"/>
      <c r="H18" s="29"/>
    </row>
    <row r="19" spans="1:9" x14ac:dyDescent="0.2">
      <c r="A19" s="1">
        <v>5</v>
      </c>
      <c r="B19" s="20" t="s">
        <v>10</v>
      </c>
      <c r="C19" s="27">
        <v>100008</v>
      </c>
      <c r="D19" s="27"/>
      <c r="E19" s="27">
        <f>C19+D19</f>
        <v>100008</v>
      </c>
      <c r="F19" s="28"/>
      <c r="G19" s="27">
        <v>98582.206035379815</v>
      </c>
      <c r="H19" s="29">
        <f t="shared" ref="H19:H21" si="1">E19-G19</f>
        <v>1425.7939646201849</v>
      </c>
      <c r="I19" s="14" t="s">
        <v>70</v>
      </c>
    </row>
    <row r="20" spans="1:9" ht="12.75" customHeight="1" x14ac:dyDescent="0.2">
      <c r="A20" s="1">
        <v>6</v>
      </c>
      <c r="B20" s="20" t="s">
        <v>11</v>
      </c>
      <c r="C20" s="27">
        <v>232189</v>
      </c>
      <c r="D20" s="27"/>
      <c r="E20" s="27">
        <f>C20+D20</f>
        <v>232189</v>
      </c>
      <c r="F20" s="28"/>
      <c r="G20" s="27">
        <v>264627.91736373072</v>
      </c>
      <c r="H20" s="29">
        <f t="shared" si="1"/>
        <v>-32438.917363730725</v>
      </c>
      <c r="I20" s="14" t="s">
        <v>58</v>
      </c>
    </row>
    <row r="21" spans="1:9" ht="12.75" customHeight="1" x14ac:dyDescent="0.2">
      <c r="A21" s="1">
        <v>7</v>
      </c>
      <c r="B21" s="20" t="s">
        <v>12</v>
      </c>
      <c r="C21" s="50">
        <v>210235</v>
      </c>
      <c r="D21" s="50"/>
      <c r="E21" s="50">
        <f>C21+D21</f>
        <v>210235</v>
      </c>
      <c r="F21" s="28"/>
      <c r="G21" s="50">
        <v>210235.49763626925</v>
      </c>
      <c r="H21" s="52">
        <f t="shared" si="1"/>
        <v>-0.49763626925414428</v>
      </c>
    </row>
    <row r="22" spans="1:9" x14ac:dyDescent="0.2">
      <c r="A22" s="1">
        <v>8</v>
      </c>
      <c r="B22" s="31" t="s">
        <v>13</v>
      </c>
      <c r="C22" s="53">
        <f>SUM(C19:C21)</f>
        <v>542432</v>
      </c>
      <c r="D22" s="53">
        <f>SUM(D18:D21)</f>
        <v>0</v>
      </c>
      <c r="E22" s="53">
        <f>SUM(E18:E21)</f>
        <v>542432</v>
      </c>
      <c r="F22" s="28"/>
      <c r="G22" s="53">
        <f>SUM(G18:G21)</f>
        <v>573445.62103537982</v>
      </c>
      <c r="H22" s="54">
        <f>SUM(H18:H21)</f>
        <v>-31013.621035379794</v>
      </c>
      <c r="I22" s="15"/>
    </row>
    <row r="23" spans="1:9" ht="6.75" customHeight="1" x14ac:dyDescent="0.2">
      <c r="B23" s="20"/>
      <c r="C23" s="27"/>
      <c r="D23" s="27"/>
      <c r="E23" s="27"/>
      <c r="F23" s="28"/>
      <c r="G23" s="27"/>
      <c r="H23" s="29"/>
    </row>
    <row r="24" spans="1:9" x14ac:dyDescent="0.2">
      <c r="A24" s="1">
        <v>9</v>
      </c>
      <c r="B24" s="31" t="s">
        <v>14</v>
      </c>
      <c r="C24" s="27"/>
      <c r="D24" s="27"/>
      <c r="E24" s="27"/>
      <c r="F24" s="28"/>
      <c r="G24" s="27"/>
      <c r="H24" s="29"/>
    </row>
    <row r="25" spans="1:9" ht="12.75" customHeight="1" x14ac:dyDescent="0.2">
      <c r="A25" s="1">
        <v>10</v>
      </c>
      <c r="B25" s="20" t="s">
        <v>15</v>
      </c>
      <c r="C25" s="27">
        <v>50297</v>
      </c>
      <c r="D25" s="27"/>
      <c r="E25" s="27">
        <f>C25+D25</f>
        <v>50297</v>
      </c>
      <c r="F25" s="28"/>
      <c r="G25" s="27">
        <v>50297.279999999999</v>
      </c>
      <c r="H25" s="29">
        <f>E25-G25</f>
        <v>-0.27999999999883585</v>
      </c>
    </row>
    <row r="26" spans="1:9" ht="12.75" customHeight="1" x14ac:dyDescent="0.2">
      <c r="A26" s="1">
        <v>11</v>
      </c>
      <c r="B26" s="20" t="s">
        <v>16</v>
      </c>
      <c r="C26" s="27">
        <v>62891</v>
      </c>
      <c r="D26" s="27"/>
      <c r="E26" s="27">
        <f>C26+D26</f>
        <v>62891</v>
      </c>
      <c r="F26" s="28"/>
      <c r="G26" s="27">
        <v>75035.459999999992</v>
      </c>
      <c r="H26" s="29">
        <f>E26-G26</f>
        <v>-12144.459999999992</v>
      </c>
      <c r="I26" s="14" t="s">
        <v>59</v>
      </c>
    </row>
    <row r="27" spans="1:9" ht="12.75" customHeight="1" x14ac:dyDescent="0.2">
      <c r="A27" s="1">
        <v>12</v>
      </c>
      <c r="B27" s="20" t="s">
        <v>12</v>
      </c>
      <c r="C27" s="50">
        <v>0</v>
      </c>
      <c r="D27" s="50"/>
      <c r="E27" s="50">
        <f>C27+D27</f>
        <v>0</v>
      </c>
      <c r="F27" s="28"/>
      <c r="G27" s="50">
        <v>-202.66</v>
      </c>
      <c r="H27" s="52">
        <f>E27-G27</f>
        <v>202.66</v>
      </c>
    </row>
    <row r="28" spans="1:9" x14ac:dyDescent="0.2">
      <c r="B28" s="31" t="s">
        <v>17</v>
      </c>
      <c r="C28" s="53">
        <f>SUM(C25:C27)</f>
        <v>113188</v>
      </c>
      <c r="D28" s="53">
        <f>SUM(D25:D27)</f>
        <v>0</v>
      </c>
      <c r="E28" s="53">
        <f>SUM(E25:E27)</f>
        <v>113188</v>
      </c>
      <c r="F28" s="28"/>
      <c r="G28" s="53">
        <f>SUM(G25:G27)</f>
        <v>125130.07999999999</v>
      </c>
      <c r="H28" s="54">
        <f>SUM(H25:H27)</f>
        <v>-11942.079999999991</v>
      </c>
      <c r="I28" s="15"/>
    </row>
    <row r="29" spans="1:9" ht="6.75" customHeight="1" x14ac:dyDescent="0.2">
      <c r="B29" s="20"/>
      <c r="C29" s="27"/>
      <c r="D29" s="27"/>
      <c r="E29" s="27"/>
      <c r="F29" s="28"/>
      <c r="G29" s="27"/>
      <c r="H29" s="29"/>
    </row>
    <row r="30" spans="1:9" x14ac:dyDescent="0.2">
      <c r="B30" s="31" t="s">
        <v>18</v>
      </c>
      <c r="C30" s="27"/>
      <c r="D30" s="27"/>
      <c r="E30" s="27"/>
      <c r="F30" s="28"/>
      <c r="G30" s="27"/>
      <c r="H30" s="29"/>
    </row>
    <row r="31" spans="1:9" x14ac:dyDescent="0.2">
      <c r="A31" s="1">
        <v>13</v>
      </c>
      <c r="B31" s="20" t="s">
        <v>19</v>
      </c>
      <c r="C31" s="27">
        <v>35000</v>
      </c>
      <c r="D31" s="27"/>
      <c r="E31" s="27">
        <f t="shared" ref="E31:E38" si="2">C31+D31</f>
        <v>35000</v>
      </c>
      <c r="F31" s="28"/>
      <c r="G31" s="27">
        <v>19312.94423777315</v>
      </c>
      <c r="H31" s="29">
        <f t="shared" ref="H31:H38" si="3">E31-G31</f>
        <v>15687.05576222685</v>
      </c>
      <c r="I31" s="14" t="s">
        <v>60</v>
      </c>
    </row>
    <row r="32" spans="1:9" ht="12.75" customHeight="1" x14ac:dyDescent="0.2">
      <c r="A32" s="1">
        <v>14</v>
      </c>
      <c r="B32" s="20" t="s">
        <v>20</v>
      </c>
      <c r="C32" s="27">
        <v>232637</v>
      </c>
      <c r="D32" s="27"/>
      <c r="E32" s="27">
        <f t="shared" si="2"/>
        <v>232637</v>
      </c>
      <c r="F32" s="28"/>
      <c r="G32" s="27">
        <v>284552.21107491053</v>
      </c>
      <c r="H32" s="29">
        <f t="shared" si="3"/>
        <v>-51915.211074910534</v>
      </c>
      <c r="I32" s="14" t="s">
        <v>57</v>
      </c>
    </row>
    <row r="33" spans="1:15" ht="12.75" customHeight="1" x14ac:dyDescent="0.2">
      <c r="A33" s="1">
        <v>15</v>
      </c>
      <c r="B33" s="20" t="s">
        <v>21</v>
      </c>
      <c r="C33" s="27">
        <v>22972.41</v>
      </c>
      <c r="D33" s="27"/>
      <c r="E33" s="27">
        <f t="shared" si="2"/>
        <v>22972.41</v>
      </c>
      <c r="F33" s="28"/>
      <c r="G33" s="27">
        <v>18362.88</v>
      </c>
      <c r="H33" s="29">
        <f t="shared" si="3"/>
        <v>4609.5299999999988</v>
      </c>
      <c r="I33" s="14" t="s">
        <v>22</v>
      </c>
    </row>
    <row r="34" spans="1:15" x14ac:dyDescent="0.2">
      <c r="A34" s="1">
        <v>16</v>
      </c>
      <c r="B34" s="20" t="s">
        <v>23</v>
      </c>
      <c r="C34" s="27">
        <v>191006</v>
      </c>
      <c r="D34" s="27"/>
      <c r="E34" s="27">
        <f t="shared" si="2"/>
        <v>191006</v>
      </c>
      <c r="F34" s="28"/>
      <c r="G34" s="27">
        <v>175676.71</v>
      </c>
      <c r="H34" s="29">
        <f t="shared" si="3"/>
        <v>15329.290000000008</v>
      </c>
      <c r="I34" s="14" t="s">
        <v>24</v>
      </c>
    </row>
    <row r="35" spans="1:15" x14ac:dyDescent="0.2">
      <c r="A35" s="1">
        <v>17</v>
      </c>
      <c r="B35" s="20" t="s">
        <v>25</v>
      </c>
      <c r="C35" s="27">
        <v>0</v>
      </c>
      <c r="D35" s="27"/>
      <c r="E35" s="27">
        <f t="shared" si="2"/>
        <v>0</v>
      </c>
      <c r="F35" s="28"/>
      <c r="G35" s="27">
        <v>0</v>
      </c>
      <c r="H35" s="29">
        <f t="shared" si="3"/>
        <v>0</v>
      </c>
    </row>
    <row r="36" spans="1:15" x14ac:dyDescent="0.2">
      <c r="A36" s="1">
        <v>18</v>
      </c>
      <c r="B36" s="20" t="s">
        <v>26</v>
      </c>
      <c r="C36" s="27">
        <v>53143.94</v>
      </c>
      <c r="D36" s="27"/>
      <c r="E36" s="27">
        <f t="shared" si="2"/>
        <v>53143.94</v>
      </c>
      <c r="F36" s="28"/>
      <c r="G36" s="27">
        <v>53144.26740634755</v>
      </c>
      <c r="H36" s="29">
        <f t="shared" si="3"/>
        <v>-0.32740634754736675</v>
      </c>
      <c r="I36" s="16"/>
      <c r="J36" s="7"/>
      <c r="K36" s="7"/>
      <c r="L36" s="7"/>
      <c r="M36" s="7"/>
      <c r="N36" s="7"/>
      <c r="O36" s="7"/>
    </row>
    <row r="37" spans="1:15" x14ac:dyDescent="0.2">
      <c r="A37" s="1">
        <v>19</v>
      </c>
      <c r="B37" s="20" t="s">
        <v>27</v>
      </c>
      <c r="C37" s="27">
        <v>77168</v>
      </c>
      <c r="D37" s="27"/>
      <c r="E37" s="28">
        <f t="shared" si="2"/>
        <v>77168</v>
      </c>
      <c r="F37" s="28"/>
      <c r="G37" s="27">
        <v>77168.066543964625</v>
      </c>
      <c r="H37" s="29">
        <f t="shared" si="3"/>
        <v>-6.6543964625452645E-2</v>
      </c>
      <c r="I37" s="16" t="s">
        <v>28</v>
      </c>
      <c r="J37" s="7"/>
      <c r="K37" s="7"/>
      <c r="L37" s="7"/>
      <c r="M37" s="7"/>
      <c r="N37" s="7"/>
      <c r="O37" s="7"/>
    </row>
    <row r="38" spans="1:15" x14ac:dyDescent="0.2">
      <c r="A38" s="1">
        <v>20</v>
      </c>
      <c r="B38" s="20" t="s">
        <v>29</v>
      </c>
      <c r="C38" s="50">
        <v>0</v>
      </c>
      <c r="D38" s="50"/>
      <c r="E38" s="50">
        <f t="shared" si="2"/>
        <v>0</v>
      </c>
      <c r="F38" s="28"/>
      <c r="G38" s="50">
        <v>0</v>
      </c>
      <c r="H38" s="52">
        <f t="shared" si="3"/>
        <v>0</v>
      </c>
    </row>
    <row r="39" spans="1:15" x14ac:dyDescent="0.2">
      <c r="A39" s="1">
        <v>21</v>
      </c>
      <c r="B39" s="31" t="s">
        <v>30</v>
      </c>
      <c r="C39" s="53">
        <f t="shared" ref="C39:D39" si="4">SUM(C31:C38)</f>
        <v>611927.35</v>
      </c>
      <c r="D39" s="53">
        <f t="shared" si="4"/>
        <v>0</v>
      </c>
      <c r="E39" s="53">
        <f>SUM(E31:E38)</f>
        <v>611927.35</v>
      </c>
      <c r="F39" s="28"/>
      <c r="G39" s="53">
        <f>SUM(G31:G38)</f>
        <v>628217.07926299586</v>
      </c>
      <c r="H39" s="54">
        <f>SUM(H31:H38)</f>
        <v>-16289.729262995847</v>
      </c>
      <c r="I39" s="15"/>
    </row>
    <row r="40" spans="1:15" ht="6" customHeight="1" x14ac:dyDescent="0.2">
      <c r="B40" s="20"/>
      <c r="C40" s="27"/>
      <c r="D40" s="27"/>
      <c r="E40" s="27"/>
      <c r="F40" s="28"/>
      <c r="G40" s="27"/>
      <c r="H40" s="29"/>
    </row>
    <row r="41" spans="1:15" ht="15" x14ac:dyDescent="0.25">
      <c r="B41" s="31" t="s">
        <v>31</v>
      </c>
      <c r="C41" s="32"/>
      <c r="D41" s="32"/>
      <c r="E41" s="32"/>
      <c r="F41" s="33"/>
      <c r="G41" s="32"/>
      <c r="H41" s="29"/>
    </row>
    <row r="42" spans="1:15" x14ac:dyDescent="0.2">
      <c r="A42" s="1">
        <v>22</v>
      </c>
      <c r="B42" s="20" t="s">
        <v>32</v>
      </c>
      <c r="C42" s="27">
        <v>9722</v>
      </c>
      <c r="D42" s="27"/>
      <c r="E42" s="27">
        <f t="shared" ref="E42:E52" si="5">C42+D42</f>
        <v>9722</v>
      </c>
      <c r="F42" s="28"/>
      <c r="G42" s="27">
        <v>9721.6999999999989</v>
      </c>
      <c r="H42" s="29">
        <f t="shared" ref="H42:H52" si="6">E42-G42</f>
        <v>0.30000000000109139</v>
      </c>
    </row>
    <row r="43" spans="1:15" ht="12.75" customHeight="1" x14ac:dyDescent="0.2">
      <c r="A43" s="1">
        <v>23</v>
      </c>
      <c r="B43" s="20" t="s">
        <v>33</v>
      </c>
      <c r="C43" s="27">
        <v>19988</v>
      </c>
      <c r="D43" s="27"/>
      <c r="E43" s="27">
        <f t="shared" si="5"/>
        <v>19988</v>
      </c>
      <c r="F43" s="28"/>
      <c r="G43" s="27">
        <v>19988.074756763781</v>
      </c>
      <c r="H43" s="29">
        <f t="shared" si="6"/>
        <v>-7.4756763780897018E-2</v>
      </c>
    </row>
    <row r="44" spans="1:15" ht="12.75" customHeight="1" x14ac:dyDescent="0.2">
      <c r="A44" s="1">
        <v>24</v>
      </c>
      <c r="B44" s="20" t="s">
        <v>34</v>
      </c>
      <c r="C44" s="27">
        <v>26374</v>
      </c>
      <c r="D44" s="27"/>
      <c r="E44" s="27">
        <f t="shared" si="5"/>
        <v>26374</v>
      </c>
      <c r="F44" s="28"/>
      <c r="G44" s="27">
        <v>26374.062334807488</v>
      </c>
      <c r="H44" s="29">
        <f t="shared" si="6"/>
        <v>-6.2334807487786748E-2</v>
      </c>
    </row>
    <row r="45" spans="1:15" x14ac:dyDescent="0.2">
      <c r="A45" s="1">
        <v>25</v>
      </c>
      <c r="B45" s="20" t="s">
        <v>35</v>
      </c>
      <c r="C45" s="27">
        <v>6990</v>
      </c>
      <c r="D45" s="27"/>
      <c r="E45" s="27">
        <f t="shared" si="5"/>
        <v>6990</v>
      </c>
      <c r="F45" s="28"/>
      <c r="G45" s="27">
        <v>6989.6895785639963</v>
      </c>
      <c r="H45" s="29">
        <f t="shared" si="6"/>
        <v>0.31042143600370764</v>
      </c>
    </row>
    <row r="46" spans="1:15" x14ac:dyDescent="0.2">
      <c r="A46" s="1">
        <v>26</v>
      </c>
      <c r="B46" s="20" t="s">
        <v>36</v>
      </c>
      <c r="C46" s="27">
        <v>7040</v>
      </c>
      <c r="D46" s="27">
        <f>D15*0.004</f>
        <v>473.954561992864</v>
      </c>
      <c r="E46" s="27">
        <f t="shared" si="5"/>
        <v>7513.954561992864</v>
      </c>
      <c r="F46" s="28"/>
      <c r="G46" s="27">
        <v>10384.628275192948</v>
      </c>
      <c r="H46" s="29">
        <f t="shared" si="6"/>
        <v>-2870.6737132000844</v>
      </c>
      <c r="I46" s="14" t="s">
        <v>61</v>
      </c>
    </row>
    <row r="47" spans="1:15" x14ac:dyDescent="0.2">
      <c r="A47" s="1">
        <v>27</v>
      </c>
      <c r="B47" s="20" t="s">
        <v>37</v>
      </c>
      <c r="C47" s="27">
        <v>3549</v>
      </c>
      <c r="D47" s="27"/>
      <c r="E47" s="27">
        <f t="shared" si="5"/>
        <v>3549</v>
      </c>
      <c r="F47" s="28"/>
      <c r="G47" s="27">
        <v>3548.9594172736734</v>
      </c>
      <c r="H47" s="29">
        <f t="shared" si="6"/>
        <v>4.0582726326647389E-2</v>
      </c>
    </row>
    <row r="48" spans="1:15" x14ac:dyDescent="0.2">
      <c r="A48" s="1">
        <v>28</v>
      </c>
      <c r="B48" s="20" t="s">
        <v>38</v>
      </c>
      <c r="C48" s="27">
        <v>26570</v>
      </c>
      <c r="D48" s="27"/>
      <c r="E48" s="27">
        <f t="shared" si="5"/>
        <v>26570</v>
      </c>
      <c r="F48" s="28"/>
      <c r="G48" s="27">
        <v>26570.211350156093</v>
      </c>
      <c r="H48" s="29">
        <f t="shared" si="6"/>
        <v>-0.2113501560925215</v>
      </c>
      <c r="I48" s="16"/>
      <c r="J48" s="7"/>
      <c r="K48" s="7"/>
      <c r="L48" s="7"/>
    </row>
    <row r="49" spans="1:12" x14ac:dyDescent="0.2">
      <c r="A49" s="1">
        <v>29</v>
      </c>
      <c r="B49" s="20" t="s">
        <v>39</v>
      </c>
      <c r="C49" s="27">
        <v>34195</v>
      </c>
      <c r="D49" s="27"/>
      <c r="E49" s="28">
        <f t="shared" si="5"/>
        <v>34195</v>
      </c>
      <c r="F49" s="28"/>
      <c r="G49" s="27">
        <v>34194.519370447451</v>
      </c>
      <c r="H49" s="29">
        <f t="shared" si="6"/>
        <v>0.48062955254863482</v>
      </c>
      <c r="I49" s="16" t="s">
        <v>28</v>
      </c>
      <c r="J49" s="7"/>
      <c r="K49" s="7"/>
      <c r="L49" s="7"/>
    </row>
    <row r="50" spans="1:12" x14ac:dyDescent="0.2">
      <c r="A50" s="1">
        <v>30</v>
      </c>
      <c r="B50" s="20" t="s">
        <v>40</v>
      </c>
      <c r="C50" s="27">
        <v>12961</v>
      </c>
      <c r="D50" s="27"/>
      <c r="E50" s="27">
        <f t="shared" si="5"/>
        <v>12961</v>
      </c>
      <c r="F50" s="28"/>
      <c r="G50" s="27">
        <v>12961.499725546306</v>
      </c>
      <c r="H50" s="29">
        <f t="shared" si="6"/>
        <v>-0.49972554630585364</v>
      </c>
    </row>
    <row r="51" spans="1:12" x14ac:dyDescent="0.2">
      <c r="A51" s="1">
        <v>31</v>
      </c>
      <c r="B51" s="20" t="s">
        <v>41</v>
      </c>
      <c r="C51" s="27">
        <v>10310</v>
      </c>
      <c r="D51" s="27">
        <f>D15*0.01926</f>
        <v>2282.0912159956401</v>
      </c>
      <c r="E51" s="27">
        <f t="shared" si="5"/>
        <v>12592.091215995641</v>
      </c>
      <c r="F51" s="28"/>
      <c r="G51" s="27">
        <v>22960.518613667464</v>
      </c>
      <c r="H51" s="29">
        <f t="shared" si="6"/>
        <v>-10368.427397671823</v>
      </c>
      <c r="I51" s="14" t="s">
        <v>42</v>
      </c>
    </row>
    <row r="52" spans="1:12" x14ac:dyDescent="0.2">
      <c r="A52" s="1">
        <v>32</v>
      </c>
      <c r="B52" s="20" t="s">
        <v>43</v>
      </c>
      <c r="C52" s="50">
        <v>80823</v>
      </c>
      <c r="D52" s="50"/>
      <c r="E52" s="50">
        <f t="shared" si="5"/>
        <v>80823</v>
      </c>
      <c r="F52" s="28"/>
      <c r="G52" s="50">
        <v>91773.782182622264</v>
      </c>
      <c r="H52" s="52">
        <f t="shared" si="6"/>
        <v>-10950.782182622264</v>
      </c>
      <c r="I52" s="14" t="s">
        <v>44</v>
      </c>
    </row>
    <row r="53" spans="1:12" x14ac:dyDescent="0.2">
      <c r="A53" s="1">
        <v>33</v>
      </c>
      <c r="B53" s="31" t="s">
        <v>45</v>
      </c>
      <c r="C53" s="55">
        <f>SUM(C42:C52)</f>
        <v>238522</v>
      </c>
      <c r="D53" s="55">
        <f>SUM(D42:D52)</f>
        <v>2756.0457779885041</v>
      </c>
      <c r="E53" s="55">
        <f>SUM(E42:E52)</f>
        <v>241278.0457779885</v>
      </c>
      <c r="F53" s="28"/>
      <c r="G53" s="55">
        <f>SUM(G42:G52)</f>
        <v>265467.64560504147</v>
      </c>
      <c r="H53" s="56">
        <f>SUM(H42:H52)</f>
        <v>-24189.59982705296</v>
      </c>
    </row>
    <row r="54" spans="1:12" ht="6.75" customHeight="1" x14ac:dyDescent="0.2">
      <c r="B54" s="20"/>
      <c r="C54" s="57"/>
      <c r="D54" s="57"/>
      <c r="E54" s="57"/>
      <c r="F54" s="28"/>
      <c r="G54" s="57"/>
      <c r="H54" s="59"/>
    </row>
    <row r="55" spans="1:12" ht="15" x14ac:dyDescent="0.25">
      <c r="A55" s="1">
        <v>34</v>
      </c>
      <c r="B55" s="22" t="s">
        <v>46</v>
      </c>
      <c r="C55" s="58">
        <f>SUM(C22+C28+C39+C53)</f>
        <v>1506069.35</v>
      </c>
      <c r="D55" s="58">
        <f t="shared" ref="D55:E55" si="7">SUM(D22+D28+D39+D53)</f>
        <v>2756.0457779885041</v>
      </c>
      <c r="E55" s="58">
        <f t="shared" si="7"/>
        <v>1508825.3957779887</v>
      </c>
      <c r="F55" s="30"/>
      <c r="G55" s="58">
        <f t="shared" ref="G55:H55" si="8">SUM(G22+G28+G39+G53)</f>
        <v>1592260.4259034169</v>
      </c>
      <c r="H55" s="60">
        <f t="shared" si="8"/>
        <v>-83435.030125428588</v>
      </c>
    </row>
    <row r="56" spans="1:12" ht="9" customHeight="1" x14ac:dyDescent="0.2">
      <c r="B56" s="20"/>
      <c r="C56" s="61"/>
      <c r="D56" s="61"/>
      <c r="E56" s="61"/>
      <c r="F56" s="28"/>
      <c r="G56" s="61"/>
      <c r="H56" s="66"/>
    </row>
    <row r="57" spans="1:12" ht="15" thickBot="1" x14ac:dyDescent="0.25">
      <c r="A57" s="1">
        <v>35</v>
      </c>
      <c r="B57" s="34" t="s">
        <v>47</v>
      </c>
      <c r="C57" s="63">
        <f>SUM(C15-C55)</f>
        <v>-12719.350000000093</v>
      </c>
      <c r="D57" s="64">
        <f t="shared" ref="D57:E57" si="9">SUM(D15-D55)</f>
        <v>115732.5947202275</v>
      </c>
      <c r="E57" s="65">
        <f t="shared" si="9"/>
        <v>103013.24472022732</v>
      </c>
      <c r="F57" s="35"/>
      <c r="G57" s="65">
        <f t="shared" ref="G57:H57" si="10">SUM(G15-G55)</f>
        <v>120786.2058032488</v>
      </c>
      <c r="H57" s="67">
        <f t="shared" si="10"/>
        <v>-17772.961083021059</v>
      </c>
    </row>
    <row r="58" spans="1:12" ht="14.25" customHeight="1" thickTop="1" x14ac:dyDescent="0.25">
      <c r="B58" s="20"/>
      <c r="C58" s="55"/>
      <c r="D58" s="62" t="s">
        <v>56</v>
      </c>
      <c r="E58" s="55"/>
      <c r="F58" s="28"/>
      <c r="G58" s="55"/>
      <c r="H58" s="56"/>
    </row>
    <row r="59" spans="1:12" ht="8.25" customHeight="1" x14ac:dyDescent="0.2">
      <c r="B59" s="20"/>
      <c r="C59" s="57"/>
      <c r="D59" s="27"/>
      <c r="E59" s="57"/>
      <c r="F59" s="27"/>
      <c r="G59" s="57"/>
      <c r="H59" s="59"/>
    </row>
    <row r="60" spans="1:12" ht="15.75" thickBot="1" x14ac:dyDescent="0.3">
      <c r="B60" s="22" t="s">
        <v>48</v>
      </c>
      <c r="C60" s="76">
        <f>C55/C15</f>
        <v>1.008517326815549</v>
      </c>
      <c r="D60" s="36"/>
      <c r="E60" s="75">
        <f>E55/E15</f>
        <v>0.9360896046713546</v>
      </c>
      <c r="F60" s="37"/>
      <c r="G60" s="70">
        <f>G55/G15</f>
        <v>0.92949041574956281</v>
      </c>
      <c r="H60" s="71">
        <f>H55/H15</f>
        <v>0.8243917217325698</v>
      </c>
    </row>
    <row r="61" spans="1:12" ht="12.75" customHeight="1" thickTop="1" x14ac:dyDescent="0.25">
      <c r="B61" s="20"/>
      <c r="C61" s="83" t="s">
        <v>65</v>
      </c>
      <c r="D61" s="38"/>
      <c r="E61" s="68"/>
      <c r="F61" s="38"/>
      <c r="G61" s="68"/>
      <c r="H61" s="69"/>
    </row>
    <row r="62" spans="1:12" ht="15" x14ac:dyDescent="0.25">
      <c r="B62" s="20"/>
      <c r="C62" s="84"/>
      <c r="D62" s="21"/>
      <c r="E62" s="21"/>
      <c r="F62" s="21"/>
      <c r="G62" s="21"/>
      <c r="H62" s="39"/>
    </row>
    <row r="63" spans="1:12" ht="15.75" customHeight="1" x14ac:dyDescent="0.25">
      <c r="B63" s="40" t="s">
        <v>69</v>
      </c>
      <c r="C63" s="41"/>
      <c r="D63" s="41"/>
      <c r="E63" s="41"/>
      <c r="F63" s="41"/>
      <c r="G63" s="41"/>
      <c r="H63" s="42"/>
    </row>
    <row r="64" spans="1:12" x14ac:dyDescent="0.2">
      <c r="A64" s="2"/>
      <c r="B64" s="20" t="s">
        <v>49</v>
      </c>
      <c r="C64" s="41">
        <f>SUM(C55/0.93)</f>
        <v>1619429.4086021506</v>
      </c>
      <c r="D64" s="41"/>
      <c r="E64" s="41">
        <f>SUM(E55/0.93)</f>
        <v>1622392.8986860092</v>
      </c>
      <c r="F64" s="41"/>
      <c r="G64" s="41">
        <v>1712107.9848423838</v>
      </c>
      <c r="H64" s="42">
        <f>E64-G64</f>
        <v>-89715.086156374542</v>
      </c>
    </row>
    <row r="65" spans="1:8" x14ac:dyDescent="0.2">
      <c r="A65" s="2"/>
      <c r="B65" s="43" t="s">
        <v>50</v>
      </c>
      <c r="C65" s="73">
        <f>C15</f>
        <v>1493350</v>
      </c>
      <c r="D65" s="41"/>
      <c r="E65" s="73">
        <f>E15</f>
        <v>1611838.640498216</v>
      </c>
      <c r="F65" s="41"/>
      <c r="G65" s="73">
        <v>1713046.6317066657</v>
      </c>
      <c r="H65" s="78">
        <f>E65-G65</f>
        <v>-101207.9912084497</v>
      </c>
    </row>
    <row r="66" spans="1:8" ht="15" x14ac:dyDescent="0.25">
      <c r="A66" s="2"/>
      <c r="B66" s="43" t="s">
        <v>62</v>
      </c>
      <c r="C66" s="72">
        <f t="shared" ref="C66" si="11">C65-C64</f>
        <v>-126079.40860215062</v>
      </c>
      <c r="D66" s="41"/>
      <c r="E66" s="74">
        <f t="shared" ref="E66" si="12">E65-E64</f>
        <v>-10554.258187793195</v>
      </c>
      <c r="F66" s="41"/>
      <c r="G66" s="74">
        <v>938.64686428196728</v>
      </c>
      <c r="H66" s="77">
        <f>E66-G66</f>
        <v>-11492.905052075163</v>
      </c>
    </row>
    <row r="67" spans="1:8" ht="9.75" customHeight="1" x14ac:dyDescent="0.2">
      <c r="A67" s="2"/>
      <c r="B67" s="20"/>
      <c r="C67" s="37"/>
      <c r="D67" s="37"/>
      <c r="E67" s="37"/>
      <c r="F67" s="37"/>
      <c r="G67" s="37"/>
      <c r="H67" s="39"/>
    </row>
    <row r="68" spans="1:8" ht="15" x14ac:dyDescent="0.25">
      <c r="A68" s="2"/>
      <c r="B68" s="44" t="s">
        <v>51</v>
      </c>
      <c r="C68" s="45">
        <f>-C66/C65</f>
        <v>8.4427233134998905E-2</v>
      </c>
      <c r="D68" s="46"/>
      <c r="E68" s="46">
        <f>-E66/E65</f>
        <v>6.5479620122091721E-3</v>
      </c>
      <c r="F68" s="46"/>
      <c r="G68" s="46"/>
      <c r="H68" s="47"/>
    </row>
    <row r="69" spans="1:8" x14ac:dyDescent="0.2">
      <c r="A69" s="2"/>
    </row>
    <row r="70" spans="1:8" x14ac:dyDescent="0.2">
      <c r="A70" s="2"/>
    </row>
    <row r="71" spans="1:8" x14ac:dyDescent="0.2">
      <c r="A71" s="2"/>
    </row>
    <row r="72" spans="1:8" x14ac:dyDescent="0.2">
      <c r="A72" s="2"/>
      <c r="B72" s="6"/>
    </row>
  </sheetData>
  <mergeCells count="7">
    <mergeCell ref="G9:G10"/>
    <mergeCell ref="H9:H10"/>
    <mergeCell ref="C61:C62"/>
    <mergeCell ref="B1:F1"/>
    <mergeCell ref="C9:C10"/>
    <mergeCell ref="D9:D10"/>
    <mergeCell ref="E9:E10"/>
  </mergeCells>
  <pageMargins left="0.45" right="0.2" top="0" bottom="0.25" header="0.3" footer="0.3"/>
  <pageSetup scale="85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BD40DD57B7D7479E0773D69DF03E22" ma:contentTypeVersion="52" ma:contentTypeDescription="" ma:contentTypeScope="" ma:versionID="d1090056e81453ab55227902bb15e11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216</IndustryCode>
    <CaseStatus xmlns="dc463f71-b30c-4ab2-9473-d307f9d35888">Closed</CaseStatus>
    <OpenedDate xmlns="dc463f71-b30c-4ab2-9473-d307f9d35888">2020-12-02T08:00:00+00:00</OpenedDate>
    <SignificantOrder xmlns="dc463f71-b30c-4ab2-9473-d307f9d35888">false</SignificantOrder>
    <Date1 xmlns="dc463f71-b30c-4ab2-9473-d307f9d35888">2020-12-01T08:00:00+00:00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Discover Lake Chelan LLC</CaseCompanyNames>
    <Nickname xmlns="http://schemas.microsoft.com/sharepoint/v3" xsi:nil="true"/>
    <DocketNumber xmlns="dc463f71-b30c-4ab2-9473-d307f9d35888">200969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352AD43-DE45-4BA3-A68A-57880686E70A}"/>
</file>

<file path=customXml/itemProps2.xml><?xml version="1.0" encoding="utf-8"?>
<ds:datastoreItem xmlns:ds="http://schemas.openxmlformats.org/officeDocument/2006/customXml" ds:itemID="{A176F4DE-0BF9-46EE-9F14-F4F71563071E}"/>
</file>

<file path=customXml/itemProps3.xml><?xml version="1.0" encoding="utf-8"?>
<ds:datastoreItem xmlns:ds="http://schemas.openxmlformats.org/officeDocument/2006/customXml" ds:itemID="{85C067AB-72DF-461F-A36A-EAB9D9D9BC3D}"/>
</file>

<file path=customXml/itemProps4.xml><?xml version="1.0" encoding="utf-8"?>
<ds:datastoreItem xmlns:ds="http://schemas.openxmlformats.org/officeDocument/2006/customXml" ds:itemID="{776EC94B-F91C-45B8-AFD0-9DFFA7BD3E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LCBC Pro 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</cp:lastModifiedBy>
  <cp:lastPrinted>2020-12-01T16:23:55Z</cp:lastPrinted>
  <dcterms:created xsi:type="dcterms:W3CDTF">2020-11-20T21:28:58Z</dcterms:created>
  <dcterms:modified xsi:type="dcterms:W3CDTF">2020-12-01T16:23:58Z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0x0101006E56B4D1795A2E4DB2F0B01679ED314A006FBD40DD57B7D7479E0773D69DF03E22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