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WUTC\WW Tariff 14\TipFeeIncrease &amp; B&amp;O Tax_Jan2021\Work Papers\"/>
    </mc:Choice>
  </mc:AlternateContent>
  <bookViews>
    <workbookView xWindow="192" yWindow="180" windowWidth="13380" windowHeight="7356" activeTab="1"/>
  </bookViews>
  <sheets>
    <sheet name="References" sheetId="4" r:id="rId1"/>
    <sheet name="Disposal Increase Calculations" sheetId="7" r:id="rId2"/>
    <sheet name="B&amp;O Tax Non DisposalCalculation" sheetId="9" r:id="rId3"/>
    <sheet name="SourceNotes" sheetId="8" r:id="rId4"/>
  </sheets>
  <definedNames>
    <definedName name="_xlnm._FilterDatabase" localSheetId="2" hidden="1">'B&amp;O Tax Non DisposalCalculation'!$B$7:$N$7</definedName>
    <definedName name="_xlnm._FilterDatabase" localSheetId="1" hidden="1">'Disposal Increase Calculations'!$A$1:$R$138</definedName>
    <definedName name="_xlnm.Print_Area" localSheetId="1">'Disposal Increase Calculations'!$A$3:$Q$147</definedName>
    <definedName name="_xlnm.Print_Titles" localSheetId="1">'Disposal Increase Calculations'!$1:$1</definedName>
  </definedNames>
  <calcPr calcId="152511"/>
</workbook>
</file>

<file path=xl/calcChain.xml><?xml version="1.0" encoding="utf-8"?>
<calcChain xmlns="http://schemas.openxmlformats.org/spreadsheetml/2006/main">
  <c r="M115" i="9" l="1"/>
  <c r="J115" i="9"/>
  <c r="H115" i="9"/>
  <c r="M114" i="9"/>
  <c r="J114" i="9"/>
  <c r="K114" i="9" s="1"/>
  <c r="L114" i="9" s="1"/>
  <c r="N114" i="9" s="1"/>
  <c r="H114" i="9"/>
  <c r="M113" i="9"/>
  <c r="J113" i="9"/>
  <c r="K113" i="9" s="1"/>
  <c r="L113" i="9" s="1"/>
  <c r="N113" i="9" s="1"/>
  <c r="H113" i="9"/>
  <c r="M112" i="9"/>
  <c r="K112" i="9"/>
  <c r="L112" i="9" s="1"/>
  <c r="N112" i="9" s="1"/>
  <c r="J112" i="9"/>
  <c r="H112" i="9"/>
  <c r="M111" i="9"/>
  <c r="J111" i="9"/>
  <c r="H111" i="9"/>
  <c r="M110" i="9"/>
  <c r="J110" i="9"/>
  <c r="K110" i="9" s="1"/>
  <c r="L110" i="9" s="1"/>
  <c r="N110" i="9" s="1"/>
  <c r="H110" i="9"/>
  <c r="M109" i="9"/>
  <c r="J109" i="9"/>
  <c r="K109" i="9" s="1"/>
  <c r="L109" i="9" s="1"/>
  <c r="N109" i="9" s="1"/>
  <c r="H109" i="9"/>
  <c r="M108" i="9"/>
  <c r="J108" i="9"/>
  <c r="K108" i="9" s="1"/>
  <c r="L108" i="9" s="1"/>
  <c r="N108" i="9" s="1"/>
  <c r="H108" i="9"/>
  <c r="M107" i="9"/>
  <c r="J107" i="9"/>
  <c r="H107" i="9"/>
  <c r="N106" i="9"/>
  <c r="M106" i="9"/>
  <c r="J106" i="9"/>
  <c r="K106" i="9" s="1"/>
  <c r="L106" i="9" s="1"/>
  <c r="H106" i="9"/>
  <c r="M105" i="9"/>
  <c r="J105" i="9"/>
  <c r="K105" i="9" s="1"/>
  <c r="L105" i="9" s="1"/>
  <c r="N105" i="9" s="1"/>
  <c r="H105" i="9"/>
  <c r="M104" i="9"/>
  <c r="J104" i="9"/>
  <c r="K104" i="9" s="1"/>
  <c r="L104" i="9" s="1"/>
  <c r="N104" i="9" s="1"/>
  <c r="H104" i="9"/>
  <c r="M103" i="9"/>
  <c r="J103" i="9"/>
  <c r="H103" i="9"/>
  <c r="N102" i="9"/>
  <c r="M102" i="9"/>
  <c r="J102" i="9"/>
  <c r="K102" i="9" s="1"/>
  <c r="L102" i="9" s="1"/>
  <c r="H102" i="9"/>
  <c r="M101" i="9"/>
  <c r="J101" i="9"/>
  <c r="K101" i="9" s="1"/>
  <c r="L101" i="9" s="1"/>
  <c r="N101" i="9" s="1"/>
  <c r="H101" i="9"/>
  <c r="M100" i="9"/>
  <c r="J100" i="9"/>
  <c r="K100" i="9" s="1"/>
  <c r="L100" i="9" s="1"/>
  <c r="N100" i="9" s="1"/>
  <c r="H100" i="9"/>
  <c r="M99" i="9"/>
  <c r="J99" i="9"/>
  <c r="H99" i="9"/>
  <c r="M98" i="9"/>
  <c r="J98" i="9"/>
  <c r="K98" i="9" s="1"/>
  <c r="L98" i="9" s="1"/>
  <c r="N98" i="9" s="1"/>
  <c r="H98" i="9"/>
  <c r="M97" i="9"/>
  <c r="J97" i="9"/>
  <c r="K97" i="9" s="1"/>
  <c r="L97" i="9" s="1"/>
  <c r="N97" i="9" s="1"/>
  <c r="H97" i="9"/>
  <c r="M96" i="9"/>
  <c r="J96" i="9"/>
  <c r="K96" i="9" s="1"/>
  <c r="L96" i="9" s="1"/>
  <c r="N96" i="9" s="1"/>
  <c r="H96" i="9"/>
  <c r="M95" i="9"/>
  <c r="J95" i="9"/>
  <c r="K95" i="9" s="1"/>
  <c r="L95" i="9" s="1"/>
  <c r="N95" i="9" s="1"/>
  <c r="H95" i="9"/>
  <c r="M94" i="9"/>
  <c r="J94" i="9"/>
  <c r="K94" i="9" s="1"/>
  <c r="L94" i="9" s="1"/>
  <c r="N94" i="9" s="1"/>
  <c r="H94" i="9"/>
  <c r="M93" i="9"/>
  <c r="L93" i="9"/>
  <c r="N93" i="9" s="1"/>
  <c r="J93" i="9"/>
  <c r="K93" i="9" s="1"/>
  <c r="H93" i="9"/>
  <c r="M92" i="9"/>
  <c r="J92" i="9"/>
  <c r="K92" i="9" s="1"/>
  <c r="L92" i="9" s="1"/>
  <c r="N92" i="9" s="1"/>
  <c r="H92" i="9"/>
  <c r="M91" i="9"/>
  <c r="J91" i="9"/>
  <c r="K91" i="9" s="1"/>
  <c r="L91" i="9" s="1"/>
  <c r="N91" i="9" s="1"/>
  <c r="H91" i="9"/>
  <c r="M90" i="9"/>
  <c r="J90" i="9"/>
  <c r="K90" i="9" s="1"/>
  <c r="L90" i="9" s="1"/>
  <c r="N90" i="9" s="1"/>
  <c r="H90" i="9"/>
  <c r="N89" i="9"/>
  <c r="M89" i="9"/>
  <c r="L89" i="9"/>
  <c r="J89" i="9"/>
  <c r="K89" i="9" s="1"/>
  <c r="H89" i="9"/>
  <c r="M88" i="9"/>
  <c r="J88" i="9"/>
  <c r="K88" i="9" s="1"/>
  <c r="L88" i="9" s="1"/>
  <c r="N88" i="9" s="1"/>
  <c r="H88" i="9"/>
  <c r="M87" i="9"/>
  <c r="J87" i="9"/>
  <c r="H87" i="9"/>
  <c r="M86" i="9"/>
  <c r="J86" i="9"/>
  <c r="K86" i="9" s="1"/>
  <c r="L86" i="9" s="1"/>
  <c r="N86" i="9" s="1"/>
  <c r="H86" i="9"/>
  <c r="M85" i="9"/>
  <c r="J85" i="9"/>
  <c r="K85" i="9" s="1"/>
  <c r="L85" i="9" s="1"/>
  <c r="N85" i="9" s="1"/>
  <c r="H85" i="9"/>
  <c r="M84" i="9"/>
  <c r="J84" i="9"/>
  <c r="K84" i="9" s="1"/>
  <c r="L84" i="9" s="1"/>
  <c r="N84" i="9" s="1"/>
  <c r="H84" i="9"/>
  <c r="M83" i="9"/>
  <c r="J83" i="9"/>
  <c r="H83" i="9"/>
  <c r="M82" i="9"/>
  <c r="J82" i="9"/>
  <c r="K82" i="9" s="1"/>
  <c r="L82" i="9" s="1"/>
  <c r="N82" i="9" s="1"/>
  <c r="H82" i="9"/>
  <c r="M81" i="9"/>
  <c r="J81" i="9"/>
  <c r="K81" i="9" s="1"/>
  <c r="L81" i="9" s="1"/>
  <c r="N81" i="9" s="1"/>
  <c r="H81" i="9"/>
  <c r="M80" i="9"/>
  <c r="K80" i="9"/>
  <c r="L80" i="9" s="1"/>
  <c r="N80" i="9" s="1"/>
  <c r="J80" i="9"/>
  <c r="H80" i="9"/>
  <c r="M79" i="9"/>
  <c r="J79" i="9"/>
  <c r="H79" i="9"/>
  <c r="M78" i="9"/>
  <c r="J78" i="9"/>
  <c r="K78" i="9" s="1"/>
  <c r="L78" i="9" s="1"/>
  <c r="N78" i="9" s="1"/>
  <c r="H78" i="9"/>
  <c r="M77" i="9"/>
  <c r="J77" i="9"/>
  <c r="K77" i="9" s="1"/>
  <c r="L77" i="9" s="1"/>
  <c r="N77" i="9" s="1"/>
  <c r="H77" i="9"/>
  <c r="M76" i="9"/>
  <c r="L76" i="9"/>
  <c r="N76" i="9" s="1"/>
  <c r="K76" i="9"/>
  <c r="J76" i="9"/>
  <c r="H76" i="9"/>
  <c r="M75" i="9"/>
  <c r="J75" i="9"/>
  <c r="H75" i="9"/>
  <c r="N74" i="9"/>
  <c r="M74" i="9"/>
  <c r="J74" i="9"/>
  <c r="K74" i="9" s="1"/>
  <c r="L74" i="9" s="1"/>
  <c r="H74" i="9"/>
  <c r="M73" i="9"/>
  <c r="J73" i="9"/>
  <c r="K73" i="9" s="1"/>
  <c r="L73" i="9" s="1"/>
  <c r="N73" i="9" s="1"/>
  <c r="H73" i="9"/>
  <c r="M72" i="9"/>
  <c r="J72" i="9"/>
  <c r="K72" i="9" s="1"/>
  <c r="L72" i="9" s="1"/>
  <c r="N72" i="9" s="1"/>
  <c r="H72" i="9"/>
  <c r="M71" i="9"/>
  <c r="J71" i="9"/>
  <c r="H71" i="9"/>
  <c r="N70" i="9"/>
  <c r="M70" i="9"/>
  <c r="J70" i="9"/>
  <c r="K70" i="9" s="1"/>
  <c r="L70" i="9" s="1"/>
  <c r="H70" i="9"/>
  <c r="M69" i="9"/>
  <c r="J69" i="9"/>
  <c r="K69" i="9" s="1"/>
  <c r="L69" i="9" s="1"/>
  <c r="N69" i="9" s="1"/>
  <c r="H69" i="9"/>
  <c r="M68" i="9"/>
  <c r="J68" i="9"/>
  <c r="K68" i="9" s="1"/>
  <c r="L68" i="9" s="1"/>
  <c r="N68" i="9" s="1"/>
  <c r="H68" i="9"/>
  <c r="M67" i="9"/>
  <c r="J67" i="9"/>
  <c r="H67" i="9"/>
  <c r="M66" i="9"/>
  <c r="J66" i="9"/>
  <c r="K66" i="9" s="1"/>
  <c r="L66" i="9" s="1"/>
  <c r="N66" i="9" s="1"/>
  <c r="H66" i="9"/>
  <c r="M65" i="9"/>
  <c r="J65" i="9"/>
  <c r="K65" i="9" s="1"/>
  <c r="L65" i="9" s="1"/>
  <c r="N65" i="9" s="1"/>
  <c r="H65" i="9"/>
  <c r="M64" i="9"/>
  <c r="J64" i="9"/>
  <c r="K64" i="9" s="1"/>
  <c r="L64" i="9" s="1"/>
  <c r="N64" i="9" s="1"/>
  <c r="H64" i="9"/>
  <c r="M63" i="9"/>
  <c r="J63" i="9"/>
  <c r="K63" i="9" s="1"/>
  <c r="L63" i="9" s="1"/>
  <c r="N63" i="9" s="1"/>
  <c r="H63" i="9"/>
  <c r="M62" i="9"/>
  <c r="J62" i="9"/>
  <c r="K62" i="9" s="1"/>
  <c r="L62" i="9" s="1"/>
  <c r="N62" i="9" s="1"/>
  <c r="H62" i="9"/>
  <c r="M61" i="9"/>
  <c r="L61" i="9"/>
  <c r="N61" i="9" s="1"/>
  <c r="J61" i="9"/>
  <c r="K61" i="9" s="1"/>
  <c r="H61" i="9"/>
  <c r="M60" i="9"/>
  <c r="J60" i="9"/>
  <c r="K60" i="9" s="1"/>
  <c r="L60" i="9" s="1"/>
  <c r="N60" i="9" s="1"/>
  <c r="H60" i="9"/>
  <c r="M59" i="9"/>
  <c r="J59" i="9"/>
  <c r="K59" i="9" s="1"/>
  <c r="L59" i="9" s="1"/>
  <c r="N59" i="9" s="1"/>
  <c r="H59" i="9"/>
  <c r="M58" i="9"/>
  <c r="J58" i="9"/>
  <c r="K58" i="9" s="1"/>
  <c r="L58" i="9" s="1"/>
  <c r="N58" i="9" s="1"/>
  <c r="H58" i="9"/>
  <c r="N57" i="9"/>
  <c r="M57" i="9"/>
  <c r="L57" i="9"/>
  <c r="J57" i="9"/>
  <c r="K57" i="9" s="1"/>
  <c r="H57" i="9"/>
  <c r="M56" i="9"/>
  <c r="J56" i="9"/>
  <c r="K56" i="9" s="1"/>
  <c r="L56" i="9" s="1"/>
  <c r="N56" i="9" s="1"/>
  <c r="H56" i="9"/>
  <c r="M55" i="9"/>
  <c r="J55" i="9"/>
  <c r="H55" i="9"/>
  <c r="M54" i="9"/>
  <c r="J54" i="9"/>
  <c r="K54" i="9" s="1"/>
  <c r="L54" i="9" s="1"/>
  <c r="N54" i="9" s="1"/>
  <c r="H54" i="9"/>
  <c r="M53" i="9"/>
  <c r="J53" i="9"/>
  <c r="K53" i="9" s="1"/>
  <c r="L53" i="9" s="1"/>
  <c r="N53" i="9" s="1"/>
  <c r="H53" i="9"/>
  <c r="M52" i="9"/>
  <c r="J52" i="9"/>
  <c r="K52" i="9" s="1"/>
  <c r="L52" i="9" s="1"/>
  <c r="N52" i="9" s="1"/>
  <c r="H52" i="9"/>
  <c r="M51" i="9"/>
  <c r="J51" i="9"/>
  <c r="H51" i="9"/>
  <c r="M50" i="9"/>
  <c r="J50" i="9"/>
  <c r="K50" i="9" s="1"/>
  <c r="L50" i="9" s="1"/>
  <c r="N50" i="9" s="1"/>
  <c r="H50" i="9"/>
  <c r="M49" i="9"/>
  <c r="J49" i="9"/>
  <c r="K49" i="9" s="1"/>
  <c r="L49" i="9" s="1"/>
  <c r="N49" i="9" s="1"/>
  <c r="H49" i="9"/>
  <c r="M48" i="9"/>
  <c r="K48" i="9"/>
  <c r="L48" i="9" s="1"/>
  <c r="N48" i="9" s="1"/>
  <c r="J48" i="9"/>
  <c r="H48" i="9"/>
  <c r="M47" i="9"/>
  <c r="J47" i="9"/>
  <c r="H47" i="9"/>
  <c r="M46" i="9"/>
  <c r="J46" i="9"/>
  <c r="K46" i="9" s="1"/>
  <c r="L46" i="9" s="1"/>
  <c r="N46" i="9" s="1"/>
  <c r="H46" i="9"/>
  <c r="M45" i="9"/>
  <c r="J45" i="9"/>
  <c r="K45" i="9" s="1"/>
  <c r="L45" i="9" s="1"/>
  <c r="N45" i="9" s="1"/>
  <c r="H45" i="9"/>
  <c r="M44" i="9"/>
  <c r="L44" i="9"/>
  <c r="N44" i="9" s="1"/>
  <c r="K44" i="9"/>
  <c r="J44" i="9"/>
  <c r="H44" i="9"/>
  <c r="M43" i="9"/>
  <c r="J43" i="9"/>
  <c r="H43" i="9"/>
  <c r="N42" i="9"/>
  <c r="M42" i="9"/>
  <c r="J42" i="9"/>
  <c r="K42" i="9" s="1"/>
  <c r="L42" i="9" s="1"/>
  <c r="H42" i="9"/>
  <c r="M41" i="9"/>
  <c r="J41" i="9"/>
  <c r="K41" i="9" s="1"/>
  <c r="L41" i="9" s="1"/>
  <c r="N41" i="9" s="1"/>
  <c r="H41" i="9"/>
  <c r="M40" i="9"/>
  <c r="J40" i="9"/>
  <c r="K40" i="9" s="1"/>
  <c r="L40" i="9" s="1"/>
  <c r="N40" i="9" s="1"/>
  <c r="H40" i="9"/>
  <c r="M39" i="9"/>
  <c r="J39" i="9"/>
  <c r="H39" i="9"/>
  <c r="N38" i="9"/>
  <c r="M38" i="9"/>
  <c r="J38" i="9"/>
  <c r="K38" i="9" s="1"/>
  <c r="L38" i="9" s="1"/>
  <c r="H38" i="9"/>
  <c r="M37" i="9"/>
  <c r="J37" i="9"/>
  <c r="K37" i="9" s="1"/>
  <c r="L37" i="9" s="1"/>
  <c r="N37" i="9" s="1"/>
  <c r="H37" i="9"/>
  <c r="M36" i="9"/>
  <c r="J36" i="9"/>
  <c r="K36" i="9" s="1"/>
  <c r="L36" i="9" s="1"/>
  <c r="N36" i="9" s="1"/>
  <c r="H36" i="9"/>
  <c r="M35" i="9"/>
  <c r="J35" i="9"/>
  <c r="H35" i="9"/>
  <c r="M34" i="9"/>
  <c r="J34" i="9"/>
  <c r="K34" i="9" s="1"/>
  <c r="L34" i="9" s="1"/>
  <c r="N34" i="9" s="1"/>
  <c r="H34" i="9"/>
  <c r="M33" i="9"/>
  <c r="J33" i="9"/>
  <c r="K33" i="9" s="1"/>
  <c r="L33" i="9" s="1"/>
  <c r="N33" i="9" s="1"/>
  <c r="H33" i="9"/>
  <c r="M32" i="9"/>
  <c r="J32" i="9"/>
  <c r="K32" i="9" s="1"/>
  <c r="L32" i="9" s="1"/>
  <c r="N32" i="9" s="1"/>
  <c r="H32" i="9"/>
  <c r="M31" i="9"/>
  <c r="J31" i="9"/>
  <c r="K31" i="9" s="1"/>
  <c r="L31" i="9" s="1"/>
  <c r="N31" i="9" s="1"/>
  <c r="H31" i="9"/>
  <c r="M30" i="9"/>
  <c r="J30" i="9"/>
  <c r="K30" i="9" s="1"/>
  <c r="L30" i="9" s="1"/>
  <c r="N30" i="9" s="1"/>
  <c r="H30" i="9"/>
  <c r="M29" i="9"/>
  <c r="L29" i="9"/>
  <c r="N29" i="9" s="1"/>
  <c r="J29" i="9"/>
  <c r="K29" i="9" s="1"/>
  <c r="H29" i="9"/>
  <c r="M28" i="9"/>
  <c r="J28" i="9"/>
  <c r="K28" i="9" s="1"/>
  <c r="L28" i="9" s="1"/>
  <c r="N28" i="9" s="1"/>
  <c r="H28" i="9"/>
  <c r="M27" i="9"/>
  <c r="J27" i="9"/>
  <c r="H27" i="9"/>
  <c r="K27" i="9" s="1"/>
  <c r="L27" i="9" s="1"/>
  <c r="N27" i="9" s="1"/>
  <c r="M26" i="9"/>
  <c r="J26" i="9"/>
  <c r="H26" i="9"/>
  <c r="M25" i="9"/>
  <c r="J25" i="9"/>
  <c r="K25" i="9" s="1"/>
  <c r="L25" i="9" s="1"/>
  <c r="N25" i="9" s="1"/>
  <c r="H25" i="9"/>
  <c r="M24" i="9"/>
  <c r="J24" i="9"/>
  <c r="K24" i="9" s="1"/>
  <c r="L24" i="9" s="1"/>
  <c r="N24" i="9" s="1"/>
  <c r="H24" i="9"/>
  <c r="M23" i="9"/>
  <c r="J23" i="9"/>
  <c r="K23" i="9" s="1"/>
  <c r="L23" i="9" s="1"/>
  <c r="N23" i="9" s="1"/>
  <c r="H23" i="9"/>
  <c r="M22" i="9"/>
  <c r="J22" i="9"/>
  <c r="K22" i="9" s="1"/>
  <c r="L22" i="9" s="1"/>
  <c r="N22" i="9" s="1"/>
  <c r="H22" i="9"/>
  <c r="M21" i="9"/>
  <c r="J21" i="9"/>
  <c r="K21" i="9" s="1"/>
  <c r="L21" i="9" s="1"/>
  <c r="N21" i="9" s="1"/>
  <c r="H21" i="9"/>
  <c r="M20" i="9"/>
  <c r="L20" i="9"/>
  <c r="N20" i="9" s="1"/>
  <c r="K20" i="9"/>
  <c r="J20" i="9"/>
  <c r="H20" i="9"/>
  <c r="M19" i="9"/>
  <c r="J19" i="9"/>
  <c r="K19" i="9" s="1"/>
  <c r="L19" i="9" s="1"/>
  <c r="N19" i="9" s="1"/>
  <c r="H19" i="9"/>
  <c r="M18" i="9"/>
  <c r="J18" i="9"/>
  <c r="H18" i="9"/>
  <c r="M17" i="9"/>
  <c r="J17" i="9"/>
  <c r="K17" i="9" s="1"/>
  <c r="L17" i="9" s="1"/>
  <c r="N17" i="9" s="1"/>
  <c r="H17" i="9"/>
  <c r="M16" i="9"/>
  <c r="J16" i="9"/>
  <c r="K16" i="9" s="1"/>
  <c r="L16" i="9" s="1"/>
  <c r="N16" i="9" s="1"/>
  <c r="H16" i="9"/>
  <c r="M15" i="9"/>
  <c r="J15" i="9"/>
  <c r="K15" i="9" s="1"/>
  <c r="L15" i="9" s="1"/>
  <c r="N15" i="9" s="1"/>
  <c r="H15" i="9"/>
  <c r="M14" i="9"/>
  <c r="J14" i="9"/>
  <c r="H14" i="9"/>
  <c r="M13" i="9"/>
  <c r="L13" i="9"/>
  <c r="N13" i="9" s="1"/>
  <c r="J13" i="9"/>
  <c r="K13" i="9" s="1"/>
  <c r="H13" i="9"/>
  <c r="M12" i="9"/>
  <c r="J12" i="9"/>
  <c r="K12" i="9" s="1"/>
  <c r="L12" i="9" s="1"/>
  <c r="N12" i="9" s="1"/>
  <c r="H12" i="9"/>
  <c r="M11" i="9"/>
  <c r="J11" i="9"/>
  <c r="H11" i="9"/>
  <c r="K11" i="9" s="1"/>
  <c r="L11" i="9" s="1"/>
  <c r="N11" i="9" s="1"/>
  <c r="M10" i="9"/>
  <c r="J10" i="9"/>
  <c r="H10" i="9"/>
  <c r="M9" i="9"/>
  <c r="J9" i="9"/>
  <c r="K9" i="9" s="1"/>
  <c r="L9" i="9" s="1"/>
  <c r="N9" i="9" s="1"/>
  <c r="H9" i="9"/>
  <c r="M8" i="9"/>
  <c r="J8" i="9"/>
  <c r="K8" i="9" s="1"/>
  <c r="L8" i="9" s="1"/>
  <c r="N8" i="9" s="1"/>
  <c r="H8" i="9"/>
  <c r="K35" i="9" l="1"/>
  <c r="L35" i="9" s="1"/>
  <c r="N35" i="9" s="1"/>
  <c r="K99" i="9"/>
  <c r="L99" i="9" s="1"/>
  <c r="N99" i="9" s="1"/>
  <c r="K26" i="9"/>
  <c r="L26" i="9" s="1"/>
  <c r="N26" i="9" s="1"/>
  <c r="K39" i="9"/>
  <c r="L39" i="9" s="1"/>
  <c r="N39" i="9" s="1"/>
  <c r="K43" i="9"/>
  <c r="L43" i="9" s="1"/>
  <c r="N43" i="9" s="1"/>
  <c r="K47" i="9"/>
  <c r="L47" i="9" s="1"/>
  <c r="N47" i="9" s="1"/>
  <c r="K79" i="9"/>
  <c r="L79" i="9" s="1"/>
  <c r="N79" i="9" s="1"/>
  <c r="K51" i="9"/>
  <c r="L51" i="9" s="1"/>
  <c r="N51" i="9" s="1"/>
  <c r="K83" i="9"/>
  <c r="L83" i="9" s="1"/>
  <c r="N83" i="9" s="1"/>
  <c r="K115" i="9"/>
  <c r="L115" i="9" s="1"/>
  <c r="N115" i="9" s="1"/>
  <c r="K67" i="9"/>
  <c r="L67" i="9" s="1"/>
  <c r="N67" i="9" s="1"/>
  <c r="K10" i="9"/>
  <c r="L10" i="9" s="1"/>
  <c r="N10" i="9" s="1"/>
  <c r="K75" i="9"/>
  <c r="L75" i="9" s="1"/>
  <c r="N75" i="9" s="1"/>
  <c r="K14" i="9"/>
  <c r="L14" i="9" s="1"/>
  <c r="N14" i="9" s="1"/>
  <c r="K18" i="9"/>
  <c r="L18" i="9" s="1"/>
  <c r="N18" i="9" s="1"/>
  <c r="K55" i="9"/>
  <c r="L55" i="9" s="1"/>
  <c r="N55" i="9" s="1"/>
  <c r="K87" i="9"/>
  <c r="L87" i="9" s="1"/>
  <c r="N87" i="9" s="1"/>
  <c r="K71" i="9"/>
  <c r="L71" i="9" s="1"/>
  <c r="N71" i="9" s="1"/>
  <c r="K103" i="9"/>
  <c r="L103" i="9" s="1"/>
  <c r="N103" i="9" s="1"/>
  <c r="K107" i="9"/>
  <c r="L107" i="9" s="1"/>
  <c r="N107" i="9" s="1"/>
  <c r="K111" i="9"/>
  <c r="L111" i="9" s="1"/>
  <c r="N111" i="9" s="1"/>
  <c r="R123" i="7" l="1"/>
  <c r="R95" i="7"/>
  <c r="R107" i="7"/>
  <c r="R106" i="7"/>
  <c r="G47" i="4" l="1"/>
  <c r="G48" i="4"/>
  <c r="G123" i="7" l="1"/>
  <c r="E123" i="7"/>
  <c r="F123" i="7" s="1"/>
  <c r="H123" i="7" l="1"/>
  <c r="O52" i="7"/>
  <c r="H52" i="7"/>
  <c r="G3" i="7" l="1"/>
  <c r="G4" i="7"/>
  <c r="G5" i="7"/>
  <c r="G6" i="7"/>
  <c r="G7" i="7"/>
  <c r="E9" i="7"/>
  <c r="F9" i="7" s="1"/>
  <c r="G9" i="7"/>
  <c r="G10" i="7"/>
  <c r="G13" i="7"/>
  <c r="H13" i="7" s="1"/>
  <c r="G14" i="7"/>
  <c r="H14" i="7" s="1"/>
  <c r="G15" i="7"/>
  <c r="H15" i="7" s="1"/>
  <c r="G16" i="7"/>
  <c r="H16" i="7" s="1"/>
  <c r="G18" i="7"/>
  <c r="H18" i="7" s="1"/>
  <c r="G19" i="7"/>
  <c r="H19" i="7" s="1"/>
  <c r="G20" i="7"/>
  <c r="H20" i="7" s="1"/>
  <c r="G21" i="7"/>
  <c r="H21" i="7" s="1"/>
  <c r="G23" i="7"/>
  <c r="H23" i="7"/>
  <c r="G24" i="7"/>
  <c r="H24" i="7" s="1"/>
  <c r="G26" i="7"/>
  <c r="H26" i="7" s="1"/>
  <c r="G27" i="7"/>
  <c r="H27" i="7" s="1"/>
  <c r="G29" i="7"/>
  <c r="H29" i="7" s="1"/>
  <c r="G30" i="7"/>
  <c r="H30" i="7" s="1"/>
  <c r="G31" i="7"/>
  <c r="H31" i="7" s="1"/>
  <c r="G33" i="7"/>
  <c r="H33" i="7"/>
  <c r="G34" i="7"/>
  <c r="H34" i="7" s="1"/>
  <c r="G35" i="7"/>
  <c r="H35" i="7" s="1"/>
  <c r="G36" i="7"/>
  <c r="H36" i="7" s="1"/>
  <c r="G43" i="7"/>
  <c r="H43" i="7" s="1"/>
  <c r="G44" i="7"/>
  <c r="H44" i="7" s="1"/>
  <c r="G45" i="7"/>
  <c r="H45" i="7" s="1"/>
  <c r="G47" i="7"/>
  <c r="H47" i="7" s="1"/>
  <c r="G48" i="7"/>
  <c r="H48" i="7" s="1"/>
  <c r="G49" i="7"/>
  <c r="H49" i="7" s="1"/>
  <c r="G50" i="7"/>
  <c r="H50" i="7" s="1"/>
  <c r="G56" i="7"/>
  <c r="H56" i="7" s="1"/>
  <c r="G57" i="7"/>
  <c r="H57" i="7" s="1"/>
  <c r="G58" i="7"/>
  <c r="H58" i="7" s="1"/>
  <c r="G59" i="7"/>
  <c r="H59" i="7" s="1"/>
  <c r="G60" i="7"/>
  <c r="H60" i="7" s="1"/>
  <c r="G61" i="7"/>
  <c r="H61" i="7" s="1"/>
  <c r="G62" i="7"/>
  <c r="H62" i="7" s="1"/>
  <c r="G63" i="7"/>
  <c r="H63" i="7" s="1"/>
  <c r="G64" i="7"/>
  <c r="H64" i="7" s="1"/>
  <c r="G65" i="7"/>
  <c r="H65" i="7" s="1"/>
  <c r="G66" i="7"/>
  <c r="H66" i="7" s="1"/>
  <c r="G67" i="7"/>
  <c r="H67" i="7" s="1"/>
  <c r="G68" i="7"/>
  <c r="H68" i="7" s="1"/>
  <c r="G69" i="7"/>
  <c r="H69" i="7" s="1"/>
  <c r="N46" i="7"/>
  <c r="N42" i="7"/>
  <c r="N37" i="7"/>
  <c r="N32" i="7"/>
  <c r="N28" i="7"/>
  <c r="N25" i="7"/>
  <c r="N22" i="7"/>
  <c r="N17" i="7"/>
  <c r="Q8" i="7"/>
  <c r="H38" i="7"/>
  <c r="H39" i="7"/>
  <c r="H40" i="7"/>
  <c r="H41" i="7"/>
  <c r="H53" i="7"/>
  <c r="H54" i="7"/>
  <c r="D145" i="7"/>
  <c r="C47" i="4"/>
  <c r="C48" i="4"/>
  <c r="G50" i="4"/>
  <c r="G52" i="4" s="1"/>
  <c r="E81" i="7"/>
  <c r="F81" i="7" s="1"/>
  <c r="G81" i="7"/>
  <c r="G106" i="7"/>
  <c r="G105" i="7"/>
  <c r="G104" i="7"/>
  <c r="G100" i="7"/>
  <c r="G99" i="7"/>
  <c r="G98" i="7"/>
  <c r="G97" i="7"/>
  <c r="G96" i="7"/>
  <c r="E107" i="7"/>
  <c r="F107" i="7" s="1"/>
  <c r="H107" i="7" s="1"/>
  <c r="E95" i="7"/>
  <c r="O51" i="7"/>
  <c r="G89" i="7"/>
  <c r="G88" i="7"/>
  <c r="E87" i="7"/>
  <c r="F87" i="7" s="1"/>
  <c r="G87" i="7"/>
  <c r="H95" i="7"/>
  <c r="O37" i="7"/>
  <c r="O28" i="7"/>
  <c r="O25" i="7"/>
  <c r="O22" i="7"/>
  <c r="O17" i="7"/>
  <c r="O46" i="7"/>
  <c r="O32" i="7"/>
  <c r="O42" i="7"/>
  <c r="F71" i="7"/>
  <c r="E76" i="7"/>
  <c r="F76" i="7" s="1"/>
  <c r="G76" i="7"/>
  <c r="G77" i="7"/>
  <c r="G78" i="7"/>
  <c r="E79" i="7"/>
  <c r="F79" i="7" s="1"/>
  <c r="G79" i="7"/>
  <c r="E80" i="7"/>
  <c r="F80" i="7" s="1"/>
  <c r="G80" i="7"/>
  <c r="G82" i="7"/>
  <c r="G83" i="7"/>
  <c r="E84" i="7"/>
  <c r="F84" i="7" s="1"/>
  <c r="G84" i="7"/>
  <c r="G85" i="7"/>
  <c r="G86" i="7"/>
  <c r="D12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4" i="7"/>
  <c r="O53" i="7"/>
  <c r="O48" i="7"/>
  <c r="O49" i="7"/>
  <c r="O50" i="7"/>
  <c r="O3" i="7"/>
  <c r="G103" i="7"/>
  <c r="G102" i="7"/>
  <c r="G101" i="7"/>
  <c r="G94" i="7"/>
  <c r="G93" i="7"/>
  <c r="G92" i="7"/>
  <c r="O41" i="7"/>
  <c r="O43" i="7"/>
  <c r="O44" i="7"/>
  <c r="O45" i="7"/>
  <c r="O47" i="7"/>
  <c r="O4" i="7"/>
  <c r="E71" i="7"/>
  <c r="D71" i="7"/>
  <c r="O16" i="7"/>
  <c r="O15" i="7"/>
  <c r="O18" i="7"/>
  <c r="O19" i="7"/>
  <c r="O14" i="7"/>
  <c r="O20" i="7"/>
  <c r="O21" i="7"/>
  <c r="O23" i="7"/>
  <c r="O24" i="7"/>
  <c r="O26" i="7"/>
  <c r="O27" i="7"/>
  <c r="O29" i="7"/>
  <c r="O30" i="7"/>
  <c r="O31" i="7"/>
  <c r="O33" i="7"/>
  <c r="O34" i="7"/>
  <c r="O35" i="7"/>
  <c r="O36" i="7"/>
  <c r="O38" i="7"/>
  <c r="O39" i="7"/>
  <c r="O40" i="7"/>
  <c r="O13" i="7"/>
  <c r="O6" i="7"/>
  <c r="O7" i="7"/>
  <c r="O9" i="7"/>
  <c r="O10" i="7"/>
  <c r="B54" i="4"/>
  <c r="O5" i="7"/>
  <c r="B3" i="4"/>
  <c r="B4" i="4"/>
  <c r="B5" i="4"/>
  <c r="G5" i="4" s="1"/>
  <c r="B6" i="4"/>
  <c r="H6" i="4" s="1"/>
  <c r="C4" i="4"/>
  <c r="C5" i="4"/>
  <c r="D4" i="4"/>
  <c r="H4" i="4"/>
  <c r="C6" i="4"/>
  <c r="E3" i="4"/>
  <c r="F3" i="4"/>
  <c r="H3" i="4"/>
  <c r="G6" i="4"/>
  <c r="F6" i="4"/>
  <c r="E6" i="4"/>
  <c r="D6" i="4"/>
  <c r="B49" i="4"/>
  <c r="B52" i="4" s="1"/>
  <c r="B9" i="4"/>
  <c r="B8" i="4"/>
  <c r="B7" i="4"/>
  <c r="E4" i="7" s="1"/>
  <c r="F4" i="7" s="1"/>
  <c r="E94" i="7"/>
  <c r="F94" i="7" s="1"/>
  <c r="H7" i="4"/>
  <c r="C7" i="4"/>
  <c r="F7" i="4"/>
  <c r="E7" i="4"/>
  <c r="F9" i="4"/>
  <c r="C49" i="4" l="1"/>
  <c r="P25" i="7"/>
  <c r="Q25" i="7" s="1"/>
  <c r="P28" i="7"/>
  <c r="Q28" i="7" s="1"/>
  <c r="P32" i="7"/>
  <c r="Q32" i="7" s="1"/>
  <c r="P42" i="7"/>
  <c r="Q42" i="7" s="1"/>
  <c r="P46" i="7"/>
  <c r="P17" i="7"/>
  <c r="Q17" i="7" s="1"/>
  <c r="P37" i="7"/>
  <c r="Q37" i="7" s="1"/>
  <c r="P22" i="7"/>
  <c r="Q22" i="7" s="1"/>
  <c r="Q46" i="7"/>
  <c r="D72" i="7"/>
  <c r="H81" i="7"/>
  <c r="H76" i="7"/>
  <c r="H80" i="7"/>
  <c r="H79" i="7"/>
  <c r="H87" i="7"/>
  <c r="H4" i="7"/>
  <c r="H9" i="7"/>
  <c r="H94" i="7"/>
  <c r="G71" i="7"/>
  <c r="O12" i="7"/>
  <c r="E101" i="7"/>
  <c r="F101" i="7" s="1"/>
  <c r="H101" i="7" s="1"/>
  <c r="D9" i="4"/>
  <c r="E5" i="7"/>
  <c r="F5" i="7" s="1"/>
  <c r="H5" i="7" s="1"/>
  <c r="E10" i="7"/>
  <c r="F10" i="7" s="1"/>
  <c r="H10" i="7" s="1"/>
  <c r="E96" i="7"/>
  <c r="F96" i="7" s="1"/>
  <c r="H96" i="7" s="1"/>
  <c r="E104" i="7"/>
  <c r="F104" i="7" s="1"/>
  <c r="H104" i="7" s="1"/>
  <c r="E99" i="7"/>
  <c r="F99" i="7" s="1"/>
  <c r="H99" i="7" s="1"/>
  <c r="H9" i="4"/>
  <c r="E93" i="7"/>
  <c r="F93" i="7" s="1"/>
  <c r="H93" i="7" s="1"/>
  <c r="G9" i="4"/>
  <c r="E6" i="7"/>
  <c r="F6" i="7" s="1"/>
  <c r="H6" i="7" s="1"/>
  <c r="E100" i="7"/>
  <c r="F100" i="7" s="1"/>
  <c r="H100" i="7" s="1"/>
  <c r="E103" i="7"/>
  <c r="F103" i="7" s="1"/>
  <c r="H103" i="7" s="1"/>
  <c r="E92" i="7"/>
  <c r="F92" i="7" s="1"/>
  <c r="H92" i="7" s="1"/>
  <c r="E9" i="4"/>
  <c r="E105" i="7"/>
  <c r="F105" i="7" s="1"/>
  <c r="H105" i="7" s="1"/>
  <c r="E82" i="7"/>
  <c r="F82" i="7" s="1"/>
  <c r="H82" i="7" s="1"/>
  <c r="C9" i="4"/>
  <c r="E83" i="7" s="1"/>
  <c r="F83" i="7" s="1"/>
  <c r="H83" i="7" s="1"/>
  <c r="E106" i="7"/>
  <c r="F106" i="7" s="1"/>
  <c r="H106" i="7" s="1"/>
  <c r="B53" i="4"/>
  <c r="B55" i="4" s="1"/>
  <c r="E102" i="7"/>
  <c r="F102" i="7" s="1"/>
  <c r="H102" i="7" s="1"/>
  <c r="H71" i="7"/>
  <c r="H8" i="4"/>
  <c r="E8" i="4"/>
  <c r="G8" i="4"/>
  <c r="F8" i="4"/>
  <c r="C8" i="4"/>
  <c r="E88" i="7"/>
  <c r="F88" i="7" s="1"/>
  <c r="H88" i="7" s="1"/>
  <c r="F4" i="4"/>
  <c r="E4" i="4"/>
  <c r="G4" i="4"/>
  <c r="O71" i="7"/>
  <c r="E89" i="7"/>
  <c r="F89" i="7" s="1"/>
  <c r="H89" i="7" s="1"/>
  <c r="E98" i="7"/>
  <c r="F98" i="7" s="1"/>
  <c r="H98" i="7" s="1"/>
  <c r="H84" i="7"/>
  <c r="D8" i="4"/>
  <c r="D5" i="4"/>
  <c r="E5" i="4"/>
  <c r="H5" i="4"/>
  <c r="F5" i="4"/>
  <c r="D3" i="4"/>
  <c r="G3" i="4"/>
  <c r="C3" i="4"/>
  <c r="E97" i="7"/>
  <c r="F97" i="7" s="1"/>
  <c r="H97" i="7" s="1"/>
  <c r="E85" i="7"/>
  <c r="F85" i="7" s="1"/>
  <c r="H85" i="7" s="1"/>
  <c r="E77" i="7"/>
  <c r="F77" i="7" s="1"/>
  <c r="H77" i="7" s="1"/>
  <c r="E86" i="7"/>
  <c r="F86" i="7" s="1"/>
  <c r="H86" i="7" s="1"/>
  <c r="G7" i="4"/>
  <c r="E3" i="7"/>
  <c r="F3" i="7" s="1"/>
  <c r="E7" i="7"/>
  <c r="F7" i="7" s="1"/>
  <c r="H7" i="7" s="1"/>
  <c r="E78" i="7"/>
  <c r="F78" i="7" s="1"/>
  <c r="H78" i="7" s="1"/>
  <c r="D7" i="4"/>
  <c r="O72" i="7" l="1"/>
  <c r="F12" i="7"/>
  <c r="H3" i="7"/>
  <c r="H12" i="7" s="1"/>
  <c r="H72" i="7" s="1"/>
  <c r="D147" i="7" s="1"/>
  <c r="I52" i="7" l="1"/>
  <c r="J52" i="7" s="1"/>
  <c r="K52" i="7" s="1"/>
  <c r="L52" i="7" s="1"/>
  <c r="N52" i="7" s="1"/>
  <c r="I123" i="7"/>
  <c r="J123" i="7" s="1"/>
  <c r="K123" i="7" s="1"/>
  <c r="L123" i="7" s="1"/>
  <c r="N123" i="7" s="1"/>
  <c r="I68" i="7"/>
  <c r="J68" i="7" s="1"/>
  <c r="K68" i="7" s="1"/>
  <c r="L68" i="7" s="1"/>
  <c r="N68" i="7" s="1"/>
  <c r="I60" i="7"/>
  <c r="J60" i="7" s="1"/>
  <c r="K60" i="7" s="1"/>
  <c r="L60" i="7" s="1"/>
  <c r="N60" i="7" s="1"/>
  <c r="I50" i="7"/>
  <c r="J50" i="7" s="1"/>
  <c r="K50" i="7" s="1"/>
  <c r="L50" i="7" s="1"/>
  <c r="N50" i="7" s="1"/>
  <c r="I6" i="7"/>
  <c r="J6" i="7" s="1"/>
  <c r="K6" i="7" s="1"/>
  <c r="L6" i="7" s="1"/>
  <c r="N6" i="7" s="1"/>
  <c r="I69" i="7"/>
  <c r="J69" i="7" s="1"/>
  <c r="K69" i="7" s="1"/>
  <c r="L69" i="7" s="1"/>
  <c r="N69" i="7" s="1"/>
  <c r="I61" i="7"/>
  <c r="J61" i="7" s="1"/>
  <c r="K61" i="7" s="1"/>
  <c r="L61" i="7" s="1"/>
  <c r="N61" i="7" s="1"/>
  <c r="I51" i="7"/>
  <c r="J51" i="7" s="1"/>
  <c r="K51" i="7" s="1"/>
  <c r="L51" i="7" s="1"/>
  <c r="N51" i="7" s="1"/>
  <c r="I63" i="7"/>
  <c r="J63" i="7" s="1"/>
  <c r="K63" i="7" s="1"/>
  <c r="L63" i="7" s="1"/>
  <c r="N63" i="7" s="1"/>
  <c r="I54" i="7"/>
  <c r="J54" i="7" s="1"/>
  <c r="K54" i="7" s="1"/>
  <c r="L54" i="7" s="1"/>
  <c r="N54" i="7" s="1"/>
  <c r="I33" i="7"/>
  <c r="J33" i="7" s="1"/>
  <c r="K33" i="7" s="1"/>
  <c r="L33" i="7" s="1"/>
  <c r="N33" i="7" s="1"/>
  <c r="I29" i="7"/>
  <c r="J29" i="7" s="1"/>
  <c r="K29" i="7" s="1"/>
  <c r="L29" i="7" s="1"/>
  <c r="N29" i="7" s="1"/>
  <c r="I13" i="7"/>
  <c r="I89" i="7"/>
  <c r="J89" i="7" s="1"/>
  <c r="K89" i="7" s="1"/>
  <c r="L89" i="7" s="1"/>
  <c r="N89" i="7" s="1"/>
  <c r="I76" i="7"/>
  <c r="J76" i="7" s="1"/>
  <c r="K76" i="7" s="1"/>
  <c r="L76" i="7" s="1"/>
  <c r="N76" i="7" s="1"/>
  <c r="I44" i="7"/>
  <c r="J44" i="7" s="1"/>
  <c r="K44" i="7" s="1"/>
  <c r="L44" i="7" s="1"/>
  <c r="N44" i="7" s="1"/>
  <c r="I21" i="7"/>
  <c r="J21" i="7" s="1"/>
  <c r="K21" i="7" s="1"/>
  <c r="L21" i="7" s="1"/>
  <c r="N21" i="7" s="1"/>
  <c r="I19" i="7"/>
  <c r="J19" i="7" s="1"/>
  <c r="K19" i="7" s="1"/>
  <c r="L19" i="7" s="1"/>
  <c r="N19" i="7" s="1"/>
  <c r="I15" i="7"/>
  <c r="J15" i="7" s="1"/>
  <c r="K15" i="7" s="1"/>
  <c r="L15" i="7" s="1"/>
  <c r="N15" i="7" s="1"/>
  <c r="I96" i="7"/>
  <c r="J96" i="7" s="1"/>
  <c r="K96" i="7" s="1"/>
  <c r="L96" i="7" s="1"/>
  <c r="N96" i="7" s="1"/>
  <c r="I99" i="7"/>
  <c r="J99" i="7" s="1"/>
  <c r="K99" i="7" s="1"/>
  <c r="L99" i="7" s="1"/>
  <c r="N99" i="7" s="1"/>
  <c r="I79" i="7"/>
  <c r="J79" i="7" s="1"/>
  <c r="K79" i="7" s="1"/>
  <c r="L79" i="7" s="1"/>
  <c r="N79" i="7" s="1"/>
  <c r="I94" i="7"/>
  <c r="J94" i="7" s="1"/>
  <c r="K94" i="7" s="1"/>
  <c r="L94" i="7" s="1"/>
  <c r="N94" i="7" s="1"/>
  <c r="I105" i="7"/>
  <c r="J105" i="7" s="1"/>
  <c r="K105" i="7" s="1"/>
  <c r="L105" i="7" s="1"/>
  <c r="N105" i="7" s="1"/>
  <c r="I100" i="7"/>
  <c r="J100" i="7" s="1"/>
  <c r="K100" i="7" s="1"/>
  <c r="L100" i="7" s="1"/>
  <c r="N100" i="7" s="1"/>
  <c r="I84" i="7"/>
  <c r="J84" i="7" s="1"/>
  <c r="K84" i="7" s="1"/>
  <c r="L84" i="7" s="1"/>
  <c r="N84" i="7" s="1"/>
  <c r="I48" i="7"/>
  <c r="J48" i="7" s="1"/>
  <c r="K48" i="7" s="1"/>
  <c r="L48" i="7" s="1"/>
  <c r="N48" i="7" s="1"/>
  <c r="I27" i="7"/>
  <c r="J27" i="7" s="1"/>
  <c r="K27" i="7" s="1"/>
  <c r="L27" i="7" s="1"/>
  <c r="N27" i="7" s="1"/>
  <c r="I23" i="7"/>
  <c r="J23" i="7" s="1"/>
  <c r="K23" i="7" s="1"/>
  <c r="L23" i="7" s="1"/>
  <c r="N23" i="7" s="1"/>
  <c r="I7" i="7"/>
  <c r="J7" i="7" s="1"/>
  <c r="K7" i="7" s="1"/>
  <c r="L7" i="7" s="1"/>
  <c r="N7" i="7" s="1"/>
  <c r="I4" i="7"/>
  <c r="J4" i="7" s="1"/>
  <c r="K4" i="7" s="1"/>
  <c r="L4" i="7" s="1"/>
  <c r="N4" i="7" s="1"/>
  <c r="I107" i="7"/>
  <c r="J107" i="7" s="1"/>
  <c r="K107" i="7" s="1"/>
  <c r="L107" i="7" s="1"/>
  <c r="N107" i="7" s="1"/>
  <c r="I66" i="7"/>
  <c r="J66" i="7" s="1"/>
  <c r="K66" i="7" s="1"/>
  <c r="L66" i="7" s="1"/>
  <c r="N66" i="7" s="1"/>
  <c r="I64" i="7"/>
  <c r="J64" i="7" s="1"/>
  <c r="K64" i="7" s="1"/>
  <c r="L64" i="7" s="1"/>
  <c r="N64" i="7" s="1"/>
  <c r="I41" i="7"/>
  <c r="J41" i="7" s="1"/>
  <c r="K41" i="7" s="1"/>
  <c r="L41" i="7" s="1"/>
  <c r="N41" i="7" s="1"/>
  <c r="I39" i="7"/>
  <c r="J39" i="7" s="1"/>
  <c r="K39" i="7" s="1"/>
  <c r="L39" i="7" s="1"/>
  <c r="N39" i="7" s="1"/>
  <c r="I35" i="7"/>
  <c r="J35" i="7" s="1"/>
  <c r="K35" i="7" s="1"/>
  <c r="L35" i="7" s="1"/>
  <c r="N35" i="7" s="1"/>
  <c r="I81" i="7"/>
  <c r="J81" i="7" s="1"/>
  <c r="K81" i="7" s="1"/>
  <c r="L81" i="7" s="1"/>
  <c r="N81" i="7" s="1"/>
  <c r="I88" i="7"/>
  <c r="J88" i="7" s="1"/>
  <c r="K88" i="7" s="1"/>
  <c r="L88" i="7" s="1"/>
  <c r="N88" i="7" s="1"/>
  <c r="I77" i="7"/>
  <c r="J77" i="7" s="1"/>
  <c r="K77" i="7" s="1"/>
  <c r="L77" i="7" s="1"/>
  <c r="N77" i="7" s="1"/>
  <c r="I93" i="7"/>
  <c r="J93" i="7" s="1"/>
  <c r="K93" i="7" s="1"/>
  <c r="L93" i="7" s="1"/>
  <c r="N93" i="7" s="1"/>
  <c r="I62" i="7"/>
  <c r="J62" i="7" s="1"/>
  <c r="K62" i="7" s="1"/>
  <c r="L62" i="7" s="1"/>
  <c r="N62" i="7" s="1"/>
  <c r="I45" i="7"/>
  <c r="J45" i="7" s="1"/>
  <c r="K45" i="7" s="1"/>
  <c r="L45" i="7" s="1"/>
  <c r="N45" i="7" s="1"/>
  <c r="I43" i="7"/>
  <c r="J43" i="7" s="1"/>
  <c r="K43" i="7" s="1"/>
  <c r="L43" i="7" s="1"/>
  <c r="N43" i="7" s="1"/>
  <c r="I20" i="7"/>
  <c r="J20" i="7" s="1"/>
  <c r="K20" i="7" s="1"/>
  <c r="L20" i="7" s="1"/>
  <c r="N20" i="7" s="1"/>
  <c r="I18" i="7"/>
  <c r="J18" i="7" s="1"/>
  <c r="K18" i="7" s="1"/>
  <c r="L18" i="7" s="1"/>
  <c r="N18" i="7" s="1"/>
  <c r="I16" i="7"/>
  <c r="J16" i="7" s="1"/>
  <c r="K16" i="7" s="1"/>
  <c r="L16" i="7" s="1"/>
  <c r="N16" i="7" s="1"/>
  <c r="I14" i="7"/>
  <c r="J14" i="7" s="1"/>
  <c r="K14" i="7" s="1"/>
  <c r="L14" i="7" s="1"/>
  <c r="N14" i="7" s="1"/>
  <c r="I5" i="7"/>
  <c r="J5" i="7" s="1"/>
  <c r="K5" i="7" s="1"/>
  <c r="L5" i="7" s="1"/>
  <c r="N5" i="7" s="1"/>
  <c r="I97" i="7"/>
  <c r="J97" i="7" s="1"/>
  <c r="K97" i="7" s="1"/>
  <c r="L97" i="7" s="1"/>
  <c r="N97" i="7" s="1"/>
  <c r="I82" i="7"/>
  <c r="J82" i="7" s="1"/>
  <c r="K82" i="7" s="1"/>
  <c r="L82" i="7" s="1"/>
  <c r="N82" i="7" s="1"/>
  <c r="I102" i="7"/>
  <c r="J102" i="7" s="1"/>
  <c r="K102" i="7" s="1"/>
  <c r="L102" i="7" s="1"/>
  <c r="N102" i="7" s="1"/>
  <c r="I58" i="7"/>
  <c r="J58" i="7" s="1"/>
  <c r="K58" i="7" s="1"/>
  <c r="L58" i="7" s="1"/>
  <c r="N58" i="7" s="1"/>
  <c r="I38" i="7"/>
  <c r="J38" i="7" s="1"/>
  <c r="K38" i="7" s="1"/>
  <c r="L38" i="7" s="1"/>
  <c r="N38" i="7" s="1"/>
  <c r="I31" i="7"/>
  <c r="J31" i="7" s="1"/>
  <c r="K31" i="7" s="1"/>
  <c r="L31" i="7" s="1"/>
  <c r="N31" i="7" s="1"/>
  <c r="I98" i="7"/>
  <c r="J98" i="7" s="1"/>
  <c r="K98" i="7" s="1"/>
  <c r="L98" i="7" s="1"/>
  <c r="N98" i="7" s="1"/>
  <c r="I83" i="7"/>
  <c r="J83" i="7" s="1"/>
  <c r="K83" i="7" s="1"/>
  <c r="L83" i="7" s="1"/>
  <c r="N83" i="7" s="1"/>
  <c r="I56" i="7"/>
  <c r="J56" i="7" s="1"/>
  <c r="K56" i="7" s="1"/>
  <c r="L56" i="7" s="1"/>
  <c r="N56" i="7" s="1"/>
  <c r="I40" i="7"/>
  <c r="J40" i="7" s="1"/>
  <c r="K40" i="7" s="1"/>
  <c r="L40" i="7" s="1"/>
  <c r="N40" i="7" s="1"/>
  <c r="I106" i="7"/>
  <c r="J106" i="7" s="1"/>
  <c r="K106" i="7" s="1"/>
  <c r="L106" i="7" s="1"/>
  <c r="N106" i="7" s="1"/>
  <c r="I24" i="7"/>
  <c r="J24" i="7" s="1"/>
  <c r="K24" i="7" s="1"/>
  <c r="L24" i="7" s="1"/>
  <c r="N24" i="7" s="1"/>
  <c r="I49" i="7"/>
  <c r="J49" i="7" s="1"/>
  <c r="K49" i="7" s="1"/>
  <c r="L49" i="7" s="1"/>
  <c r="N49" i="7" s="1"/>
  <c r="I104" i="7"/>
  <c r="J104" i="7" s="1"/>
  <c r="K104" i="7" s="1"/>
  <c r="L104" i="7" s="1"/>
  <c r="N104" i="7" s="1"/>
  <c r="I65" i="7"/>
  <c r="J65" i="7" s="1"/>
  <c r="K65" i="7" s="1"/>
  <c r="L65" i="7" s="1"/>
  <c r="N65" i="7" s="1"/>
  <c r="I53" i="7"/>
  <c r="J53" i="7" s="1"/>
  <c r="K53" i="7" s="1"/>
  <c r="L53" i="7" s="1"/>
  <c r="N53" i="7" s="1"/>
  <c r="I34" i="7"/>
  <c r="J34" i="7" s="1"/>
  <c r="K34" i="7" s="1"/>
  <c r="L34" i="7" s="1"/>
  <c r="N34" i="7" s="1"/>
  <c r="I26" i="7"/>
  <c r="J26" i="7" s="1"/>
  <c r="K26" i="7" s="1"/>
  <c r="L26" i="7" s="1"/>
  <c r="N26" i="7" s="1"/>
  <c r="I3" i="7"/>
  <c r="I95" i="7"/>
  <c r="J95" i="7" s="1"/>
  <c r="K95" i="7" s="1"/>
  <c r="L95" i="7" s="1"/>
  <c r="N95" i="7" s="1"/>
  <c r="I86" i="7"/>
  <c r="J86" i="7" s="1"/>
  <c r="K86" i="7" s="1"/>
  <c r="L86" i="7" s="1"/>
  <c r="N86" i="7" s="1"/>
  <c r="I80" i="7"/>
  <c r="J80" i="7" s="1"/>
  <c r="K80" i="7" s="1"/>
  <c r="L80" i="7" s="1"/>
  <c r="N80" i="7" s="1"/>
  <c r="I47" i="7"/>
  <c r="J47" i="7" s="1"/>
  <c r="K47" i="7" s="1"/>
  <c r="L47" i="7" s="1"/>
  <c r="N47" i="7" s="1"/>
  <c r="I85" i="7"/>
  <c r="J85" i="7" s="1"/>
  <c r="K85" i="7" s="1"/>
  <c r="L85" i="7" s="1"/>
  <c r="N85" i="7" s="1"/>
  <c r="I67" i="7"/>
  <c r="J67" i="7" s="1"/>
  <c r="K67" i="7" s="1"/>
  <c r="L67" i="7" s="1"/>
  <c r="N67" i="7" s="1"/>
  <c r="I87" i="7"/>
  <c r="J87" i="7" s="1"/>
  <c r="K87" i="7" s="1"/>
  <c r="L87" i="7" s="1"/>
  <c r="N87" i="7" s="1"/>
  <c r="I103" i="7"/>
  <c r="J103" i="7" s="1"/>
  <c r="K103" i="7" s="1"/>
  <c r="L103" i="7" s="1"/>
  <c r="N103" i="7" s="1"/>
  <c r="I57" i="7"/>
  <c r="J57" i="7" s="1"/>
  <c r="K57" i="7" s="1"/>
  <c r="L57" i="7" s="1"/>
  <c r="N57" i="7" s="1"/>
  <c r="I30" i="7"/>
  <c r="J30" i="7" s="1"/>
  <c r="K30" i="7" s="1"/>
  <c r="L30" i="7" s="1"/>
  <c r="N30" i="7" s="1"/>
  <c r="I9" i="7"/>
  <c r="J9" i="7" s="1"/>
  <c r="K9" i="7" s="1"/>
  <c r="L9" i="7" s="1"/>
  <c r="N9" i="7" s="1"/>
  <c r="I101" i="7"/>
  <c r="J101" i="7" s="1"/>
  <c r="K101" i="7" s="1"/>
  <c r="L101" i="7" s="1"/>
  <c r="N101" i="7" s="1"/>
  <c r="I36" i="7"/>
  <c r="J36" i="7" s="1"/>
  <c r="K36" i="7" s="1"/>
  <c r="L36" i="7" s="1"/>
  <c r="N36" i="7" s="1"/>
  <c r="I59" i="7"/>
  <c r="J59" i="7" s="1"/>
  <c r="K59" i="7" s="1"/>
  <c r="L59" i="7" s="1"/>
  <c r="N59" i="7" s="1"/>
  <c r="I92" i="7"/>
  <c r="J92" i="7" s="1"/>
  <c r="K92" i="7" s="1"/>
  <c r="L92" i="7" s="1"/>
  <c r="N92" i="7" s="1"/>
  <c r="I10" i="7"/>
  <c r="J10" i="7" s="1"/>
  <c r="K10" i="7" s="1"/>
  <c r="L10" i="7" s="1"/>
  <c r="N10" i="7" s="1"/>
  <c r="I78" i="7"/>
  <c r="J78" i="7" s="1"/>
  <c r="K78" i="7" s="1"/>
  <c r="L78" i="7" s="1"/>
  <c r="N78" i="7" s="1"/>
  <c r="F72" i="7"/>
  <c r="D146" i="7"/>
  <c r="R99" i="7" l="1"/>
  <c r="R103" i="7"/>
  <c r="R102" i="7"/>
  <c r="R96" i="7"/>
  <c r="R92" i="7"/>
  <c r="R97" i="7"/>
  <c r="R93" i="7"/>
  <c r="R100" i="7"/>
  <c r="R101" i="7"/>
  <c r="R98" i="7"/>
  <c r="R105" i="7"/>
  <c r="R104" i="7"/>
  <c r="R94" i="7"/>
  <c r="R76" i="7"/>
  <c r="R86" i="7"/>
  <c r="R89" i="7"/>
  <c r="R87" i="7"/>
  <c r="R82" i="7"/>
  <c r="R84" i="7"/>
  <c r="R88" i="7"/>
  <c r="R79" i="7"/>
  <c r="R78" i="7"/>
  <c r="R85" i="7"/>
  <c r="R83" i="7"/>
  <c r="R80" i="7"/>
  <c r="R81" i="7"/>
  <c r="R77" i="7"/>
  <c r="P58" i="7"/>
  <c r="Q58" i="7" s="1"/>
  <c r="P60" i="7"/>
  <c r="Q60" i="7" s="1"/>
  <c r="P56" i="7"/>
  <c r="Q56" i="7" s="1"/>
  <c r="P62" i="7"/>
  <c r="Q62" i="7" s="1"/>
  <c r="P64" i="7"/>
  <c r="Q64" i="7" s="1"/>
  <c r="P68" i="7"/>
  <c r="Q68" i="7" s="1"/>
  <c r="P66" i="7"/>
  <c r="Q66" i="7" s="1"/>
  <c r="P39" i="7"/>
  <c r="Q39" i="7" s="1"/>
  <c r="P34" i="7"/>
  <c r="Q34" i="7" s="1"/>
  <c r="P19" i="7"/>
  <c r="Q19" i="7" s="1"/>
  <c r="P30" i="7"/>
  <c r="Q30" i="7" s="1"/>
  <c r="P24" i="7"/>
  <c r="Q24" i="7" s="1"/>
  <c r="P27" i="7"/>
  <c r="Q27" i="7" s="1"/>
  <c r="P48" i="7"/>
  <c r="Q48" i="7" s="1"/>
  <c r="P44" i="7"/>
  <c r="Q44" i="7" s="1"/>
  <c r="P51" i="7"/>
  <c r="Q51" i="7" s="1"/>
  <c r="P52" i="7"/>
  <c r="Q52" i="7" s="1"/>
  <c r="P31" i="7"/>
  <c r="Q31" i="7" s="1"/>
  <c r="R31" i="7"/>
  <c r="P50" i="7"/>
  <c r="Q50" i="7" s="1"/>
  <c r="R50" i="7"/>
  <c r="P54" i="7"/>
  <c r="Q54" i="7" s="1"/>
  <c r="R54" i="7"/>
  <c r="P41" i="7"/>
  <c r="Q41" i="7" s="1"/>
  <c r="R41" i="7"/>
  <c r="P36" i="7"/>
  <c r="Q36" i="7" s="1"/>
  <c r="R36" i="7"/>
  <c r="P57" i="7"/>
  <c r="Q57" i="7" s="1"/>
  <c r="R57" i="7"/>
  <c r="P65" i="7"/>
  <c r="Q65" i="7" s="1"/>
  <c r="R65" i="7"/>
  <c r="P61" i="7"/>
  <c r="Q61" i="7" s="1"/>
  <c r="R61" i="7"/>
  <c r="P69" i="7"/>
  <c r="Q69" i="7" s="1"/>
  <c r="R69" i="7"/>
  <c r="P40" i="7"/>
  <c r="Q40" i="7" s="1"/>
  <c r="R40" i="7"/>
  <c r="P45" i="7"/>
  <c r="Q45" i="7" s="1"/>
  <c r="R45" i="7"/>
  <c r="P49" i="7"/>
  <c r="Q49" i="7" s="1"/>
  <c r="R49" i="7"/>
  <c r="P35" i="7"/>
  <c r="Q35" i="7" s="1"/>
  <c r="R35" i="7"/>
  <c r="P59" i="7"/>
  <c r="Q59" i="7" s="1"/>
  <c r="R59" i="7"/>
  <c r="P67" i="7"/>
  <c r="Q67" i="7" s="1"/>
  <c r="R67" i="7"/>
  <c r="P53" i="7"/>
  <c r="Q53" i="7" s="1"/>
  <c r="R53" i="7"/>
  <c r="P63" i="7"/>
  <c r="Q63" i="7" s="1"/>
  <c r="R63" i="7"/>
  <c r="P21" i="7"/>
  <c r="Q21" i="7" s="1"/>
  <c r="R21" i="7"/>
  <c r="P20" i="7"/>
  <c r="Q20" i="7" s="1"/>
  <c r="R20" i="7"/>
  <c r="R52" i="7"/>
  <c r="P23" i="7"/>
  <c r="Q23" i="7" s="1"/>
  <c r="R23" i="7"/>
  <c r="P10" i="7"/>
  <c r="Q10" i="7" s="1"/>
  <c r="R10" i="7"/>
  <c r="P26" i="7"/>
  <c r="Q26" i="7" s="1"/>
  <c r="R26" i="7"/>
  <c r="P9" i="7"/>
  <c r="Q9" i="7" s="1"/>
  <c r="R9" i="7"/>
  <c r="P16" i="7"/>
  <c r="Q16" i="7" s="1"/>
  <c r="R16" i="7"/>
  <c r="P4" i="7"/>
  <c r="Q4" i="7" s="1"/>
  <c r="R4" i="7"/>
  <c r="P38" i="7"/>
  <c r="Q38" i="7" s="1"/>
  <c r="R38" i="7"/>
  <c r="P18" i="7"/>
  <c r="Q18" i="7" s="1"/>
  <c r="R18" i="7"/>
  <c r="P7" i="7"/>
  <c r="Q7" i="7" s="1"/>
  <c r="R7" i="7"/>
  <c r="P6" i="7"/>
  <c r="Q6" i="7" s="1"/>
  <c r="R6" i="7"/>
  <c r="P15" i="7"/>
  <c r="Q15" i="7" s="1"/>
  <c r="R15" i="7"/>
  <c r="P43" i="7"/>
  <c r="Q43" i="7" s="1"/>
  <c r="R43" i="7"/>
  <c r="P29" i="7"/>
  <c r="Q29" i="7" s="1"/>
  <c r="R29" i="7"/>
  <c r="P33" i="7"/>
  <c r="Q33" i="7" s="1"/>
  <c r="R33" i="7"/>
  <c r="P5" i="7"/>
  <c r="Q5" i="7" s="1"/>
  <c r="R5" i="7"/>
  <c r="P47" i="7"/>
  <c r="Q47" i="7" s="1"/>
  <c r="R47" i="7"/>
  <c r="P14" i="7"/>
  <c r="Q14" i="7" s="1"/>
  <c r="R14" i="7"/>
  <c r="I71" i="7"/>
  <c r="J13" i="7"/>
  <c r="K13" i="7" s="1"/>
  <c r="L13" i="7" s="1"/>
  <c r="N13" i="7" s="1"/>
  <c r="I12" i="7"/>
  <c r="J3" i="7"/>
  <c r="K3" i="7" s="1"/>
  <c r="L3" i="7" s="1"/>
  <c r="N3" i="7" s="1"/>
  <c r="P13" i="7" l="1"/>
  <c r="P71" i="7" s="1"/>
  <c r="R13" i="7"/>
  <c r="P3" i="7"/>
  <c r="Q3" i="7" s="1"/>
  <c r="Q12" i="7" s="1"/>
  <c r="U12" i="7" s="1"/>
  <c r="R3" i="7"/>
  <c r="I72" i="7"/>
  <c r="Q13" i="7" l="1"/>
  <c r="Q71" i="7" s="1"/>
  <c r="P12" i="7"/>
  <c r="P72" i="7" s="1"/>
  <c r="Q72" i="7" l="1"/>
  <c r="B64" i="4" s="1"/>
  <c r="B65" i="4" s="1"/>
  <c r="U71" i="7"/>
  <c r="B60" i="4" l="1"/>
  <c r="B61" i="4" s="1"/>
  <c r="C65" i="4" s="1"/>
  <c r="U72" i="7"/>
</calcChain>
</file>

<file path=xl/sharedStrings.xml><?xml version="1.0" encoding="utf-8"?>
<sst xmlns="http://schemas.openxmlformats.org/spreadsheetml/2006/main" count="368" uniqueCount="317">
  <si>
    <t>Monthly Frequency</t>
  </si>
  <si>
    <t>Annual PU's</t>
  </si>
  <si>
    <t>Gross Up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</si>
  <si>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</si>
  <si>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</si>
  <si>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</si>
  <si>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</si>
  <si>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</si>
  <si>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</si>
  <si>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</si>
  <si>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</si>
  <si>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</si>
  <si>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</si>
  <si>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</si>
  <si>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</si>
  <si>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</si>
  <si>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</si>
  <si>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</si>
  <si>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</si>
  <si>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</si>
  <si>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</si>
  <si>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</si>
  <si>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</si>
  <si>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</si>
  <si>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</si>
  <si>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</si>
  <si>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</si>
  <si>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</si>
  <si>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</si>
  <si>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</si>
  <si>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</si>
  <si>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</si>
  <si>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</si>
  <si>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</si>
  <si>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</si>
  <si>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</si>
  <si>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Company Current Revenue</t>
  </si>
  <si>
    <t>Monthly Customers</t>
  </si>
  <si>
    <t>Tariff Rate Increase</t>
  </si>
  <si>
    <t>Revised Revenue Increase</t>
  </si>
  <si>
    <t>1 unit</t>
  </si>
  <si>
    <t>2 units</t>
  </si>
  <si>
    <t>3 units</t>
  </si>
  <si>
    <t>n/a</t>
  </si>
  <si>
    <t>Revenue from Revised Rates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</si>
  <si>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</si>
  <si>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</si>
  <si>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</si>
  <si>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</si>
  <si>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</si>
  <si>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</si>
  <si>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</si>
  <si>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</si>
  <si>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</si>
  <si>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</si>
  <si>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</si>
  <si>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</si>
  <si>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</si>
  <si>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</si>
  <si>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</si>
  <si>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</si>
  <si>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</si>
  <si>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</si>
  <si>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</si>
  <si>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</si>
  <si>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</si>
  <si>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</si>
  <si>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</si>
  <si>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</si>
  <si>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</si>
  <si>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</si>
  <si>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</si>
  <si>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</si>
  <si>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</si>
  <si>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</si>
  <si>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</si>
  <si>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</si>
  <si>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</si>
  <si>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</si>
  <si>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</si>
  <si>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</si>
  <si>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</si>
  <si>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Res'l &amp; Com'l</t>
  </si>
  <si>
    <t>Revenue Inc from Co Proposed Rates</t>
  </si>
  <si>
    <t>Company Proposed Rates</t>
  </si>
  <si>
    <t>Staff Revised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</si>
  <si>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</si>
  <si>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</si>
  <si>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</si>
  <si>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</si>
  <si>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</si>
  <si>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No Current Customers</t>
  </si>
  <si>
    <t>* not on meeks - calculated by staff</t>
  </si>
  <si>
    <t>Transfer Station</t>
  </si>
  <si>
    <t>Comments</t>
  </si>
  <si>
    <t>Differ from Company</t>
  </si>
  <si>
    <t>35 gallon Can</t>
  </si>
  <si>
    <t>Calculated Annual PUs based on freq</t>
  </si>
  <si>
    <t>na - multiple pickups not on tariff</t>
  </si>
  <si>
    <t>64 gal cart weekly</t>
  </si>
  <si>
    <t>32 Gal weekly</t>
  </si>
  <si>
    <t>64 gal cart monthly</t>
  </si>
  <si>
    <t>96 gal cart 1x per month</t>
  </si>
  <si>
    <t>96 gal cart weekly</t>
  </si>
  <si>
    <t>20A</t>
  </si>
  <si>
    <t>32 gal can week</t>
  </si>
  <si>
    <t>64 gal can week</t>
  </si>
  <si>
    <t>96 gal can weekly</t>
  </si>
  <si>
    <t>4 Yard</t>
  </si>
  <si>
    <t>6 Yard</t>
  </si>
  <si>
    <t>8 Yard</t>
  </si>
  <si>
    <t>10 Yard</t>
  </si>
  <si>
    <t>Res_Extra_bag/Box</t>
  </si>
  <si>
    <t>Extra_Yards</t>
  </si>
  <si>
    <t>Not on Meeks, Co provided weight</t>
  </si>
  <si>
    <t>1 Can 1/MG</t>
  </si>
  <si>
    <t>1 Can 2/MG</t>
  </si>
  <si>
    <t>1 Can WG</t>
  </si>
  <si>
    <t>2 Cans WG</t>
  </si>
  <si>
    <t>3 Cans WG</t>
  </si>
  <si>
    <t>4 Cans WG</t>
  </si>
  <si>
    <t>5 Cans WG</t>
  </si>
  <si>
    <t>6 Cans WG</t>
  </si>
  <si>
    <t>64 gal cart 1/MG</t>
  </si>
  <si>
    <t>Add'l yards (cust load)</t>
  </si>
  <si>
    <t>1-4 yards (comp load)</t>
  </si>
  <si>
    <t>Add'l yards (comp load)</t>
  </si>
  <si>
    <t>96 gal cart 1/MG</t>
  </si>
  <si>
    <t>Customer Owned</t>
  </si>
  <si>
    <t>300 Gal MG</t>
  </si>
  <si>
    <t>1 Yard - 1st Pickup</t>
  </si>
  <si>
    <t>1 Yard - Additional Pickup</t>
  </si>
  <si>
    <t>1 Yard - Special</t>
  </si>
  <si>
    <t>1 Yard - Temporary</t>
  </si>
  <si>
    <t>1.5 Yard - 1st Pickup</t>
  </si>
  <si>
    <t>1.5 - Additional Pickup</t>
  </si>
  <si>
    <t>1.5 - Special</t>
  </si>
  <si>
    <t>1.5 - Temporary</t>
  </si>
  <si>
    <t>2 Yard - 1st Pickup</t>
  </si>
  <si>
    <t>2 Yard - Additional Pickup</t>
  </si>
  <si>
    <t>2 Yard - Special</t>
  </si>
  <si>
    <t>2 Yard - Temporary</t>
  </si>
  <si>
    <t>3 Yard - 1st Pickup</t>
  </si>
  <si>
    <t>3 Yard - Additional Pickup</t>
  </si>
  <si>
    <t>3 Yard - Special</t>
  </si>
  <si>
    <t xml:space="preserve">3 Yard - Temporary </t>
  </si>
  <si>
    <t>4 Yard - 1st Pickup</t>
  </si>
  <si>
    <t>4 Yard - Additional Pickup</t>
  </si>
  <si>
    <t>4 Yard - Special</t>
  </si>
  <si>
    <t>4 Yard - Temporary</t>
  </si>
  <si>
    <t>5 Yard - 1st Pickup</t>
  </si>
  <si>
    <t>5 Yard - Additional Pickup</t>
  </si>
  <si>
    <t>5 Yard - Special</t>
  </si>
  <si>
    <t>5 Yard - Temporary</t>
  </si>
  <si>
    <t>6 Yard - 1st Pickup</t>
  </si>
  <si>
    <t>6 Yard - Additional Pickup</t>
  </si>
  <si>
    <t>6 Yard - Special</t>
  </si>
  <si>
    <t>8 Yard - 1st Pickup</t>
  </si>
  <si>
    <t>8 Yard - Additional Pickup</t>
  </si>
  <si>
    <t>8 Yard - Special</t>
  </si>
  <si>
    <t xml:space="preserve">8 Yard - Temporary </t>
  </si>
  <si>
    <t>10 Yard - 1st Pickup</t>
  </si>
  <si>
    <t xml:space="preserve">10 Yard - Special </t>
  </si>
  <si>
    <t xml:space="preserve">10 Yard - Temporary </t>
  </si>
  <si>
    <t>Customer Owned Containers</t>
  </si>
  <si>
    <t>32 gal can week-Scheduled</t>
  </si>
  <si>
    <t>32 gal can week-Special</t>
  </si>
  <si>
    <t>64 gal can week-Scheduled</t>
  </si>
  <si>
    <t>64 gal can week-Special</t>
  </si>
  <si>
    <t>96 gal can week-Scheduled</t>
  </si>
  <si>
    <t>96 gal can week-Special</t>
  </si>
  <si>
    <t>1 Yard-Scheduled</t>
  </si>
  <si>
    <t>1 Yard-Special</t>
  </si>
  <si>
    <t>1.5 Yard-Scheduled</t>
  </si>
  <si>
    <t>1.5 Yard-Special</t>
  </si>
  <si>
    <t>2 Yard-Scheduled</t>
  </si>
  <si>
    <t>2 Yard-Special</t>
  </si>
  <si>
    <t>1.5 Yard Rent</t>
  </si>
  <si>
    <t>2 Yard Rent</t>
  </si>
  <si>
    <t>3 Yard Rent</t>
  </si>
  <si>
    <t>4 Yard Rent</t>
  </si>
  <si>
    <t>5 Yard Rent</t>
  </si>
  <si>
    <t>6 Yard Rent</t>
  </si>
  <si>
    <t>8 Yard Rent</t>
  </si>
  <si>
    <t>10 Yard Rent</t>
  </si>
  <si>
    <t>1 Yard Rent</t>
  </si>
  <si>
    <t>32 gal cart WG (cust owned)</t>
  </si>
  <si>
    <t>96 gal cart WG (cust owned)</t>
  </si>
  <si>
    <t>Mini can WG (coll provided)</t>
  </si>
  <si>
    <t>32 gal cart MG (coll provided)</t>
  </si>
  <si>
    <t>29, 29A</t>
  </si>
  <si>
    <t>28B</t>
  </si>
  <si>
    <t>28, 28A</t>
  </si>
  <si>
    <t>Company        Calculated Rate</t>
  </si>
  <si>
    <t>Company    Current Tariff</t>
  </si>
  <si>
    <t>Company Calculated Revenue</t>
  </si>
  <si>
    <t>Walla Walla County</t>
  </si>
  <si>
    <t>28A</t>
  </si>
  <si>
    <t>29A</t>
  </si>
  <si>
    <t>New Rate</t>
  </si>
  <si>
    <t>6 Yard - Temporary</t>
  </si>
  <si>
    <t>Collector Owned</t>
  </si>
  <si>
    <t>Basin Disposal of WA., LLC - Basin Disposal of Walla Walla</t>
  </si>
  <si>
    <t xml:space="preserve">Calculation of B&amp;O Tax Increase </t>
  </si>
  <si>
    <t>TG-091764</t>
  </si>
  <si>
    <t>Prior Tax Rate</t>
  </si>
  <si>
    <t>Current Tax Rate</t>
  </si>
  <si>
    <t>Annual Revenue</t>
  </si>
  <si>
    <t>Current Tariff Rate</t>
  </si>
  <si>
    <t>Customers Prior Rate Case</t>
  </si>
  <si>
    <t>Revised Tariff Rate</t>
  </si>
  <si>
    <t>Current Rate</t>
  </si>
  <si>
    <t>Proposed Rate</t>
  </si>
  <si>
    <t>Returned Check Charge</t>
  </si>
  <si>
    <t>Restart Fees</t>
  </si>
  <si>
    <t>Redelivery Fee Container</t>
  </si>
  <si>
    <t>Redelivery Fee Cart</t>
  </si>
  <si>
    <t>Mileage Charge in excess of 10 miles</t>
  </si>
  <si>
    <t>Over-sized/Weight Can 32 gal</t>
  </si>
  <si>
    <t>Over-sized/Weight Can</t>
  </si>
  <si>
    <t>Overtime periods</t>
  </si>
  <si>
    <t>Minimum Charge</t>
  </si>
  <si>
    <t>Return Trips Cans</t>
  </si>
  <si>
    <t>Return Trip Container</t>
  </si>
  <si>
    <t>Return Trip Drop Box</t>
  </si>
  <si>
    <t>Carry Out - Residential</t>
  </si>
  <si>
    <t>Carry Out - Commercial</t>
  </si>
  <si>
    <t>Drive-In Residential</t>
  </si>
  <si>
    <t>Drive-In Commercial</t>
  </si>
  <si>
    <t>Carry Charge - Bulky Materials</t>
  </si>
  <si>
    <t>Carry Charge - Lose Material</t>
  </si>
  <si>
    <t>Time Rates - Single Drive (Flatbed)</t>
  </si>
  <si>
    <t>Time Rates - Single Packer</t>
  </si>
  <si>
    <t>Time Rates - Single Drop Box</t>
  </si>
  <si>
    <t>Time Rates - Single Ea. extra person</t>
  </si>
  <si>
    <t>Time Rates - Single Drive (Flatbed) Minimum</t>
  </si>
  <si>
    <t>Time Rates - Single Paker/Dropbox Min Charge</t>
  </si>
  <si>
    <t>Time Rates - Tandem Packer</t>
  </si>
  <si>
    <t>Time Rates - Tandem Ea. extra person</t>
  </si>
  <si>
    <t>Time Rates - Tandem Packer Minimum Charge</t>
  </si>
  <si>
    <t>Roll out Charges - Containers</t>
  </si>
  <si>
    <t>Roll out Charges - Carts/Toters</t>
  </si>
  <si>
    <t>Excess Weight - Overfilled Cart - 32 Gal</t>
  </si>
  <si>
    <t>Excess Weight - Overfilled Cart - 64 Gal</t>
  </si>
  <si>
    <t>Excess Weight - Overfilled Cart - 96 Gal</t>
  </si>
  <si>
    <t>Washing\Steam Clean\Sanitizing</t>
  </si>
  <si>
    <t>Washing\Sanitizing - Container Delivery Charge</t>
  </si>
  <si>
    <t>Washing\Sanitizing - Dbox Delivery Charge</t>
  </si>
  <si>
    <t>Container Svc - Gate/Obstruction</t>
  </si>
  <si>
    <t>Delivery Charge - Temporary Service</t>
  </si>
  <si>
    <t>Rent Per Calendar Day Temporary Service - 1 Yd</t>
  </si>
  <si>
    <t>Rent Per Calendar Day Temporary Service - 1.5 Yd</t>
  </si>
  <si>
    <t>Rent Per Calendar Day Temporary Service - 2 Yd</t>
  </si>
  <si>
    <t>Rent Per Calendar Day Temporary Service - 3 Yd</t>
  </si>
  <si>
    <t>Rent Per Calendar Day Temporary Service - 4 Yd</t>
  </si>
  <si>
    <t>Rent Per Calendar Day Temporary Service - 5 Yd</t>
  </si>
  <si>
    <t>Rent Per Calendar Day Temporary Service - 6 Yd</t>
  </si>
  <si>
    <t>Rent Per Calendar Day Temporary Service - 8 Yd</t>
  </si>
  <si>
    <t>Rent Per Calendar Day Temporary Service - 10 Yd</t>
  </si>
  <si>
    <t>Container Svc - 1 Yd Temporay Monthly Rent</t>
  </si>
  <si>
    <t>Container Svc - 1.5 Yd Temporay Monthly Rent</t>
  </si>
  <si>
    <t>Container Svc  - 2 Yd Temporay Monthly Rent</t>
  </si>
  <si>
    <t>Container Svc  - 3 Yd Temporay Monthly Rent</t>
  </si>
  <si>
    <t>Container Svc  - 4 Yd Temporay Monthly Rent</t>
  </si>
  <si>
    <t>Container Svc  - 5 Yd Temporay Monthly Rent</t>
  </si>
  <si>
    <t>Container Svc  - 6 Yd Temporay Monthly Rent</t>
  </si>
  <si>
    <t>Container Svc  - 8 Yd Temporay Monthly Rent</t>
  </si>
  <si>
    <t>Container Svc  - 10 Yd Temporay Monthly Rent</t>
  </si>
  <si>
    <t>Rent Per Calendar Day Temporary Service - 20 Yd</t>
  </si>
  <si>
    <t>Rent Per Calendar Day Temporary Service - 30 Yd</t>
  </si>
  <si>
    <t>Rent Per Calendar Day Temporary Service - 40 Yd</t>
  </si>
  <si>
    <t>Rent Per Calendar Day Temporary Service - 45 Yd</t>
  </si>
  <si>
    <t>Drop Box Svc - 10 Yd  Monthly Rent</t>
  </si>
  <si>
    <t>Drop Box Svc - 10 Yd  1st p/u</t>
  </si>
  <si>
    <t>Drop Box Svc - 10 Yd  Ea. Addt'l p/u</t>
  </si>
  <si>
    <t>Drop Box Svc - 10 Yd - Temporary Service</t>
  </si>
  <si>
    <t>Drop Box Svc - 10 Yd Delivery</t>
  </si>
  <si>
    <t>Drop Box Svc - 20 Yd Temporay Monthly Rent</t>
  </si>
  <si>
    <t>Drop Box Svc - 20 Yd  Monthly Rent</t>
  </si>
  <si>
    <t>Drop Box Svc - 20Yd 1st p/u</t>
  </si>
  <si>
    <t>Drop Box Svc - 20Yd Ea. Addt'l p/u</t>
  </si>
  <si>
    <t>Drop Box Svc - 20Yd -Temporary Service</t>
  </si>
  <si>
    <t>Drop Box Svc - 20 Yd Delivery</t>
  </si>
  <si>
    <t>Drop Box Svc - 30 Yd  Monthly Rent</t>
  </si>
  <si>
    <t>Drop Box Svc - 30Yd 1st p/u</t>
  </si>
  <si>
    <t>Drop Box Svc - 30Yd Ea. Addt'l p/u</t>
  </si>
  <si>
    <t>Drop Box Svc - 30Yd -Temporary Service</t>
  </si>
  <si>
    <t>Drop Box Svc - 30 Yd Delivery</t>
  </si>
  <si>
    <t>Drop Box Svc - 30 Yd Temporay Monthly Rent</t>
  </si>
  <si>
    <t>Drop Box Svc - 40 Yd  Monthly Rent</t>
  </si>
  <si>
    <t>Drop Box Svc - 40Yd 1st p/u</t>
  </si>
  <si>
    <t>Drop Box Svc - 40Yd Ea. Addt'l p/u</t>
  </si>
  <si>
    <t>Drop Box Svc - 40Yd -Temporary Service</t>
  </si>
  <si>
    <t>Drop Box Svc - 40 Yd Delivery</t>
  </si>
  <si>
    <t>Drop Box Svc - 40 Yd Temporay Monthly Rent</t>
  </si>
  <si>
    <t>Drop Box Svc - 45 Yd  Monthly Rent</t>
  </si>
  <si>
    <t>Drop Box Svc - 45 Yd 1st p/u</t>
  </si>
  <si>
    <t>Drop Box Svc - 45 Yd Ea. Addt'l p/u</t>
  </si>
  <si>
    <t>Drop Box Svc - 45 Yd -Temporary Service</t>
  </si>
  <si>
    <t>Drop Box Svc - 45 Yd Delivery</t>
  </si>
  <si>
    <t>Drop Box Svc - 45 Yd Temporay Monthly Rent</t>
  </si>
  <si>
    <t>Drop Box Svc - Gate Charge</t>
  </si>
  <si>
    <t>Mileage Charge</t>
  </si>
  <si>
    <t>Drop Box Svc - 10 Yd Comp</t>
  </si>
  <si>
    <t>Drop Box Svc - 10 Yd Comp - Rent</t>
  </si>
  <si>
    <t>Drop Box Svc - 20 Yd Comp</t>
  </si>
  <si>
    <t>Drop Box Svc - 20 Yd Comp - Rent</t>
  </si>
  <si>
    <t>Drop Box Svc - 25 Yd Comp</t>
  </si>
  <si>
    <t>Drop Box Svc - 25 Yd Comp - Rent</t>
  </si>
  <si>
    <t>Drop Box Svc - 27 Yd Comp</t>
  </si>
  <si>
    <t>Drop Box Svc - 27 Yd Comp -Rent</t>
  </si>
  <si>
    <t>Drop Box Svc - 30 Yd Comp</t>
  </si>
  <si>
    <t>Drop Box Svc - 30 Yd Comp -Rent</t>
  </si>
  <si>
    <t>Drop Box Svc - 40 Yd Comp</t>
  </si>
  <si>
    <t>Drop Box Svc - 40 Yd Comp -Rent</t>
  </si>
  <si>
    <t>Drop Box Svc - Disconnect</t>
  </si>
  <si>
    <t>Drop Box Svc - Mileage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</si>
</sst>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0.000%"/>
  </numFmts>
  <fonts count="6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2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theme="1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gray0625"/>
    </fill>
    <fill>
      <patternFill patternType="gray0625">
        <bgColor indexed="13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0625">
        <bgColor rgb="FFFFC000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1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2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1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4" fillId="21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4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32" fillId="26" borderId="1" applyNumberFormat="0" applyAlignment="0" applyProtection="0"/>
    <xf numFmtId="0" fontId="47" fillId="26" borderId="1" applyNumberFormat="0" applyAlignment="0" applyProtection="0"/>
    <xf numFmtId="0" fontId="16" fillId="26" borderId="1" applyNumberFormat="0" applyAlignment="0" applyProtection="0"/>
    <xf numFmtId="0" fontId="47" fillId="4" borderId="1" applyNumberFormat="0" applyAlignment="0" applyProtection="0"/>
    <xf numFmtId="0" fontId="17" fillId="28" borderId="3" applyNumberFormat="0" applyAlignment="0" applyProtection="0"/>
    <xf numFmtId="0" fontId="17" fillId="27" borderId="2" applyNumberFormat="0" applyAlignment="0" applyProtection="0"/>
    <xf numFmtId="0" fontId="2" fillId="29" borderId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30" borderId="4" applyAlignment="0">
      <alignment horizontal="right"/>
      <protection locked="0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5" fillId="31" borderId="0">
      <alignment horizontal="right"/>
      <protection locked="0"/>
    </xf>
    <xf numFmtId="14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31" borderId="0">
      <alignment horizontal="right"/>
      <protection locked="0"/>
    </xf>
    <xf numFmtId="1" fontId="2" fillId="0" borderId="0">
      <alignment horizontal="center"/>
    </xf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36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8" applyNumberFormat="0" applyFill="0" applyAlignment="0" applyProtection="0"/>
    <xf numFmtId="0" fontId="49" fillId="0" borderId="5" applyNumberFormat="0" applyFill="0" applyAlignment="0" applyProtection="0"/>
    <xf numFmtId="0" fontId="37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10" applyNumberFormat="0" applyFill="0" applyAlignment="0" applyProtection="0"/>
    <xf numFmtId="0" fontId="50" fillId="0" borderId="9" applyNumberFormat="0" applyFill="0" applyAlignment="0" applyProtection="0"/>
    <xf numFmtId="0" fontId="38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4" applyNumberFormat="0" applyFill="0" applyAlignment="0" applyProtection="0"/>
    <xf numFmtId="0" fontId="51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41" fillId="13" borderId="1" applyNumberFormat="0" applyAlignment="0" applyProtection="0"/>
    <xf numFmtId="0" fontId="25" fillId="13" borderId="1" applyNumberFormat="0" applyAlignment="0" applyProtection="0"/>
    <xf numFmtId="3" fontId="10" fillId="32" borderId="0">
      <protection locked="0"/>
    </xf>
    <xf numFmtId="4" fontId="10" fillId="32" borderId="0">
      <protection locked="0"/>
    </xf>
    <xf numFmtId="0" fontId="42" fillId="0" borderId="16" applyNumberFormat="0" applyFill="0" applyAlignment="0" applyProtection="0"/>
    <xf numFmtId="0" fontId="52" fillId="0" borderId="15" applyNumberFormat="0" applyFill="0" applyAlignment="0" applyProtection="0"/>
    <xf numFmtId="0" fontId="26" fillId="0" borderId="17" applyNumberFormat="0" applyFill="0" applyAlignment="0" applyProtection="0"/>
    <xf numFmtId="0" fontId="43" fillId="13" borderId="0" applyNumberFormat="0" applyBorder="0" applyAlignment="0" applyProtection="0"/>
    <xf numFmtId="0" fontId="53" fillId="13" borderId="0" applyNumberFormat="0" applyBorder="0" applyAlignment="0" applyProtection="0"/>
    <xf numFmtId="0" fontId="27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5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59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3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9" borderId="18" applyNumberFormat="0" applyFont="0" applyAlignment="0" applyProtection="0"/>
    <xf numFmtId="0" fontId="8" fillId="9" borderId="18" applyNumberFormat="0" applyFont="0" applyAlignment="0" applyProtection="0"/>
    <xf numFmtId="0" fontId="28" fillId="9" borderId="18" applyNumberFormat="0" applyFont="0" applyAlignment="0" applyProtection="0"/>
    <xf numFmtId="0" fontId="48" fillId="9" borderId="18" applyNumberFormat="0" applyFont="0" applyAlignment="0" applyProtection="0"/>
    <xf numFmtId="171" fontId="44" fillId="0" borderId="0" applyNumberFormat="0"/>
    <xf numFmtId="0" fontId="24" fillId="26" borderId="20" applyNumberFormat="0" applyAlignment="0" applyProtection="0"/>
    <xf numFmtId="0" fontId="29" fillId="26" borderId="19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1">
      <alignment horizontal="center"/>
    </xf>
    <xf numFmtId="3" fontId="6" fillId="0" borderId="0" applyFont="0" applyFill="0" applyBorder="0" applyAlignment="0" applyProtection="0"/>
    <xf numFmtId="0" fontId="6" fillId="33" borderId="0" applyNumberFormat="0" applyFont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37" fontId="55" fillId="0" borderId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31" fillId="0" borderId="24" applyNumberFormat="0" applyFill="0" applyAlignment="0" applyProtection="0"/>
    <xf numFmtId="0" fontId="31" fillId="0" borderId="25" applyNumberFormat="0" applyFill="0" applyAlignment="0" applyProtection="0"/>
    <xf numFmtId="0" fontId="31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6" fontId="4" fillId="34" borderId="0" applyFont="0" applyFill="0" applyBorder="0" applyAlignment="0" applyProtection="0">
      <alignment wrapText="1"/>
    </xf>
    <xf numFmtId="0" fontId="61" fillId="0" borderId="0"/>
  </cellStyleXfs>
  <cellXfs count="204">
    <xf numFmtId="0" fontId="0" fillId="0" borderId="0" xfId="0"/>
    <xf numFmtId="43" fontId="0" fillId="0" borderId="0" xfId="82" applyFont="1"/>
    <xf numFmtId="0" fontId="3" fillId="0" borderId="0" xfId="0" applyFont="1"/>
    <xf numFmtId="0" fontId="0" fillId="0" borderId="0" xfId="0" applyFont="1"/>
    <xf numFmtId="44" fontId="3" fillId="0" borderId="0" xfId="0" applyNumberFormat="1" applyFont="1"/>
    <xf numFmtId="165" fontId="0" fillId="35" borderId="0" xfId="126" applyNumberFormat="1" applyFont="1" applyFill="1"/>
    <xf numFmtId="44" fontId="0" fillId="35" borderId="0" xfId="126" applyFont="1" applyFill="1"/>
    <xf numFmtId="44" fontId="0" fillId="35" borderId="4" xfId="126" applyFont="1" applyFill="1" applyBorder="1"/>
    <xf numFmtId="165" fontId="0" fillId="35" borderId="4" xfId="126" applyNumberFormat="1" applyFont="1" applyFill="1" applyBorder="1"/>
    <xf numFmtId="167" fontId="0" fillId="0" borderId="4" xfId="82" applyNumberFormat="1" applyFont="1" applyBorder="1"/>
    <xf numFmtId="169" fontId="0" fillId="35" borderId="0" xfId="126" applyNumberFormat="1" applyFont="1" applyFill="1"/>
    <xf numFmtId="166" fontId="0" fillId="0" borderId="0" xfId="82" applyNumberFormat="1" applyFont="1"/>
    <xf numFmtId="166" fontId="0" fillId="0" borderId="4" xfId="82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3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36" borderId="4" xfId="0" applyFont="1" applyFill="1" applyBorder="1" applyAlignment="1">
      <alignment horizontal="center"/>
    </xf>
    <xf numFmtId="0" fontId="0" fillId="36" borderId="4" xfId="0" applyFont="1" applyFill="1" applyBorder="1"/>
    <xf numFmtId="0" fontId="3" fillId="36" borderId="4" xfId="0" applyFont="1" applyFill="1" applyBorder="1"/>
    <xf numFmtId="43" fontId="0" fillId="0" borderId="0" xfId="82" applyFont="1" applyAlignment="1">
      <alignment horizontal="center"/>
    </xf>
    <xf numFmtId="164" fontId="0" fillId="0" borderId="0" xfId="126" applyNumberFormat="1" applyFont="1" applyBorder="1"/>
    <xf numFmtId="10" fontId="0" fillId="0" borderId="0" xfId="338" applyNumberFormat="1" applyFont="1" applyBorder="1"/>
    <xf numFmtId="43" fontId="0" fillId="0" borderId="0" xfId="82" applyFont="1" applyFill="1" applyBorder="1"/>
    <xf numFmtId="43" fontId="0" fillId="0" borderId="0" xfId="82" applyFont="1" applyBorder="1"/>
    <xf numFmtId="165" fontId="0" fillId="0" borderId="0" xfId="126" applyNumberFormat="1" applyFont="1" applyBorder="1"/>
    <xf numFmtId="44" fontId="0" fillId="0" borderId="0" xfId="126" applyFont="1" applyBorder="1" applyAlignment="1">
      <alignment horizontal="right"/>
    </xf>
    <xf numFmtId="10" fontId="0" fillId="0" borderId="0" xfId="338" applyNumberFormat="1" applyFont="1" applyBorder="1" applyAlignment="1">
      <alignment horizontal="right"/>
    </xf>
    <xf numFmtId="166" fontId="0" fillId="0" borderId="0" xfId="82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43" fontId="0" fillId="0" borderId="0" xfId="82" applyFont="1" applyBorder="1" applyAlignment="1">
      <alignment horizontal="right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0" fontId="11" fillId="0" borderId="0" xfId="330" applyFont="1" applyFill="1" applyBorder="1" applyAlignment="1">
      <alignment horizontal="left"/>
    </xf>
    <xf numFmtId="166" fontId="11" fillId="0" borderId="0" xfId="82" applyNumberFormat="1" applyFont="1" applyFill="1" applyBorder="1" applyAlignment="1">
      <alignment horizontal="left"/>
    </xf>
    <xf numFmtId="166" fontId="0" fillId="0" borderId="0" xfId="82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36" borderId="4" xfId="0" applyFont="1" applyFill="1" applyBorder="1" applyAlignment="1">
      <alignment vertical="center" textRotation="90"/>
    </xf>
    <xf numFmtId="0" fontId="12" fillId="36" borderId="4" xfId="330" applyFont="1" applyFill="1" applyBorder="1" applyAlignment="1">
      <alignment horizontal="left"/>
    </xf>
    <xf numFmtId="44" fontId="0" fillId="0" borderId="0" xfId="0" applyNumberFormat="1" applyFont="1" applyFill="1" applyBorder="1"/>
    <xf numFmtId="3" fontId="3" fillId="36" borderId="4" xfId="0" applyNumberFormat="1" applyFont="1" applyFill="1" applyBorder="1" applyAlignment="1">
      <alignment horizontal="right"/>
    </xf>
    <xf numFmtId="43" fontId="0" fillId="36" borderId="4" xfId="82" applyFont="1" applyFill="1" applyBorder="1"/>
    <xf numFmtId="166" fontId="3" fillId="36" borderId="4" xfId="0" applyNumberFormat="1" applyFont="1" applyFill="1" applyBorder="1"/>
    <xf numFmtId="43" fontId="0" fillId="36" borderId="4" xfId="0" applyNumberFormat="1" applyFont="1" applyFill="1" applyBorder="1"/>
    <xf numFmtId="166" fontId="3" fillId="36" borderId="4" xfId="82" applyNumberFormat="1" applyFont="1" applyFill="1" applyBorder="1"/>
    <xf numFmtId="166" fontId="3" fillId="0" borderId="4" xfId="82" applyNumberFormat="1" applyFont="1" applyBorder="1" applyAlignment="1">
      <alignment horizontal="center"/>
    </xf>
    <xf numFmtId="44" fontId="0" fillId="0" borderId="0" xfId="82" applyNumberFormat="1" applyFont="1" applyFill="1" applyBorder="1"/>
    <xf numFmtId="166" fontId="0" fillId="0" borderId="0" xfId="82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330" applyFont="1" applyFill="1" applyBorder="1" applyAlignment="1">
      <alignment horizontal="left"/>
    </xf>
    <xf numFmtId="166" fontId="3" fillId="0" borderId="0" xfId="82" applyNumberFormat="1" applyFont="1" applyBorder="1" applyAlignment="1">
      <alignment horizontal="right"/>
    </xf>
    <xf numFmtId="0" fontId="9" fillId="0" borderId="0" xfId="319" applyFont="1" applyBorder="1" applyAlignment="1">
      <alignment horizontal="left"/>
    </xf>
    <xf numFmtId="166" fontId="0" fillId="35" borderId="0" xfId="82" applyNumberFormat="1" applyFont="1" applyFill="1" applyBorder="1" applyAlignment="1">
      <alignment horizontal="right"/>
    </xf>
    <xf numFmtId="44" fontId="0" fillId="0" borderId="0" xfId="126" applyFont="1" applyFill="1" applyBorder="1"/>
    <xf numFmtId="166" fontId="0" fillId="0" borderId="0" xfId="82" applyNumberFormat="1" applyFont="1" applyFill="1" applyBorder="1"/>
    <xf numFmtId="43" fontId="0" fillId="0" borderId="0" xfId="82" applyNumberFormat="1" applyFont="1" applyFill="1" applyBorder="1"/>
    <xf numFmtId="166" fontId="0" fillId="0" borderId="26" xfId="82" applyNumberFormat="1" applyFont="1" applyFill="1" applyBorder="1"/>
    <xf numFmtId="44" fontId="0" fillId="32" borderId="0" xfId="126" applyFont="1" applyFill="1" applyBorder="1"/>
    <xf numFmtId="44" fontId="0" fillId="0" borderId="26" xfId="126" applyFont="1" applyFill="1" applyBorder="1"/>
    <xf numFmtId="44" fontId="3" fillId="36" borderId="4" xfId="126" applyFont="1" applyFill="1" applyBorder="1"/>
    <xf numFmtId="44" fontId="0" fillId="36" borderId="4" xfId="126" applyFont="1" applyFill="1" applyBorder="1"/>
    <xf numFmtId="44" fontId="3" fillId="0" borderId="0" xfId="126" applyFont="1" applyBorder="1" applyAlignment="1">
      <alignment horizontal="right"/>
    </xf>
    <xf numFmtId="0" fontId="0" fillId="36" borderId="0" xfId="0" applyFont="1" applyFill="1" applyBorder="1"/>
    <xf numFmtId="0" fontId="0" fillId="36" borderId="0" xfId="0" applyFont="1" applyFill="1" applyBorder="1" applyAlignment="1">
      <alignment horizontal="center"/>
    </xf>
    <xf numFmtId="0" fontId="0" fillId="36" borderId="0" xfId="0" applyFont="1" applyFill="1" applyBorder="1" applyAlignment="1">
      <alignment horizontal="right"/>
    </xf>
    <xf numFmtId="166" fontId="0" fillId="36" borderId="0" xfId="82" applyNumberFormat="1" applyFont="1" applyFill="1" applyBorder="1"/>
    <xf numFmtId="44" fontId="0" fillId="36" borderId="0" xfId="82" applyNumberFormat="1" applyFont="1" applyFill="1" applyBorder="1"/>
    <xf numFmtId="0" fontId="3" fillId="36" borderId="0" xfId="0" applyFont="1" applyFill="1" applyBorder="1"/>
    <xf numFmtId="166" fontId="0" fillId="0" borderId="4" xfId="82" applyNumberFormat="1" applyFont="1" applyFill="1" applyBorder="1"/>
    <xf numFmtId="0" fontId="3" fillId="36" borderId="4" xfId="0" applyFont="1" applyFill="1" applyBorder="1" applyAlignment="1">
      <alignment horizontal="center" wrapText="1"/>
    </xf>
    <xf numFmtId="0" fontId="3" fillId="36" borderId="4" xfId="0" applyFont="1" applyFill="1" applyBorder="1" applyAlignment="1">
      <alignment horizontal="center" vertical="center"/>
    </xf>
    <xf numFmtId="0" fontId="0" fillId="36" borderId="4" xfId="0" applyFont="1" applyFill="1" applyBorder="1" applyAlignment="1">
      <alignment horizontal="center" vertical="center"/>
    </xf>
    <xf numFmtId="3" fontId="3" fillId="36" borderId="4" xfId="0" applyNumberFormat="1" applyFont="1" applyFill="1" applyBorder="1"/>
    <xf numFmtId="0" fontId="0" fillId="0" borderId="0" xfId="0" applyFont="1" applyFill="1" applyBorder="1" applyAlignment="1"/>
    <xf numFmtId="0" fontId="11" fillId="0" borderId="0" xfId="319" applyFont="1" applyBorder="1" applyAlignment="1">
      <alignment horizontal="left"/>
    </xf>
    <xf numFmtId="0" fontId="0" fillId="35" borderId="0" xfId="0" applyFont="1" applyFill="1" applyBorder="1" applyAlignment="1">
      <alignment horizontal="left"/>
    </xf>
    <xf numFmtId="0" fontId="9" fillId="0" borderId="0" xfId="330" applyFont="1" applyFill="1" applyBorder="1" applyAlignment="1">
      <alignment horizontal="left"/>
    </xf>
    <xf numFmtId="0" fontId="0" fillId="37" borderId="0" xfId="0" applyFont="1" applyFill="1" applyBorder="1" applyAlignment="1">
      <alignment horizontal="left"/>
    </xf>
    <xf numFmtId="44" fontId="0" fillId="0" borderId="4" xfId="126" applyFont="1" applyFill="1" applyBorder="1"/>
    <xf numFmtId="44" fontId="0" fillId="0" borderId="0" xfId="126" applyFont="1" applyBorder="1"/>
    <xf numFmtId="0" fontId="3" fillId="0" borderId="27" xfId="0" applyFont="1" applyBorder="1"/>
    <xf numFmtId="0" fontId="0" fillId="36" borderId="28" xfId="0" applyFont="1" applyFill="1" applyBorder="1" applyAlignment="1">
      <alignment horizontal="center"/>
    </xf>
    <xf numFmtId="0" fontId="0" fillId="0" borderId="29" xfId="0" applyFont="1" applyBorder="1"/>
    <xf numFmtId="44" fontId="0" fillId="0" borderId="30" xfId="126" applyFont="1" applyBorder="1"/>
    <xf numFmtId="0" fontId="0" fillId="0" borderId="30" xfId="0" applyFont="1" applyBorder="1"/>
    <xf numFmtId="0" fontId="3" fillId="0" borderId="29" xfId="0" applyFont="1" applyBorder="1"/>
    <xf numFmtId="0" fontId="0" fillId="36" borderId="31" xfId="0" applyFont="1" applyFill="1" applyBorder="1" applyAlignment="1">
      <alignment horizontal="center"/>
    </xf>
    <xf numFmtId="44" fontId="1" fillId="0" borderId="30" xfId="126" applyFont="1" applyBorder="1"/>
    <xf numFmtId="0" fontId="0" fillId="0" borderId="32" xfId="0" applyFont="1" applyBorder="1" applyAlignment="1">
      <alignment horizontal="left"/>
    </xf>
    <xf numFmtId="44" fontId="0" fillId="0" borderId="33" xfId="126" applyFont="1" applyBorder="1"/>
    <xf numFmtId="164" fontId="0" fillId="0" borderId="0" xfId="0" applyNumberFormat="1" applyFont="1" applyFill="1" applyBorder="1"/>
    <xf numFmtId="43" fontId="3" fillId="0" borderId="0" xfId="82" applyNumberFormat="1" applyFont="1" applyBorder="1" applyAlignment="1">
      <alignment horizontal="right"/>
    </xf>
    <xf numFmtId="43" fontId="0" fillId="0" borderId="4" xfId="82" applyNumberFormat="1" applyFont="1" applyFill="1" applyBorder="1"/>
    <xf numFmtId="166" fontId="0" fillId="0" borderId="4" xfId="82" applyNumberFormat="1" applyFont="1" applyFill="1" applyBorder="1" applyAlignment="1">
      <alignment horizontal="center" wrapText="1"/>
    </xf>
    <xf numFmtId="0" fontId="11" fillId="0" borderId="0" xfId="329" applyFont="1" applyBorder="1"/>
    <xf numFmtId="0" fontId="0" fillId="0" borderId="4" xfId="0" applyFont="1" applyFill="1" applyBorder="1" applyAlignment="1">
      <alignment horizontal="center" vertical="center"/>
    </xf>
    <xf numFmtId="166" fontId="11" fillId="0" borderId="0" xfId="82" applyNumberFormat="1" applyFont="1" applyFill="1" applyBorder="1"/>
    <xf numFmtId="0" fontId="11" fillId="0" borderId="4" xfId="329" applyFont="1" applyBorder="1"/>
    <xf numFmtId="0" fontId="3" fillId="36" borderId="4" xfId="0" applyFont="1" applyFill="1" applyBorder="1" applyAlignment="1">
      <alignment wrapText="1"/>
    </xf>
    <xf numFmtId="166" fontId="0" fillId="0" borderId="26" xfId="82" applyNumberFormat="1" applyFont="1" applyFill="1" applyBorder="1" applyAlignment="1">
      <alignment horizontal="center" wrapText="1"/>
    </xf>
    <xf numFmtId="166" fontId="3" fillId="36" borderId="4" xfId="82" applyNumberFormat="1" applyFont="1" applyFill="1" applyBorder="1" applyAlignment="1">
      <alignment horizontal="center" wrapText="1"/>
    </xf>
    <xf numFmtId="0" fontId="56" fillId="0" borderId="0" xfId="82" applyNumberFormat="1" applyFont="1" applyBorder="1" applyAlignment="1">
      <alignment horizontal="left"/>
    </xf>
    <xf numFmtId="0" fontId="0" fillId="0" borderId="0" xfId="82" applyNumberFormat="1" applyFont="1" applyBorder="1"/>
    <xf numFmtId="0" fontId="0" fillId="0" borderId="4" xfId="0" applyFont="1" applyFill="1" applyBorder="1" applyAlignment="1">
      <alignment vertical="center" textRotation="90"/>
    </xf>
    <xf numFmtId="43" fontId="9" fillId="0" borderId="0" xfId="82" applyNumberFormat="1" applyFont="1" applyFill="1" applyBorder="1"/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/>
    <xf numFmtId="4" fontId="0" fillId="0" borderId="0" xfId="0" applyNumberFormat="1" applyFont="1" applyBorder="1"/>
    <xf numFmtId="43" fontId="11" fillId="0" borderId="0" xfId="83" applyFont="1"/>
    <xf numFmtId="3" fontId="11" fillId="0" borderId="0" xfId="200" applyNumberFormat="1" applyFont="1" applyBorder="1"/>
    <xf numFmtId="166" fontId="11" fillId="0" borderId="0" xfId="322" applyNumberFormat="1" applyFont="1" applyBorder="1"/>
    <xf numFmtId="3" fontId="11" fillId="0" borderId="0" xfId="200" applyNumberFormat="1" applyFont="1"/>
    <xf numFmtId="166" fontId="11" fillId="0" borderId="0" xfId="82" applyNumberFormat="1" applyFont="1"/>
    <xf numFmtId="166" fontId="11" fillId="0" borderId="0" xfId="82" applyNumberFormat="1" applyFont="1" applyFill="1"/>
    <xf numFmtId="10" fontId="0" fillId="0" borderId="0" xfId="338" applyNumberFormat="1" applyFont="1" applyFill="1" applyBorder="1"/>
    <xf numFmtId="0" fontId="11" fillId="0" borderId="0" xfId="329" applyFont="1" applyBorder="1" applyAlignment="1">
      <alignment horizontal="left" indent="1"/>
    </xf>
    <xf numFmtId="166" fontId="0" fillId="35" borderId="0" xfId="82" applyNumberFormat="1" applyFont="1" applyFill="1" applyBorder="1"/>
    <xf numFmtId="0" fontId="0" fillId="0" borderId="34" xfId="0" applyFont="1" applyFill="1" applyBorder="1" applyAlignment="1">
      <alignment horizontal="center" vertical="center" textRotation="90"/>
    </xf>
    <xf numFmtId="0" fontId="0" fillId="0" borderId="34" xfId="0" applyFont="1" applyFill="1" applyBorder="1" applyAlignment="1">
      <alignment horizontal="center" vertical="center"/>
    </xf>
    <xf numFmtId="166" fontId="0" fillId="0" borderId="34" xfId="82" applyNumberFormat="1" applyFont="1" applyBorder="1"/>
    <xf numFmtId="43" fontId="0" fillId="0" borderId="34" xfId="82" applyNumberFormat="1" applyFont="1" applyFill="1" applyBorder="1"/>
    <xf numFmtId="166" fontId="0" fillId="0" borderId="34" xfId="82" applyNumberFormat="1" applyFont="1" applyFill="1" applyBorder="1"/>
    <xf numFmtId="166" fontId="0" fillId="0" borderId="34" xfId="82" applyNumberFormat="1" applyFont="1" applyFill="1" applyBorder="1" applyAlignment="1">
      <alignment horizontal="center" wrapText="1"/>
    </xf>
    <xf numFmtId="44" fontId="0" fillId="0" borderId="34" xfId="126" applyFont="1" applyFill="1" applyBorder="1"/>
    <xf numFmtId="44" fontId="0" fillId="0" borderId="34" xfId="126" applyFont="1" applyBorder="1"/>
    <xf numFmtId="0" fontId="0" fillId="0" borderId="0" xfId="0" applyFont="1" applyFill="1" applyBorder="1" applyAlignment="1">
      <alignment horizontal="center" vertical="center" textRotation="90"/>
    </xf>
    <xf numFmtId="44" fontId="3" fillId="36" borderId="4" xfId="126" applyFont="1" applyFill="1" applyBorder="1" applyAlignment="1">
      <alignment horizontal="right"/>
    </xf>
    <xf numFmtId="3" fontId="12" fillId="0" borderId="0" xfId="200" applyNumberFormat="1" applyFont="1"/>
    <xf numFmtId="0" fontId="0" fillId="0" borderId="0" xfId="0" applyFont="1" applyFill="1"/>
    <xf numFmtId="3" fontId="11" fillId="38" borderId="0" xfId="200" applyNumberFormat="1" applyFont="1" applyFill="1"/>
    <xf numFmtId="4" fontId="0" fillId="38" borderId="0" xfId="0" applyNumberFormat="1" applyFont="1" applyFill="1" applyBorder="1"/>
    <xf numFmtId="43" fontId="0" fillId="38" borderId="0" xfId="82" applyNumberFormat="1" applyFont="1" applyFill="1" applyBorder="1"/>
    <xf numFmtId="166" fontId="11" fillId="38" borderId="0" xfId="82" applyNumberFormat="1" applyFont="1" applyFill="1"/>
    <xf numFmtId="166" fontId="0" fillId="38" borderId="0" xfId="82" applyNumberFormat="1" applyFont="1" applyFill="1" applyBorder="1"/>
    <xf numFmtId="166" fontId="0" fillId="38" borderId="0" xfId="82" applyNumberFormat="1" applyFont="1" applyFill="1" applyBorder="1" applyAlignment="1">
      <alignment horizontal="center" wrapText="1"/>
    </xf>
    <xf numFmtId="44" fontId="0" fillId="38" borderId="0" xfId="126" applyFont="1" applyFill="1" applyBorder="1"/>
    <xf numFmtId="166" fontId="11" fillId="38" borderId="0" xfId="82" applyNumberFormat="1" applyFont="1" applyFill="1" applyBorder="1"/>
    <xf numFmtId="166" fontId="11" fillId="0" borderId="0" xfId="83" applyNumberFormat="1" applyFont="1"/>
    <xf numFmtId="166" fontId="9" fillId="0" borderId="0" xfId="83" applyNumberFormat="1" applyFont="1"/>
    <xf numFmtId="166" fontId="11" fillId="35" borderId="0" xfId="83" applyNumberFormat="1" applyFont="1" applyFill="1"/>
    <xf numFmtId="166" fontId="11" fillId="38" borderId="0" xfId="83" applyNumberFormat="1" applyFont="1" applyFill="1"/>
    <xf numFmtId="166" fontId="11" fillId="0" borderId="0" xfId="83" applyNumberFormat="1" applyFont="1" applyFill="1"/>
    <xf numFmtId="166" fontId="11" fillId="39" borderId="0" xfId="83" applyNumberFormat="1" applyFont="1" applyFill="1"/>
    <xf numFmtId="166" fontId="9" fillId="38" borderId="0" xfId="83" applyNumberFormat="1" applyFont="1" applyFill="1"/>
    <xf numFmtId="166" fontId="3" fillId="36" borderId="4" xfId="0" applyNumberFormat="1" applyFont="1" applyFill="1" applyBorder="1" applyAlignment="1">
      <alignment horizontal="right"/>
    </xf>
    <xf numFmtId="166" fontId="0" fillId="0" borderId="0" xfId="0" applyNumberFormat="1" applyFont="1" applyBorder="1"/>
    <xf numFmtId="166" fontId="0" fillId="36" borderId="0" xfId="0" applyNumberFormat="1" applyFont="1" applyFill="1" applyBorder="1"/>
    <xf numFmtId="3" fontId="11" fillId="0" borderId="0" xfId="200" applyNumberFormat="1" applyFont="1" applyFill="1"/>
    <xf numFmtId="0" fontId="11" fillId="0" borderId="0" xfId="329" applyFont="1" applyBorder="1" applyAlignment="1">
      <alignment horizontal="left"/>
    </xf>
    <xf numFmtId="44" fontId="0" fillId="40" borderId="26" xfId="126" applyFont="1" applyFill="1" applyBorder="1"/>
    <xf numFmtId="44" fontId="0" fillId="40" borderId="0" xfId="126" applyFont="1" applyFill="1" applyBorder="1"/>
    <xf numFmtId="0" fontId="0" fillId="0" borderId="0" xfId="0" applyFont="1" applyFill="1" applyBorder="1" applyAlignment="1">
      <alignment horizontal="center" vertical="center" textRotation="90"/>
    </xf>
    <xf numFmtId="0" fontId="11" fillId="0" borderId="34" xfId="329" applyFont="1" applyBorder="1" applyAlignment="1">
      <alignment horizontal="left"/>
    </xf>
    <xf numFmtId="166" fontId="0" fillId="35" borderId="34" xfId="82" applyNumberFormat="1" applyFont="1" applyFill="1" applyBorder="1"/>
    <xf numFmtId="166" fontId="11" fillId="0" borderId="34" xfId="82" applyNumberFormat="1" applyFont="1" applyFill="1" applyBorder="1"/>
    <xf numFmtId="44" fontId="0" fillId="40" borderId="34" xfId="126" applyFont="1" applyFill="1" applyBorder="1"/>
    <xf numFmtId="0" fontId="3" fillId="36" borderId="0" xfId="0" applyFont="1" applyFill="1" applyBorder="1" applyAlignment="1">
      <alignment horizontal="center" wrapText="1"/>
    </xf>
    <xf numFmtId="44" fontId="0" fillId="40" borderId="0" xfId="126" applyNumberFormat="1" applyFont="1" applyFill="1" applyBorder="1"/>
    <xf numFmtId="44" fontId="11" fillId="41" borderId="0" xfId="129" applyFont="1" applyFill="1"/>
    <xf numFmtId="44" fontId="0" fillId="41" borderId="0" xfId="126" applyFont="1" applyFill="1" applyBorder="1"/>
    <xf numFmtId="44" fontId="0" fillId="41" borderId="34" xfId="126" applyFont="1" applyFill="1" applyBorder="1"/>
    <xf numFmtId="44" fontId="11" fillId="41" borderId="34" xfId="129" applyFont="1" applyFill="1" applyBorder="1"/>
    <xf numFmtId="44" fontId="11" fillId="42" borderId="0" xfId="126" applyFont="1" applyFill="1" applyBorder="1"/>
    <xf numFmtId="44" fontId="0" fillId="42" borderId="0" xfId="126" applyFont="1" applyFill="1" applyBorder="1"/>
    <xf numFmtId="44" fontId="0" fillId="42" borderId="0" xfId="126" applyNumberFormat="1" applyFont="1" applyFill="1" applyBorder="1"/>
    <xf numFmtId="43" fontId="0" fillId="0" borderId="0" xfId="82" applyNumberFormat="1" applyFont="1" applyBorder="1"/>
    <xf numFmtId="0" fontId="0" fillId="0" borderId="0" xfId="0" quotePrefix="1" applyFont="1" applyBorder="1"/>
    <xf numFmtId="0" fontId="60" fillId="0" borderId="0" xfId="0" applyFont="1" applyBorder="1"/>
    <xf numFmtId="44" fontId="0" fillId="0" borderId="0" xfId="126" applyNumberFormat="1" applyFont="1" applyBorder="1"/>
    <xf numFmtId="167" fontId="0" fillId="43" borderId="0" xfId="82" applyNumberFormat="1" applyFont="1" applyFill="1"/>
    <xf numFmtId="167" fontId="0" fillId="43" borderId="0" xfId="82" applyNumberFormat="1" applyFont="1" applyFill="1" applyBorder="1"/>
    <xf numFmtId="172" fontId="0" fillId="0" borderId="0" xfId="338" applyNumberFormat="1" applyFont="1" applyBorder="1"/>
    <xf numFmtId="4" fontId="61" fillId="0" borderId="0" xfId="390" applyNumberFormat="1" applyFill="1"/>
    <xf numFmtId="0" fontId="61" fillId="0" borderId="0" xfId="390" applyFill="1"/>
    <xf numFmtId="4" fontId="11" fillId="0" borderId="0" xfId="390" applyNumberFormat="1" applyFont="1" applyFill="1"/>
    <xf numFmtId="0" fontId="61" fillId="0" borderId="0" xfId="390" applyFill="1" applyAlignment="1">
      <alignment horizontal="centerContinuous"/>
    </xf>
    <xf numFmtId="0" fontId="61" fillId="0" borderId="0" xfId="390" applyFill="1" applyAlignment="1">
      <alignment horizontal="center"/>
    </xf>
    <xf numFmtId="0" fontId="61" fillId="0" borderId="0" xfId="390" applyFill="1" applyAlignment="1">
      <alignment horizontal="center" wrapText="1"/>
    </xf>
    <xf numFmtId="172" fontId="61" fillId="0" borderId="0" xfId="390" applyNumberFormat="1" applyFill="1" applyAlignment="1">
      <alignment horizontal="center"/>
    </xf>
    <xf numFmtId="10" fontId="61" fillId="0" borderId="0" xfId="390" applyNumberFormat="1" applyFill="1" applyAlignment="1">
      <alignment horizontal="center"/>
    </xf>
    <xf numFmtId="3" fontId="61" fillId="0" borderId="0" xfId="390" applyNumberFormat="1" applyFill="1"/>
    <xf numFmtId="0" fontId="0" fillId="36" borderId="0" xfId="0" applyFont="1" applyFill="1" applyAlignment="1">
      <alignment horizontal="center"/>
    </xf>
    <xf numFmtId="0" fontId="3" fillId="36" borderId="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26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 textRotation="90"/>
    </xf>
    <xf numFmtId="0" fontId="0" fillId="36" borderId="0" xfId="0" applyFont="1" applyFill="1" applyBorder="1" applyAlignment="1">
      <alignment horizontal="center"/>
    </xf>
    <xf numFmtId="0" fontId="61" fillId="0" borderId="0" xfId="390" applyFill="1" applyAlignment="1">
      <alignment horizontal="center"/>
    </xf>
  </cellXfs>
  <cellStyles count="391">
    <cellStyle name="20% - Accent1 2" xfId="1"/>
    <cellStyle name="20% - Accent1 2 2" xfId="2"/>
    <cellStyle name="20% - Accent1 3" xfId="3"/>
    <cellStyle name="20% - Accent1 3 2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2 2" xfId="10"/>
    <cellStyle name="20% - Accent4 3" xfId="11"/>
    <cellStyle name="20% - Accent4 3 2" xfId="12"/>
    <cellStyle name="20% - Accent5 2" xfId="13"/>
    <cellStyle name="20% - Accent5 3" xfId="14"/>
    <cellStyle name="20% - Accent6 2" xfId="15"/>
    <cellStyle name="20% - Accent6 3" xfId="16"/>
    <cellStyle name="40% - Accent1 2" xfId="17"/>
    <cellStyle name="40% - Accent1 3" xfId="18"/>
    <cellStyle name="40% - Accent1 3 2" xfId="19"/>
    <cellStyle name="40% - Accent2 2" xfId="20"/>
    <cellStyle name="40% - Accent2 3" xfId="21"/>
    <cellStyle name="40% - Accent3 2" xfId="22"/>
    <cellStyle name="40% - Accent3 3" xfId="23"/>
    <cellStyle name="40% - Accent4 2" xfId="24"/>
    <cellStyle name="40% - Accent4 3" xfId="25"/>
    <cellStyle name="40% - Accent4 3 2" xfId="26"/>
    <cellStyle name="40% - Accent5 2" xfId="27"/>
    <cellStyle name="40% - Accent5 3" xfId="28"/>
    <cellStyle name="40% - Accent6 2" xfId="29"/>
    <cellStyle name="40% - Accent6 3" xfId="30"/>
    <cellStyle name="40% - Accent6 3 2" xfId="31"/>
    <cellStyle name="60% - Accent1 2" xfId="32"/>
    <cellStyle name="60% - Accent1 2 2" xfId="33"/>
    <cellStyle name="60% - Accent1 3" xfId="34"/>
    <cellStyle name="60% - Accent1 3 2" xfId="35"/>
    <cellStyle name="60% - Accent2 2" xfId="36"/>
    <cellStyle name="60% - Accent2 3" xfId="37"/>
    <cellStyle name="60% - Accent3 2" xfId="38"/>
    <cellStyle name="60% - Accent3 3" xfId="39"/>
    <cellStyle name="60% - Accent3 3 2" xfId="40"/>
    <cellStyle name="60% - Accent4 2" xfId="41"/>
    <cellStyle name="60% - Accent4 3" xfId="42"/>
    <cellStyle name="60% - Accent4 3 2" xfId="43"/>
    <cellStyle name="60% - Accent5 2" xfId="44"/>
    <cellStyle name="60% - Accent5 2 2" xfId="45"/>
    <cellStyle name="60% - Accent5 3" xfId="46"/>
    <cellStyle name="60% - Accent6 2" xfId="47"/>
    <cellStyle name="60% - Accent6 3" xfId="48"/>
    <cellStyle name="Accent1 2" xfId="49"/>
    <cellStyle name="Accent1 2 2" xfId="50"/>
    <cellStyle name="Accent1 3" xfId="51"/>
    <cellStyle name="Accent1 3 2" xfId="52"/>
    <cellStyle name="Accent2 2" xfId="53"/>
    <cellStyle name="Accent2 3" xfId="54"/>
    <cellStyle name="Accent3 2" xfId="55"/>
    <cellStyle name="Accent3 2 2" xfId="56"/>
    <cellStyle name="Accent3 3" xfId="57"/>
    <cellStyle name="Accent4 2" xfId="58"/>
    <cellStyle name="Accent4 3" xfId="59"/>
    <cellStyle name="Accent5 2" xfId="60"/>
    <cellStyle name="Accent5 3" xfId="61"/>
    <cellStyle name="Accent6 2" xfId="62"/>
    <cellStyle name="Accent6 2 2" xfId="63"/>
    <cellStyle name="Accent6 3" xfId="64"/>
    <cellStyle name="Accounting" xfId="65"/>
    <cellStyle name="Accounting 2" xfId="66"/>
    <cellStyle name="Accounting 3" xfId="67"/>
    <cellStyle name="Accounting_2011-11" xfId="68"/>
    <cellStyle name="Bad 2" xfId="69"/>
    <cellStyle name="Bad 3" xfId="70"/>
    <cellStyle name="Budget" xfId="71"/>
    <cellStyle name="Budget 2" xfId="72"/>
    <cellStyle name="Budget 3" xfId="73"/>
    <cellStyle name="Budget_2011-11" xfId="74"/>
    <cellStyle name="Calculation 2" xfId="75"/>
    <cellStyle name="Calculation 2 2" xfId="76"/>
    <cellStyle name="Calculation 3" xfId="77"/>
    <cellStyle name="Calculation 3 2" xfId="78"/>
    <cellStyle name="Check Cell 2" xfId="79"/>
    <cellStyle name="Check Cell 3" xfId="80"/>
    <cellStyle name="combo" xfId="81"/>
    <cellStyle name="Comma" xfId="82" builtinId="3"/>
    <cellStyle name="Comma 10" xfId="83"/>
    <cellStyle name="Comma 11" xfId="84"/>
    <cellStyle name="Comma 12" xfId="85"/>
    <cellStyle name="Comma 12 2" xfId="86"/>
    <cellStyle name="Comma 12 3" xfId="87"/>
    <cellStyle name="Comma 13" xfId="88"/>
    <cellStyle name="Comma 14" xfId="89"/>
    <cellStyle name="Comma 15" xfId="90"/>
    <cellStyle name="Comma 16" xfId="91"/>
    <cellStyle name="Comma 17" xfId="92"/>
    <cellStyle name="Comma 18" xfId="93"/>
    <cellStyle name="Comma 19" xfId="94"/>
    <cellStyle name="Comma 2" xfId="95"/>
    <cellStyle name="Comma 2 2" xfId="96"/>
    <cellStyle name="Comma 2 2 2" xfId="97"/>
    <cellStyle name="Comma 2 3" xfId="98"/>
    <cellStyle name="Comma 2 4" xfId="99"/>
    <cellStyle name="Comma 2 6" xfId="100"/>
    <cellStyle name="Comma 2 6 2" xfId="101"/>
    <cellStyle name="Comma 20" xfId="102"/>
    <cellStyle name="Comma 3" xfId="103"/>
    <cellStyle name="Comma 3 2" xfId="104"/>
    <cellStyle name="Comma 3 2 2" xfId="105"/>
    <cellStyle name="Comma 3 3" xfId="106"/>
    <cellStyle name="Comma 3 4" xfId="107"/>
    <cellStyle name="Comma 4" xfId="108"/>
    <cellStyle name="Comma 4 2" xfId="109"/>
    <cellStyle name="Comma 4 2 2" xfId="110"/>
    <cellStyle name="Comma 4 3" xfId="111"/>
    <cellStyle name="Comma 4 3 2" xfId="112"/>
    <cellStyle name="Comma 4 4" xfId="113"/>
    <cellStyle name="Comma 4 5" xfId="114"/>
    <cellStyle name="Comma 4 6" xfId="115"/>
    <cellStyle name="Comma 5" xfId="116"/>
    <cellStyle name="Comma 6" xfId="117"/>
    <cellStyle name="Comma 6 2" xfId="118"/>
    <cellStyle name="Comma 7" xfId="119"/>
    <cellStyle name="Comma 8" xfId="120"/>
    <cellStyle name="Comma 9" xfId="121"/>
    <cellStyle name="Comma(2)" xfId="122"/>
    <cellStyle name="Comma0 - Style2" xfId="123"/>
    <cellStyle name="Comma1 - Style1" xfId="124"/>
    <cellStyle name="Comments" xfId="125"/>
    <cellStyle name="Currency" xfId="126" builtinId="4"/>
    <cellStyle name="Currency 10" xfId="127"/>
    <cellStyle name="Currency 11" xfId="128"/>
    <cellStyle name="Currency 2" xfId="129"/>
    <cellStyle name="Currency 2 2" xfId="130"/>
    <cellStyle name="Currency 2 2 2" xfId="131"/>
    <cellStyle name="Currency 2 3" xfId="132"/>
    <cellStyle name="Currency 2 3 2" xfId="133"/>
    <cellStyle name="Currency 2 6" xfId="134"/>
    <cellStyle name="Currency 2 6 2" xfId="135"/>
    <cellStyle name="Currency 3" xfId="136"/>
    <cellStyle name="Currency 3 2" xfId="137"/>
    <cellStyle name="Currency 3 3" xfId="138"/>
    <cellStyle name="Currency 3 4" xfId="139"/>
    <cellStyle name="Currency 4" xfId="140"/>
    <cellStyle name="Currency 4 2" xfId="141"/>
    <cellStyle name="Currency 5" xfId="142"/>
    <cellStyle name="Currency 5 2" xfId="143"/>
    <cellStyle name="Currency 5 3" xfId="144"/>
    <cellStyle name="Currency 6" xfId="145"/>
    <cellStyle name="Currency 7" xfId="146"/>
    <cellStyle name="Currency 8" xfId="147"/>
    <cellStyle name="Currency 9" xfId="148"/>
    <cellStyle name="Data Enter" xfId="149"/>
    <cellStyle name="date" xfId="150"/>
    <cellStyle name="Explanatory Text 2" xfId="151"/>
    <cellStyle name="Explanatory Text 3" xfId="152"/>
    <cellStyle name="FactSheet" xfId="153"/>
    <cellStyle name="fish" xfId="154"/>
    <cellStyle name="Good 2" xfId="155"/>
    <cellStyle name="Good 3" xfId="156"/>
    <cellStyle name="Heading 1 2" xfId="157"/>
    <cellStyle name="Heading 1 2 2" xfId="158"/>
    <cellStyle name="Heading 1 3" xfId="159"/>
    <cellStyle name="Heading 1 3 2" xfId="160"/>
    <cellStyle name="Heading 2 2" xfId="161"/>
    <cellStyle name="Heading 2 2 2" xfId="162"/>
    <cellStyle name="Heading 2 3" xfId="163"/>
    <cellStyle name="Heading 2 3 2" xfId="164"/>
    <cellStyle name="Heading 3 2" xfId="165"/>
    <cellStyle name="Heading 3 2 2" xfId="166"/>
    <cellStyle name="Heading 3 3" xfId="167"/>
    <cellStyle name="Heading 3 3 2" xfId="168"/>
    <cellStyle name="Heading 4 2" xfId="169"/>
    <cellStyle name="Heading 4 3" xfId="170"/>
    <cellStyle name="Hyperlink 2" xfId="171"/>
    <cellStyle name="Hyperlink 3" xfId="172"/>
    <cellStyle name="Hyperlink 3 2" xfId="173"/>
    <cellStyle name="Input 2" xfId="174"/>
    <cellStyle name="Input 3" xfId="175"/>
    <cellStyle name="input(0)" xfId="176"/>
    <cellStyle name="Input(2)" xfId="177"/>
    <cellStyle name="Linked Cell 2" xfId="178"/>
    <cellStyle name="Linked Cell 2 2" xfId="179"/>
    <cellStyle name="Linked Cell 3" xfId="180"/>
    <cellStyle name="Neutral 2" xfId="181"/>
    <cellStyle name="Neutral 2 2" xfId="182"/>
    <cellStyle name="Neutral 3" xfId="183"/>
    <cellStyle name="New_normal" xfId="184"/>
    <cellStyle name="Normal" xfId="0" builtinId="0"/>
    <cellStyle name="Normal - Style1" xfId="185"/>
    <cellStyle name="Normal - Style2" xfId="186"/>
    <cellStyle name="Normal - Style3" xfId="187"/>
    <cellStyle name="Normal - Style4" xfId="188"/>
    <cellStyle name="Normal - Style5" xfId="189"/>
    <cellStyle name="Normal 10" xfId="190"/>
    <cellStyle name="Normal 10 2" xfId="191"/>
    <cellStyle name="Normal 10 2 2" xfId="192"/>
    <cellStyle name="Normal 10 2 3" xfId="193"/>
    <cellStyle name="Normal 10_2112 DF Schedule" xfId="194"/>
    <cellStyle name="Normal 100" xfId="195"/>
    <cellStyle name="Normal 101" xfId="196"/>
    <cellStyle name="Normal 102" xfId="197"/>
    <cellStyle name="Normal 103" xfId="198"/>
    <cellStyle name="Normal 104" xfId="199"/>
    <cellStyle name="Normal 105" xfId="200"/>
    <cellStyle name="Normal 106" xfId="201"/>
    <cellStyle name="Normal 107" xfId="202"/>
    <cellStyle name="Normal 108" xfId="203"/>
    <cellStyle name="Normal 109" xfId="390"/>
    <cellStyle name="Normal 11" xfId="204"/>
    <cellStyle name="Normal 12" xfId="205"/>
    <cellStyle name="Normal 12 2" xfId="206"/>
    <cellStyle name="Normal 13" xfId="207"/>
    <cellStyle name="Normal 13 2" xfId="208"/>
    <cellStyle name="Normal 14" xfId="209"/>
    <cellStyle name="Normal 14 2" xfId="210"/>
    <cellStyle name="Normal 15" xfId="211"/>
    <cellStyle name="Normal 15 2" xfId="212"/>
    <cellStyle name="Normal 16" xfId="213"/>
    <cellStyle name="Normal 16 2" xfId="214"/>
    <cellStyle name="Normal 17" xfId="215"/>
    <cellStyle name="Normal 17 2" xfId="216"/>
    <cellStyle name="Normal 18" xfId="217"/>
    <cellStyle name="Normal 18 2" xfId="218"/>
    <cellStyle name="Normal 19" xfId="219"/>
    <cellStyle name="Normal 19 2" xfId="220"/>
    <cellStyle name="Normal 2" xfId="221"/>
    <cellStyle name="Normal 2 2" xfId="222"/>
    <cellStyle name="Normal 2 2 2" xfId="223"/>
    <cellStyle name="Normal 2 2 3" xfId="224"/>
    <cellStyle name="Normal 2 2_Actual_Fuel" xfId="225"/>
    <cellStyle name="Normal 2 3" xfId="226"/>
    <cellStyle name="Normal 2 3 2" xfId="227"/>
    <cellStyle name="Normal 2 3 3" xfId="228"/>
    <cellStyle name="Normal 2 4" xfId="229"/>
    <cellStyle name="Normal 2 5" xfId="230"/>
    <cellStyle name="Normal 2_2012-10" xfId="231"/>
    <cellStyle name="Normal 20" xfId="232"/>
    <cellStyle name="Normal 21" xfId="233"/>
    <cellStyle name="Normal 22" xfId="234"/>
    <cellStyle name="Normal 23" xfId="235"/>
    <cellStyle name="Normal 24" xfId="236"/>
    <cellStyle name="Normal 25" xfId="237"/>
    <cellStyle name="Normal 26" xfId="238"/>
    <cellStyle name="Normal 27" xfId="239"/>
    <cellStyle name="Normal 28" xfId="240"/>
    <cellStyle name="Normal 29" xfId="241"/>
    <cellStyle name="Normal 3" xfId="242"/>
    <cellStyle name="Normal 3 2" xfId="243"/>
    <cellStyle name="Normal 3 3" xfId="244"/>
    <cellStyle name="Normal 3 4" xfId="245"/>
    <cellStyle name="Normal 3_2012 PR" xfId="246"/>
    <cellStyle name="Normal 30" xfId="247"/>
    <cellStyle name="Normal 31" xfId="248"/>
    <cellStyle name="Normal 32" xfId="249"/>
    <cellStyle name="Normal 33" xfId="250"/>
    <cellStyle name="Normal 34" xfId="251"/>
    <cellStyle name="Normal 35" xfId="252"/>
    <cellStyle name="Normal 36" xfId="253"/>
    <cellStyle name="Normal 37" xfId="254"/>
    <cellStyle name="Normal 38" xfId="255"/>
    <cellStyle name="Normal 39" xfId="256"/>
    <cellStyle name="Normal 4" xfId="257"/>
    <cellStyle name="Normal 4 2" xfId="258"/>
    <cellStyle name="Normal 40" xfId="259"/>
    <cellStyle name="Normal 41" xfId="260"/>
    <cellStyle name="Normal 42" xfId="261"/>
    <cellStyle name="Normal 43" xfId="262"/>
    <cellStyle name="Normal 44" xfId="263"/>
    <cellStyle name="Normal 45" xfId="264"/>
    <cellStyle name="Normal 46" xfId="265"/>
    <cellStyle name="Normal 47" xfId="266"/>
    <cellStyle name="Normal 48" xfId="267"/>
    <cellStyle name="Normal 49" xfId="268"/>
    <cellStyle name="Normal 5" xfId="269"/>
    <cellStyle name="Normal 5 2" xfId="270"/>
    <cellStyle name="Normal 5_2112 DF Schedule" xfId="271"/>
    <cellStyle name="Normal 50" xfId="272"/>
    <cellStyle name="Normal 51" xfId="273"/>
    <cellStyle name="Normal 52" xfId="274"/>
    <cellStyle name="Normal 53" xfId="275"/>
    <cellStyle name="Normal 54" xfId="276"/>
    <cellStyle name="Normal 55" xfId="277"/>
    <cellStyle name="Normal 56" xfId="278"/>
    <cellStyle name="Normal 57" xfId="279"/>
    <cellStyle name="Normal 58" xfId="280"/>
    <cellStyle name="Normal 59" xfId="281"/>
    <cellStyle name="Normal 6" xfId="282"/>
    <cellStyle name="Normal 6 2" xfId="283"/>
    <cellStyle name="Normal 60" xfId="284"/>
    <cellStyle name="Normal 61" xfId="285"/>
    <cellStyle name="Normal 62" xfId="286"/>
    <cellStyle name="Normal 63" xfId="287"/>
    <cellStyle name="Normal 64" xfId="288"/>
    <cellStyle name="Normal 65" xfId="289"/>
    <cellStyle name="Normal 66" xfId="290"/>
    <cellStyle name="Normal 67" xfId="291"/>
    <cellStyle name="Normal 68" xfId="292"/>
    <cellStyle name="Normal 69" xfId="293"/>
    <cellStyle name="Normal 7" xfId="294"/>
    <cellStyle name="Normal 70" xfId="295"/>
    <cellStyle name="Normal 71" xfId="296"/>
    <cellStyle name="Normal 72" xfId="297"/>
    <cellStyle name="Normal 73" xfId="298"/>
    <cellStyle name="Normal 74" xfId="299"/>
    <cellStyle name="Normal 75" xfId="300"/>
    <cellStyle name="Normal 76" xfId="301"/>
    <cellStyle name="Normal 77" xfId="302"/>
    <cellStyle name="Normal 78" xfId="303"/>
    <cellStyle name="Normal 79" xfId="304"/>
    <cellStyle name="Normal 8" xfId="305"/>
    <cellStyle name="Normal 80" xfId="306"/>
    <cellStyle name="Normal 81" xfId="307"/>
    <cellStyle name="Normal 82" xfId="308"/>
    <cellStyle name="Normal 83" xfId="309"/>
    <cellStyle name="Normal 84" xfId="310"/>
    <cellStyle name="Normal 84 2" xfId="311"/>
    <cellStyle name="Normal 84 3" xfId="312"/>
    <cellStyle name="Normal 85" xfId="313"/>
    <cellStyle name="Normal 86" xfId="314"/>
    <cellStyle name="Normal 87" xfId="315"/>
    <cellStyle name="Normal 88" xfId="316"/>
    <cellStyle name="Normal 89" xfId="317"/>
    <cellStyle name="Normal 9" xfId="318"/>
    <cellStyle name="Normal 90" xfId="319"/>
    <cellStyle name="Normal 91" xfId="320"/>
    <cellStyle name="Normal 92" xfId="321"/>
    <cellStyle name="Normal 93" xfId="322"/>
    <cellStyle name="Normal 94" xfId="323"/>
    <cellStyle name="Normal 95" xfId="324"/>
    <cellStyle name="Normal 96" xfId="325"/>
    <cellStyle name="Normal 97" xfId="326"/>
    <cellStyle name="Normal 98" xfId="327"/>
    <cellStyle name="Normal 99" xfId="328"/>
    <cellStyle name="Normal_Murrey's Jan-Dec 2012" xfId="329"/>
    <cellStyle name="Normal_Price out" xfId="330"/>
    <cellStyle name="Note 2" xfId="331"/>
    <cellStyle name="Note 2 2" xfId="332"/>
    <cellStyle name="Note 3" xfId="333"/>
    <cellStyle name="Note 3 2" xfId="334"/>
    <cellStyle name="Notes" xfId="335"/>
    <cellStyle name="Output 2" xfId="336"/>
    <cellStyle name="Output 3" xfId="337"/>
    <cellStyle name="Percent" xfId="338" builtinId="5"/>
    <cellStyle name="Percent 2" xfId="339"/>
    <cellStyle name="Percent 2 2" xfId="340"/>
    <cellStyle name="Percent 2 2 2" xfId="341"/>
    <cellStyle name="Percent 2 3" xfId="342"/>
    <cellStyle name="Percent 2 6" xfId="343"/>
    <cellStyle name="Percent 3" xfId="344"/>
    <cellStyle name="Percent 3 2" xfId="345"/>
    <cellStyle name="Percent 4" xfId="346"/>
    <cellStyle name="Percent 4 2" xfId="347"/>
    <cellStyle name="Percent 4 3" xfId="348"/>
    <cellStyle name="Percent 5" xfId="349"/>
    <cellStyle name="Percent 6" xfId="350"/>
    <cellStyle name="Percent 7" xfId="351"/>
    <cellStyle name="Percent 7 2" xfId="352"/>
    <cellStyle name="Percent 7 3" xfId="353"/>
    <cellStyle name="Percent 8" xfId="354"/>
    <cellStyle name="Percent 9" xfId="355"/>
    <cellStyle name="Percent(1)" xfId="356"/>
    <cellStyle name="Percent(2)" xfId="357"/>
    <cellStyle name="PRM" xfId="358"/>
    <cellStyle name="PRM 2" xfId="359"/>
    <cellStyle name="PRM 3" xfId="360"/>
    <cellStyle name="PRM_2011-11" xfId="361"/>
    <cellStyle name="PS_Comma" xfId="362"/>
    <cellStyle name="PSChar" xfId="363"/>
    <cellStyle name="PSDate" xfId="364"/>
    <cellStyle name="PSDec" xfId="365"/>
    <cellStyle name="PSHeading" xfId="366"/>
    <cellStyle name="PSInt" xfId="367"/>
    <cellStyle name="PSSpacer" xfId="368"/>
    <cellStyle name="STYL0 - Style1" xfId="369"/>
    <cellStyle name="STYL1 - Style2" xfId="370"/>
    <cellStyle name="STYL2 - Style3" xfId="371"/>
    <cellStyle name="STYL3 - Style4" xfId="372"/>
    <cellStyle name="STYL4 - Style5" xfId="373"/>
    <cellStyle name="STYL5 - Style6" xfId="374"/>
    <cellStyle name="STYL6 - Style7" xfId="375"/>
    <cellStyle name="STYL7 - Style8" xfId="376"/>
    <cellStyle name="Style 1" xfId="377"/>
    <cellStyle name="Style 1 2" xfId="378"/>
    <cellStyle name="STYLE1" xfId="379"/>
    <cellStyle name="sub heading" xfId="380"/>
    <cellStyle name="Title 2" xfId="381"/>
    <cellStyle name="Title 3" xfId="382"/>
    <cellStyle name="Total 2" xfId="383"/>
    <cellStyle name="Total 2 2" xfId="384"/>
    <cellStyle name="Total 3" xfId="385"/>
    <cellStyle name="Total 3 2" xfId="386"/>
    <cellStyle name="Warning Text 2" xfId="387"/>
    <cellStyle name="Warning Text 3" xfId="388"/>
    <cellStyle name="WM_STANDARD" xfId="3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465067</xdr:colOff>
      <xdr:row>25</xdr:row>
      <xdr:rowOff>37500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66667" cy="4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workbookViewId="0">
      <selection activeCell="D16" sqref="D16"/>
    </sheetView>
  </sheetViews>
  <sheetFormatPr defaultColWidth="9.109375" defaultRowHeight="14.4"/>
  <cols>
    <col min="1" max="1" width="36.33203125" style="3" bestFit="1" customWidth="1"/>
    <col min="2" max="2" width="19" style="3" bestFit="1" customWidth="1"/>
    <col min="3" max="3" width="16" style="3" bestFit="1" customWidth="1"/>
    <col min="4" max="4" width="10.5546875" style="3" bestFit="1" customWidth="1"/>
    <col min="5" max="5" width="7" style="3" bestFit="1" customWidth="1"/>
    <col min="6" max="6" width="11.44140625" style="3" bestFit="1" customWidth="1"/>
    <col min="7" max="7" width="10" style="3" bestFit="1" customWidth="1"/>
    <col min="8" max="8" width="8" style="3" bestFit="1" customWidth="1"/>
    <col min="9" max="9" width="15.88671875" style="3" bestFit="1" customWidth="1"/>
    <col min="10" max="10" width="12" style="3" bestFit="1" customWidth="1"/>
    <col min="11" max="16384" width="9.109375" style="3"/>
  </cols>
  <sheetData>
    <row r="1" spans="1:8">
      <c r="A1" s="197" t="s">
        <v>18</v>
      </c>
      <c r="B1" s="197"/>
      <c r="C1" s="197"/>
      <c r="D1" s="197"/>
      <c r="E1" s="197"/>
      <c r="F1" s="197"/>
      <c r="G1" s="197"/>
      <c r="H1" s="197"/>
    </row>
    <row r="2" spans="1:8">
      <c r="A2" s="3" t="s">
        <v>54</v>
      </c>
      <c r="B2" s="15" t="s">
        <v>40</v>
      </c>
      <c r="C2" s="15" t="s">
        <v>41</v>
      </c>
      <c r="D2" s="15" t="s">
        <v>42</v>
      </c>
      <c r="E2" s="16" t="s">
        <v>45</v>
      </c>
      <c r="F2" s="16" t="s">
        <v>46</v>
      </c>
      <c r="G2" s="16" t="s">
        <v>47</v>
      </c>
      <c r="H2" s="15" t="s">
        <v>50</v>
      </c>
    </row>
    <row r="3" spans="1:8">
      <c r="A3" s="3" t="s">
        <v>51</v>
      </c>
      <c r="B3" s="1">
        <f>52*5/12</f>
        <v>21.666666666666668</v>
      </c>
      <c r="C3" s="17">
        <f>$B$3*2</f>
        <v>43.333333333333336</v>
      </c>
      <c r="D3" s="17">
        <f>$B$3*3</f>
        <v>65</v>
      </c>
      <c r="E3" s="17">
        <f>$B$3*4</f>
        <v>86.666666666666671</v>
      </c>
      <c r="F3" s="17">
        <f>$B$3*5</f>
        <v>108.33333333333334</v>
      </c>
      <c r="G3" s="17">
        <f>$B$3*6</f>
        <v>130</v>
      </c>
      <c r="H3" s="17">
        <f>$B$3*7</f>
        <v>151.66666666666669</v>
      </c>
    </row>
    <row r="4" spans="1:8">
      <c r="A4" s="3" t="s">
        <v>87</v>
      </c>
      <c r="B4" s="1">
        <f>52*4/12</f>
        <v>17.333333333333332</v>
      </c>
      <c r="C4" s="17">
        <f>$B$4*2</f>
        <v>34.666666666666664</v>
      </c>
      <c r="D4" s="17">
        <f>$B$4*3</f>
        <v>52</v>
      </c>
      <c r="E4" s="17">
        <f>$B$4*4</f>
        <v>69.333333333333329</v>
      </c>
      <c r="F4" s="17">
        <f>$B$4*5</f>
        <v>86.666666666666657</v>
      </c>
      <c r="G4" s="17">
        <f>$B$4*6</f>
        <v>104</v>
      </c>
      <c r="H4" s="17">
        <f>$B$4*7</f>
        <v>121.33333333333333</v>
      </c>
    </row>
    <row r="5" spans="1:8">
      <c r="A5" s="3" t="s">
        <v>52</v>
      </c>
      <c r="B5" s="1">
        <f>52*3/12</f>
        <v>13</v>
      </c>
      <c r="C5" s="17">
        <f>$B$5*2</f>
        <v>26</v>
      </c>
      <c r="D5" s="17">
        <f>$B$5*3</f>
        <v>39</v>
      </c>
      <c r="E5" s="17">
        <f>$B$5*4</f>
        <v>52</v>
      </c>
      <c r="F5" s="17">
        <f>$B$5*5</f>
        <v>65</v>
      </c>
      <c r="G5" s="17">
        <f>$B$5*6</f>
        <v>78</v>
      </c>
      <c r="H5" s="17">
        <f>$B$5*7</f>
        <v>91</v>
      </c>
    </row>
    <row r="6" spans="1:8">
      <c r="A6" s="3" t="s">
        <v>53</v>
      </c>
      <c r="B6" s="1">
        <f>52*2/12</f>
        <v>8.6666666666666661</v>
      </c>
      <c r="C6" s="18">
        <f>$B$6*2</f>
        <v>17.333333333333332</v>
      </c>
      <c r="D6" s="18">
        <f>$B$6*3</f>
        <v>26</v>
      </c>
      <c r="E6" s="18">
        <f>$B$6*4</f>
        <v>34.666666666666664</v>
      </c>
      <c r="F6" s="18">
        <f>$B$6*5</f>
        <v>43.333333333333329</v>
      </c>
      <c r="G6" s="18">
        <f>$B$6*6</f>
        <v>52</v>
      </c>
      <c r="H6" s="18">
        <f>$B$6*7</f>
        <v>60.666666666666664</v>
      </c>
    </row>
    <row r="7" spans="1:8">
      <c r="A7" s="3" t="s">
        <v>21</v>
      </c>
      <c r="B7" s="1">
        <f>52/12</f>
        <v>4.333333333333333</v>
      </c>
      <c r="C7" s="18">
        <f>$B$7*2</f>
        <v>8.6666666666666661</v>
      </c>
      <c r="D7" s="18">
        <f>$B$7*3</f>
        <v>13</v>
      </c>
      <c r="E7" s="18">
        <f>$B$7*4</f>
        <v>17.333333333333332</v>
      </c>
      <c r="F7" s="18">
        <f>$B$7*5</f>
        <v>21.666666666666664</v>
      </c>
      <c r="G7" s="18">
        <f>$B$7*6</f>
        <v>26</v>
      </c>
      <c r="H7" s="18">
        <f>$B$7*7</f>
        <v>30.333333333333332</v>
      </c>
    </row>
    <row r="8" spans="1:8">
      <c r="A8" s="3" t="s">
        <v>23</v>
      </c>
      <c r="B8" s="1">
        <f>26/12</f>
        <v>2.1666666666666665</v>
      </c>
      <c r="C8" s="18">
        <f>$B$8*2</f>
        <v>4.333333333333333</v>
      </c>
      <c r="D8" s="18">
        <f>$B$8*3</f>
        <v>6.5</v>
      </c>
      <c r="E8" s="18">
        <f>$B$8*4</f>
        <v>8.6666666666666661</v>
      </c>
      <c r="F8" s="18">
        <f>$B$8*5</f>
        <v>10.833333333333332</v>
      </c>
      <c r="G8" s="18">
        <f>$B$8*6</f>
        <v>13</v>
      </c>
      <c r="H8" s="18">
        <f>$B$8*7</f>
        <v>15.166666666666666</v>
      </c>
    </row>
    <row r="9" spans="1:8">
      <c r="A9" s="3" t="s">
        <v>22</v>
      </c>
      <c r="B9" s="1">
        <f>12/12</f>
        <v>1</v>
      </c>
      <c r="C9" s="18">
        <f>$B$9*2</f>
        <v>2</v>
      </c>
      <c r="D9" s="18">
        <f>$B$9*3</f>
        <v>3</v>
      </c>
      <c r="E9" s="18">
        <f>$B$9*4</f>
        <v>4</v>
      </c>
      <c r="F9" s="18">
        <f>$B$9*5</f>
        <v>5</v>
      </c>
      <c r="G9" s="18">
        <f>$B$9*6</f>
        <v>6</v>
      </c>
      <c r="H9" s="18">
        <f>$B$9*7</f>
        <v>7</v>
      </c>
    </row>
    <row r="10" spans="1:8">
      <c r="B10" s="1"/>
      <c r="C10" s="18"/>
      <c r="D10" s="18"/>
      <c r="E10" s="18"/>
      <c r="F10" s="18"/>
      <c r="G10" s="18"/>
      <c r="H10" s="18"/>
    </row>
    <row r="11" spans="1:8">
      <c r="A11" s="197" t="s">
        <v>10</v>
      </c>
      <c r="B11" s="197"/>
      <c r="C11" s="18"/>
      <c r="D11" s="18"/>
      <c r="E11" s="18"/>
      <c r="F11" s="18"/>
      <c r="G11" s="18"/>
      <c r="H11" s="18"/>
    </row>
    <row r="12" spans="1:8">
      <c r="A12" s="2" t="s">
        <v>49</v>
      </c>
      <c r="B12" s="28" t="s">
        <v>79</v>
      </c>
      <c r="C12" s="18"/>
      <c r="D12" s="18"/>
      <c r="E12" s="18"/>
      <c r="F12" s="18"/>
      <c r="G12" s="18"/>
      <c r="H12" s="18"/>
    </row>
    <row r="13" spans="1:8">
      <c r="A13" s="19" t="s">
        <v>80</v>
      </c>
      <c r="B13" s="11">
        <v>20</v>
      </c>
      <c r="C13" s="18"/>
      <c r="D13" s="18"/>
      <c r="E13" s="18"/>
      <c r="F13" s="18"/>
      <c r="G13" s="18"/>
      <c r="H13" s="18"/>
    </row>
    <row r="14" spans="1:8">
      <c r="A14" s="19" t="s">
        <v>55</v>
      </c>
      <c r="B14" s="11">
        <v>34</v>
      </c>
      <c r="C14" s="18"/>
      <c r="D14" s="18"/>
      <c r="E14" s="18"/>
      <c r="F14" s="18"/>
      <c r="G14" s="18"/>
      <c r="H14" s="18"/>
    </row>
    <row r="15" spans="1:8">
      <c r="A15" s="19" t="s">
        <v>56</v>
      </c>
      <c r="B15" s="11">
        <v>51</v>
      </c>
      <c r="C15" s="18"/>
      <c r="D15" s="18"/>
      <c r="E15" s="18"/>
      <c r="F15" s="18"/>
      <c r="G15" s="18"/>
      <c r="H15" s="18"/>
    </row>
    <row r="16" spans="1:8">
      <c r="A16" s="19" t="s">
        <v>57</v>
      </c>
      <c r="B16" s="11">
        <v>77</v>
      </c>
      <c r="C16" s="18"/>
      <c r="D16" s="18"/>
      <c r="E16" s="18"/>
      <c r="F16" s="3" t="s">
        <v>19</v>
      </c>
      <c r="G16" s="11">
        <v>2000</v>
      </c>
      <c r="H16" s="18"/>
    </row>
    <row r="17" spans="1:8">
      <c r="A17" s="19" t="s">
        <v>58</v>
      </c>
      <c r="B17" s="11">
        <v>97</v>
      </c>
      <c r="C17" s="18"/>
      <c r="D17" s="18"/>
      <c r="E17" s="18"/>
      <c r="F17" s="3" t="s">
        <v>20</v>
      </c>
      <c r="G17" s="20" t="s">
        <v>43</v>
      </c>
      <c r="H17" s="18"/>
    </row>
    <row r="18" spans="1:8">
      <c r="A18" s="19" t="s">
        <v>59</v>
      </c>
      <c r="B18" s="11">
        <v>117</v>
      </c>
      <c r="C18" s="18"/>
      <c r="D18" s="18"/>
      <c r="E18" s="18"/>
      <c r="H18" s="18"/>
    </row>
    <row r="19" spans="1:8">
      <c r="A19" s="19" t="s">
        <v>60</v>
      </c>
      <c r="B19" s="11">
        <v>157</v>
      </c>
      <c r="C19" s="18"/>
      <c r="D19" s="18"/>
      <c r="E19" s="18"/>
      <c r="F19" s="13"/>
      <c r="G19" s="14"/>
      <c r="H19" s="18"/>
    </row>
    <row r="20" spans="1:8">
      <c r="A20" s="19" t="s">
        <v>96</v>
      </c>
      <c r="B20" s="11">
        <v>37</v>
      </c>
      <c r="C20" s="18" t="s">
        <v>81</v>
      </c>
      <c r="D20" s="18"/>
      <c r="E20" s="18"/>
      <c r="F20" s="13"/>
      <c r="G20" s="14"/>
      <c r="H20" s="18"/>
    </row>
    <row r="21" spans="1:8">
      <c r="A21" s="19" t="s">
        <v>61</v>
      </c>
      <c r="B21" s="11">
        <v>47</v>
      </c>
      <c r="C21" s="18"/>
      <c r="D21" s="18"/>
      <c r="E21" s="18"/>
      <c r="F21" s="18"/>
      <c r="G21" s="18"/>
      <c r="H21" s="18"/>
    </row>
    <row r="22" spans="1:8">
      <c r="A22" s="19" t="s">
        <v>62</v>
      </c>
      <c r="B22" s="11">
        <v>68</v>
      </c>
      <c r="C22" s="18"/>
      <c r="D22" s="18"/>
      <c r="E22" s="18"/>
      <c r="F22" s="18"/>
      <c r="G22" s="18"/>
      <c r="H22" s="18"/>
    </row>
    <row r="23" spans="1:8">
      <c r="A23" s="19" t="s">
        <v>63</v>
      </c>
      <c r="B23" s="11">
        <v>34</v>
      </c>
      <c r="C23" s="18"/>
      <c r="D23" s="18"/>
      <c r="E23" s="18"/>
      <c r="F23" s="18"/>
      <c r="G23" s="18"/>
      <c r="H23" s="18"/>
    </row>
    <row r="24" spans="1:8">
      <c r="A24" s="19" t="s">
        <v>31</v>
      </c>
      <c r="B24" s="11">
        <v>34</v>
      </c>
      <c r="C24" s="18"/>
      <c r="D24" s="18"/>
      <c r="E24" s="18"/>
      <c r="F24" s="18"/>
      <c r="G24" s="18"/>
      <c r="H24" s="18"/>
    </row>
    <row r="25" spans="1:8">
      <c r="A25" s="2" t="s">
        <v>64</v>
      </c>
      <c r="B25" s="11"/>
      <c r="C25" s="18"/>
      <c r="D25" s="18"/>
      <c r="E25" s="18"/>
      <c r="F25" s="18"/>
      <c r="G25" s="18"/>
      <c r="H25" s="18"/>
    </row>
    <row r="26" spans="1:8">
      <c r="A26" s="19" t="s">
        <v>65</v>
      </c>
      <c r="B26" s="11">
        <v>29</v>
      </c>
      <c r="C26" s="18"/>
      <c r="D26" s="18"/>
      <c r="E26" s="18"/>
      <c r="F26" s="18"/>
      <c r="G26" s="18"/>
      <c r="H26" s="18"/>
    </row>
    <row r="27" spans="1:8">
      <c r="A27" s="19" t="s">
        <v>66</v>
      </c>
      <c r="B27" s="11">
        <v>175</v>
      </c>
      <c r="C27" s="18"/>
      <c r="D27" s="18"/>
      <c r="E27" s="18"/>
      <c r="F27" s="18"/>
      <c r="G27" s="18"/>
      <c r="H27" s="18"/>
    </row>
    <row r="28" spans="1:8">
      <c r="A28" s="19" t="s">
        <v>67</v>
      </c>
      <c r="B28" s="11">
        <v>250</v>
      </c>
      <c r="C28" s="18"/>
      <c r="D28" s="18"/>
      <c r="E28" s="18"/>
      <c r="F28" s="18"/>
      <c r="G28" s="18"/>
      <c r="H28" s="18"/>
    </row>
    <row r="29" spans="1:8">
      <c r="A29" s="19" t="s">
        <v>68</v>
      </c>
      <c r="B29" s="11">
        <v>324</v>
      </c>
      <c r="C29" s="18"/>
      <c r="D29" s="18"/>
      <c r="E29" s="18"/>
      <c r="F29" s="18"/>
      <c r="G29" s="18"/>
      <c r="H29" s="18"/>
    </row>
    <row r="30" spans="1:8">
      <c r="A30" s="19" t="s">
        <v>69</v>
      </c>
      <c r="B30" s="11">
        <v>473</v>
      </c>
      <c r="C30" s="18"/>
      <c r="D30" s="18"/>
      <c r="E30" s="18"/>
      <c r="F30" s="18"/>
      <c r="G30" s="18"/>
      <c r="H30" s="18"/>
    </row>
    <row r="31" spans="1:8">
      <c r="A31" s="19" t="s">
        <v>70</v>
      </c>
      <c r="B31" s="11">
        <v>613</v>
      </c>
      <c r="C31" s="18"/>
      <c r="D31" s="18"/>
      <c r="E31" s="18"/>
      <c r="F31" s="18"/>
      <c r="G31" s="18"/>
      <c r="H31" s="18"/>
    </row>
    <row r="32" spans="1:8">
      <c r="A32" s="19" t="s">
        <v>71</v>
      </c>
      <c r="B32" s="11">
        <v>840</v>
      </c>
      <c r="C32" s="18"/>
      <c r="D32" s="18"/>
      <c r="E32" s="18"/>
      <c r="F32" s="18"/>
      <c r="G32" s="18"/>
      <c r="H32" s="18"/>
    </row>
    <row r="33" spans="1:8">
      <c r="A33" s="19" t="s">
        <v>72</v>
      </c>
      <c r="B33" s="11">
        <v>980</v>
      </c>
      <c r="C33" s="18"/>
      <c r="D33" s="18"/>
      <c r="E33" s="18"/>
      <c r="F33" s="18"/>
      <c r="G33" s="18"/>
      <c r="H33" s="18"/>
    </row>
    <row r="34" spans="1:8">
      <c r="A34" s="19" t="s">
        <v>88</v>
      </c>
      <c r="B34" s="11">
        <v>482</v>
      </c>
      <c r="C34" s="18" t="s">
        <v>81</v>
      </c>
      <c r="D34" s="18"/>
      <c r="E34" s="18"/>
      <c r="F34" s="18"/>
      <c r="G34" s="18"/>
      <c r="H34" s="18"/>
    </row>
    <row r="35" spans="1:8">
      <c r="A35" s="19" t="s">
        <v>89</v>
      </c>
      <c r="B35" s="11">
        <v>689</v>
      </c>
      <c r="C35" s="18" t="s">
        <v>81</v>
      </c>
      <c r="D35" s="18"/>
      <c r="E35" s="18"/>
      <c r="F35" s="18"/>
      <c r="G35" s="18"/>
      <c r="H35" s="18"/>
    </row>
    <row r="36" spans="1:8">
      <c r="A36" s="19" t="s">
        <v>74</v>
      </c>
      <c r="B36" s="11">
        <v>892</v>
      </c>
      <c r="C36" s="18" t="s">
        <v>81</v>
      </c>
      <c r="D36" s="18"/>
      <c r="E36" s="18"/>
      <c r="F36" s="18"/>
      <c r="G36" s="18"/>
      <c r="H36" s="18"/>
    </row>
    <row r="37" spans="1:8">
      <c r="A37" s="19" t="s">
        <v>73</v>
      </c>
      <c r="B37" s="11">
        <v>1301</v>
      </c>
      <c r="C37" s="18"/>
      <c r="D37" s="18"/>
      <c r="E37" s="18"/>
      <c r="F37" s="18"/>
      <c r="G37" s="18"/>
      <c r="H37" s="18"/>
    </row>
    <row r="38" spans="1:8">
      <c r="A38" s="19" t="s">
        <v>75</v>
      </c>
      <c r="B38" s="11">
        <v>1686</v>
      </c>
      <c r="C38" s="18"/>
      <c r="D38" s="18"/>
      <c r="E38" s="18"/>
      <c r="F38" s="18"/>
      <c r="G38" s="18"/>
      <c r="H38" s="18"/>
    </row>
    <row r="39" spans="1:8">
      <c r="A39" s="19" t="s">
        <v>76</v>
      </c>
      <c r="B39" s="11">
        <v>2046</v>
      </c>
      <c r="C39" s="18"/>
      <c r="D39" s="18"/>
      <c r="E39" s="18"/>
      <c r="F39" s="18"/>
      <c r="G39" s="18"/>
      <c r="H39" s="18"/>
    </row>
    <row r="40" spans="1:8">
      <c r="A40" s="19" t="s">
        <v>77</v>
      </c>
      <c r="B40" s="11">
        <v>2310</v>
      </c>
      <c r="C40" s="18"/>
      <c r="D40" s="18"/>
      <c r="E40" s="18"/>
      <c r="F40" s="18"/>
      <c r="G40" s="18"/>
      <c r="H40" s="18"/>
    </row>
    <row r="41" spans="1:8">
      <c r="A41" s="19" t="s">
        <v>90</v>
      </c>
      <c r="B41" s="11">
        <v>2800</v>
      </c>
      <c r="C41" s="18" t="s">
        <v>81</v>
      </c>
      <c r="D41" s="18"/>
      <c r="E41" s="18"/>
      <c r="F41" s="18"/>
      <c r="G41" s="18"/>
      <c r="H41" s="18"/>
    </row>
    <row r="42" spans="1:8">
      <c r="A42" s="19" t="s">
        <v>78</v>
      </c>
      <c r="B42" s="11">
        <v>125</v>
      </c>
      <c r="C42" s="18"/>
      <c r="D42" s="18"/>
      <c r="E42" s="18"/>
      <c r="F42" s="18"/>
      <c r="G42" s="18"/>
      <c r="H42" s="18"/>
    </row>
    <row r="43" spans="1:8">
      <c r="B43" s="199" t="s">
        <v>92</v>
      </c>
      <c r="C43" s="199"/>
    </row>
    <row r="46" spans="1:8">
      <c r="A46" s="27" t="s">
        <v>196</v>
      </c>
      <c r="B46" s="25" t="s">
        <v>5</v>
      </c>
      <c r="C46" s="25" t="s">
        <v>6</v>
      </c>
      <c r="F46" s="198" t="s">
        <v>26</v>
      </c>
      <c r="G46" s="198"/>
    </row>
    <row r="47" spans="1:8">
      <c r="A47" s="21" t="s">
        <v>7</v>
      </c>
      <c r="B47" s="6">
        <v>94.1</v>
      </c>
      <c r="C47" s="5">
        <f>B47/2000</f>
        <v>4.7049999999999995E-2</v>
      </c>
      <c r="F47" s="3" t="s">
        <v>27</v>
      </c>
      <c r="G47" s="185">
        <f>0.0175</f>
        <v>1.7500000000000002E-2</v>
      </c>
    </row>
    <row r="48" spans="1:8">
      <c r="A48" s="21" t="s">
        <v>8</v>
      </c>
      <c r="B48" s="7">
        <v>96.3</v>
      </c>
      <c r="C48" s="8">
        <f>B48/2000</f>
        <v>4.8149999999999998E-2</v>
      </c>
      <c r="F48" s="3" t="s">
        <v>28</v>
      </c>
      <c r="G48" s="186">
        <f>0.0051</f>
        <v>5.1000000000000004E-3</v>
      </c>
    </row>
    <row r="49" spans="1:7">
      <c r="A49" s="19" t="s">
        <v>9</v>
      </c>
      <c r="B49" s="6">
        <f>B48-B47</f>
        <v>2.2000000000000028</v>
      </c>
      <c r="C49" s="10">
        <f>C48-C47</f>
        <v>1.1000000000000038E-3</v>
      </c>
      <c r="F49" s="3" t="s">
        <v>48</v>
      </c>
      <c r="G49" s="9"/>
    </row>
    <row r="50" spans="1:7">
      <c r="F50" s="3" t="s">
        <v>16</v>
      </c>
      <c r="G50" s="22">
        <f>SUM(G47:G49)</f>
        <v>2.2600000000000002E-2</v>
      </c>
    </row>
    <row r="51" spans="1:7">
      <c r="B51" s="26" t="s">
        <v>93</v>
      </c>
    </row>
    <row r="52" spans="1:7">
      <c r="A52" s="3" t="s">
        <v>3</v>
      </c>
      <c r="B52" s="23">
        <f>B49</f>
        <v>2.2000000000000028</v>
      </c>
      <c r="F52" s="3" t="s">
        <v>29</v>
      </c>
      <c r="G52" s="24">
        <f>1-G50</f>
        <v>0.97740000000000005</v>
      </c>
    </row>
    <row r="53" spans="1:7">
      <c r="A53" s="3" t="s">
        <v>25</v>
      </c>
      <c r="B53" s="23">
        <f>B52/$G$52</f>
        <v>2.2508696541845743</v>
      </c>
    </row>
    <row r="54" spans="1:7">
      <c r="A54" s="3" t="s">
        <v>24</v>
      </c>
      <c r="B54" s="12">
        <f>'Disposal Increase Calculations'!D144</f>
        <v>6618.43</v>
      </c>
    </row>
    <row r="55" spans="1:7">
      <c r="A55" s="2" t="s">
        <v>30</v>
      </c>
      <c r="B55" s="4">
        <f>B53*B54</f>
        <v>14897.223245344812</v>
      </c>
    </row>
    <row r="58" spans="1:7" ht="15" thickBot="1"/>
    <row r="59" spans="1:7">
      <c r="A59" s="96" t="s">
        <v>84</v>
      </c>
      <c r="B59" s="97" t="s">
        <v>82</v>
      </c>
      <c r="D59" s="23"/>
    </row>
    <row r="60" spans="1:7">
      <c r="A60" s="98" t="s">
        <v>83</v>
      </c>
      <c r="B60" s="99">
        <f>+'Disposal Increase Calculations'!Q72</f>
        <v>14897.223245344974</v>
      </c>
    </row>
    <row r="61" spans="1:7">
      <c r="A61" s="98" t="s">
        <v>12</v>
      </c>
      <c r="B61" s="99">
        <f>B60-B55</f>
        <v>1.6189005691558123E-10</v>
      </c>
    </row>
    <row r="62" spans="1:7">
      <c r="A62" s="98"/>
      <c r="B62" s="100"/>
    </row>
    <row r="63" spans="1:7">
      <c r="A63" s="101" t="s">
        <v>85</v>
      </c>
      <c r="B63" s="102" t="s">
        <v>82</v>
      </c>
    </row>
    <row r="64" spans="1:7">
      <c r="A64" s="98" t="s">
        <v>44</v>
      </c>
      <c r="B64" s="103">
        <f>'Disposal Increase Calculations'!Q72</f>
        <v>14897.223245344974</v>
      </c>
    </row>
    <row r="65" spans="1:3" ht="15" thickBot="1">
      <c r="A65" s="104" t="s">
        <v>12</v>
      </c>
      <c r="B65" s="105">
        <f>B64-B55</f>
        <v>1.6189005691558123E-10</v>
      </c>
      <c r="C65" s="23">
        <f>B61-B65</f>
        <v>0</v>
      </c>
    </row>
  </sheetData>
  <mergeCells count="4">
    <mergeCell ref="A1:H1"/>
    <mergeCell ref="F46:G46"/>
    <mergeCell ref="A11:B11"/>
    <mergeCell ref="B43:C43"/>
  </mergeCells>
  <phoneticPr fontId="0" type="noConversion"/>
  <pageMargins left="0.28000000000000003" right="0.52" top="0.75" bottom="0.75" header="0.3" footer="0.3"/>
  <pageSetup scale="72" orientation="portrait" r:id="rId1"/>
  <headerFooter>
    <oddHeader>&amp;C&amp;"-,Bold"&amp;12Basin Disposal of Walla Walla &amp;"-,Regular"
Disposal Fee Reference</oddHead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3"/>
  <sheetViews>
    <sheetView tabSelected="1" zoomScale="85" zoomScaleNormal="85" workbookViewId="0">
      <pane xSplit="3" ySplit="1" topLeftCell="I47" activePane="bottomRight" state="frozen"/>
      <selection pane="topRight" activeCell="D1" sqref="D1"/>
      <selection pane="bottomLeft" activeCell="A6" sqref="A6"/>
      <selection pane="bottomRight" activeCell="Q73" sqref="Q73"/>
    </sheetView>
  </sheetViews>
  <sheetFormatPr defaultColWidth="8.88671875" defaultRowHeight="14.4"/>
  <cols>
    <col min="1" max="1" width="4.5546875" style="59" customWidth="1"/>
    <col min="2" max="2" width="10.88671875" style="63" bestFit="1" customWidth="1"/>
    <col min="3" max="3" width="35.5546875" style="59" bestFit="1" customWidth="1"/>
    <col min="4" max="4" width="18.88671875" style="60" customWidth="1"/>
    <col min="5" max="5" width="10.44140625" style="59" customWidth="1"/>
    <col min="6" max="6" width="14" style="59" customWidth="1"/>
    <col min="7" max="7" width="15.109375" style="59" customWidth="1"/>
    <col min="8" max="8" width="21.44140625" style="59" customWidth="1"/>
    <col min="9" max="9" width="16.33203125" style="58" customWidth="1"/>
    <col min="10" max="11" width="12.33203125" style="59" customWidth="1"/>
    <col min="12" max="12" width="10.6640625" style="59" customWidth="1"/>
    <col min="13" max="13" width="16.5546875" style="59" customWidth="1"/>
    <col min="14" max="14" width="15.44140625" style="59" customWidth="1"/>
    <col min="15" max="16" width="17.6640625" style="59" bestFit="1" customWidth="1"/>
    <col min="17" max="17" width="16" style="59" customWidth="1"/>
    <col min="18" max="18" width="11.6640625" style="59" customWidth="1"/>
    <col min="19" max="16384" width="8.88671875" style="59"/>
  </cols>
  <sheetData>
    <row r="1" spans="1:21" ht="43.2">
      <c r="A1" s="27"/>
      <c r="B1" s="85" t="s">
        <v>15</v>
      </c>
      <c r="C1" s="86" t="s">
        <v>17</v>
      </c>
      <c r="D1" s="85" t="s">
        <v>37</v>
      </c>
      <c r="E1" s="85" t="s">
        <v>0</v>
      </c>
      <c r="F1" s="27" t="s">
        <v>1</v>
      </c>
      <c r="G1" s="85" t="s">
        <v>10</v>
      </c>
      <c r="H1" s="85" t="s">
        <v>34</v>
      </c>
      <c r="I1" s="116" t="s">
        <v>35</v>
      </c>
      <c r="J1" s="114" t="s">
        <v>9</v>
      </c>
      <c r="K1" s="85" t="s">
        <v>2</v>
      </c>
      <c r="L1" s="85" t="s">
        <v>38</v>
      </c>
      <c r="M1" s="85" t="s">
        <v>194</v>
      </c>
      <c r="N1" s="85" t="s">
        <v>193</v>
      </c>
      <c r="O1" s="85" t="s">
        <v>36</v>
      </c>
      <c r="P1" s="85" t="s">
        <v>195</v>
      </c>
      <c r="Q1" s="85" t="s">
        <v>39</v>
      </c>
      <c r="R1" s="172" t="s">
        <v>199</v>
      </c>
    </row>
    <row r="2" spans="1:21" s="61" customFormat="1" ht="15" customHeight="1">
      <c r="A2" s="200" t="s">
        <v>13</v>
      </c>
      <c r="B2" s="121">
        <v>20</v>
      </c>
      <c r="C2" s="65" t="s">
        <v>201</v>
      </c>
      <c r="D2" s="122"/>
      <c r="E2" s="71"/>
      <c r="F2" s="70"/>
      <c r="G2" s="153"/>
      <c r="H2" s="72"/>
      <c r="I2" s="115"/>
      <c r="J2" s="74"/>
      <c r="K2" s="74"/>
      <c r="L2" s="69"/>
      <c r="M2" s="177"/>
      <c r="N2" s="165"/>
      <c r="O2" s="69"/>
      <c r="P2" s="69"/>
      <c r="Q2" s="73"/>
      <c r="R2" s="50"/>
    </row>
    <row r="3" spans="1:21" s="61" customFormat="1" ht="15" customHeight="1">
      <c r="A3" s="201"/>
      <c r="B3" s="121">
        <v>20</v>
      </c>
      <c r="C3" s="44" t="s">
        <v>99</v>
      </c>
      <c r="D3" s="122">
        <v>1125</v>
      </c>
      <c r="E3" s="71">
        <f>References!$B$7</f>
        <v>4.333333333333333</v>
      </c>
      <c r="F3" s="70">
        <f>D3*E3*12</f>
        <v>58500</v>
      </c>
      <c r="G3" s="153">
        <f>References!B21</f>
        <v>47</v>
      </c>
      <c r="H3" s="72">
        <f>F3*G3</f>
        <v>2749500</v>
      </c>
      <c r="I3" s="115">
        <f>$D$147*H3</f>
        <v>1763588.2879187881</v>
      </c>
      <c r="J3" s="74">
        <f>(References!$C$49*I3)</f>
        <v>1939.9471167106735</v>
      </c>
      <c r="K3" s="74">
        <f>J3/References!$G$52</f>
        <v>1984.8036798758681</v>
      </c>
      <c r="L3" s="69">
        <f>K3/F3*E3</f>
        <v>0.14702249480561982</v>
      </c>
      <c r="M3" s="175">
        <v>21.35</v>
      </c>
      <c r="N3" s="165">
        <f>L3+M3</f>
        <v>21.49702249480562</v>
      </c>
      <c r="O3" s="69">
        <f>D3*M3*12</f>
        <v>288225</v>
      </c>
      <c r="P3" s="69">
        <f>D3*N3*12</f>
        <v>290209.80367987591</v>
      </c>
      <c r="Q3" s="73">
        <f>+P3-O3</f>
        <v>1984.8036798759131</v>
      </c>
      <c r="R3" s="50">
        <f>ROUND(N3,2)</f>
        <v>21.5</v>
      </c>
      <c r="T3" s="50"/>
    </row>
    <row r="4" spans="1:21" s="61" customFormat="1">
      <c r="A4" s="201"/>
      <c r="B4" s="121">
        <v>20</v>
      </c>
      <c r="C4" s="44" t="s">
        <v>100</v>
      </c>
      <c r="D4" s="122">
        <v>195</v>
      </c>
      <c r="E4" s="71">
        <f>References!$B$7</f>
        <v>4.333333333333333</v>
      </c>
      <c r="F4" s="70">
        <f t="shared" ref="F4:F10" si="0">D4*E4*12</f>
        <v>10139.999999999998</v>
      </c>
      <c r="G4" s="153">
        <f>References!B14</f>
        <v>34</v>
      </c>
      <c r="H4" s="70">
        <f t="shared" ref="H4:H10" si="1">F4*G4</f>
        <v>344759.99999999994</v>
      </c>
      <c r="I4" s="46">
        <f>$D$147*H4</f>
        <v>221136.46049932035</v>
      </c>
      <c r="J4" s="69">
        <f>(References!$C$49*I4)</f>
        <v>243.25010654925322</v>
      </c>
      <c r="K4" s="69">
        <f>J4/References!$G$52</f>
        <v>248.87467418585351</v>
      </c>
      <c r="L4" s="69">
        <f>K4/F4*E4</f>
        <v>0.10635669837002289</v>
      </c>
      <c r="M4" s="175">
        <v>16.14</v>
      </c>
      <c r="N4" s="166">
        <f>L4+M4</f>
        <v>16.246356698370022</v>
      </c>
      <c r="O4" s="69">
        <f>D4*M4*12</f>
        <v>37767.600000000006</v>
      </c>
      <c r="P4" s="69">
        <f>D4*N4*12</f>
        <v>38016.474674185854</v>
      </c>
      <c r="Q4" s="73">
        <f t="shared" ref="Q4:Q10" si="2">+P4-O4</f>
        <v>248.87467418584856</v>
      </c>
      <c r="R4" s="50">
        <f t="shared" ref="R4:R10" si="3">ROUND(N4,2)</f>
        <v>16.25</v>
      </c>
      <c r="T4" s="50"/>
    </row>
    <row r="5" spans="1:21" s="61" customFormat="1">
      <c r="A5" s="201"/>
      <c r="B5" s="121">
        <v>20</v>
      </c>
      <c r="C5" s="44" t="s">
        <v>101</v>
      </c>
      <c r="D5" s="122">
        <v>1</v>
      </c>
      <c r="E5" s="71">
        <f>References!$B$9</f>
        <v>1</v>
      </c>
      <c r="F5" s="70">
        <f t="shared" si="0"/>
        <v>12</v>
      </c>
      <c r="G5" s="153">
        <f>References!B21</f>
        <v>47</v>
      </c>
      <c r="H5" s="70">
        <f t="shared" si="1"/>
        <v>564</v>
      </c>
      <c r="I5" s="46">
        <f>$D$147*H5</f>
        <v>361.76170008590526</v>
      </c>
      <c r="J5" s="69">
        <f>(References!$C$49*I5)</f>
        <v>0.39793787009449716</v>
      </c>
      <c r="K5" s="69">
        <f>J5/References!$G$52</f>
        <v>0.40713921638479345</v>
      </c>
      <c r="L5" s="69">
        <f t="shared" ref="L5:L10" si="4">K5/F5*E5</f>
        <v>3.3928268032066118E-2</v>
      </c>
      <c r="M5" s="175">
        <v>6.09</v>
      </c>
      <c r="N5" s="166">
        <f t="shared" ref="N5:N40" si="5">L5+M5</f>
        <v>6.1239282680320661</v>
      </c>
      <c r="O5" s="69">
        <f>D5*M5*12</f>
        <v>73.08</v>
      </c>
      <c r="P5" s="69">
        <f>D5*N5*12</f>
        <v>73.48713921638479</v>
      </c>
      <c r="Q5" s="73">
        <f t="shared" si="2"/>
        <v>0.40713921638479178</v>
      </c>
      <c r="R5" s="50">
        <f t="shared" si="3"/>
        <v>6.12</v>
      </c>
      <c r="T5" s="50"/>
    </row>
    <row r="6" spans="1:21" s="61" customFormat="1">
      <c r="A6" s="201"/>
      <c r="B6" s="121">
        <v>20</v>
      </c>
      <c r="C6" s="44" t="s">
        <v>102</v>
      </c>
      <c r="D6" s="122">
        <v>1</v>
      </c>
      <c r="E6" s="71">
        <f>References!$B$9</f>
        <v>1</v>
      </c>
      <c r="F6" s="70">
        <f t="shared" si="0"/>
        <v>12</v>
      </c>
      <c r="G6" s="153">
        <f>References!B22</f>
        <v>68</v>
      </c>
      <c r="H6" s="70">
        <f t="shared" si="1"/>
        <v>816</v>
      </c>
      <c r="I6" s="46">
        <f>$D$147*H6</f>
        <v>523.39990650726725</v>
      </c>
      <c r="J6" s="69">
        <f>(References!$C$49*I6)</f>
        <v>0.57573989715799589</v>
      </c>
      <c r="K6" s="69">
        <f>J6/References!$G$52</f>
        <v>0.58905248328012672</v>
      </c>
      <c r="L6" s="69">
        <f>K6/F6*E6</f>
        <v>4.9087706940010557E-2</v>
      </c>
      <c r="M6" s="175">
        <v>6.37</v>
      </c>
      <c r="N6" s="166">
        <f>L6+M6</f>
        <v>6.4190877069400107</v>
      </c>
      <c r="O6" s="69">
        <f>D6*M6*12</f>
        <v>76.44</v>
      </c>
      <c r="P6" s="69">
        <f>D6*N6*12</f>
        <v>77.029052483280125</v>
      </c>
      <c r="Q6" s="73">
        <f t="shared" si="2"/>
        <v>0.5890524832801276</v>
      </c>
      <c r="R6" s="50">
        <f t="shared" si="3"/>
        <v>6.42</v>
      </c>
      <c r="T6" s="50"/>
    </row>
    <row r="7" spans="1:21" s="61" customFormat="1">
      <c r="A7" s="201"/>
      <c r="B7" s="121">
        <v>20</v>
      </c>
      <c r="C7" s="44" t="s">
        <v>103</v>
      </c>
      <c r="D7" s="122">
        <v>2086</v>
      </c>
      <c r="E7" s="71">
        <f>References!$B$7</f>
        <v>4.333333333333333</v>
      </c>
      <c r="F7" s="70">
        <f t="shared" si="0"/>
        <v>108471.99999999999</v>
      </c>
      <c r="G7" s="153">
        <f>References!B22</f>
        <v>68</v>
      </c>
      <c r="H7" s="70">
        <f t="shared" si="1"/>
        <v>7376095.9999999991</v>
      </c>
      <c r="I7" s="46">
        <f>$D$147*H7</f>
        <v>4731186.22155469</v>
      </c>
      <c r="J7" s="69">
        <f>(References!$C$49*I7)</f>
        <v>5204.304843710177</v>
      </c>
      <c r="K7" s="69">
        <f>J7/References!$G$52</f>
        <v>5324.6417471968252</v>
      </c>
      <c r="L7" s="69">
        <f>K7/F7*E7</f>
        <v>0.21271339674004577</v>
      </c>
      <c r="M7" s="175">
        <v>26.95</v>
      </c>
      <c r="N7" s="166">
        <f t="shared" si="5"/>
        <v>27.162713396740045</v>
      </c>
      <c r="O7" s="69">
        <f>D7*M7*12</f>
        <v>674612.39999999991</v>
      </c>
      <c r="P7" s="69">
        <f>D7*N7*12</f>
        <v>679937.04174719681</v>
      </c>
      <c r="Q7" s="73">
        <f t="shared" si="2"/>
        <v>5324.6417471969035</v>
      </c>
      <c r="R7" s="50">
        <f t="shared" si="3"/>
        <v>27.16</v>
      </c>
      <c r="T7" s="50"/>
    </row>
    <row r="8" spans="1:21" s="61" customFormat="1">
      <c r="A8" s="201"/>
      <c r="B8" s="121">
        <v>20</v>
      </c>
      <c r="C8" s="65" t="s">
        <v>128</v>
      </c>
      <c r="D8" s="122"/>
      <c r="E8" s="71"/>
      <c r="F8" s="70"/>
      <c r="G8" s="153"/>
      <c r="H8" s="70"/>
      <c r="I8" s="46"/>
      <c r="J8" s="69"/>
      <c r="K8" s="69"/>
      <c r="L8" s="69"/>
      <c r="M8" s="174"/>
      <c r="N8" s="166"/>
      <c r="O8" s="69"/>
      <c r="P8" s="69"/>
      <c r="Q8" s="73">
        <f t="shared" si="2"/>
        <v>0</v>
      </c>
      <c r="T8" s="50"/>
    </row>
    <row r="9" spans="1:21" s="61" customFormat="1">
      <c r="A9" s="201"/>
      <c r="B9" s="121">
        <v>20</v>
      </c>
      <c r="C9" s="44" t="s">
        <v>99</v>
      </c>
      <c r="D9" s="122">
        <v>1</v>
      </c>
      <c r="E9" s="71">
        <f>References!$B$7</f>
        <v>4.333333333333333</v>
      </c>
      <c r="F9" s="70">
        <f t="shared" si="0"/>
        <v>52</v>
      </c>
      <c r="G9" s="153">
        <f>References!B21</f>
        <v>47</v>
      </c>
      <c r="H9" s="70">
        <f t="shared" si="1"/>
        <v>2444</v>
      </c>
      <c r="I9" s="46">
        <f>$D$147*H9</f>
        <v>1567.6340337055894</v>
      </c>
      <c r="J9" s="69">
        <f>(References!$C$49*I9)</f>
        <v>1.7243974370761543</v>
      </c>
      <c r="K9" s="69">
        <f>J9/References!$G$52</f>
        <v>1.7642699376674384</v>
      </c>
      <c r="L9" s="69">
        <f t="shared" si="4"/>
        <v>0.14702249480561985</v>
      </c>
      <c r="M9" s="175">
        <v>17.920000000000002</v>
      </c>
      <c r="N9" s="166">
        <f t="shared" si="5"/>
        <v>18.06702249480562</v>
      </c>
      <c r="O9" s="69">
        <f>D9*M9*12</f>
        <v>215.04000000000002</v>
      </c>
      <c r="P9" s="69">
        <f>D9*N9*12</f>
        <v>216.80426993766744</v>
      </c>
      <c r="Q9" s="73">
        <f t="shared" si="2"/>
        <v>1.7642699376674216</v>
      </c>
      <c r="R9" s="50">
        <f t="shared" si="3"/>
        <v>18.07</v>
      </c>
      <c r="T9" s="50"/>
    </row>
    <row r="10" spans="1:21" s="61" customFormat="1">
      <c r="A10" s="201"/>
      <c r="B10" s="121">
        <v>20</v>
      </c>
      <c r="C10" s="44" t="s">
        <v>101</v>
      </c>
      <c r="D10" s="122">
        <v>1</v>
      </c>
      <c r="E10" s="71">
        <f>References!$B$9</f>
        <v>1</v>
      </c>
      <c r="F10" s="70">
        <f t="shared" si="0"/>
        <v>12</v>
      </c>
      <c r="G10" s="153">
        <f>References!B21</f>
        <v>47</v>
      </c>
      <c r="H10" s="70">
        <f t="shared" si="1"/>
        <v>564</v>
      </c>
      <c r="I10" s="46">
        <f>$D$147*H10</f>
        <v>361.76170008590526</v>
      </c>
      <c r="J10" s="69">
        <f>(References!$C$49*I10)</f>
        <v>0.39793787009449716</v>
      </c>
      <c r="K10" s="69">
        <f>J10/References!$G$52</f>
        <v>0.40713921638479345</v>
      </c>
      <c r="L10" s="69">
        <f t="shared" si="4"/>
        <v>3.3928268032066118E-2</v>
      </c>
      <c r="M10" s="175">
        <v>4.0599999999999996</v>
      </c>
      <c r="N10" s="166">
        <f t="shared" si="5"/>
        <v>4.0939282680320659</v>
      </c>
      <c r="O10" s="69">
        <f>D10*M10*12</f>
        <v>48.72</v>
      </c>
      <c r="P10" s="69">
        <f>D10*N10*12</f>
        <v>49.127139216384791</v>
      </c>
      <c r="Q10" s="73">
        <f t="shared" si="2"/>
        <v>0.40713921638479178</v>
      </c>
      <c r="R10" s="50">
        <f t="shared" si="3"/>
        <v>4.09</v>
      </c>
      <c r="T10" s="50"/>
    </row>
    <row r="11" spans="1:21" s="61" customFormat="1">
      <c r="A11" s="201"/>
      <c r="B11" s="47"/>
      <c r="C11" s="125"/>
      <c r="D11" s="126"/>
      <c r="E11" s="120"/>
      <c r="F11" s="70"/>
      <c r="G11" s="124"/>
      <c r="H11" s="70"/>
      <c r="I11" s="46"/>
      <c r="J11" s="69"/>
      <c r="K11" s="69"/>
      <c r="L11" s="69"/>
      <c r="M11" s="174"/>
      <c r="N11" s="166"/>
      <c r="O11" s="69"/>
      <c r="P11" s="69"/>
      <c r="Q11" s="73"/>
      <c r="T11" s="50"/>
    </row>
    <row r="12" spans="1:21" s="61" customFormat="1">
      <c r="A12" s="48"/>
      <c r="B12" s="87"/>
      <c r="C12" s="49" t="s">
        <v>16</v>
      </c>
      <c r="D12" s="51">
        <f>SUM(D3:D11)</f>
        <v>3410</v>
      </c>
      <c r="E12" s="52"/>
      <c r="F12" s="53">
        <f>SUM(F3:F11)</f>
        <v>177200</v>
      </c>
      <c r="G12" s="54"/>
      <c r="H12" s="88">
        <f>SUM(H3:H11)</f>
        <v>10474744</v>
      </c>
      <c r="I12" s="55">
        <f>SUM(I3:I11)</f>
        <v>6718725.527313184</v>
      </c>
      <c r="J12" s="76"/>
      <c r="K12" s="76"/>
      <c r="L12" s="76"/>
      <c r="M12" s="76"/>
      <c r="N12" s="76"/>
      <c r="O12" s="75">
        <f>SUM(O3:O11)</f>
        <v>1001018.2799999999</v>
      </c>
      <c r="P12" s="75">
        <f>SUM(P3:P11)</f>
        <v>1008579.7677021123</v>
      </c>
      <c r="Q12" s="75">
        <f>SUM(Q3:Q11)</f>
        <v>7561.487702112383</v>
      </c>
      <c r="T12" s="50"/>
      <c r="U12" s="187">
        <f>Q12/O12</f>
        <v>7.553795822901839E-3</v>
      </c>
    </row>
    <row r="13" spans="1:21" s="61" customFormat="1" ht="15" customHeight="1">
      <c r="A13" s="200" t="s">
        <v>14</v>
      </c>
      <c r="B13" s="47" t="s">
        <v>197</v>
      </c>
      <c r="C13" s="127" t="s">
        <v>105</v>
      </c>
      <c r="D13" s="58"/>
      <c r="E13" s="71"/>
      <c r="F13" s="128">
        <v>1872</v>
      </c>
      <c r="G13" s="153">
        <f>References!B26</f>
        <v>29</v>
      </c>
      <c r="H13" s="70">
        <f t="shared" ref="H13:H34" si="6">F13*G13</f>
        <v>54288</v>
      </c>
      <c r="I13" s="46">
        <f>$D$147*H13</f>
        <v>34821.487897630541</v>
      </c>
      <c r="J13" s="69">
        <f>(References!$C$49*I13)</f>
        <v>38.303636687393727</v>
      </c>
      <c r="K13" s="69">
        <f>J13/References!$G$52</f>
        <v>39.189315211166075</v>
      </c>
      <c r="L13" s="69">
        <f>K13/F13</f>
        <v>2.0934463253828032E-2</v>
      </c>
      <c r="M13" s="175">
        <v>3.33</v>
      </c>
      <c r="N13" s="166">
        <f t="shared" si="5"/>
        <v>3.3509344632538283</v>
      </c>
      <c r="O13" s="69">
        <f>F13*M13</f>
        <v>6233.76</v>
      </c>
      <c r="P13" s="69">
        <f>F13*N13</f>
        <v>6272.9493152111663</v>
      </c>
      <c r="Q13" s="73">
        <f t="shared" ref="Q13:Q54" si="7">+P13-O13</f>
        <v>39.189315211166104</v>
      </c>
      <c r="R13" s="61">
        <f>(ROUND(N13*4.33,2))</f>
        <v>14.51</v>
      </c>
      <c r="T13" s="50"/>
    </row>
    <row r="14" spans="1:21" s="61" customFormat="1">
      <c r="A14" s="201"/>
      <c r="B14" s="47" t="s">
        <v>197</v>
      </c>
      <c r="C14" s="127" t="s">
        <v>106</v>
      </c>
      <c r="D14" s="58"/>
      <c r="E14" s="71"/>
      <c r="F14" s="129">
        <v>23036</v>
      </c>
      <c r="G14" s="153">
        <f>References!B21</f>
        <v>47</v>
      </c>
      <c r="H14" s="112">
        <f t="shared" si="6"/>
        <v>1082692</v>
      </c>
      <c r="I14" s="46">
        <f>$D$147*H14</f>
        <v>694461.87693157617</v>
      </c>
      <c r="J14" s="69">
        <f>(References!$C$49*I14)</f>
        <v>763.90806462473643</v>
      </c>
      <c r="K14" s="69">
        <f>J14/References!$G$52</f>
        <v>781.57158238667523</v>
      </c>
      <c r="L14" s="69">
        <f t="shared" ref="L14:L40" si="8">K14/F14</f>
        <v>3.3928268032066125E-2</v>
      </c>
      <c r="M14" s="175">
        <v>4.6100000000000003</v>
      </c>
      <c r="N14" s="166">
        <f t="shared" si="5"/>
        <v>4.6439282680320666</v>
      </c>
      <c r="O14" s="69">
        <f t="shared" ref="O14:O40" si="9">F14*M14</f>
        <v>106195.96</v>
      </c>
      <c r="P14" s="69">
        <f t="shared" ref="P14:P40" si="10">F14*N14</f>
        <v>106977.53158238668</v>
      </c>
      <c r="Q14" s="73">
        <f t="shared" si="7"/>
        <v>781.57158238667762</v>
      </c>
      <c r="R14" s="61">
        <f t="shared" ref="R14:R15" si="11">(ROUND(N14*4.33,2))</f>
        <v>20.11</v>
      </c>
      <c r="T14" s="50"/>
    </row>
    <row r="15" spans="1:21" s="61" customFormat="1">
      <c r="A15" s="201"/>
      <c r="B15" s="47" t="s">
        <v>197</v>
      </c>
      <c r="C15" s="127" t="s">
        <v>107</v>
      </c>
      <c r="D15" s="123"/>
      <c r="E15" s="71"/>
      <c r="F15" s="129">
        <v>33592</v>
      </c>
      <c r="G15" s="153">
        <f>References!B22</f>
        <v>68</v>
      </c>
      <c r="H15" s="112">
        <f t="shared" si="6"/>
        <v>2284256</v>
      </c>
      <c r="I15" s="46">
        <f>$D$147*H15</f>
        <v>1465170.8049493434</v>
      </c>
      <c r="J15" s="69">
        <f>(References!$C$49*I15)</f>
        <v>1611.6878854442832</v>
      </c>
      <c r="K15" s="69">
        <f>J15/References!$G$52</f>
        <v>1648.9542515288349</v>
      </c>
      <c r="L15" s="69">
        <f t="shared" si="8"/>
        <v>4.9087706940010564E-2</v>
      </c>
      <c r="M15" s="175">
        <v>5.86</v>
      </c>
      <c r="N15" s="166">
        <f t="shared" si="5"/>
        <v>5.909087706940011</v>
      </c>
      <c r="O15" s="69">
        <f t="shared" si="9"/>
        <v>196849.12000000002</v>
      </c>
      <c r="P15" s="69">
        <f t="shared" si="10"/>
        <v>198498.07425152886</v>
      </c>
      <c r="Q15" s="73">
        <f t="shared" si="7"/>
        <v>1648.954251528834</v>
      </c>
      <c r="R15" s="61">
        <f t="shared" si="11"/>
        <v>25.59</v>
      </c>
      <c r="T15" s="50"/>
    </row>
    <row r="16" spans="1:21" s="61" customFormat="1">
      <c r="A16" s="201"/>
      <c r="B16" s="47" t="s">
        <v>191</v>
      </c>
      <c r="C16" s="127" t="s">
        <v>129</v>
      </c>
      <c r="D16" s="123"/>
      <c r="E16" s="71"/>
      <c r="F16" s="128">
        <v>1296</v>
      </c>
      <c r="G16" s="155">
        <f>References!B28</f>
        <v>250</v>
      </c>
      <c r="H16" s="70">
        <f>F16*G16</f>
        <v>324000</v>
      </c>
      <c r="I16" s="46">
        <f>$D$147*H16</f>
        <v>207820.55111317962</v>
      </c>
      <c r="J16" s="69">
        <f>(References!$C$49*I16)</f>
        <v>228.60260622449837</v>
      </c>
      <c r="K16" s="69">
        <f>J16/References!$G$52</f>
        <v>233.88848600828561</v>
      </c>
      <c r="L16" s="69">
        <f>K16/F16</f>
        <v>0.18046951080886237</v>
      </c>
      <c r="M16" s="175">
        <v>43.08</v>
      </c>
      <c r="N16" s="166">
        <f>L16+M16</f>
        <v>43.260469510808861</v>
      </c>
      <c r="O16" s="69">
        <f>F16*M16</f>
        <v>55831.68</v>
      </c>
      <c r="P16" s="69">
        <f>F16*N16</f>
        <v>56065.568486008284</v>
      </c>
      <c r="Q16" s="73">
        <f t="shared" si="7"/>
        <v>233.88848600828351</v>
      </c>
      <c r="R16" s="50">
        <f t="shared" ref="R16" si="12">ROUND(N16,2)</f>
        <v>43.26</v>
      </c>
      <c r="T16" s="50"/>
    </row>
    <row r="17" spans="1:20" s="61" customFormat="1">
      <c r="A17" s="201"/>
      <c r="B17" s="47">
        <v>28</v>
      </c>
      <c r="C17" s="145" t="s">
        <v>185</v>
      </c>
      <c r="D17" s="146"/>
      <c r="E17" s="147"/>
      <c r="F17" s="148">
        <v>120</v>
      </c>
      <c r="G17" s="156"/>
      <c r="H17" s="149"/>
      <c r="I17" s="150"/>
      <c r="J17" s="151"/>
      <c r="K17" s="151"/>
      <c r="L17" s="151"/>
      <c r="M17" s="178">
        <v>11.38</v>
      </c>
      <c r="N17" s="179">
        <f>L17+M17</f>
        <v>11.38</v>
      </c>
      <c r="O17" s="151">
        <f>F17*M17</f>
        <v>1365.6000000000001</v>
      </c>
      <c r="P17" s="151">
        <f>F17*N17</f>
        <v>1365.6000000000001</v>
      </c>
      <c r="Q17" s="73">
        <f t="shared" si="7"/>
        <v>0</v>
      </c>
      <c r="T17" s="50"/>
    </row>
    <row r="18" spans="1:20" s="61" customFormat="1">
      <c r="A18" s="201"/>
      <c r="B18" s="47">
        <v>28</v>
      </c>
      <c r="C18" s="145" t="s">
        <v>130</v>
      </c>
      <c r="D18" s="146"/>
      <c r="E18" s="147"/>
      <c r="F18" s="148">
        <v>120</v>
      </c>
      <c r="G18" s="156">
        <f>References!B27</f>
        <v>175</v>
      </c>
      <c r="H18" s="149">
        <f>F18*G18</f>
        <v>21000</v>
      </c>
      <c r="I18" s="150">
        <f>$D$147*H18</f>
        <v>13469.850535113494</v>
      </c>
      <c r="J18" s="151">
        <f>(References!$C$49*I18)</f>
        <v>14.816835588624894</v>
      </c>
      <c r="K18" s="151">
        <f>J18/References!$G$52</f>
        <v>15.159438907944438</v>
      </c>
      <c r="L18" s="151">
        <f>K18/F18</f>
        <v>0.12632865756620365</v>
      </c>
      <c r="M18" s="178">
        <v>14.84</v>
      </c>
      <c r="N18" s="179">
        <f>L18+M18</f>
        <v>14.966328657566203</v>
      </c>
      <c r="O18" s="151">
        <f>F18*M18</f>
        <v>1780.8</v>
      </c>
      <c r="P18" s="151">
        <f>F18*N18</f>
        <v>1795.9594389079443</v>
      </c>
      <c r="Q18" s="73">
        <f t="shared" si="7"/>
        <v>15.159438907944377</v>
      </c>
      <c r="R18" s="50">
        <f>(ROUND(N18*4.33,2))+N17</f>
        <v>76.179999999999993</v>
      </c>
      <c r="T18" s="50"/>
    </row>
    <row r="19" spans="1:20" s="61" customFormat="1">
      <c r="A19" s="201"/>
      <c r="B19" s="47">
        <v>28</v>
      </c>
      <c r="C19" s="127" t="s">
        <v>131</v>
      </c>
      <c r="D19" s="123"/>
      <c r="E19" s="71"/>
      <c r="F19" s="128">
        <v>1478.52</v>
      </c>
      <c r="G19" s="157">
        <f>References!B27</f>
        <v>175</v>
      </c>
      <c r="H19" s="70">
        <f>F19*G19</f>
        <v>258741</v>
      </c>
      <c r="I19" s="46">
        <f>$D$147*H19</f>
        <v>165962.02844313337</v>
      </c>
      <c r="J19" s="69">
        <f>(References!$C$49*I19)</f>
        <v>182.55823128744734</v>
      </c>
      <c r="K19" s="69">
        <f>J19/References!$G$52</f>
        <v>186.77944678478343</v>
      </c>
      <c r="L19" s="69">
        <f>K19/F19</f>
        <v>0.12632865756620365</v>
      </c>
      <c r="M19" s="175">
        <v>14.82</v>
      </c>
      <c r="N19" s="166">
        <f>L19+M19</f>
        <v>14.946328657566204</v>
      </c>
      <c r="O19" s="69">
        <f>F19*M19</f>
        <v>21911.666400000002</v>
      </c>
      <c r="P19" s="69">
        <f>F19*N19</f>
        <v>22098.445846784783</v>
      </c>
      <c r="Q19" s="73">
        <f t="shared" si="7"/>
        <v>186.77944678478161</v>
      </c>
      <c r="T19" s="50"/>
    </row>
    <row r="20" spans="1:20" s="61" customFormat="1">
      <c r="A20" s="201"/>
      <c r="B20" s="47">
        <v>28</v>
      </c>
      <c r="C20" s="127" t="s">
        <v>132</v>
      </c>
      <c r="D20" s="58"/>
      <c r="E20" s="71"/>
      <c r="F20" s="129">
        <v>24</v>
      </c>
      <c r="G20" s="157">
        <f>References!B27</f>
        <v>175</v>
      </c>
      <c r="H20" s="70">
        <f t="shared" si="6"/>
        <v>4200</v>
      </c>
      <c r="I20" s="46">
        <f>$D$147*H20</f>
        <v>2693.9701070226988</v>
      </c>
      <c r="J20" s="69">
        <f>(References!$C$49*I20)</f>
        <v>2.963367117724979</v>
      </c>
      <c r="K20" s="69">
        <f>J20/References!$G$52</f>
        <v>3.0318877815888876</v>
      </c>
      <c r="L20" s="69">
        <f t="shared" si="8"/>
        <v>0.12632865756620365</v>
      </c>
      <c r="M20" s="175">
        <v>18.22</v>
      </c>
      <c r="N20" s="166">
        <f t="shared" si="5"/>
        <v>18.346328657566204</v>
      </c>
      <c r="O20" s="69">
        <f t="shared" si="9"/>
        <v>437.28</v>
      </c>
      <c r="P20" s="69">
        <f t="shared" si="10"/>
        <v>440.31188778158889</v>
      </c>
      <c r="Q20" s="73">
        <f t="shared" si="7"/>
        <v>3.0318877815889209</v>
      </c>
      <c r="R20" s="50">
        <f t="shared" ref="R20:R21" si="13">ROUND(N20,2)</f>
        <v>18.350000000000001</v>
      </c>
      <c r="T20" s="50"/>
    </row>
    <row r="21" spans="1:20" s="61" customFormat="1">
      <c r="A21" s="201"/>
      <c r="B21" s="47">
        <v>28</v>
      </c>
      <c r="C21" s="127" t="s">
        <v>133</v>
      </c>
      <c r="D21" s="58"/>
      <c r="E21" s="71"/>
      <c r="F21" s="128">
        <v>120</v>
      </c>
      <c r="G21" s="153">
        <f>References!B27</f>
        <v>175</v>
      </c>
      <c r="H21" s="70">
        <f t="shared" si="6"/>
        <v>21000</v>
      </c>
      <c r="I21" s="46">
        <f>$D$147*H21</f>
        <v>13469.850535113494</v>
      </c>
      <c r="J21" s="69">
        <f>(References!$C$49*I21)</f>
        <v>14.816835588624894</v>
      </c>
      <c r="K21" s="69">
        <f>J21/References!$G$52</f>
        <v>15.159438907944438</v>
      </c>
      <c r="L21" s="69">
        <f t="shared" si="8"/>
        <v>0.12632865756620365</v>
      </c>
      <c r="M21" s="175">
        <v>16.239999999999998</v>
      </c>
      <c r="N21" s="166">
        <f t="shared" si="5"/>
        <v>16.366328657566203</v>
      </c>
      <c r="O21" s="69">
        <f t="shared" si="9"/>
        <v>1948.7999999999997</v>
      </c>
      <c r="P21" s="69">
        <f t="shared" si="10"/>
        <v>1963.9594389079443</v>
      </c>
      <c r="Q21" s="73">
        <f t="shared" si="7"/>
        <v>15.159438907944605</v>
      </c>
      <c r="R21" s="50">
        <f t="shared" si="13"/>
        <v>16.37</v>
      </c>
      <c r="T21" s="50"/>
    </row>
    <row r="22" spans="1:20" s="61" customFormat="1">
      <c r="A22" s="201"/>
      <c r="B22" s="47">
        <v>28</v>
      </c>
      <c r="C22" s="145" t="s">
        <v>177</v>
      </c>
      <c r="D22" s="149"/>
      <c r="E22" s="147"/>
      <c r="F22" s="148">
        <v>1644</v>
      </c>
      <c r="G22" s="156"/>
      <c r="H22" s="149"/>
      <c r="I22" s="150"/>
      <c r="J22" s="151"/>
      <c r="K22" s="151"/>
      <c r="L22" s="151"/>
      <c r="M22" s="178">
        <v>11.93</v>
      </c>
      <c r="N22" s="179">
        <f>L22+M22</f>
        <v>11.93</v>
      </c>
      <c r="O22" s="151">
        <f>F22*M22</f>
        <v>19612.919999999998</v>
      </c>
      <c r="P22" s="151">
        <f>F22*N22</f>
        <v>19612.919999999998</v>
      </c>
      <c r="Q22" s="73">
        <f t="shared" si="7"/>
        <v>0</v>
      </c>
      <c r="T22" s="50"/>
    </row>
    <row r="23" spans="1:20" s="61" customFormat="1">
      <c r="A23" s="201"/>
      <c r="B23" s="47">
        <v>28</v>
      </c>
      <c r="C23" s="145" t="s">
        <v>134</v>
      </c>
      <c r="D23" s="149"/>
      <c r="E23" s="147"/>
      <c r="F23" s="148">
        <v>1644</v>
      </c>
      <c r="G23" s="156">
        <f>References!$B$28</f>
        <v>250</v>
      </c>
      <c r="H23" s="149">
        <f t="shared" si="6"/>
        <v>411000</v>
      </c>
      <c r="I23" s="150">
        <f>$D$147*H23</f>
        <v>263624.21761579264</v>
      </c>
      <c r="J23" s="151">
        <f>(References!$C$49*I23)</f>
        <v>289.98663937737291</v>
      </c>
      <c r="K23" s="151">
        <f>J23/References!$G$52</f>
        <v>296.69187576976969</v>
      </c>
      <c r="L23" s="151">
        <f t="shared" si="8"/>
        <v>0.18046951080886234</v>
      </c>
      <c r="M23" s="178">
        <v>23.1</v>
      </c>
      <c r="N23" s="179">
        <f t="shared" si="5"/>
        <v>23.280469510808864</v>
      </c>
      <c r="O23" s="151">
        <f t="shared" si="9"/>
        <v>37976.400000000001</v>
      </c>
      <c r="P23" s="151">
        <f t="shared" si="10"/>
        <v>38273.091875769773</v>
      </c>
      <c r="Q23" s="73">
        <f t="shared" si="7"/>
        <v>296.69187576977129</v>
      </c>
      <c r="R23" s="50">
        <f>(ROUND(N23*4.33,2))+N22</f>
        <v>112.72999999999999</v>
      </c>
      <c r="T23" s="50"/>
    </row>
    <row r="24" spans="1:20" s="61" customFormat="1">
      <c r="A24" s="201"/>
      <c r="B24" s="47">
        <v>28</v>
      </c>
      <c r="C24" s="127" t="s">
        <v>135</v>
      </c>
      <c r="D24" s="58"/>
      <c r="E24" s="71"/>
      <c r="F24" s="128">
        <v>16263.72</v>
      </c>
      <c r="G24" s="153">
        <f>References!$B$28</f>
        <v>250</v>
      </c>
      <c r="H24" s="70">
        <f t="shared" si="6"/>
        <v>4065930</v>
      </c>
      <c r="I24" s="46">
        <f>$D$147*H24</f>
        <v>2607974.7326778099</v>
      </c>
      <c r="J24" s="69">
        <f>(References!$C$49*I24)</f>
        <v>2868.7722059456005</v>
      </c>
      <c r="K24" s="69">
        <f>J24/References!$G$52</f>
        <v>2935.1055923323106</v>
      </c>
      <c r="L24" s="69">
        <f t="shared" si="8"/>
        <v>0.18046951080886234</v>
      </c>
      <c r="M24" s="175">
        <v>23.1</v>
      </c>
      <c r="N24" s="166">
        <f t="shared" si="5"/>
        <v>23.280469510808864</v>
      </c>
      <c r="O24" s="69">
        <f t="shared" si="9"/>
        <v>375691.93200000003</v>
      </c>
      <c r="P24" s="69">
        <f t="shared" si="10"/>
        <v>378627.03759233234</v>
      </c>
      <c r="Q24" s="73">
        <f t="shared" si="7"/>
        <v>2935.1055923323147</v>
      </c>
      <c r="T24" s="50"/>
    </row>
    <row r="25" spans="1:20" s="61" customFormat="1">
      <c r="A25" s="201"/>
      <c r="B25" s="47">
        <v>28</v>
      </c>
      <c r="C25" s="145" t="s">
        <v>178</v>
      </c>
      <c r="D25" s="149"/>
      <c r="E25" s="147"/>
      <c r="F25" s="148">
        <v>204</v>
      </c>
      <c r="G25" s="156"/>
      <c r="H25" s="149"/>
      <c r="I25" s="150"/>
      <c r="J25" s="151"/>
      <c r="K25" s="151"/>
      <c r="L25" s="151"/>
      <c r="M25" s="178">
        <v>14.91</v>
      </c>
      <c r="N25" s="179">
        <f>L25+M25</f>
        <v>14.91</v>
      </c>
      <c r="O25" s="151">
        <f>F25*M25</f>
        <v>3041.64</v>
      </c>
      <c r="P25" s="151">
        <f>F25*N25</f>
        <v>3041.64</v>
      </c>
      <c r="Q25" s="73">
        <f t="shared" si="7"/>
        <v>0</v>
      </c>
      <c r="T25" s="50"/>
    </row>
    <row r="26" spans="1:20" s="61" customFormat="1">
      <c r="A26" s="201"/>
      <c r="B26" s="47">
        <v>28</v>
      </c>
      <c r="C26" s="145" t="s">
        <v>138</v>
      </c>
      <c r="D26" s="149"/>
      <c r="E26" s="147"/>
      <c r="F26" s="148">
        <v>204</v>
      </c>
      <c r="G26" s="156">
        <f>References!$B$29</f>
        <v>324</v>
      </c>
      <c r="H26" s="149">
        <f t="shared" si="6"/>
        <v>66096</v>
      </c>
      <c r="I26" s="150">
        <f>$D$147*H26</f>
        <v>42395.392427088642</v>
      </c>
      <c r="J26" s="151">
        <f>(References!$C$49*I26)</f>
        <v>46.634931669797666</v>
      </c>
      <c r="K26" s="151">
        <f>J26/References!$G$52</f>
        <v>47.713251145690265</v>
      </c>
      <c r="L26" s="151">
        <f t="shared" si="8"/>
        <v>0.2338884860082856</v>
      </c>
      <c r="M26" s="178">
        <v>26.88</v>
      </c>
      <c r="N26" s="179">
        <f t="shared" si="5"/>
        <v>27.113888486008285</v>
      </c>
      <c r="O26" s="151">
        <f t="shared" si="9"/>
        <v>5483.5199999999995</v>
      </c>
      <c r="P26" s="151">
        <f t="shared" si="10"/>
        <v>5531.2332511456898</v>
      </c>
      <c r="Q26" s="73">
        <f t="shared" si="7"/>
        <v>47.713251145690265</v>
      </c>
      <c r="R26" s="50">
        <f>(ROUND(N26*4.33,2))+N25</f>
        <v>132.31</v>
      </c>
      <c r="T26" s="50"/>
    </row>
    <row r="27" spans="1:20" s="61" customFormat="1">
      <c r="A27" s="201"/>
      <c r="B27" s="47">
        <v>28</v>
      </c>
      <c r="C27" s="127" t="s">
        <v>139</v>
      </c>
      <c r="D27" s="58"/>
      <c r="E27" s="71"/>
      <c r="F27" s="128">
        <v>2917.08</v>
      </c>
      <c r="G27" s="153">
        <f>References!$B$29</f>
        <v>324</v>
      </c>
      <c r="H27" s="70">
        <f t="shared" si="6"/>
        <v>945133.91999999993</v>
      </c>
      <c r="I27" s="46">
        <f>$D$147*H27</f>
        <v>606229.17324123392</v>
      </c>
      <c r="J27" s="69">
        <f>(References!$C$49*I27)</f>
        <v>666.85209056535962</v>
      </c>
      <c r="K27" s="69">
        <f>J27/References!$G$52</f>
        <v>682.27142476504969</v>
      </c>
      <c r="L27" s="69">
        <f t="shared" si="8"/>
        <v>0.23388848600828557</v>
      </c>
      <c r="M27" s="175">
        <v>26.88</v>
      </c>
      <c r="N27" s="166">
        <f t="shared" si="5"/>
        <v>27.113888486008285</v>
      </c>
      <c r="O27" s="69">
        <f t="shared" si="9"/>
        <v>78411.11039999999</v>
      </c>
      <c r="P27" s="69">
        <f t="shared" si="10"/>
        <v>79093.381824765049</v>
      </c>
      <c r="Q27" s="73">
        <f t="shared" si="7"/>
        <v>682.27142476505833</v>
      </c>
      <c r="T27" s="50"/>
    </row>
    <row r="28" spans="1:20" s="61" customFormat="1">
      <c r="A28" s="201"/>
      <c r="B28" s="47">
        <v>28</v>
      </c>
      <c r="C28" s="145" t="s">
        <v>179</v>
      </c>
      <c r="D28" s="149"/>
      <c r="E28" s="147"/>
      <c r="F28" s="148">
        <v>36</v>
      </c>
      <c r="G28" s="156"/>
      <c r="H28" s="149"/>
      <c r="I28" s="150"/>
      <c r="J28" s="151"/>
      <c r="K28" s="151"/>
      <c r="L28" s="151"/>
      <c r="M28" s="178">
        <v>16.96</v>
      </c>
      <c r="N28" s="179">
        <f>L28+M28</f>
        <v>16.96</v>
      </c>
      <c r="O28" s="151">
        <f>F28*M28</f>
        <v>610.56000000000006</v>
      </c>
      <c r="P28" s="151">
        <f>F28*N28</f>
        <v>610.56000000000006</v>
      </c>
      <c r="Q28" s="73">
        <f t="shared" si="7"/>
        <v>0</v>
      </c>
      <c r="T28" s="50"/>
    </row>
    <row r="29" spans="1:20" s="61" customFormat="1">
      <c r="A29" s="201"/>
      <c r="B29" s="47">
        <v>28</v>
      </c>
      <c r="C29" s="145" t="s">
        <v>142</v>
      </c>
      <c r="D29" s="149"/>
      <c r="E29" s="147"/>
      <c r="F29" s="148">
        <v>36</v>
      </c>
      <c r="G29" s="156">
        <f>References!$B$30</f>
        <v>473</v>
      </c>
      <c r="H29" s="149">
        <f t="shared" si="6"/>
        <v>17028</v>
      </c>
      <c r="I29" s="150">
        <f>$D$147*H29</f>
        <v>10922.124519614885</v>
      </c>
      <c r="J29" s="151">
        <f>(References!$C$49*I29)</f>
        <v>12.014336971576414</v>
      </c>
      <c r="K29" s="151">
        <f>J29/References!$G$52</f>
        <v>12.292139320213233</v>
      </c>
      <c r="L29" s="151">
        <f t="shared" si="8"/>
        <v>0.34144831445036755</v>
      </c>
      <c r="M29" s="178">
        <v>39.659999999999997</v>
      </c>
      <c r="N29" s="179">
        <f t="shared" si="5"/>
        <v>40.001448314450364</v>
      </c>
      <c r="O29" s="151">
        <f t="shared" si="9"/>
        <v>1427.7599999999998</v>
      </c>
      <c r="P29" s="151">
        <f t="shared" si="10"/>
        <v>1440.0521393202132</v>
      </c>
      <c r="Q29" s="73">
        <f t="shared" si="7"/>
        <v>12.292139320213437</v>
      </c>
      <c r="R29" s="50">
        <f>(ROUND(N29*4.33,2))+N28</f>
        <v>190.17000000000002</v>
      </c>
      <c r="T29" s="50"/>
    </row>
    <row r="30" spans="1:20" s="61" customFormat="1">
      <c r="A30" s="201"/>
      <c r="B30" s="47">
        <v>28</v>
      </c>
      <c r="C30" s="127" t="s">
        <v>143</v>
      </c>
      <c r="D30" s="58"/>
      <c r="E30" s="71"/>
      <c r="F30" s="129">
        <v>399.59999999999997</v>
      </c>
      <c r="G30" s="153">
        <f>References!$B$30</f>
        <v>473</v>
      </c>
      <c r="H30" s="70">
        <f t="shared" si="6"/>
        <v>189010.8</v>
      </c>
      <c r="I30" s="46">
        <f>$D$147*H30</f>
        <v>121235.58216772521</v>
      </c>
      <c r="J30" s="69">
        <f>(References!$C$49*I30)</f>
        <v>133.35914038449818</v>
      </c>
      <c r="K30" s="69">
        <f>J30/References!$G$52</f>
        <v>136.44274645436687</v>
      </c>
      <c r="L30" s="69">
        <f t="shared" si="8"/>
        <v>0.34144831445036755</v>
      </c>
      <c r="M30" s="175">
        <v>39.659999999999997</v>
      </c>
      <c r="N30" s="166">
        <f t="shared" si="5"/>
        <v>40.001448314450364</v>
      </c>
      <c r="O30" s="69">
        <f t="shared" si="9"/>
        <v>15848.135999999997</v>
      </c>
      <c r="P30" s="69">
        <f t="shared" si="10"/>
        <v>15984.578746454365</v>
      </c>
      <c r="Q30" s="73">
        <f t="shared" si="7"/>
        <v>136.44274645436781</v>
      </c>
      <c r="T30" s="50"/>
    </row>
    <row r="31" spans="1:20" s="61" customFormat="1">
      <c r="A31" s="201"/>
      <c r="B31" s="47">
        <v>28</v>
      </c>
      <c r="C31" s="127" t="s">
        <v>145</v>
      </c>
      <c r="D31" s="58"/>
      <c r="E31" s="71"/>
      <c r="F31" s="128">
        <v>12</v>
      </c>
      <c r="G31" s="153">
        <f>References!$B$30</f>
        <v>473</v>
      </c>
      <c r="H31" s="70">
        <f t="shared" si="6"/>
        <v>5676</v>
      </c>
      <c r="I31" s="46">
        <f>$D$147*H31</f>
        <v>3640.7081732049614</v>
      </c>
      <c r="J31" s="69">
        <f>(References!$C$49*I31)</f>
        <v>4.0047789905254714</v>
      </c>
      <c r="K31" s="69">
        <f>J31/References!$G$52</f>
        <v>4.0973797734044108</v>
      </c>
      <c r="L31" s="69">
        <f t="shared" si="8"/>
        <v>0.34144831445036755</v>
      </c>
      <c r="M31" s="175">
        <v>42.56</v>
      </c>
      <c r="N31" s="166">
        <f t="shared" si="5"/>
        <v>42.90144831445037</v>
      </c>
      <c r="O31" s="69">
        <f t="shared" si="9"/>
        <v>510.72</v>
      </c>
      <c r="P31" s="69">
        <f t="shared" si="10"/>
        <v>514.81737977340447</v>
      </c>
      <c r="Q31" s="73">
        <f t="shared" si="7"/>
        <v>4.097379773404441</v>
      </c>
      <c r="R31" s="50">
        <f t="shared" ref="R31" si="14">ROUND(N31,2)</f>
        <v>42.9</v>
      </c>
      <c r="T31" s="50"/>
    </row>
    <row r="32" spans="1:20" s="61" customFormat="1">
      <c r="A32" s="201"/>
      <c r="B32" s="47">
        <v>28</v>
      </c>
      <c r="C32" s="145" t="s">
        <v>180</v>
      </c>
      <c r="D32" s="149"/>
      <c r="E32" s="147"/>
      <c r="F32" s="148">
        <v>36</v>
      </c>
      <c r="G32" s="156"/>
      <c r="H32" s="149"/>
      <c r="I32" s="150"/>
      <c r="J32" s="151"/>
      <c r="K32" s="151"/>
      <c r="L32" s="151"/>
      <c r="M32" s="178">
        <v>18.5</v>
      </c>
      <c r="N32" s="179">
        <f>L32+M32</f>
        <v>18.5</v>
      </c>
      <c r="O32" s="151">
        <f>F32*M32</f>
        <v>666</v>
      </c>
      <c r="P32" s="151">
        <f>F32*N32</f>
        <v>666</v>
      </c>
      <c r="Q32" s="73">
        <f t="shared" si="7"/>
        <v>0</v>
      </c>
      <c r="T32" s="50"/>
    </row>
    <row r="33" spans="1:20" s="61" customFormat="1">
      <c r="A33" s="201"/>
      <c r="B33" s="47">
        <v>28</v>
      </c>
      <c r="C33" s="145" t="s">
        <v>146</v>
      </c>
      <c r="D33" s="149"/>
      <c r="E33" s="147"/>
      <c r="F33" s="148">
        <v>36</v>
      </c>
      <c r="G33" s="156">
        <f>References!$B$31</f>
        <v>613</v>
      </c>
      <c r="H33" s="149">
        <f t="shared" si="6"/>
        <v>22068</v>
      </c>
      <c r="I33" s="150">
        <f>$D$147*H33</f>
        <v>14154.888648042122</v>
      </c>
      <c r="J33" s="151">
        <f>(References!$C$49*I33)</f>
        <v>15.570377512846388</v>
      </c>
      <c r="K33" s="151">
        <f>J33/References!$G$52</f>
        <v>15.930404658119897</v>
      </c>
      <c r="L33" s="151">
        <f t="shared" si="8"/>
        <v>0.44251124050333046</v>
      </c>
      <c r="M33" s="178">
        <v>52.35</v>
      </c>
      <c r="N33" s="179">
        <f t="shared" si="5"/>
        <v>52.79251124050333</v>
      </c>
      <c r="O33" s="151">
        <f t="shared" si="9"/>
        <v>1884.6000000000001</v>
      </c>
      <c r="P33" s="151">
        <f t="shared" si="10"/>
        <v>1900.53040465812</v>
      </c>
      <c r="Q33" s="73">
        <f t="shared" si="7"/>
        <v>15.930404658119869</v>
      </c>
      <c r="R33" s="50">
        <f>(ROUND(N33*4.33,2))+N32</f>
        <v>247.09</v>
      </c>
      <c r="T33" s="50"/>
    </row>
    <row r="34" spans="1:20" s="61" customFormat="1">
      <c r="A34" s="201"/>
      <c r="B34" s="47">
        <v>28</v>
      </c>
      <c r="C34" s="127" t="s">
        <v>147</v>
      </c>
      <c r="D34" s="58"/>
      <c r="E34" s="71"/>
      <c r="F34" s="129">
        <v>399.59999999999997</v>
      </c>
      <c r="G34" s="157">
        <f>References!$B$31</f>
        <v>613</v>
      </c>
      <c r="H34" s="70">
        <f t="shared" si="6"/>
        <v>244954.8</v>
      </c>
      <c r="I34" s="46">
        <f>$D$147*H34</f>
        <v>157119.26399326755</v>
      </c>
      <c r="J34" s="69">
        <f>(References!$C$49*I34)</f>
        <v>172.83119039259489</v>
      </c>
      <c r="K34" s="69">
        <f>J34/References!$G$52</f>
        <v>176.82749170513085</v>
      </c>
      <c r="L34" s="69">
        <f t="shared" si="8"/>
        <v>0.44251124050333052</v>
      </c>
      <c r="M34" s="175">
        <v>52.35</v>
      </c>
      <c r="N34" s="166">
        <f t="shared" si="5"/>
        <v>52.79251124050333</v>
      </c>
      <c r="O34" s="69">
        <f t="shared" si="9"/>
        <v>20919.059999999998</v>
      </c>
      <c r="P34" s="69">
        <f t="shared" si="10"/>
        <v>21095.887491705129</v>
      </c>
      <c r="Q34" s="73">
        <f t="shared" si="7"/>
        <v>176.82749170513125</v>
      </c>
      <c r="T34" s="50"/>
    </row>
    <row r="35" spans="1:20" s="61" customFormat="1">
      <c r="A35" s="201"/>
      <c r="B35" s="47">
        <v>28</v>
      </c>
      <c r="C35" s="127" t="s">
        <v>148</v>
      </c>
      <c r="D35" s="58"/>
      <c r="E35" s="71"/>
      <c r="F35" s="129">
        <v>1</v>
      </c>
      <c r="G35" s="157">
        <f>References!$B$31</f>
        <v>613</v>
      </c>
      <c r="H35" s="70">
        <f t="shared" ref="H35:H40" si="15">F35*G35</f>
        <v>613</v>
      </c>
      <c r="I35" s="46">
        <f>$D$147*H35</f>
        <v>393.19135133450345</v>
      </c>
      <c r="J35" s="69">
        <f>(References!$C$49*I35)</f>
        <v>0.43251048646795526</v>
      </c>
      <c r="K35" s="69">
        <f>J35/References!$G$52</f>
        <v>0.44251124050333052</v>
      </c>
      <c r="L35" s="69">
        <f t="shared" si="8"/>
        <v>0.44251124050333052</v>
      </c>
      <c r="M35" s="175">
        <v>55.26</v>
      </c>
      <c r="N35" s="166">
        <f t="shared" si="5"/>
        <v>55.702511240503327</v>
      </c>
      <c r="O35" s="69">
        <f t="shared" si="9"/>
        <v>55.26</v>
      </c>
      <c r="P35" s="69">
        <f t="shared" si="10"/>
        <v>55.702511240503327</v>
      </c>
      <c r="Q35" s="73">
        <f t="shared" si="7"/>
        <v>0.44251124050332891</v>
      </c>
      <c r="R35" s="50">
        <f t="shared" ref="R35:R36" si="16">ROUND(N35,2)</f>
        <v>55.7</v>
      </c>
      <c r="T35" s="50"/>
    </row>
    <row r="36" spans="1:20" s="61" customFormat="1">
      <c r="A36" s="201"/>
      <c r="B36" s="47">
        <v>28</v>
      </c>
      <c r="C36" s="127" t="s">
        <v>149</v>
      </c>
      <c r="D36" s="58"/>
      <c r="E36" s="71"/>
      <c r="F36" s="128">
        <v>1</v>
      </c>
      <c r="G36" s="157">
        <f>References!$B$31</f>
        <v>613</v>
      </c>
      <c r="H36" s="70">
        <f t="shared" si="15"/>
        <v>613</v>
      </c>
      <c r="I36" s="46">
        <f>$D$147*H36</f>
        <v>393.19135133450345</v>
      </c>
      <c r="J36" s="69">
        <f>(References!$C$49*I36)</f>
        <v>0.43251048646795526</v>
      </c>
      <c r="K36" s="69">
        <f>J36/References!$G$52</f>
        <v>0.44251124050333052</v>
      </c>
      <c r="L36" s="69">
        <f t="shared" si="8"/>
        <v>0.44251124050333052</v>
      </c>
      <c r="M36" s="175">
        <v>56.46</v>
      </c>
      <c r="N36" s="166">
        <f t="shared" si="5"/>
        <v>56.90251124050333</v>
      </c>
      <c r="O36" s="69">
        <f t="shared" si="9"/>
        <v>56.46</v>
      </c>
      <c r="P36" s="69">
        <f t="shared" si="10"/>
        <v>56.90251124050333</v>
      </c>
      <c r="Q36" s="73">
        <f t="shared" si="7"/>
        <v>0.44251124050332891</v>
      </c>
      <c r="R36" s="50">
        <f t="shared" si="16"/>
        <v>56.9</v>
      </c>
      <c r="T36" s="50"/>
    </row>
    <row r="37" spans="1:20" s="61" customFormat="1">
      <c r="A37" s="201"/>
      <c r="B37" s="47">
        <v>28</v>
      </c>
      <c r="C37" s="145" t="s">
        <v>181</v>
      </c>
      <c r="D37" s="149"/>
      <c r="E37" s="147"/>
      <c r="F37" s="148">
        <v>2</v>
      </c>
      <c r="G37" s="156"/>
      <c r="H37" s="149"/>
      <c r="I37" s="150"/>
      <c r="J37" s="151"/>
      <c r="K37" s="151"/>
      <c r="L37" s="151"/>
      <c r="M37" s="178">
        <v>18.75</v>
      </c>
      <c r="N37" s="179">
        <f>L37+M37</f>
        <v>18.75</v>
      </c>
      <c r="O37" s="151">
        <f>F37*M37</f>
        <v>37.5</v>
      </c>
      <c r="P37" s="151">
        <f>F37*N37</f>
        <v>37.5</v>
      </c>
      <c r="Q37" s="73">
        <f t="shared" si="7"/>
        <v>0</v>
      </c>
      <c r="T37" s="50"/>
    </row>
    <row r="38" spans="1:20" s="61" customFormat="1">
      <c r="A38" s="201"/>
      <c r="B38" s="47">
        <v>28</v>
      </c>
      <c r="C38" s="145" t="s">
        <v>150</v>
      </c>
      <c r="D38" s="149"/>
      <c r="E38" s="147"/>
      <c r="F38" s="148">
        <v>2</v>
      </c>
      <c r="G38" s="158">
        <v>766.25</v>
      </c>
      <c r="H38" s="152">
        <f t="shared" si="15"/>
        <v>1532.5</v>
      </c>
      <c r="I38" s="150">
        <f>$D$147*H38</f>
        <v>982.97837833625852</v>
      </c>
      <c r="J38" s="151">
        <f>(References!$C$49*I38)</f>
        <v>1.0812762161698881</v>
      </c>
      <c r="K38" s="151">
        <f>J38/References!$G$52</f>
        <v>1.1062781012583263</v>
      </c>
      <c r="L38" s="151">
        <f t="shared" si="8"/>
        <v>0.55313905062916313</v>
      </c>
      <c r="M38" s="178">
        <v>63</v>
      </c>
      <c r="N38" s="179">
        <f t="shared" si="5"/>
        <v>63.553139050629163</v>
      </c>
      <c r="O38" s="151">
        <f t="shared" si="9"/>
        <v>126</v>
      </c>
      <c r="P38" s="151">
        <f t="shared" si="10"/>
        <v>127.10627810125833</v>
      </c>
      <c r="Q38" s="73">
        <f t="shared" si="7"/>
        <v>1.1062781012583258</v>
      </c>
      <c r="R38" s="50">
        <f>(ROUND(N38*4.33,2))+N37</f>
        <v>293.94</v>
      </c>
      <c r="T38" s="50"/>
    </row>
    <row r="39" spans="1:20" s="61" customFormat="1">
      <c r="A39" s="201"/>
      <c r="B39" s="47">
        <v>28</v>
      </c>
      <c r="C39" s="127" t="s">
        <v>151</v>
      </c>
      <c r="D39" s="58"/>
      <c r="E39" s="71"/>
      <c r="F39" s="128">
        <v>19.98</v>
      </c>
      <c r="G39" s="155">
        <v>766.25</v>
      </c>
      <c r="H39" s="112">
        <f t="shared" si="15"/>
        <v>15309.675000000001</v>
      </c>
      <c r="I39" s="46">
        <f>$D$147*H39</f>
        <v>9819.9539995792238</v>
      </c>
      <c r="J39" s="69">
        <f>(References!$C$49*I39)</f>
        <v>10.801949399537182</v>
      </c>
      <c r="K39" s="69">
        <f>J39/References!$G$52</f>
        <v>11.05171823157068</v>
      </c>
      <c r="L39" s="69">
        <f t="shared" si="8"/>
        <v>0.55313905062916313</v>
      </c>
      <c r="M39" s="175">
        <v>63</v>
      </c>
      <c r="N39" s="166">
        <f t="shared" si="5"/>
        <v>63.553139050629163</v>
      </c>
      <c r="O39" s="69">
        <f t="shared" si="9"/>
        <v>1258.74</v>
      </c>
      <c r="P39" s="69">
        <f t="shared" si="10"/>
        <v>1269.7917182315707</v>
      </c>
      <c r="Q39" s="73">
        <f t="shared" si="7"/>
        <v>11.051718231570703</v>
      </c>
      <c r="T39" s="50"/>
    </row>
    <row r="40" spans="1:20" s="61" customFormat="1">
      <c r="A40" s="201"/>
      <c r="B40" s="47">
        <v>28</v>
      </c>
      <c r="C40" s="127" t="s">
        <v>152</v>
      </c>
      <c r="D40" s="58"/>
      <c r="E40" s="71"/>
      <c r="F40" s="129">
        <v>1</v>
      </c>
      <c r="G40" s="155">
        <v>766.25</v>
      </c>
      <c r="H40" s="112">
        <f t="shared" si="15"/>
        <v>766.25</v>
      </c>
      <c r="I40" s="46">
        <f>$D$147*H40</f>
        <v>491.48918916812926</v>
      </c>
      <c r="J40" s="69">
        <f>(References!$C$49*I40)</f>
        <v>0.54063810808494406</v>
      </c>
      <c r="K40" s="69">
        <f>J40/References!$G$52</f>
        <v>0.55313905062916313</v>
      </c>
      <c r="L40" s="69">
        <f t="shared" si="8"/>
        <v>0.55313905062916313</v>
      </c>
      <c r="M40" s="175">
        <v>70.33</v>
      </c>
      <c r="N40" s="166">
        <f t="shared" si="5"/>
        <v>70.883139050629168</v>
      </c>
      <c r="O40" s="69">
        <f t="shared" si="9"/>
        <v>70.33</v>
      </c>
      <c r="P40" s="69">
        <f t="shared" si="10"/>
        <v>70.883139050629168</v>
      </c>
      <c r="Q40" s="73">
        <f t="shared" si="7"/>
        <v>0.55313905062917001</v>
      </c>
      <c r="R40" s="50">
        <f t="shared" ref="R40:R41" si="17">ROUND(N40,2)</f>
        <v>70.88</v>
      </c>
      <c r="T40" s="50"/>
    </row>
    <row r="41" spans="1:20" s="61" customFormat="1">
      <c r="A41" s="201"/>
      <c r="B41" s="47">
        <v>28</v>
      </c>
      <c r="C41" s="127" t="s">
        <v>153</v>
      </c>
      <c r="D41" s="58"/>
      <c r="E41" s="71"/>
      <c r="F41" s="129">
        <v>1</v>
      </c>
      <c r="G41" s="155">
        <v>766.25</v>
      </c>
      <c r="H41" s="112">
        <f t="shared" ref="H41:H47" si="18">F41*G41</f>
        <v>766.25</v>
      </c>
      <c r="I41" s="46">
        <f>$D$147*H41</f>
        <v>491.48918916812926</v>
      </c>
      <c r="J41" s="69">
        <f>(References!$C$49*I41)</f>
        <v>0.54063810808494406</v>
      </c>
      <c r="K41" s="69">
        <f>J41/References!$G$52</f>
        <v>0.55313905062916313</v>
      </c>
      <c r="L41" s="69">
        <f t="shared" ref="L41:L47" si="19">K41/F41</f>
        <v>0.55313905062916313</v>
      </c>
      <c r="M41" s="175">
        <v>65.67</v>
      </c>
      <c r="N41" s="166">
        <f t="shared" ref="N41:N47" si="20">L41+M41</f>
        <v>66.223139050629172</v>
      </c>
      <c r="O41" s="69">
        <f t="shared" ref="O41:O47" si="21">F41*M41</f>
        <v>65.67</v>
      </c>
      <c r="P41" s="69">
        <f t="shared" ref="P41:P47" si="22">F41*N41</f>
        <v>66.223139050629172</v>
      </c>
      <c r="Q41" s="73">
        <f t="shared" si="7"/>
        <v>0.55313905062917001</v>
      </c>
      <c r="R41" s="50">
        <f t="shared" si="17"/>
        <v>66.22</v>
      </c>
      <c r="T41" s="50"/>
    </row>
    <row r="42" spans="1:20" s="61" customFormat="1">
      <c r="A42" s="201"/>
      <c r="B42" s="47" t="s">
        <v>197</v>
      </c>
      <c r="C42" s="145" t="s">
        <v>182</v>
      </c>
      <c r="D42" s="149"/>
      <c r="E42" s="147"/>
      <c r="F42" s="148">
        <v>7</v>
      </c>
      <c r="G42" s="156"/>
      <c r="H42" s="152"/>
      <c r="I42" s="150"/>
      <c r="J42" s="151"/>
      <c r="K42" s="151"/>
      <c r="L42" s="151"/>
      <c r="M42" s="178">
        <v>18.72</v>
      </c>
      <c r="N42" s="179">
        <f>L42+M42</f>
        <v>18.72</v>
      </c>
      <c r="O42" s="151">
        <f>F42*M42</f>
        <v>131.04</v>
      </c>
      <c r="P42" s="151">
        <f>F42*N42</f>
        <v>131.04</v>
      </c>
      <c r="Q42" s="73">
        <f t="shared" si="7"/>
        <v>0</v>
      </c>
      <c r="T42" s="50"/>
    </row>
    <row r="43" spans="1:20" s="61" customFormat="1">
      <c r="A43" s="201"/>
      <c r="B43" s="47" t="s">
        <v>197</v>
      </c>
      <c r="C43" s="145" t="s">
        <v>154</v>
      </c>
      <c r="D43" s="149"/>
      <c r="E43" s="147"/>
      <c r="F43" s="148">
        <v>7</v>
      </c>
      <c r="G43" s="156">
        <f>References!B32</f>
        <v>840</v>
      </c>
      <c r="H43" s="152">
        <f t="shared" si="18"/>
        <v>5880</v>
      </c>
      <c r="I43" s="150">
        <f>$D$147*H43</f>
        <v>3771.5581498317783</v>
      </c>
      <c r="J43" s="151">
        <f>(References!$C$49*I43)</f>
        <v>4.14871396481497</v>
      </c>
      <c r="K43" s="151">
        <f>J43/References!$G$52</f>
        <v>4.2446428942244419</v>
      </c>
      <c r="L43" s="151">
        <f t="shared" si="19"/>
        <v>0.60637755631777746</v>
      </c>
      <c r="M43" s="178">
        <v>72.73</v>
      </c>
      <c r="N43" s="179">
        <f t="shared" si="20"/>
        <v>73.336377556317785</v>
      </c>
      <c r="O43" s="151">
        <f t="shared" si="21"/>
        <v>509.11</v>
      </c>
      <c r="P43" s="151">
        <f t="shared" si="22"/>
        <v>513.35464289422453</v>
      </c>
      <c r="Q43" s="73">
        <f t="shared" si="7"/>
        <v>4.244642894224512</v>
      </c>
      <c r="R43" s="50">
        <f>(ROUND(N43*4.33,2))+N42</f>
        <v>336.27</v>
      </c>
      <c r="T43" s="50"/>
    </row>
    <row r="44" spans="1:20" s="61" customFormat="1">
      <c r="A44" s="201"/>
      <c r="B44" s="47" t="s">
        <v>197</v>
      </c>
      <c r="C44" s="127" t="s">
        <v>155</v>
      </c>
      <c r="D44" s="58"/>
      <c r="E44" s="71"/>
      <c r="F44" s="129">
        <v>76.59</v>
      </c>
      <c r="G44" s="153">
        <f>References!B32</f>
        <v>840</v>
      </c>
      <c r="H44" s="112">
        <f t="shared" si="18"/>
        <v>64335.600000000006</v>
      </c>
      <c r="I44" s="46">
        <f>$D$147*H44</f>
        <v>41266.234099373702</v>
      </c>
      <c r="J44" s="69">
        <f>(References!$C$49*I44)</f>
        <v>45.392857509311227</v>
      </c>
      <c r="K44" s="69">
        <f>J44/References!$G$52</f>
        <v>46.442457038378578</v>
      </c>
      <c r="L44" s="69">
        <f t="shared" si="19"/>
        <v>0.60637755631777746</v>
      </c>
      <c r="M44" s="175">
        <v>72.73</v>
      </c>
      <c r="N44" s="166">
        <f t="shared" si="20"/>
        <v>73.336377556317785</v>
      </c>
      <c r="O44" s="69">
        <f t="shared" si="21"/>
        <v>5570.3907000000008</v>
      </c>
      <c r="P44" s="69">
        <f t="shared" si="22"/>
        <v>5616.8331570383798</v>
      </c>
      <c r="Q44" s="73">
        <f t="shared" si="7"/>
        <v>46.442457038378961</v>
      </c>
      <c r="T44" s="50"/>
    </row>
    <row r="45" spans="1:20" s="61" customFormat="1">
      <c r="A45" s="201"/>
      <c r="B45" s="47" t="s">
        <v>197</v>
      </c>
      <c r="C45" s="127" t="s">
        <v>156</v>
      </c>
      <c r="D45" s="58"/>
      <c r="E45" s="71"/>
      <c r="F45" s="129">
        <v>1</v>
      </c>
      <c r="G45" s="153">
        <f>References!B32</f>
        <v>840</v>
      </c>
      <c r="H45" s="112">
        <f t="shared" si="18"/>
        <v>840</v>
      </c>
      <c r="I45" s="46">
        <f>$D$147*H45</f>
        <v>538.79402140453976</v>
      </c>
      <c r="J45" s="69">
        <f>(References!$C$49*I45)</f>
        <v>0.59267342354499575</v>
      </c>
      <c r="K45" s="69">
        <f>J45/References!$G$52</f>
        <v>0.60637755631777746</v>
      </c>
      <c r="L45" s="69">
        <f t="shared" si="19"/>
        <v>0.60637755631777746</v>
      </c>
      <c r="M45" s="175">
        <v>78.84</v>
      </c>
      <c r="N45" s="166">
        <f t="shared" si="20"/>
        <v>79.446377556317785</v>
      </c>
      <c r="O45" s="69">
        <f t="shared" si="21"/>
        <v>78.84</v>
      </c>
      <c r="P45" s="69">
        <f t="shared" si="22"/>
        <v>79.446377556317785</v>
      </c>
      <c r="Q45" s="73">
        <f t="shared" si="7"/>
        <v>0.60637755631778134</v>
      </c>
      <c r="R45" s="50">
        <f t="shared" ref="R45" si="23">ROUND(N45,2)</f>
        <v>79.45</v>
      </c>
      <c r="T45" s="50"/>
    </row>
    <row r="46" spans="1:20" s="61" customFormat="1">
      <c r="A46" s="201"/>
      <c r="B46" s="47" t="s">
        <v>197</v>
      </c>
      <c r="C46" s="145" t="s">
        <v>183</v>
      </c>
      <c r="D46" s="149"/>
      <c r="E46" s="147"/>
      <c r="F46" s="148">
        <v>1</v>
      </c>
      <c r="G46" s="156"/>
      <c r="H46" s="152"/>
      <c r="I46" s="150"/>
      <c r="J46" s="151"/>
      <c r="K46" s="151"/>
      <c r="L46" s="151"/>
      <c r="M46" s="178">
        <v>20.04</v>
      </c>
      <c r="N46" s="179">
        <f>L46+M46</f>
        <v>20.04</v>
      </c>
      <c r="O46" s="151">
        <f>F46*M46</f>
        <v>20.04</v>
      </c>
      <c r="P46" s="151">
        <f>F46*N46</f>
        <v>20.04</v>
      </c>
      <c r="Q46" s="73">
        <f t="shared" si="7"/>
        <v>0</v>
      </c>
      <c r="T46" s="50"/>
    </row>
    <row r="47" spans="1:20" s="61" customFormat="1">
      <c r="A47" s="201"/>
      <c r="B47" s="47" t="s">
        <v>197</v>
      </c>
      <c r="C47" s="145" t="s">
        <v>157</v>
      </c>
      <c r="D47" s="149"/>
      <c r="E47" s="147"/>
      <c r="F47" s="148">
        <v>1</v>
      </c>
      <c r="G47" s="159">
        <f>References!B33</f>
        <v>980</v>
      </c>
      <c r="H47" s="152">
        <f t="shared" si="18"/>
        <v>980</v>
      </c>
      <c r="I47" s="150">
        <f t="shared" ref="I47:I54" si="24">$D$147*H47</f>
        <v>628.59302497196302</v>
      </c>
      <c r="J47" s="151">
        <f>(References!$C$49*I47)</f>
        <v>0.69145232746916163</v>
      </c>
      <c r="K47" s="151">
        <f>J47/References!$G$52</f>
        <v>0.70744048237074031</v>
      </c>
      <c r="L47" s="151">
        <f t="shared" si="19"/>
        <v>0.70744048237074031</v>
      </c>
      <c r="M47" s="178">
        <v>82.64</v>
      </c>
      <c r="N47" s="179">
        <f t="shared" si="20"/>
        <v>83.347440482370743</v>
      </c>
      <c r="O47" s="151">
        <f t="shared" si="21"/>
        <v>82.64</v>
      </c>
      <c r="P47" s="151">
        <f t="shared" si="22"/>
        <v>83.347440482370743</v>
      </c>
      <c r="Q47" s="73">
        <f t="shared" si="7"/>
        <v>0.70744048237074253</v>
      </c>
      <c r="R47" s="50">
        <f>(ROUND(N47*4.33,2))+N46</f>
        <v>380.93</v>
      </c>
      <c r="T47" s="50"/>
    </row>
    <row r="48" spans="1:20" s="61" customFormat="1">
      <c r="A48" s="201"/>
      <c r="B48" s="47" t="s">
        <v>197</v>
      </c>
      <c r="C48" s="127" t="s">
        <v>158</v>
      </c>
      <c r="D48" s="58"/>
      <c r="E48" s="71"/>
      <c r="F48" s="128">
        <v>23.310000000000002</v>
      </c>
      <c r="G48" s="154">
        <f>References!B33</f>
        <v>980</v>
      </c>
      <c r="H48" s="112">
        <f t="shared" ref="H48:H69" si="25">F48*G48</f>
        <v>22843.800000000003</v>
      </c>
      <c r="I48" s="46">
        <f t="shared" si="24"/>
        <v>14652.503412096461</v>
      </c>
      <c r="J48" s="69">
        <f>(References!$C$49*I48)</f>
        <v>16.117753753306161</v>
      </c>
      <c r="K48" s="69">
        <f>J48/References!$G$52</f>
        <v>16.490437644061959</v>
      </c>
      <c r="L48" s="69">
        <f t="shared" ref="L48:L69" si="26">K48/F48</f>
        <v>0.70744048237074031</v>
      </c>
      <c r="M48" s="175">
        <v>82.64</v>
      </c>
      <c r="N48" s="166">
        <f t="shared" ref="N48:N69" si="27">L48+M48</f>
        <v>83.347440482370743</v>
      </c>
      <c r="O48" s="69">
        <f t="shared" ref="O48:O69" si="28">F48*M48</f>
        <v>1926.3384000000001</v>
      </c>
      <c r="P48" s="69">
        <f t="shared" ref="P48:P69" si="29">F48*N48</f>
        <v>1942.8288376440621</v>
      </c>
      <c r="Q48" s="73">
        <f t="shared" si="7"/>
        <v>16.490437644062013</v>
      </c>
      <c r="T48" s="50"/>
    </row>
    <row r="49" spans="1:20" s="61" customFormat="1">
      <c r="A49" s="201"/>
      <c r="B49" s="47" t="s">
        <v>197</v>
      </c>
      <c r="C49" s="127" t="s">
        <v>159</v>
      </c>
      <c r="D49" s="58"/>
      <c r="E49" s="71"/>
      <c r="F49" s="128">
        <v>1</v>
      </c>
      <c r="G49" s="154">
        <f>References!B33</f>
        <v>980</v>
      </c>
      <c r="H49" s="112">
        <f t="shared" si="25"/>
        <v>980</v>
      </c>
      <c r="I49" s="46">
        <f t="shared" si="24"/>
        <v>628.59302497196302</v>
      </c>
      <c r="J49" s="69">
        <f>(References!$C$49*I49)</f>
        <v>0.69145232746916163</v>
      </c>
      <c r="K49" s="69">
        <f>J49/References!$G$52</f>
        <v>0.70744048237074031</v>
      </c>
      <c r="L49" s="69">
        <f t="shared" si="26"/>
        <v>0.70744048237074031</v>
      </c>
      <c r="M49" s="175">
        <v>87.72</v>
      </c>
      <c r="N49" s="166">
        <f t="shared" si="27"/>
        <v>88.427440482370741</v>
      </c>
      <c r="O49" s="69">
        <f t="shared" si="28"/>
        <v>87.72</v>
      </c>
      <c r="P49" s="69">
        <f t="shared" si="29"/>
        <v>88.427440482370741</v>
      </c>
      <c r="Q49" s="73">
        <f t="shared" si="7"/>
        <v>0.70744048237074253</v>
      </c>
      <c r="R49" s="50">
        <f t="shared" ref="R49:R50" si="30">ROUND(N49,2)</f>
        <v>88.43</v>
      </c>
      <c r="T49" s="50"/>
    </row>
    <row r="50" spans="1:20" s="61" customFormat="1">
      <c r="A50" s="201"/>
      <c r="B50" s="47" t="s">
        <v>197</v>
      </c>
      <c r="C50" s="127" t="s">
        <v>160</v>
      </c>
      <c r="D50" s="58"/>
      <c r="E50" s="71"/>
      <c r="F50" s="128">
        <v>1</v>
      </c>
      <c r="G50" s="154">
        <f>References!B33</f>
        <v>980</v>
      </c>
      <c r="H50" s="112">
        <f t="shared" si="25"/>
        <v>980</v>
      </c>
      <c r="I50" s="46">
        <f t="shared" si="24"/>
        <v>628.59302497196302</v>
      </c>
      <c r="J50" s="69">
        <f>(References!$C$49*I50)</f>
        <v>0.69145232746916163</v>
      </c>
      <c r="K50" s="69">
        <f>J50/References!$G$52</f>
        <v>0.70744048237074031</v>
      </c>
      <c r="L50" s="69">
        <f t="shared" si="26"/>
        <v>0.70744048237074031</v>
      </c>
      <c r="M50" s="175">
        <v>84.9</v>
      </c>
      <c r="N50" s="166">
        <f t="shared" si="27"/>
        <v>85.607440482370748</v>
      </c>
      <c r="O50" s="69">
        <f t="shared" si="28"/>
        <v>84.9</v>
      </c>
      <c r="P50" s="69">
        <f t="shared" si="29"/>
        <v>85.607440482370748</v>
      </c>
      <c r="Q50" s="73">
        <f t="shared" si="7"/>
        <v>0.70744048237074253</v>
      </c>
      <c r="R50" s="50">
        <f t="shared" si="30"/>
        <v>85.61</v>
      </c>
      <c r="T50" s="50"/>
    </row>
    <row r="51" spans="1:20" s="61" customFormat="1">
      <c r="A51" s="201"/>
      <c r="B51" s="47" t="s">
        <v>197</v>
      </c>
      <c r="C51" s="145" t="s">
        <v>184</v>
      </c>
      <c r="D51" s="149"/>
      <c r="E51" s="147"/>
      <c r="F51" s="148">
        <v>1</v>
      </c>
      <c r="G51" s="156"/>
      <c r="H51" s="152"/>
      <c r="I51" s="150">
        <f t="shared" si="24"/>
        <v>0</v>
      </c>
      <c r="J51" s="151">
        <f>(References!$C$49*I51)</f>
        <v>0</v>
      </c>
      <c r="K51" s="151">
        <f>J51/References!$G$52</f>
        <v>0</v>
      </c>
      <c r="L51" s="151">
        <f t="shared" si="26"/>
        <v>0</v>
      </c>
      <c r="M51" s="178">
        <v>25.73</v>
      </c>
      <c r="N51" s="179">
        <f>L51+M51</f>
        <v>25.73</v>
      </c>
      <c r="O51" s="151">
        <f>F51*M51</f>
        <v>25.73</v>
      </c>
      <c r="P51" s="151">
        <f>F51*N51</f>
        <v>25.73</v>
      </c>
      <c r="Q51" s="73">
        <f t="shared" si="7"/>
        <v>0</v>
      </c>
      <c r="T51" s="50"/>
    </row>
    <row r="52" spans="1:20" s="61" customFormat="1">
      <c r="A52" s="201"/>
      <c r="B52" s="47" t="s">
        <v>197</v>
      </c>
      <c r="C52" s="145" t="s">
        <v>161</v>
      </c>
      <c r="D52" s="149"/>
      <c r="E52" s="147"/>
      <c r="F52" s="148">
        <v>1</v>
      </c>
      <c r="G52" s="156">
        <v>1312.5</v>
      </c>
      <c r="H52" s="152">
        <f t="shared" ref="H52" si="31">F52*G52</f>
        <v>1312.5</v>
      </c>
      <c r="I52" s="150">
        <f t="shared" ref="I52" si="32">$D$147*H52</f>
        <v>841.86565844459335</v>
      </c>
      <c r="J52" s="151">
        <f>(References!$C$49*I52)</f>
        <v>0.92605222428905587</v>
      </c>
      <c r="K52" s="151">
        <f>J52/References!$G$52</f>
        <v>0.94746493174652735</v>
      </c>
      <c r="L52" s="151">
        <f t="shared" ref="L52" si="33">K52/F52</f>
        <v>0.94746493174652735</v>
      </c>
      <c r="M52" s="178">
        <v>98.75</v>
      </c>
      <c r="N52" s="180">
        <f t="shared" ref="N52" si="34">L52+M52</f>
        <v>99.697464931746524</v>
      </c>
      <c r="O52" s="151">
        <f t="shared" ref="O52" si="35">F52*M52</f>
        <v>98.75</v>
      </c>
      <c r="P52" s="151">
        <f t="shared" ref="P52" si="36">F52*N52</f>
        <v>99.697464931746524</v>
      </c>
      <c r="Q52" s="73">
        <f t="shared" ref="Q52" si="37">+P52-O52</f>
        <v>0.94746493174652358</v>
      </c>
      <c r="R52" s="50">
        <f>(ROUND(N52*4.33,2))+N51</f>
        <v>457.42</v>
      </c>
      <c r="T52" s="50"/>
    </row>
    <row r="53" spans="1:20" s="61" customFormat="1">
      <c r="A53" s="201"/>
      <c r="B53" s="47" t="s">
        <v>197</v>
      </c>
      <c r="C53" s="127" t="s">
        <v>162</v>
      </c>
      <c r="D53" s="58"/>
      <c r="E53" s="71"/>
      <c r="F53" s="128">
        <v>15</v>
      </c>
      <c r="G53" s="155">
        <v>1312.5</v>
      </c>
      <c r="H53" s="112">
        <f t="shared" si="25"/>
        <v>19687.5</v>
      </c>
      <c r="I53" s="46">
        <f t="shared" si="24"/>
        <v>12627.984876668901</v>
      </c>
      <c r="J53" s="69">
        <f>(References!$C$49*I53)</f>
        <v>13.890783364335839</v>
      </c>
      <c r="K53" s="69">
        <f>J53/References!$G$52</f>
        <v>14.21197397619791</v>
      </c>
      <c r="L53" s="69">
        <f t="shared" si="26"/>
        <v>0.94746493174652735</v>
      </c>
      <c r="M53" s="175">
        <v>105.15</v>
      </c>
      <c r="N53" s="166">
        <f t="shared" si="27"/>
        <v>106.09746493174653</v>
      </c>
      <c r="O53" s="69">
        <f t="shared" si="28"/>
        <v>1577.25</v>
      </c>
      <c r="P53" s="69">
        <f t="shared" si="29"/>
        <v>1591.4619739761979</v>
      </c>
      <c r="Q53" s="73">
        <f t="shared" si="7"/>
        <v>14.211973976197896</v>
      </c>
      <c r="R53" s="50">
        <f t="shared" ref="R53:R54" si="38">ROUND(N53,2)</f>
        <v>106.1</v>
      </c>
      <c r="T53" s="50"/>
    </row>
    <row r="54" spans="1:20" s="61" customFormat="1">
      <c r="A54" s="201"/>
      <c r="B54" s="47" t="s">
        <v>197</v>
      </c>
      <c r="C54" s="127" t="s">
        <v>163</v>
      </c>
      <c r="D54" s="58"/>
      <c r="E54" s="71"/>
      <c r="F54" s="128">
        <v>1</v>
      </c>
      <c r="G54" s="155">
        <v>1312.5</v>
      </c>
      <c r="H54" s="112">
        <f t="shared" si="25"/>
        <v>1312.5</v>
      </c>
      <c r="I54" s="46">
        <f t="shared" si="24"/>
        <v>841.86565844459335</v>
      </c>
      <c r="J54" s="69">
        <f>(References!$C$49*I54)</f>
        <v>0.92605222428905587</v>
      </c>
      <c r="K54" s="69">
        <f>J54/References!$G$52</f>
        <v>0.94746493174652735</v>
      </c>
      <c r="L54" s="69">
        <f t="shared" si="26"/>
        <v>0.94746493174652735</v>
      </c>
      <c r="M54" s="175">
        <v>102.54</v>
      </c>
      <c r="N54" s="166">
        <f t="shared" si="27"/>
        <v>103.48746493174653</v>
      </c>
      <c r="O54" s="69">
        <f t="shared" si="28"/>
        <v>102.54</v>
      </c>
      <c r="P54" s="69">
        <f t="shared" si="29"/>
        <v>103.48746493174653</v>
      </c>
      <c r="Q54" s="73">
        <f t="shared" si="7"/>
        <v>0.94746493174652358</v>
      </c>
      <c r="R54" s="50">
        <f t="shared" si="38"/>
        <v>103.49</v>
      </c>
      <c r="T54" s="50"/>
    </row>
    <row r="55" spans="1:20" s="61" customFormat="1">
      <c r="A55" s="201"/>
      <c r="B55" s="47"/>
      <c r="C55" s="143" t="s">
        <v>164</v>
      </c>
      <c r="D55" s="58"/>
      <c r="E55" s="71"/>
      <c r="F55" s="128"/>
      <c r="G55" s="153"/>
      <c r="H55" s="112"/>
      <c r="I55" s="46"/>
      <c r="J55" s="69"/>
      <c r="K55" s="69"/>
      <c r="L55" s="69"/>
      <c r="M55" s="175"/>
      <c r="N55" s="166"/>
      <c r="O55" s="69"/>
      <c r="P55" s="69"/>
      <c r="Q55" s="73"/>
      <c r="T55" s="50"/>
    </row>
    <row r="56" spans="1:20" s="61" customFormat="1">
      <c r="A56" s="201"/>
      <c r="B56" s="47">
        <v>29</v>
      </c>
      <c r="C56" s="127" t="s">
        <v>165</v>
      </c>
      <c r="D56" s="58"/>
      <c r="E56" s="71"/>
      <c r="F56" s="128">
        <v>4.33</v>
      </c>
      <c r="G56" s="153">
        <f>References!B26</f>
        <v>29</v>
      </c>
      <c r="H56" s="112">
        <f t="shared" si="25"/>
        <v>125.57000000000001</v>
      </c>
      <c r="I56" s="46">
        <f t="shared" ref="I56:I69" si="39">$D$147*H56</f>
        <v>80.543291985438174</v>
      </c>
      <c r="J56" s="69">
        <f>(References!$C$49*I56)</f>
        <v>8.8597621183982289E-2</v>
      </c>
      <c r="K56" s="69">
        <f>J56/References!$G$52</f>
        <v>9.0646225889075394E-2</v>
      </c>
      <c r="L56" s="69">
        <f t="shared" si="26"/>
        <v>2.0934463253828035E-2</v>
      </c>
      <c r="M56" s="175">
        <v>3.03</v>
      </c>
      <c r="N56" s="166">
        <f t="shared" si="27"/>
        <v>3.050934463253828</v>
      </c>
      <c r="O56" s="69">
        <f t="shared" si="28"/>
        <v>13.119899999999999</v>
      </c>
      <c r="P56" s="69">
        <f t="shared" si="29"/>
        <v>13.210546225889075</v>
      </c>
      <c r="Q56" s="73">
        <f t="shared" ref="Q56:Q69" si="40">+P56-O56</f>
        <v>9.0646225889075893E-2</v>
      </c>
      <c r="T56" s="50"/>
    </row>
    <row r="57" spans="1:20" s="61" customFormat="1">
      <c r="A57" s="201"/>
      <c r="B57" s="47">
        <v>29</v>
      </c>
      <c r="C57" s="127" t="s">
        <v>166</v>
      </c>
      <c r="D57" s="58"/>
      <c r="E57" s="71"/>
      <c r="F57" s="128">
        <v>1</v>
      </c>
      <c r="G57" s="153">
        <f>References!B26</f>
        <v>29</v>
      </c>
      <c r="H57" s="112">
        <f t="shared" si="25"/>
        <v>29</v>
      </c>
      <c r="I57" s="46">
        <f t="shared" si="39"/>
        <v>18.601222167537681</v>
      </c>
      <c r="J57" s="69">
        <f>(References!$C$49*I57)</f>
        <v>2.0461344384291518E-2</v>
      </c>
      <c r="K57" s="69">
        <f>J57/References!$G$52</f>
        <v>2.0934463253828032E-2</v>
      </c>
      <c r="L57" s="69">
        <f t="shared" si="26"/>
        <v>2.0934463253828032E-2</v>
      </c>
      <c r="M57" s="175">
        <v>3.03</v>
      </c>
      <c r="N57" s="166">
        <f t="shared" si="27"/>
        <v>3.050934463253828</v>
      </c>
      <c r="O57" s="69">
        <f t="shared" si="28"/>
        <v>3.03</v>
      </c>
      <c r="P57" s="69">
        <f t="shared" si="29"/>
        <v>3.050934463253828</v>
      </c>
      <c r="Q57" s="73">
        <f t="shared" si="40"/>
        <v>2.0934463253828195E-2</v>
      </c>
      <c r="R57" s="50">
        <f t="shared" ref="R57" si="41">ROUND(N57,2)</f>
        <v>3.05</v>
      </c>
      <c r="T57" s="50"/>
    </row>
    <row r="58" spans="1:20" s="61" customFormat="1">
      <c r="A58" s="201"/>
      <c r="B58" s="47">
        <v>29</v>
      </c>
      <c r="C58" s="127" t="s">
        <v>167</v>
      </c>
      <c r="D58" s="58"/>
      <c r="E58" s="71"/>
      <c r="F58" s="128">
        <v>4.33</v>
      </c>
      <c r="G58" s="153">
        <f>References!B21</f>
        <v>47</v>
      </c>
      <c r="H58" s="112">
        <f t="shared" si="25"/>
        <v>203.51</v>
      </c>
      <c r="I58" s="46">
        <f t="shared" si="39"/>
        <v>130.5356801143308</v>
      </c>
      <c r="J58" s="69">
        <f>(References!$C$49*I58)</f>
        <v>0.14358924812576437</v>
      </c>
      <c r="K58" s="69">
        <f>J58/References!$G$52</f>
        <v>0.1469094005788463</v>
      </c>
      <c r="L58" s="69">
        <f t="shared" si="26"/>
        <v>3.3928268032066118E-2</v>
      </c>
      <c r="M58" s="175">
        <v>4.07</v>
      </c>
      <c r="N58" s="166">
        <f t="shared" si="27"/>
        <v>4.1039282680320666</v>
      </c>
      <c r="O58" s="69">
        <f t="shared" si="28"/>
        <v>17.623100000000001</v>
      </c>
      <c r="P58" s="69">
        <f t="shared" si="29"/>
        <v>17.77000940057885</v>
      </c>
      <c r="Q58" s="73">
        <f t="shared" si="40"/>
        <v>0.14690940057884916</v>
      </c>
      <c r="T58" s="50"/>
    </row>
    <row r="59" spans="1:20" s="61" customFormat="1">
      <c r="A59" s="201"/>
      <c r="B59" s="47">
        <v>29</v>
      </c>
      <c r="C59" s="127" t="s">
        <v>168</v>
      </c>
      <c r="D59" s="58"/>
      <c r="E59" s="71"/>
      <c r="F59" s="128">
        <v>1</v>
      </c>
      <c r="G59" s="153">
        <f>References!B21</f>
        <v>47</v>
      </c>
      <c r="H59" s="112">
        <f t="shared" si="25"/>
        <v>47</v>
      </c>
      <c r="I59" s="46">
        <f t="shared" si="39"/>
        <v>30.146808340492107</v>
      </c>
      <c r="J59" s="69">
        <f>(References!$C$49*I59)</f>
        <v>3.3161489174541432E-2</v>
      </c>
      <c r="K59" s="69">
        <f>J59/References!$G$52</f>
        <v>3.3928268032066125E-2</v>
      </c>
      <c r="L59" s="69">
        <f t="shared" si="26"/>
        <v>3.3928268032066125E-2</v>
      </c>
      <c r="M59" s="175">
        <v>4.07</v>
      </c>
      <c r="N59" s="166">
        <f t="shared" si="27"/>
        <v>4.1039282680320666</v>
      </c>
      <c r="O59" s="69">
        <f t="shared" si="28"/>
        <v>4.07</v>
      </c>
      <c r="P59" s="69">
        <f t="shared" si="29"/>
        <v>4.1039282680320666</v>
      </c>
      <c r="Q59" s="73">
        <f t="shared" si="40"/>
        <v>3.3928268032066278E-2</v>
      </c>
      <c r="R59" s="50">
        <f t="shared" ref="R59" si="42">ROUND(N59,2)</f>
        <v>4.0999999999999996</v>
      </c>
      <c r="T59" s="50"/>
    </row>
    <row r="60" spans="1:20" s="61" customFormat="1">
      <c r="A60" s="201"/>
      <c r="B60" s="47">
        <v>29</v>
      </c>
      <c r="C60" s="127" t="s">
        <v>169</v>
      </c>
      <c r="D60" s="58"/>
      <c r="E60" s="71"/>
      <c r="F60" s="128">
        <v>21.65</v>
      </c>
      <c r="G60" s="153">
        <f>References!B22</f>
        <v>68</v>
      </c>
      <c r="H60" s="112">
        <f t="shared" si="25"/>
        <v>1472.1999999999998</v>
      </c>
      <c r="I60" s="46">
        <f t="shared" si="39"/>
        <v>944.30066465686116</v>
      </c>
      <c r="J60" s="69">
        <f>(References!$C$49*I60)</f>
        <v>1.0387307311225509</v>
      </c>
      <c r="K60" s="69">
        <f>J60/References!$G$52</f>
        <v>1.0627488552512285</v>
      </c>
      <c r="L60" s="69">
        <f t="shared" si="26"/>
        <v>4.9087706940010557E-2</v>
      </c>
      <c r="M60" s="175">
        <v>5.17</v>
      </c>
      <c r="N60" s="166">
        <f t="shared" si="27"/>
        <v>5.2190877069400106</v>
      </c>
      <c r="O60" s="69">
        <f t="shared" si="28"/>
        <v>111.93049999999999</v>
      </c>
      <c r="P60" s="69">
        <f t="shared" si="29"/>
        <v>112.99324885525122</v>
      </c>
      <c r="Q60" s="73">
        <f t="shared" si="40"/>
        <v>1.062748855251229</v>
      </c>
      <c r="T60" s="50"/>
    </row>
    <row r="61" spans="1:20" s="61" customFormat="1">
      <c r="A61" s="201"/>
      <c r="B61" s="47">
        <v>29</v>
      </c>
      <c r="C61" s="127" t="s">
        <v>170</v>
      </c>
      <c r="D61" s="58"/>
      <c r="E61" s="71"/>
      <c r="F61" s="128">
        <v>1</v>
      </c>
      <c r="G61" s="153">
        <f>References!B22</f>
        <v>68</v>
      </c>
      <c r="H61" s="112">
        <f t="shared" si="25"/>
        <v>68</v>
      </c>
      <c r="I61" s="46">
        <f t="shared" si="39"/>
        <v>43.616658875605602</v>
      </c>
      <c r="J61" s="69">
        <f>(References!$C$49*I61)</f>
        <v>4.7978324763166325E-2</v>
      </c>
      <c r="K61" s="69">
        <f>J61/References!$G$52</f>
        <v>4.9087706940010564E-2</v>
      </c>
      <c r="L61" s="69">
        <f t="shared" si="26"/>
        <v>4.9087706940010564E-2</v>
      </c>
      <c r="M61" s="175">
        <v>5.17</v>
      </c>
      <c r="N61" s="166">
        <f t="shared" si="27"/>
        <v>5.2190877069400106</v>
      </c>
      <c r="O61" s="69">
        <f t="shared" si="28"/>
        <v>5.17</v>
      </c>
      <c r="P61" s="69">
        <f t="shared" si="29"/>
        <v>5.2190877069400106</v>
      </c>
      <c r="Q61" s="73">
        <f t="shared" si="40"/>
        <v>4.9087706940010634E-2</v>
      </c>
      <c r="R61" s="50">
        <f t="shared" ref="R61" si="43">ROUND(N61,2)</f>
        <v>5.22</v>
      </c>
      <c r="T61" s="50"/>
    </row>
    <row r="62" spans="1:20" s="61" customFormat="1">
      <c r="A62" s="201"/>
      <c r="B62" s="47">
        <v>29</v>
      </c>
      <c r="C62" s="127" t="s">
        <v>167</v>
      </c>
      <c r="D62" s="58"/>
      <c r="E62" s="71"/>
      <c r="F62" s="128">
        <v>4.33</v>
      </c>
      <c r="G62" s="153">
        <f>References!B21</f>
        <v>47</v>
      </c>
      <c r="H62" s="112">
        <f t="shared" si="25"/>
        <v>203.51</v>
      </c>
      <c r="I62" s="46">
        <f t="shared" si="39"/>
        <v>130.5356801143308</v>
      </c>
      <c r="J62" s="69">
        <f>(References!$C$49*I62)</f>
        <v>0.14358924812576437</v>
      </c>
      <c r="K62" s="69">
        <f>J62/References!$G$52</f>
        <v>0.1469094005788463</v>
      </c>
      <c r="L62" s="69">
        <f t="shared" si="26"/>
        <v>3.3928268032066118E-2</v>
      </c>
      <c r="M62" s="175">
        <v>4.07</v>
      </c>
      <c r="N62" s="166">
        <f t="shared" si="27"/>
        <v>4.1039282680320666</v>
      </c>
      <c r="O62" s="69">
        <f t="shared" si="28"/>
        <v>17.623100000000001</v>
      </c>
      <c r="P62" s="69">
        <f t="shared" si="29"/>
        <v>17.77000940057885</v>
      </c>
      <c r="Q62" s="73">
        <f t="shared" si="40"/>
        <v>0.14690940057884916</v>
      </c>
      <c r="T62" s="50"/>
    </row>
    <row r="63" spans="1:20" s="61" customFormat="1">
      <c r="A63" s="201"/>
      <c r="B63" s="47">
        <v>29</v>
      </c>
      <c r="C63" s="127" t="s">
        <v>168</v>
      </c>
      <c r="D63" s="58"/>
      <c r="E63" s="71"/>
      <c r="F63" s="128">
        <v>1</v>
      </c>
      <c r="G63" s="153">
        <f>References!B21</f>
        <v>47</v>
      </c>
      <c r="H63" s="112">
        <f t="shared" si="25"/>
        <v>47</v>
      </c>
      <c r="I63" s="46">
        <f t="shared" si="39"/>
        <v>30.146808340492107</v>
      </c>
      <c r="J63" s="69">
        <f>(References!$C$49*I63)</f>
        <v>3.3161489174541432E-2</v>
      </c>
      <c r="K63" s="69">
        <f>J63/References!$G$52</f>
        <v>3.3928268032066125E-2</v>
      </c>
      <c r="L63" s="69">
        <f t="shared" si="26"/>
        <v>3.3928268032066125E-2</v>
      </c>
      <c r="M63" s="175">
        <v>4.07</v>
      </c>
      <c r="N63" s="166">
        <f t="shared" si="27"/>
        <v>4.1039282680320666</v>
      </c>
      <c r="O63" s="69">
        <f t="shared" si="28"/>
        <v>4.07</v>
      </c>
      <c r="P63" s="69">
        <f t="shared" si="29"/>
        <v>4.1039282680320666</v>
      </c>
      <c r="Q63" s="73">
        <f t="shared" si="40"/>
        <v>3.3928268032066278E-2</v>
      </c>
      <c r="R63" s="50">
        <f t="shared" ref="R63" si="44">ROUND(N63,2)</f>
        <v>4.0999999999999996</v>
      </c>
      <c r="T63" s="50"/>
    </row>
    <row r="64" spans="1:20" s="61" customFormat="1">
      <c r="A64" s="201"/>
      <c r="B64" s="47">
        <v>29</v>
      </c>
      <c r="C64" s="127" t="s">
        <v>171</v>
      </c>
      <c r="D64" s="58"/>
      <c r="E64" s="71"/>
      <c r="F64" s="128">
        <v>4.33</v>
      </c>
      <c r="G64" s="153">
        <f>References!B27</f>
        <v>175</v>
      </c>
      <c r="H64" s="112">
        <f t="shared" si="25"/>
        <v>757.75</v>
      </c>
      <c r="I64" s="46">
        <f t="shared" si="39"/>
        <v>486.03710680867857</v>
      </c>
      <c r="J64" s="69">
        <f>(References!$C$49*I64)</f>
        <v>0.53464081748954828</v>
      </c>
      <c r="K64" s="69">
        <f>J64/References!$G$52</f>
        <v>0.5470030872616618</v>
      </c>
      <c r="L64" s="69">
        <f t="shared" si="26"/>
        <v>0.12632865756620365</v>
      </c>
      <c r="M64" s="175">
        <v>14.47</v>
      </c>
      <c r="N64" s="166">
        <f t="shared" si="27"/>
        <v>14.596328657566204</v>
      </c>
      <c r="O64" s="69">
        <f t="shared" si="28"/>
        <v>62.655100000000004</v>
      </c>
      <c r="P64" s="69">
        <f t="shared" si="29"/>
        <v>63.202103087261662</v>
      </c>
      <c r="Q64" s="73">
        <f t="shared" si="40"/>
        <v>0.54700308726165758</v>
      </c>
      <c r="T64" s="50"/>
    </row>
    <row r="65" spans="1:21" s="61" customFormat="1">
      <c r="A65" s="201"/>
      <c r="B65" s="47">
        <v>29</v>
      </c>
      <c r="C65" s="127" t="s">
        <v>172</v>
      </c>
      <c r="D65" s="58"/>
      <c r="E65" s="71"/>
      <c r="F65" s="128">
        <v>1</v>
      </c>
      <c r="G65" s="153">
        <f>References!B27</f>
        <v>175</v>
      </c>
      <c r="H65" s="112">
        <f t="shared" si="25"/>
        <v>175</v>
      </c>
      <c r="I65" s="46">
        <f t="shared" si="39"/>
        <v>112.24875445927911</v>
      </c>
      <c r="J65" s="69">
        <f>(References!$C$49*I65)</f>
        <v>0.12347362990520744</v>
      </c>
      <c r="K65" s="69">
        <f>J65/References!$G$52</f>
        <v>0.12632865756620362</v>
      </c>
      <c r="L65" s="69">
        <f t="shared" si="26"/>
        <v>0.12632865756620362</v>
      </c>
      <c r="M65" s="175">
        <v>19.89</v>
      </c>
      <c r="N65" s="166">
        <f t="shared" si="27"/>
        <v>20.016328657566206</v>
      </c>
      <c r="O65" s="69">
        <f t="shared" si="28"/>
        <v>19.89</v>
      </c>
      <c r="P65" s="69">
        <f t="shared" si="29"/>
        <v>20.016328657566206</v>
      </c>
      <c r="Q65" s="73">
        <f t="shared" si="40"/>
        <v>0.12632865756620504</v>
      </c>
      <c r="R65" s="50">
        <f t="shared" ref="R65" si="45">ROUND(N65,2)</f>
        <v>20.02</v>
      </c>
      <c r="T65" s="50"/>
    </row>
    <row r="66" spans="1:21" s="61" customFormat="1">
      <c r="A66" s="201"/>
      <c r="B66" s="47">
        <v>29</v>
      </c>
      <c r="C66" s="127" t="s">
        <v>173</v>
      </c>
      <c r="D66" s="58"/>
      <c r="E66" s="71"/>
      <c r="F66" s="128">
        <v>4.33</v>
      </c>
      <c r="G66" s="153">
        <f>References!B28</f>
        <v>250</v>
      </c>
      <c r="H66" s="112">
        <f t="shared" si="25"/>
        <v>1082.5</v>
      </c>
      <c r="I66" s="46">
        <f t="shared" si="39"/>
        <v>694.33872401239796</v>
      </c>
      <c r="J66" s="69">
        <f>(References!$C$49*I66)</f>
        <v>0.76377259641364037</v>
      </c>
      <c r="K66" s="69">
        <f>J66/References!$G$52</f>
        <v>0.78143298180237397</v>
      </c>
      <c r="L66" s="69">
        <f t="shared" si="26"/>
        <v>0.18046951080886234</v>
      </c>
      <c r="M66" s="175">
        <v>20.74</v>
      </c>
      <c r="N66" s="166">
        <f t="shared" si="27"/>
        <v>20.920469510808861</v>
      </c>
      <c r="O66" s="69">
        <f t="shared" si="28"/>
        <v>89.804199999999994</v>
      </c>
      <c r="P66" s="69">
        <f t="shared" si="29"/>
        <v>90.585632981802362</v>
      </c>
      <c r="Q66" s="73">
        <f t="shared" si="40"/>
        <v>0.78143298180236798</v>
      </c>
      <c r="T66" s="50"/>
    </row>
    <row r="67" spans="1:21" s="61" customFormat="1">
      <c r="A67" s="201"/>
      <c r="B67" s="47">
        <v>29</v>
      </c>
      <c r="C67" s="127" t="s">
        <v>174</v>
      </c>
      <c r="D67" s="58"/>
      <c r="E67" s="71"/>
      <c r="F67" s="128">
        <v>1</v>
      </c>
      <c r="G67" s="153">
        <f>References!B28</f>
        <v>250</v>
      </c>
      <c r="H67" s="112">
        <f t="shared" si="25"/>
        <v>250</v>
      </c>
      <c r="I67" s="46">
        <f t="shared" si="39"/>
        <v>160.3553635132559</v>
      </c>
      <c r="J67" s="69">
        <f>(References!$C$49*I67)</f>
        <v>0.17639089986458209</v>
      </c>
      <c r="K67" s="69">
        <f>J67/References!$G$52</f>
        <v>0.18046951080886237</v>
      </c>
      <c r="L67" s="69">
        <f t="shared" si="26"/>
        <v>0.18046951080886237</v>
      </c>
      <c r="M67" s="175">
        <v>20.74</v>
      </c>
      <c r="N67" s="166">
        <f t="shared" si="27"/>
        <v>20.920469510808861</v>
      </c>
      <c r="O67" s="69">
        <f t="shared" si="28"/>
        <v>20.74</v>
      </c>
      <c r="P67" s="69">
        <f t="shared" si="29"/>
        <v>20.920469510808861</v>
      </c>
      <c r="Q67" s="73">
        <f t="shared" si="40"/>
        <v>0.18046951080886231</v>
      </c>
      <c r="R67" s="50">
        <f t="shared" ref="R67" si="46">ROUND(N67,2)</f>
        <v>20.92</v>
      </c>
      <c r="T67" s="50"/>
    </row>
    <row r="68" spans="1:21" s="61" customFormat="1">
      <c r="A68" s="201"/>
      <c r="B68" s="47" t="s">
        <v>198</v>
      </c>
      <c r="C68" s="127" t="s">
        <v>175</v>
      </c>
      <c r="D68" s="58"/>
      <c r="E68" s="71"/>
      <c r="F68" s="128">
        <v>4.33</v>
      </c>
      <c r="G68" s="153">
        <f>References!B29</f>
        <v>324</v>
      </c>
      <c r="H68" s="112">
        <f t="shared" si="25"/>
        <v>1402.92</v>
      </c>
      <c r="I68" s="46">
        <f t="shared" si="39"/>
        <v>899.86298632006788</v>
      </c>
      <c r="J68" s="69">
        <f>(References!$C$49*I68)</f>
        <v>0.98984928495207802</v>
      </c>
      <c r="K68" s="69">
        <f>J68/References!$G$52</f>
        <v>1.0127371444158768</v>
      </c>
      <c r="L68" s="69">
        <f t="shared" si="26"/>
        <v>0.23388848600828563</v>
      </c>
      <c r="M68" s="175">
        <v>26.29</v>
      </c>
      <c r="N68" s="166">
        <f t="shared" si="27"/>
        <v>26.523888486008286</v>
      </c>
      <c r="O68" s="69">
        <f t="shared" si="28"/>
        <v>113.8357</v>
      </c>
      <c r="P68" s="69">
        <f t="shared" si="29"/>
        <v>114.84843714441588</v>
      </c>
      <c r="Q68" s="73">
        <f t="shared" si="40"/>
        <v>1.0127371444158797</v>
      </c>
      <c r="T68" s="50"/>
    </row>
    <row r="69" spans="1:21" s="61" customFormat="1">
      <c r="A69" s="201"/>
      <c r="B69" s="47" t="s">
        <v>198</v>
      </c>
      <c r="C69" s="127" t="s">
        <v>176</v>
      </c>
      <c r="D69" s="58"/>
      <c r="E69" s="71"/>
      <c r="F69" s="128">
        <v>1</v>
      </c>
      <c r="G69" s="153">
        <f>References!B29</f>
        <v>324</v>
      </c>
      <c r="H69" s="112">
        <f t="shared" si="25"/>
        <v>324</v>
      </c>
      <c r="I69" s="46">
        <f t="shared" si="39"/>
        <v>207.82055111317962</v>
      </c>
      <c r="J69" s="69">
        <f>(References!$C$49*I69)</f>
        <v>0.22860260622449835</v>
      </c>
      <c r="K69" s="69">
        <f>J69/References!$G$52</f>
        <v>0.2338884860082856</v>
      </c>
      <c r="L69" s="69">
        <f t="shared" si="26"/>
        <v>0.2338884860082856</v>
      </c>
      <c r="M69" s="175">
        <v>26.29</v>
      </c>
      <c r="N69" s="166">
        <f t="shared" si="27"/>
        <v>26.523888486008286</v>
      </c>
      <c r="O69" s="69">
        <f t="shared" si="28"/>
        <v>26.29</v>
      </c>
      <c r="P69" s="69">
        <f t="shared" si="29"/>
        <v>26.523888486008286</v>
      </c>
      <c r="Q69" s="73">
        <f t="shared" si="40"/>
        <v>0.23388848600828638</v>
      </c>
      <c r="R69" s="50">
        <f t="shared" ref="R69" si="47">ROUND(N69,2)</f>
        <v>26.52</v>
      </c>
      <c r="T69" s="50"/>
    </row>
    <row r="70" spans="1:21" s="61" customFormat="1">
      <c r="A70" s="201"/>
      <c r="B70" s="47"/>
      <c r="C70" s="127"/>
      <c r="D70" s="58"/>
      <c r="E70" s="71"/>
      <c r="F70" s="128"/>
      <c r="G70" s="153"/>
      <c r="H70" s="70"/>
      <c r="I70" s="46"/>
      <c r="J70" s="69"/>
      <c r="K70" s="69"/>
      <c r="L70" s="69"/>
      <c r="M70" s="69"/>
      <c r="N70" s="69"/>
      <c r="O70" s="69"/>
      <c r="P70" s="69"/>
      <c r="Q70" s="73"/>
      <c r="T70" s="50"/>
    </row>
    <row r="71" spans="1:21" s="61" customFormat="1">
      <c r="A71" s="48"/>
      <c r="B71" s="25"/>
      <c r="C71" s="49"/>
      <c r="D71" s="51">
        <f>SUM(D13:D47)</f>
        <v>0</v>
      </c>
      <c r="E71" s="51">
        <f>SUM(E13:E47)</f>
        <v>0</v>
      </c>
      <c r="F71" s="51">
        <f>SUM(F13:F70)</f>
        <v>85710.03</v>
      </c>
      <c r="G71" s="160">
        <f>SUM(G13:G70)</f>
        <v>21435.5</v>
      </c>
      <c r="H71" s="51">
        <f>SUM(H13:H70)</f>
        <v>10162015.055000002</v>
      </c>
      <c r="I71" s="51">
        <f>SUM(I13:I70)</f>
        <v>6518134.4726868132</v>
      </c>
      <c r="J71" s="75"/>
      <c r="K71" s="75"/>
      <c r="L71" s="75"/>
      <c r="M71" s="75"/>
      <c r="N71" s="75"/>
      <c r="O71" s="142">
        <f>SUM(O13:O70)</f>
        <v>967114.12550000008</v>
      </c>
      <c r="P71" s="142">
        <f>SUM(P13:P70)</f>
        <v>974449.86104323284</v>
      </c>
      <c r="Q71" s="142">
        <f>SUM(Q13:Q70)</f>
        <v>7335.7355432325912</v>
      </c>
      <c r="T71" s="50"/>
      <c r="U71" s="187">
        <f>Q71/O71</f>
        <v>7.5851808486821553E-3</v>
      </c>
    </row>
    <row r="72" spans="1:21">
      <c r="C72" s="65"/>
      <c r="D72" s="66">
        <f>D12+D71</f>
        <v>3410</v>
      </c>
      <c r="E72" s="66"/>
      <c r="F72" s="107">
        <f>F12+F71</f>
        <v>262910.03000000003</v>
      </c>
      <c r="G72" s="66"/>
      <c r="H72" s="66">
        <f>H12+H71</f>
        <v>20636759.055</v>
      </c>
      <c r="I72" s="66">
        <f>I12+I71</f>
        <v>13236859.999999996</v>
      </c>
      <c r="J72" s="69"/>
      <c r="K72" s="77"/>
      <c r="L72" s="77"/>
      <c r="M72" s="77"/>
      <c r="N72" s="77"/>
      <c r="O72" s="77">
        <f>O12+O71</f>
        <v>1968132.4054999999</v>
      </c>
      <c r="P72" s="77">
        <f>P12+P71</f>
        <v>1983029.6287453452</v>
      </c>
      <c r="Q72" s="77">
        <f>Q12+Q71</f>
        <v>14897.223245344974</v>
      </c>
      <c r="S72" s="61"/>
      <c r="T72" s="50"/>
      <c r="U72" s="187">
        <f>Q72/O72</f>
        <v>7.5692180077490089E-3</v>
      </c>
    </row>
    <row r="73" spans="1:21">
      <c r="G73" s="161"/>
      <c r="J73" s="57"/>
      <c r="P73" s="62"/>
      <c r="S73" s="61"/>
      <c r="T73" s="50"/>
    </row>
    <row r="74" spans="1:21">
      <c r="G74" s="161"/>
      <c r="J74" s="57"/>
      <c r="P74" s="62"/>
      <c r="S74" s="61"/>
      <c r="T74" s="50"/>
    </row>
    <row r="75" spans="1:21">
      <c r="A75" s="78"/>
      <c r="B75" s="79"/>
      <c r="C75" s="83" t="s">
        <v>91</v>
      </c>
      <c r="D75" s="80"/>
      <c r="E75" s="78"/>
      <c r="F75" s="78"/>
      <c r="G75" s="162"/>
      <c r="H75" s="78"/>
      <c r="I75" s="81"/>
      <c r="J75" s="82"/>
      <c r="K75" s="78"/>
      <c r="L75" s="78"/>
      <c r="M75" s="78"/>
      <c r="N75" s="78"/>
      <c r="O75" s="61"/>
      <c r="P75" s="106"/>
      <c r="Q75" s="61"/>
      <c r="S75" s="61"/>
      <c r="T75" s="50"/>
    </row>
    <row r="76" spans="1:21" s="61" customFormat="1" ht="15" customHeight="1">
      <c r="A76" s="201" t="s">
        <v>49</v>
      </c>
      <c r="B76" s="47">
        <v>20</v>
      </c>
      <c r="C76" s="127" t="s">
        <v>117</v>
      </c>
      <c r="D76" s="70">
        <v>0</v>
      </c>
      <c r="E76" s="71">
        <f>References!$B$7</f>
        <v>4.333333333333333</v>
      </c>
      <c r="F76" s="70">
        <f>E76*12</f>
        <v>52</v>
      </c>
      <c r="G76" s="70">
        <f>References!B14</f>
        <v>34</v>
      </c>
      <c r="H76" s="70">
        <f>F76*G76</f>
        <v>1768</v>
      </c>
      <c r="I76" s="46">
        <f t="shared" ref="I76:I89" si="48">$D$147*H76</f>
        <v>1134.0331307657457</v>
      </c>
      <c r="J76" s="69">
        <f>(References!$C$49*I76)</f>
        <v>1.2474364438423244</v>
      </c>
      <c r="K76" s="69">
        <f>J76/References!$G$52</f>
        <v>1.2762803804402745</v>
      </c>
      <c r="L76" s="69">
        <f>K76/F76*E76</f>
        <v>0.10635669837002287</v>
      </c>
      <c r="M76" s="175">
        <v>12.83</v>
      </c>
      <c r="N76" s="166">
        <f>L76+M76</f>
        <v>12.936356698370023</v>
      </c>
      <c r="O76" s="130"/>
      <c r="P76" s="69"/>
      <c r="Q76" s="69"/>
      <c r="R76" s="50">
        <f t="shared" ref="R76:R89" si="49">ROUND(N76,2)</f>
        <v>12.94</v>
      </c>
      <c r="T76" s="50"/>
    </row>
    <row r="77" spans="1:21" s="61" customFormat="1">
      <c r="A77" s="201"/>
      <c r="B77" s="47">
        <v>20</v>
      </c>
      <c r="C77" s="110" t="s">
        <v>118</v>
      </c>
      <c r="D77" s="70">
        <v>0</v>
      </c>
      <c r="E77" s="71">
        <f>References!$B$7</f>
        <v>4.333333333333333</v>
      </c>
      <c r="F77" s="70">
        <f t="shared" ref="F77:F86" si="50">E77*12</f>
        <v>52</v>
      </c>
      <c r="G77" s="70">
        <f>References!B15</f>
        <v>51</v>
      </c>
      <c r="H77" s="70">
        <f t="shared" ref="H77:H86" si="51">F77*G77</f>
        <v>2652</v>
      </c>
      <c r="I77" s="46">
        <f t="shared" si="48"/>
        <v>1701.0496961486183</v>
      </c>
      <c r="J77" s="69">
        <f>(References!$C$49*I77)</f>
        <v>1.8711546657634865</v>
      </c>
      <c r="K77" s="69">
        <f>J77/References!$G$52</f>
        <v>1.9144205706604118</v>
      </c>
      <c r="L77" s="69">
        <f>K77/F77*E77</f>
        <v>0.15953504755503431</v>
      </c>
      <c r="M77" s="175">
        <v>17.260000000000002</v>
      </c>
      <c r="N77" s="166">
        <f>L77+M77</f>
        <v>17.419535047555037</v>
      </c>
      <c r="O77" s="69"/>
      <c r="P77" s="69"/>
      <c r="Q77" s="69"/>
      <c r="R77" s="50">
        <f t="shared" si="49"/>
        <v>17.420000000000002</v>
      </c>
      <c r="T77" s="50"/>
    </row>
    <row r="78" spans="1:21" s="61" customFormat="1">
      <c r="A78" s="201"/>
      <c r="B78" s="47">
        <v>20</v>
      </c>
      <c r="C78" s="110" t="s">
        <v>119</v>
      </c>
      <c r="D78" s="70">
        <v>0</v>
      </c>
      <c r="E78" s="71">
        <f>References!$B$7</f>
        <v>4.333333333333333</v>
      </c>
      <c r="F78" s="70">
        <f t="shared" si="50"/>
        <v>52</v>
      </c>
      <c r="G78" s="70">
        <f>References!B16</f>
        <v>77</v>
      </c>
      <c r="H78" s="70">
        <f t="shared" si="51"/>
        <v>4004</v>
      </c>
      <c r="I78" s="46">
        <f t="shared" si="48"/>
        <v>2568.2515020283063</v>
      </c>
      <c r="J78" s="69">
        <f>(References!$C$49*I78)</f>
        <v>2.8250766522311466</v>
      </c>
      <c r="K78" s="69">
        <f>J78/References!$G$52</f>
        <v>2.8903996851147395</v>
      </c>
      <c r="L78" s="69">
        <f t="shared" ref="L78:L86" si="52">K78/F78*E78</f>
        <v>0.24086664042622827</v>
      </c>
      <c r="M78" s="175">
        <v>22.11</v>
      </c>
      <c r="N78" s="166">
        <f t="shared" ref="N78:N86" si="53">L78+M78</f>
        <v>22.350866640426229</v>
      </c>
      <c r="O78" s="69"/>
      <c r="P78" s="69"/>
      <c r="Q78" s="69"/>
      <c r="R78" s="50">
        <f t="shared" si="49"/>
        <v>22.35</v>
      </c>
      <c r="T78" s="50"/>
    </row>
    <row r="79" spans="1:21" s="61" customFormat="1">
      <c r="A79" s="201"/>
      <c r="B79" s="47">
        <v>20</v>
      </c>
      <c r="C79" s="110" t="s">
        <v>120</v>
      </c>
      <c r="D79" s="70">
        <v>0</v>
      </c>
      <c r="E79" s="71">
        <f>References!$B$7</f>
        <v>4.333333333333333</v>
      </c>
      <c r="F79" s="70">
        <f t="shared" si="50"/>
        <v>52</v>
      </c>
      <c r="G79" s="70">
        <f>References!B17</f>
        <v>97</v>
      </c>
      <c r="H79" s="70">
        <f t="shared" si="51"/>
        <v>5044</v>
      </c>
      <c r="I79" s="46">
        <f t="shared" si="48"/>
        <v>3235.3298142434505</v>
      </c>
      <c r="J79" s="69">
        <f>(References!$C$49*I79)</f>
        <v>3.5588627956678076</v>
      </c>
      <c r="K79" s="69">
        <f>J79/References!$G$52</f>
        <v>3.6411528500796067</v>
      </c>
      <c r="L79" s="69">
        <f t="shared" si="52"/>
        <v>0.30342940417330055</v>
      </c>
      <c r="M79" s="175">
        <v>27.3</v>
      </c>
      <c r="N79" s="166">
        <f t="shared" si="53"/>
        <v>27.603429404173301</v>
      </c>
      <c r="O79" s="69"/>
      <c r="P79" s="69"/>
      <c r="Q79" s="69"/>
      <c r="R79" s="50">
        <f t="shared" si="49"/>
        <v>27.6</v>
      </c>
      <c r="T79" s="50"/>
    </row>
    <row r="80" spans="1:21" s="61" customFormat="1">
      <c r="A80" s="201"/>
      <c r="B80" s="47">
        <v>20</v>
      </c>
      <c r="C80" s="110" t="s">
        <v>121</v>
      </c>
      <c r="D80" s="70">
        <v>0</v>
      </c>
      <c r="E80" s="71">
        <f>References!$B$7</f>
        <v>4.333333333333333</v>
      </c>
      <c r="F80" s="70">
        <f t="shared" si="50"/>
        <v>52</v>
      </c>
      <c r="G80" s="70">
        <f>References!B18</f>
        <v>117</v>
      </c>
      <c r="H80" s="70">
        <f t="shared" si="51"/>
        <v>6084</v>
      </c>
      <c r="I80" s="46">
        <f t="shared" si="48"/>
        <v>3902.4081264585952</v>
      </c>
      <c r="J80" s="69">
        <f>(References!$C$49*I80)</f>
        <v>4.2926489391044695</v>
      </c>
      <c r="K80" s="69">
        <f>J80/References!$G$52</f>
        <v>4.3919060150444746</v>
      </c>
      <c r="L80" s="69">
        <f t="shared" si="52"/>
        <v>0.36599216792037287</v>
      </c>
      <c r="M80" s="175">
        <v>32.74</v>
      </c>
      <c r="N80" s="166">
        <f t="shared" si="53"/>
        <v>33.105992167920377</v>
      </c>
      <c r="O80" s="69"/>
      <c r="P80" s="69"/>
      <c r="Q80" s="69"/>
      <c r="R80" s="50">
        <f t="shared" si="49"/>
        <v>33.11</v>
      </c>
      <c r="T80" s="50"/>
    </row>
    <row r="81" spans="1:20" s="61" customFormat="1">
      <c r="A81" s="201"/>
      <c r="B81" s="47">
        <v>20</v>
      </c>
      <c r="C81" s="110" t="s">
        <v>122</v>
      </c>
      <c r="D81" s="70">
        <v>0</v>
      </c>
      <c r="E81" s="71">
        <f>References!$B$7</f>
        <v>4.333333333333333</v>
      </c>
      <c r="F81" s="70">
        <f t="shared" si="50"/>
        <v>52</v>
      </c>
      <c r="G81" s="70">
        <f>References!B19</f>
        <v>157</v>
      </c>
      <c r="H81" s="70">
        <f t="shared" si="51"/>
        <v>8164</v>
      </c>
      <c r="I81" s="46">
        <f t="shared" si="48"/>
        <v>5236.5647508888842</v>
      </c>
      <c r="J81" s="69">
        <f>(References!$C$49*I81)</f>
        <v>5.7602212259777925</v>
      </c>
      <c r="K81" s="69">
        <f>J81/References!$G$52</f>
        <v>5.8934123449742097</v>
      </c>
      <c r="L81" s="69">
        <f t="shared" si="52"/>
        <v>0.49111769541451744</v>
      </c>
      <c r="M81" s="175">
        <v>39.090000000000003</v>
      </c>
      <c r="N81" s="166">
        <f>L81+M81</f>
        <v>39.58111769541452</v>
      </c>
      <c r="O81" s="69"/>
      <c r="P81" s="69"/>
      <c r="Q81" s="69"/>
      <c r="R81" s="50">
        <f t="shared" si="49"/>
        <v>39.58</v>
      </c>
      <c r="T81" s="50"/>
    </row>
    <row r="82" spans="1:20" s="61" customFormat="1">
      <c r="A82" s="201"/>
      <c r="B82" s="47">
        <v>20</v>
      </c>
      <c r="C82" s="110" t="s">
        <v>115</v>
      </c>
      <c r="D82" s="70">
        <v>0</v>
      </c>
      <c r="E82" s="71">
        <f>References!B9</f>
        <v>1</v>
      </c>
      <c r="F82" s="70">
        <f t="shared" si="50"/>
        <v>12</v>
      </c>
      <c r="G82" s="70">
        <f>References!B14</f>
        <v>34</v>
      </c>
      <c r="H82" s="70">
        <f t="shared" si="51"/>
        <v>408</v>
      </c>
      <c r="I82" s="46">
        <f t="shared" si="48"/>
        <v>261.69995325363362</v>
      </c>
      <c r="J82" s="69">
        <f>(References!$C$49*I82)</f>
        <v>0.28786994857899795</v>
      </c>
      <c r="K82" s="69">
        <f>J82/References!$G$52</f>
        <v>0.29452624164006336</v>
      </c>
      <c r="L82" s="69">
        <f t="shared" si="52"/>
        <v>2.4543853470005279E-2</v>
      </c>
      <c r="M82" s="175">
        <v>5.04</v>
      </c>
      <c r="N82" s="166">
        <f t="shared" si="53"/>
        <v>5.0645438534700054</v>
      </c>
      <c r="O82" s="69"/>
      <c r="P82" s="69"/>
      <c r="Q82" s="69"/>
      <c r="R82" s="50">
        <f t="shared" si="49"/>
        <v>5.0599999999999996</v>
      </c>
      <c r="T82" s="50"/>
    </row>
    <row r="83" spans="1:20" s="61" customFormat="1">
      <c r="A83" s="201"/>
      <c r="B83" s="47">
        <v>20</v>
      </c>
      <c r="C83" s="110" t="s">
        <v>116</v>
      </c>
      <c r="D83" s="70">
        <v>0</v>
      </c>
      <c r="E83" s="71">
        <f>References!C9</f>
        <v>2</v>
      </c>
      <c r="F83" s="70">
        <f t="shared" si="50"/>
        <v>24</v>
      </c>
      <c r="G83" s="70">
        <f>References!B14</f>
        <v>34</v>
      </c>
      <c r="H83" s="70">
        <f t="shared" si="51"/>
        <v>816</v>
      </c>
      <c r="I83" s="46">
        <f t="shared" si="48"/>
        <v>523.39990650726725</v>
      </c>
      <c r="J83" s="69">
        <f>(References!$C$49*I83)</f>
        <v>0.57573989715799589</v>
      </c>
      <c r="K83" s="69">
        <f>J83/References!$G$52</f>
        <v>0.58905248328012672</v>
      </c>
      <c r="L83" s="69">
        <f t="shared" si="52"/>
        <v>4.9087706940010557E-2</v>
      </c>
      <c r="M83" s="175">
        <v>10.119999999999999</v>
      </c>
      <c r="N83" s="166">
        <f t="shared" si="53"/>
        <v>10.16908770694001</v>
      </c>
      <c r="O83" s="69"/>
      <c r="P83" s="69"/>
      <c r="Q83" s="69"/>
      <c r="R83" s="50">
        <f t="shared" si="49"/>
        <v>10.17</v>
      </c>
      <c r="T83" s="50"/>
    </row>
    <row r="84" spans="1:20" s="61" customFormat="1">
      <c r="A84" s="201"/>
      <c r="B84" s="47">
        <v>20</v>
      </c>
      <c r="C84" s="110" t="s">
        <v>186</v>
      </c>
      <c r="D84" s="70">
        <v>0</v>
      </c>
      <c r="E84" s="71">
        <f>References!$B$7</f>
        <v>4.333333333333333</v>
      </c>
      <c r="F84" s="70">
        <f t="shared" si="50"/>
        <v>52</v>
      </c>
      <c r="G84" s="70">
        <f>References!B14</f>
        <v>34</v>
      </c>
      <c r="H84" s="70">
        <f t="shared" si="51"/>
        <v>1768</v>
      </c>
      <c r="I84" s="46">
        <f t="shared" si="48"/>
        <v>1134.0331307657457</v>
      </c>
      <c r="J84" s="69">
        <f>(References!$C$49*I84)</f>
        <v>1.2474364438423244</v>
      </c>
      <c r="K84" s="69">
        <f>J84/References!$G$52</f>
        <v>1.2762803804402745</v>
      </c>
      <c r="L84" s="69">
        <f t="shared" si="52"/>
        <v>0.10635669837002287</v>
      </c>
      <c r="M84" s="175">
        <v>13.52</v>
      </c>
      <c r="N84" s="166">
        <f t="shared" si="53"/>
        <v>13.626356698370023</v>
      </c>
      <c r="O84" s="69"/>
      <c r="P84" s="69"/>
      <c r="Q84" s="69"/>
      <c r="R84" s="50">
        <f t="shared" si="49"/>
        <v>13.63</v>
      </c>
      <c r="T84" s="50"/>
    </row>
    <row r="85" spans="1:20" s="61" customFormat="1">
      <c r="A85" s="201"/>
      <c r="B85" s="47">
        <v>20</v>
      </c>
      <c r="C85" s="110" t="s">
        <v>187</v>
      </c>
      <c r="D85" s="70">
        <v>0</v>
      </c>
      <c r="E85" s="71">
        <f>References!$B$7</f>
        <v>4.333333333333333</v>
      </c>
      <c r="F85" s="70">
        <f t="shared" si="50"/>
        <v>52</v>
      </c>
      <c r="G85" s="70">
        <f>References!B22</f>
        <v>68</v>
      </c>
      <c r="H85" s="70">
        <f t="shared" si="51"/>
        <v>3536</v>
      </c>
      <c r="I85" s="46">
        <f t="shared" si="48"/>
        <v>2268.0662615314914</v>
      </c>
      <c r="J85" s="69">
        <f>(References!$C$49*I85)</f>
        <v>2.4948728876846489</v>
      </c>
      <c r="K85" s="69">
        <f>J85/References!$G$52</f>
        <v>2.552560760880549</v>
      </c>
      <c r="L85" s="69">
        <f t="shared" si="52"/>
        <v>0.21271339674004575</v>
      </c>
      <c r="M85" s="175">
        <v>22.73</v>
      </c>
      <c r="N85" s="166">
        <f t="shared" si="53"/>
        <v>22.942713396740047</v>
      </c>
      <c r="O85" s="69"/>
      <c r="P85" s="69"/>
      <c r="Q85" s="69"/>
      <c r="R85" s="50">
        <f t="shared" si="49"/>
        <v>22.94</v>
      </c>
      <c r="T85" s="50"/>
    </row>
    <row r="86" spans="1:20" s="61" customFormat="1">
      <c r="A86" s="201"/>
      <c r="B86" s="47">
        <v>20</v>
      </c>
      <c r="C86" s="110" t="s">
        <v>188</v>
      </c>
      <c r="D86" s="70">
        <v>0</v>
      </c>
      <c r="E86" s="71">
        <f>References!$B$7</f>
        <v>4.333333333333333</v>
      </c>
      <c r="F86" s="70">
        <f t="shared" si="50"/>
        <v>52</v>
      </c>
      <c r="G86" s="70">
        <f>References!B13</f>
        <v>20</v>
      </c>
      <c r="H86" s="70">
        <f t="shared" si="51"/>
        <v>1040</v>
      </c>
      <c r="I86" s="46">
        <f t="shared" si="48"/>
        <v>667.07831221514448</v>
      </c>
      <c r="J86" s="69">
        <f>(References!$C$49*I86)</f>
        <v>0.73378614343666138</v>
      </c>
      <c r="K86" s="69">
        <f>J86/References!$G$52</f>
        <v>0.75075316496486733</v>
      </c>
      <c r="L86" s="69">
        <f t="shared" si="52"/>
        <v>6.2562763747072273E-2</v>
      </c>
      <c r="M86" s="175">
        <v>11.51</v>
      </c>
      <c r="N86" s="166">
        <f t="shared" si="53"/>
        <v>11.572562763747072</v>
      </c>
      <c r="O86" s="69"/>
      <c r="P86" s="69"/>
      <c r="Q86" s="69"/>
      <c r="R86" s="50">
        <f t="shared" si="49"/>
        <v>11.57</v>
      </c>
      <c r="T86" s="50"/>
    </row>
    <row r="87" spans="1:20" s="61" customFormat="1" ht="15" customHeight="1">
      <c r="A87" s="141"/>
      <c r="B87" s="47">
        <v>20</v>
      </c>
      <c r="C87" s="44" t="s">
        <v>189</v>
      </c>
      <c r="D87" s="70">
        <v>0</v>
      </c>
      <c r="E87" s="71">
        <f>References!$B$7</f>
        <v>4.333333333333333</v>
      </c>
      <c r="F87" s="70">
        <f>E87*12</f>
        <v>52</v>
      </c>
      <c r="G87" s="70">
        <f>References!B14</f>
        <v>34</v>
      </c>
      <c r="H87" s="70">
        <f>F87*G87</f>
        <v>1768</v>
      </c>
      <c r="I87" s="46">
        <f t="shared" si="48"/>
        <v>1134.0331307657457</v>
      </c>
      <c r="J87" s="69">
        <f>(References!$C$49*I87)</f>
        <v>1.2474364438423244</v>
      </c>
      <c r="K87" s="69">
        <f>J87/References!$G$52</f>
        <v>1.2762803804402745</v>
      </c>
      <c r="L87" s="69">
        <f>K87/F87*E87</f>
        <v>0.10635669837002287</v>
      </c>
      <c r="M87" s="175">
        <v>8.3000000000000007</v>
      </c>
      <c r="N87" s="166">
        <f>L87+M87</f>
        <v>8.4063566983700238</v>
      </c>
      <c r="O87" s="69"/>
      <c r="P87" s="69"/>
      <c r="Q87" s="69"/>
      <c r="R87" s="50">
        <f t="shared" si="49"/>
        <v>8.41</v>
      </c>
      <c r="T87" s="50"/>
    </row>
    <row r="88" spans="1:20" s="61" customFormat="1">
      <c r="A88" s="141"/>
      <c r="B88" s="47" t="s">
        <v>104</v>
      </c>
      <c r="C88" s="144" t="s">
        <v>112</v>
      </c>
      <c r="D88" s="70">
        <v>0</v>
      </c>
      <c r="E88" s="71">
        <f>References!B9</f>
        <v>1</v>
      </c>
      <c r="F88" s="70">
        <f>E88*12</f>
        <v>12</v>
      </c>
      <c r="G88" s="70">
        <f>References!B24</f>
        <v>34</v>
      </c>
      <c r="H88" s="70">
        <f>F88*G88</f>
        <v>408</v>
      </c>
      <c r="I88" s="46">
        <f t="shared" si="48"/>
        <v>261.69995325363362</v>
      </c>
      <c r="J88" s="69">
        <f>(References!$C$49*I88)</f>
        <v>0.28786994857899795</v>
      </c>
      <c r="K88" s="69">
        <f>J88/References!$G$52</f>
        <v>0.29452624164006336</v>
      </c>
      <c r="L88" s="69">
        <f>K88/F88*E88</f>
        <v>2.4543853470005279E-2</v>
      </c>
      <c r="M88" s="175">
        <v>2.59</v>
      </c>
      <c r="N88" s="166">
        <f>L88+M88</f>
        <v>2.6145438534700052</v>
      </c>
      <c r="O88" s="69"/>
      <c r="P88" s="69"/>
      <c r="Q88" s="69"/>
      <c r="R88" s="50">
        <f t="shared" si="49"/>
        <v>2.61</v>
      </c>
      <c r="T88" s="50"/>
    </row>
    <row r="89" spans="1:20" s="61" customFormat="1">
      <c r="A89" s="141"/>
      <c r="B89" s="47">
        <v>21</v>
      </c>
      <c r="C89" s="61" t="s">
        <v>113</v>
      </c>
      <c r="D89" s="70">
        <v>0</v>
      </c>
      <c r="E89" s="71">
        <f>References!B9</f>
        <v>1</v>
      </c>
      <c r="F89" s="70">
        <f>E89*12</f>
        <v>12</v>
      </c>
      <c r="G89" s="70">
        <f>References!B42</f>
        <v>125</v>
      </c>
      <c r="H89" s="70">
        <f>F89*G89</f>
        <v>1500</v>
      </c>
      <c r="I89" s="46">
        <f t="shared" si="48"/>
        <v>962.13218107953526</v>
      </c>
      <c r="J89" s="69">
        <f>(References!$C$49*I89)</f>
        <v>1.0583453991874925</v>
      </c>
      <c r="K89" s="69">
        <f>J89/References!$G$52</f>
        <v>1.0828170648531741</v>
      </c>
      <c r="L89" s="69">
        <f>K89/F89*E89</f>
        <v>9.0234755404431169E-2</v>
      </c>
      <c r="M89" s="175">
        <v>10.26</v>
      </c>
      <c r="N89" s="166">
        <f>L89+M89</f>
        <v>10.350234755404431</v>
      </c>
      <c r="O89" s="69"/>
      <c r="P89" s="69"/>
      <c r="Q89" s="69"/>
      <c r="R89" s="50">
        <f t="shared" si="49"/>
        <v>10.35</v>
      </c>
      <c r="T89" s="50"/>
    </row>
    <row r="90" spans="1:20" s="61" customFormat="1">
      <c r="A90" s="141"/>
      <c r="B90" s="47"/>
      <c r="C90" s="113"/>
      <c r="D90" s="70"/>
      <c r="E90" s="71"/>
      <c r="F90" s="70"/>
      <c r="G90" s="70"/>
      <c r="H90" s="70"/>
      <c r="I90" s="46"/>
      <c r="J90" s="69"/>
      <c r="K90" s="69"/>
      <c r="L90" s="69"/>
      <c r="M90" s="95"/>
      <c r="N90" s="69"/>
      <c r="O90" s="69"/>
      <c r="P90" s="69"/>
      <c r="Q90" s="69"/>
      <c r="T90" s="50"/>
    </row>
    <row r="91" spans="1:20" s="61" customFormat="1">
      <c r="A91" s="133"/>
      <c r="B91" s="134"/>
      <c r="C91" s="113"/>
      <c r="D91" s="135"/>
      <c r="E91" s="136"/>
      <c r="F91" s="137"/>
      <c r="G91" s="137"/>
      <c r="H91" s="137"/>
      <c r="I91" s="138"/>
      <c r="J91" s="139"/>
      <c r="K91" s="139"/>
      <c r="L91" s="139"/>
      <c r="M91" s="140"/>
      <c r="N91" s="139"/>
      <c r="O91" s="69"/>
      <c r="P91" s="69"/>
      <c r="Q91" s="69"/>
      <c r="T91" s="50"/>
    </row>
    <row r="92" spans="1:20" s="61" customFormat="1">
      <c r="A92" s="200" t="s">
        <v>14</v>
      </c>
      <c r="B92" s="47">
        <v>21</v>
      </c>
      <c r="C92" s="110" t="s">
        <v>124</v>
      </c>
      <c r="D92" s="58">
        <v>0</v>
      </c>
      <c r="E92" s="71">
        <f>References!$B$9</f>
        <v>1</v>
      </c>
      <c r="F92" s="70">
        <f>E92*12</f>
        <v>12</v>
      </c>
      <c r="G92" s="70">
        <f>References!B42</f>
        <v>125</v>
      </c>
      <c r="H92" s="70">
        <f>F92*G92</f>
        <v>1500</v>
      </c>
      <c r="I92" s="46">
        <f t="shared" ref="I92:I107" si="54">$D$147*H92</f>
        <v>962.13218107953526</v>
      </c>
      <c r="J92" s="69">
        <f>(References!$C$49*I92)</f>
        <v>1.0583453991874925</v>
      </c>
      <c r="K92" s="69">
        <f>J92/References!$G$52</f>
        <v>1.0828170648531741</v>
      </c>
      <c r="L92" s="69">
        <f>K92/F92</f>
        <v>9.0234755404431169E-2</v>
      </c>
      <c r="M92" s="175">
        <v>9.36</v>
      </c>
      <c r="N92" s="166">
        <f>L92+M92</f>
        <v>9.4502347554044306</v>
      </c>
      <c r="O92" s="69"/>
      <c r="P92" s="69"/>
      <c r="Q92" s="69"/>
      <c r="R92" s="50">
        <f t="shared" ref="R92:R95" si="55">ROUND(N92,2)</f>
        <v>9.4499999999999993</v>
      </c>
      <c r="T92" s="50"/>
    </row>
    <row r="93" spans="1:20" s="61" customFormat="1">
      <c r="A93" s="201"/>
      <c r="B93" s="47">
        <v>21</v>
      </c>
      <c r="C93" s="110" t="s">
        <v>125</v>
      </c>
      <c r="D93" s="58">
        <v>0</v>
      </c>
      <c r="E93" s="71">
        <f>References!$B$9</f>
        <v>1</v>
      </c>
      <c r="F93" s="70">
        <f>E93*12</f>
        <v>12</v>
      </c>
      <c r="G93" s="70">
        <f>References!B42</f>
        <v>125</v>
      </c>
      <c r="H93" s="70">
        <f>F93*G93</f>
        <v>1500</v>
      </c>
      <c r="I93" s="46">
        <f t="shared" si="54"/>
        <v>962.13218107953526</v>
      </c>
      <c r="J93" s="69">
        <f>(References!$C$49*I93)</f>
        <v>1.0583453991874925</v>
      </c>
      <c r="K93" s="69">
        <f>J93/References!$G$52</f>
        <v>1.0828170648531741</v>
      </c>
      <c r="L93" s="69">
        <f>K93/F93</f>
        <v>9.0234755404431169E-2</v>
      </c>
      <c r="M93" s="175">
        <v>10.74</v>
      </c>
      <c r="N93" s="166">
        <f>L93+M93</f>
        <v>10.830234755404431</v>
      </c>
      <c r="O93" s="69"/>
      <c r="P93" s="69"/>
      <c r="Q93" s="69"/>
      <c r="R93" s="50">
        <f t="shared" si="55"/>
        <v>10.83</v>
      </c>
      <c r="T93" s="50"/>
    </row>
    <row r="94" spans="1:20" s="61" customFormat="1">
      <c r="A94" s="201"/>
      <c r="B94" s="47">
        <v>21</v>
      </c>
      <c r="C94" s="110" t="s">
        <v>126</v>
      </c>
      <c r="D94" s="58">
        <v>0</v>
      </c>
      <c r="E94" s="71">
        <f>References!$B$9</f>
        <v>1</v>
      </c>
      <c r="F94" s="70">
        <f>E94*12</f>
        <v>12</v>
      </c>
      <c r="G94" s="70">
        <f>References!B42</f>
        <v>125</v>
      </c>
      <c r="H94" s="70">
        <f>F94*G94</f>
        <v>1500</v>
      </c>
      <c r="I94" s="46">
        <f t="shared" si="54"/>
        <v>962.13218107953526</v>
      </c>
      <c r="J94" s="69">
        <f>(References!$C$49*I94)</f>
        <v>1.0583453991874925</v>
      </c>
      <c r="K94" s="69">
        <f>J94/References!$G$52</f>
        <v>1.0828170648531741</v>
      </c>
      <c r="L94" s="69">
        <f>K94/F94</f>
        <v>9.0234755404431169E-2</v>
      </c>
      <c r="M94" s="175">
        <v>9.77</v>
      </c>
      <c r="N94" s="166">
        <f>L94+M94</f>
        <v>9.8602347554044307</v>
      </c>
      <c r="O94" s="69"/>
      <c r="P94" s="69"/>
      <c r="Q94" s="69"/>
      <c r="R94" s="50">
        <f t="shared" si="55"/>
        <v>9.86</v>
      </c>
      <c r="T94" s="50"/>
    </row>
    <row r="95" spans="1:20" s="61" customFormat="1">
      <c r="A95" s="201"/>
      <c r="B95" s="47" t="s">
        <v>192</v>
      </c>
      <c r="C95" s="163" t="s">
        <v>161</v>
      </c>
      <c r="D95" s="70"/>
      <c r="E95" s="71">
        <f>References!$B$9</f>
        <v>1</v>
      </c>
      <c r="F95" s="129">
        <v>1</v>
      </c>
      <c r="G95" s="155">
        <v>1312.5</v>
      </c>
      <c r="H95" s="112">
        <f>F95*G95</f>
        <v>1312.5</v>
      </c>
      <c r="I95" s="46">
        <f t="shared" si="54"/>
        <v>841.86565844459335</v>
      </c>
      <c r="J95" s="69">
        <f>(References!$C$49*I95)</f>
        <v>0.92605222428905587</v>
      </c>
      <c r="K95" s="69">
        <f>J95/References!$G$52</f>
        <v>0.94746493174652735</v>
      </c>
      <c r="L95" s="69">
        <f>K95/F95</f>
        <v>0.94746493174652735</v>
      </c>
      <c r="M95" s="175">
        <v>98.75</v>
      </c>
      <c r="N95" s="173">
        <f t="shared" ref="N95:N103" si="56">L95+M95</f>
        <v>99.697464931746524</v>
      </c>
      <c r="O95" s="69"/>
      <c r="P95" s="69"/>
      <c r="Q95" s="69"/>
      <c r="R95" s="50">
        <f t="shared" si="55"/>
        <v>99.7</v>
      </c>
      <c r="T95" s="50"/>
    </row>
    <row r="96" spans="1:20" s="61" customFormat="1">
      <c r="A96" s="201"/>
      <c r="B96" s="47" t="s">
        <v>192</v>
      </c>
      <c r="C96" s="164" t="s">
        <v>136</v>
      </c>
      <c r="D96" s="58">
        <v>0</v>
      </c>
      <c r="E96" s="71">
        <f>References!$B$9</f>
        <v>1</v>
      </c>
      <c r="F96" s="70">
        <f t="shared" ref="F96:F103" si="57">E96*12</f>
        <v>12</v>
      </c>
      <c r="G96" s="70">
        <f>References!B28</f>
        <v>250</v>
      </c>
      <c r="H96" s="112">
        <f t="shared" ref="H96:H103" si="58">F96*G96</f>
        <v>3000</v>
      </c>
      <c r="I96" s="46">
        <f t="shared" si="54"/>
        <v>1924.2643621590705</v>
      </c>
      <c r="J96" s="69">
        <f>(References!$C$49*I96)</f>
        <v>2.116690798374985</v>
      </c>
      <c r="K96" s="69">
        <f>J96/References!$G$52</f>
        <v>2.1656341297063482</v>
      </c>
      <c r="L96" s="69">
        <f t="shared" ref="L96:L103" si="59">K96/F96</f>
        <v>0.18046951080886234</v>
      </c>
      <c r="M96" s="175">
        <v>23.9</v>
      </c>
      <c r="N96" s="166">
        <f t="shared" si="56"/>
        <v>24.080469510808861</v>
      </c>
      <c r="O96" s="69"/>
      <c r="P96" s="69"/>
      <c r="Q96" s="69"/>
      <c r="R96" s="50">
        <f t="shared" ref="R96:R107" si="60">ROUND(N96,2)</f>
        <v>24.08</v>
      </c>
      <c r="T96" s="50"/>
    </row>
    <row r="97" spans="1:20" s="61" customFormat="1">
      <c r="A97" s="201"/>
      <c r="B97" s="47" t="s">
        <v>192</v>
      </c>
      <c r="C97" s="164" t="s">
        <v>137</v>
      </c>
      <c r="D97" s="58">
        <v>0</v>
      </c>
      <c r="E97" s="71">
        <f>References!$B$9</f>
        <v>1</v>
      </c>
      <c r="F97" s="70">
        <f t="shared" si="57"/>
        <v>12</v>
      </c>
      <c r="G97" s="70">
        <f>References!B28</f>
        <v>250</v>
      </c>
      <c r="H97" s="112">
        <f t="shared" si="58"/>
        <v>3000</v>
      </c>
      <c r="I97" s="46">
        <f t="shared" si="54"/>
        <v>1924.2643621590705</v>
      </c>
      <c r="J97" s="69">
        <f>(References!$C$49*I97)</f>
        <v>2.116690798374985</v>
      </c>
      <c r="K97" s="69">
        <f>J97/References!$G$52</f>
        <v>2.1656341297063482</v>
      </c>
      <c r="L97" s="69">
        <f t="shared" si="59"/>
        <v>0.18046951080886234</v>
      </c>
      <c r="M97" s="175">
        <v>21.57</v>
      </c>
      <c r="N97" s="166">
        <f t="shared" si="56"/>
        <v>21.750469510808863</v>
      </c>
      <c r="O97" s="69"/>
      <c r="P97" s="69"/>
      <c r="Q97" s="69"/>
      <c r="R97" s="50">
        <f t="shared" si="60"/>
        <v>21.75</v>
      </c>
      <c r="T97" s="50"/>
    </row>
    <row r="98" spans="1:20" s="61" customFormat="1">
      <c r="A98" s="201"/>
      <c r="B98" s="47" t="s">
        <v>192</v>
      </c>
      <c r="C98" s="44" t="s">
        <v>140</v>
      </c>
      <c r="D98" s="58">
        <v>0</v>
      </c>
      <c r="E98" s="71">
        <f>References!$B$9</f>
        <v>1</v>
      </c>
      <c r="F98" s="70">
        <f t="shared" si="57"/>
        <v>12</v>
      </c>
      <c r="G98" s="70">
        <f>References!B29</f>
        <v>324</v>
      </c>
      <c r="H98" s="112">
        <f t="shared" si="58"/>
        <v>3888</v>
      </c>
      <c r="I98" s="46">
        <f t="shared" si="54"/>
        <v>2493.8466133581555</v>
      </c>
      <c r="J98" s="69">
        <f>(References!$C$49*I98)</f>
        <v>2.7432312746939806</v>
      </c>
      <c r="K98" s="69">
        <f>J98/References!$G$52</f>
        <v>2.8066618320994277</v>
      </c>
      <c r="L98" s="69">
        <f t="shared" si="59"/>
        <v>0.23388848600828563</v>
      </c>
      <c r="M98" s="175">
        <v>31.34</v>
      </c>
      <c r="N98" s="166">
        <f t="shared" si="56"/>
        <v>31.573888486008286</v>
      </c>
      <c r="O98" s="69"/>
      <c r="P98" s="69"/>
      <c r="Q98" s="69"/>
      <c r="R98" s="50">
        <f t="shared" si="60"/>
        <v>31.57</v>
      </c>
      <c r="T98" s="50"/>
    </row>
    <row r="99" spans="1:20" s="61" customFormat="1">
      <c r="A99" s="201"/>
      <c r="B99" s="47" t="s">
        <v>192</v>
      </c>
      <c r="C99" s="44" t="s">
        <v>141</v>
      </c>
      <c r="D99" s="58">
        <v>0</v>
      </c>
      <c r="E99" s="71">
        <f>References!$B$9</f>
        <v>1</v>
      </c>
      <c r="F99" s="70">
        <f t="shared" si="57"/>
        <v>12</v>
      </c>
      <c r="G99" s="70">
        <f>References!B29</f>
        <v>324</v>
      </c>
      <c r="H99" s="112">
        <f t="shared" si="58"/>
        <v>3888</v>
      </c>
      <c r="I99" s="46">
        <f t="shared" si="54"/>
        <v>2493.8466133581555</v>
      </c>
      <c r="J99" s="69">
        <f>(References!$C$49*I99)</f>
        <v>2.7432312746939806</v>
      </c>
      <c r="K99" s="69">
        <f>J99/References!$G$52</f>
        <v>2.8066618320994277</v>
      </c>
      <c r="L99" s="69">
        <f t="shared" si="59"/>
        <v>0.23388848600828563</v>
      </c>
      <c r="M99" s="175">
        <v>28.49</v>
      </c>
      <c r="N99" s="166">
        <f t="shared" si="56"/>
        <v>28.723888486008285</v>
      </c>
      <c r="O99" s="69"/>
      <c r="P99" s="69"/>
      <c r="Q99" s="69"/>
      <c r="R99" s="50">
        <f t="shared" si="60"/>
        <v>28.72</v>
      </c>
      <c r="T99" s="50"/>
    </row>
    <row r="100" spans="1:20" s="61" customFormat="1">
      <c r="A100" s="201"/>
      <c r="B100" s="47" t="s">
        <v>192</v>
      </c>
      <c r="C100" s="164" t="s">
        <v>144</v>
      </c>
      <c r="D100" s="58">
        <v>0</v>
      </c>
      <c r="E100" s="71">
        <f>References!$B$9</f>
        <v>1</v>
      </c>
      <c r="F100" s="70">
        <f t="shared" si="57"/>
        <v>12</v>
      </c>
      <c r="G100" s="70">
        <f>References!B30</f>
        <v>473</v>
      </c>
      <c r="H100" s="112">
        <f t="shared" si="58"/>
        <v>5676</v>
      </c>
      <c r="I100" s="46">
        <f t="shared" si="54"/>
        <v>3640.7081732049614</v>
      </c>
      <c r="J100" s="69">
        <f>(References!$C$49*I100)</f>
        <v>4.0047789905254714</v>
      </c>
      <c r="K100" s="69">
        <f>J100/References!$G$52</f>
        <v>4.0973797734044108</v>
      </c>
      <c r="L100" s="69">
        <f t="shared" si="59"/>
        <v>0.34144831445036755</v>
      </c>
      <c r="M100" s="175">
        <v>41.66</v>
      </c>
      <c r="N100" s="166">
        <f t="shared" si="56"/>
        <v>42.001448314450364</v>
      </c>
      <c r="O100" s="69"/>
      <c r="P100" s="69"/>
      <c r="Q100" s="69"/>
      <c r="R100" s="50">
        <f t="shared" si="60"/>
        <v>42</v>
      </c>
      <c r="T100" s="50"/>
    </row>
    <row r="101" spans="1:20" s="61" customFormat="1">
      <c r="A101" s="201"/>
      <c r="B101" s="47" t="s">
        <v>191</v>
      </c>
      <c r="C101" s="110" t="s">
        <v>127</v>
      </c>
      <c r="D101" s="58">
        <v>0</v>
      </c>
      <c r="E101" s="71">
        <f>References!$B$9</f>
        <v>1</v>
      </c>
      <c r="F101" s="70">
        <f t="shared" si="57"/>
        <v>12</v>
      </c>
      <c r="G101" s="70">
        <f>References!B22</f>
        <v>68</v>
      </c>
      <c r="H101" s="70">
        <f t="shared" si="58"/>
        <v>816</v>
      </c>
      <c r="I101" s="46">
        <f t="shared" si="54"/>
        <v>523.39990650726725</v>
      </c>
      <c r="J101" s="69">
        <f>(References!$C$49*I101)</f>
        <v>0.57573989715799589</v>
      </c>
      <c r="K101" s="69">
        <f>J101/References!$G$52</f>
        <v>0.58905248328012672</v>
      </c>
      <c r="L101" s="69">
        <f t="shared" si="59"/>
        <v>4.9087706940010557E-2</v>
      </c>
      <c r="M101" s="175">
        <v>5.79</v>
      </c>
      <c r="N101" s="166">
        <f t="shared" si="56"/>
        <v>5.8390877069400107</v>
      </c>
      <c r="O101" s="69"/>
      <c r="P101" s="69"/>
      <c r="Q101" s="69"/>
      <c r="R101" s="50">
        <f t="shared" si="60"/>
        <v>5.84</v>
      </c>
      <c r="T101" s="50"/>
    </row>
    <row r="102" spans="1:20" s="61" customFormat="1">
      <c r="A102" s="201"/>
      <c r="B102" s="47" t="s">
        <v>191</v>
      </c>
      <c r="C102" s="110" t="s">
        <v>123</v>
      </c>
      <c r="D102" s="58">
        <v>0</v>
      </c>
      <c r="E102" s="71">
        <f>References!$B$9</f>
        <v>1</v>
      </c>
      <c r="F102" s="70">
        <f t="shared" si="57"/>
        <v>12</v>
      </c>
      <c r="G102" s="70">
        <f>References!B21</f>
        <v>47</v>
      </c>
      <c r="H102" s="112">
        <f t="shared" si="58"/>
        <v>564</v>
      </c>
      <c r="I102" s="46">
        <f t="shared" si="54"/>
        <v>361.76170008590526</v>
      </c>
      <c r="J102" s="69">
        <f>(References!$C$49*I102)</f>
        <v>0.39793787009449716</v>
      </c>
      <c r="K102" s="69">
        <f>J102/References!$G$52</f>
        <v>0.40713921638479345</v>
      </c>
      <c r="L102" s="69">
        <f t="shared" si="59"/>
        <v>3.3928268032066118E-2</v>
      </c>
      <c r="M102" s="175">
        <v>5.57</v>
      </c>
      <c r="N102" s="166">
        <f t="shared" si="56"/>
        <v>5.6039282680320666</v>
      </c>
      <c r="O102" s="69"/>
      <c r="P102" s="69"/>
      <c r="Q102" s="69"/>
      <c r="R102" s="50">
        <f t="shared" si="60"/>
        <v>5.6</v>
      </c>
      <c r="T102" s="50"/>
    </row>
    <row r="103" spans="1:20" s="61" customFormat="1">
      <c r="A103" s="201"/>
      <c r="B103" s="47" t="s">
        <v>190</v>
      </c>
      <c r="C103" s="110" t="s">
        <v>123</v>
      </c>
      <c r="D103" s="58">
        <v>0</v>
      </c>
      <c r="E103" s="71">
        <f>References!$B$9</f>
        <v>1</v>
      </c>
      <c r="F103" s="70">
        <f t="shared" si="57"/>
        <v>12</v>
      </c>
      <c r="G103" s="70">
        <f>References!B21</f>
        <v>47</v>
      </c>
      <c r="H103" s="112">
        <f t="shared" si="58"/>
        <v>564</v>
      </c>
      <c r="I103" s="46">
        <f t="shared" si="54"/>
        <v>361.76170008590526</v>
      </c>
      <c r="J103" s="69">
        <f>(References!$C$49*I103)</f>
        <v>0.39793787009449716</v>
      </c>
      <c r="K103" s="69">
        <f>J103/References!$G$52</f>
        <v>0.40713921638479345</v>
      </c>
      <c r="L103" s="69">
        <f t="shared" si="59"/>
        <v>3.3928268032066118E-2</v>
      </c>
      <c r="M103" s="175">
        <v>4</v>
      </c>
      <c r="N103" s="166">
        <f t="shared" si="56"/>
        <v>4.0339282680320663</v>
      </c>
      <c r="O103" s="69"/>
      <c r="P103" s="69"/>
      <c r="Q103" s="69"/>
      <c r="R103" s="50">
        <f t="shared" si="60"/>
        <v>4.03</v>
      </c>
      <c r="T103" s="50"/>
    </row>
    <row r="104" spans="1:20" s="61" customFormat="1">
      <c r="A104" s="201"/>
      <c r="B104" s="47" t="s">
        <v>190</v>
      </c>
      <c r="C104" s="164" t="s">
        <v>108</v>
      </c>
      <c r="D104" s="58">
        <v>0</v>
      </c>
      <c r="E104" s="71">
        <f>References!$B$9</f>
        <v>1</v>
      </c>
      <c r="F104" s="70">
        <f>E104*12</f>
        <v>12</v>
      </c>
      <c r="G104" s="70">
        <f>References!B31</f>
        <v>613</v>
      </c>
      <c r="H104" s="112">
        <f>F104*G104</f>
        <v>7356</v>
      </c>
      <c r="I104" s="46">
        <f t="shared" si="54"/>
        <v>4718.2962160140414</v>
      </c>
      <c r="J104" s="69">
        <f>(References!$C$49*I104)</f>
        <v>5.1901258376154633</v>
      </c>
      <c r="K104" s="69">
        <f>J104/References!$G$52</f>
        <v>5.3101348860399664</v>
      </c>
      <c r="L104" s="69">
        <f>K104/F104</f>
        <v>0.44251124050333052</v>
      </c>
      <c r="M104" s="175">
        <v>47.29</v>
      </c>
      <c r="N104" s="166">
        <f>L104+M104</f>
        <v>47.732511240503328</v>
      </c>
      <c r="O104" s="69"/>
      <c r="P104" s="69"/>
      <c r="Q104" s="69"/>
      <c r="R104" s="50">
        <f t="shared" si="60"/>
        <v>47.73</v>
      </c>
      <c r="T104" s="50"/>
    </row>
    <row r="105" spans="1:20" s="61" customFormat="1">
      <c r="A105" s="201"/>
      <c r="B105" s="47" t="s">
        <v>190</v>
      </c>
      <c r="C105" s="164" t="s">
        <v>109</v>
      </c>
      <c r="D105" s="58">
        <v>0</v>
      </c>
      <c r="E105" s="71">
        <f>References!$B$9</f>
        <v>1</v>
      </c>
      <c r="F105" s="70">
        <f>E105*12</f>
        <v>12</v>
      </c>
      <c r="G105" s="70">
        <f>References!B32</f>
        <v>840</v>
      </c>
      <c r="H105" s="70">
        <f>F105*G105</f>
        <v>10080</v>
      </c>
      <c r="I105" s="46">
        <f t="shared" si="54"/>
        <v>6465.5282568544771</v>
      </c>
      <c r="J105" s="69">
        <f>(References!$C$49*I105)</f>
        <v>7.112081082539949</v>
      </c>
      <c r="K105" s="69">
        <f>J105/References!$G$52</f>
        <v>7.2765306758133299</v>
      </c>
      <c r="L105" s="69">
        <f>K105/F105</f>
        <v>0.60637755631777746</v>
      </c>
      <c r="M105" s="175">
        <v>65.12</v>
      </c>
      <c r="N105" s="166">
        <f>L105+M105</f>
        <v>65.726377556317786</v>
      </c>
      <c r="O105" s="69"/>
      <c r="P105" s="69"/>
      <c r="Q105" s="69"/>
      <c r="R105" s="50">
        <f t="shared" si="60"/>
        <v>65.73</v>
      </c>
      <c r="T105" s="50"/>
    </row>
    <row r="106" spans="1:20" s="61" customFormat="1">
      <c r="A106" s="201"/>
      <c r="B106" s="47" t="s">
        <v>190</v>
      </c>
      <c r="C106" s="164" t="s">
        <v>110</v>
      </c>
      <c r="D106" s="58">
        <v>0</v>
      </c>
      <c r="E106" s="71">
        <f>References!$B$9</f>
        <v>1</v>
      </c>
      <c r="F106" s="70">
        <f>E106*12</f>
        <v>12</v>
      </c>
      <c r="G106" s="70">
        <f>References!B33</f>
        <v>980</v>
      </c>
      <c r="H106" s="112">
        <f>F106*G106</f>
        <v>11760</v>
      </c>
      <c r="I106" s="46">
        <f t="shared" si="54"/>
        <v>7543.1162996635567</v>
      </c>
      <c r="J106" s="69">
        <f>(References!$C$49*I106)</f>
        <v>8.29742792962994</v>
      </c>
      <c r="K106" s="69">
        <f>J106/References!$G$52</f>
        <v>8.4892857884488837</v>
      </c>
      <c r="L106" s="69">
        <f>K106/F106</f>
        <v>0.70744048237074031</v>
      </c>
      <c r="M106" s="175">
        <v>81.739999999999995</v>
      </c>
      <c r="N106" s="166">
        <f>L106+M106</f>
        <v>82.447440482370737</v>
      </c>
      <c r="O106" s="69"/>
      <c r="P106" s="69"/>
      <c r="Q106" s="69"/>
      <c r="R106" s="50">
        <f t="shared" si="60"/>
        <v>82.45</v>
      </c>
      <c r="T106" s="50"/>
    </row>
    <row r="107" spans="1:20" s="61" customFormat="1">
      <c r="A107" s="201"/>
      <c r="B107" s="47" t="s">
        <v>190</v>
      </c>
      <c r="C107" s="164" t="s">
        <v>111</v>
      </c>
      <c r="D107" s="58">
        <v>0</v>
      </c>
      <c r="E107" s="71">
        <f>References!$B$9</f>
        <v>1</v>
      </c>
      <c r="F107" s="70">
        <f>E107*12</f>
        <v>12</v>
      </c>
      <c r="G107" s="132">
        <v>1312.5</v>
      </c>
      <c r="H107" s="112">
        <f>F107*G107</f>
        <v>15750</v>
      </c>
      <c r="I107" s="46">
        <f t="shared" si="54"/>
        <v>10102.38790133512</v>
      </c>
      <c r="J107" s="69">
        <f>(References!$C$49*I107)</f>
        <v>11.11262669146867</v>
      </c>
      <c r="K107" s="69">
        <f>J107/References!$G$52</f>
        <v>11.369579180958327</v>
      </c>
      <c r="L107" s="69">
        <f>K107/F107</f>
        <v>0.94746493174652724</v>
      </c>
      <c r="M107" s="175">
        <v>97.78</v>
      </c>
      <c r="N107" s="166">
        <f>L107+M107</f>
        <v>98.727464931746525</v>
      </c>
      <c r="O107" s="69"/>
      <c r="P107" s="69"/>
      <c r="Q107" s="69"/>
      <c r="R107" s="50">
        <f t="shared" si="60"/>
        <v>98.73</v>
      </c>
      <c r="T107" s="50"/>
    </row>
    <row r="108" spans="1:20" s="61" customFormat="1">
      <c r="A108" s="133"/>
      <c r="B108" s="134"/>
      <c r="C108" s="168"/>
      <c r="D108" s="135"/>
      <c r="E108" s="136"/>
      <c r="F108" s="137"/>
      <c r="G108" s="169"/>
      <c r="H108" s="170"/>
      <c r="I108" s="138"/>
      <c r="J108" s="139"/>
      <c r="K108" s="139"/>
      <c r="L108" s="139"/>
      <c r="M108" s="176"/>
      <c r="N108" s="171"/>
      <c r="O108" s="69"/>
      <c r="P108" s="69"/>
      <c r="Q108" s="69"/>
      <c r="T108" s="50"/>
    </row>
    <row r="109" spans="1:20" s="61" customFormat="1">
      <c r="A109" s="141"/>
      <c r="B109" s="47"/>
      <c r="C109" s="131"/>
      <c r="D109" s="58"/>
      <c r="E109" s="71"/>
      <c r="F109" s="70"/>
      <c r="G109" s="70"/>
      <c r="H109" s="112"/>
      <c r="I109" s="46"/>
      <c r="J109" s="69"/>
      <c r="K109" s="69"/>
      <c r="L109" s="69"/>
      <c r="M109" s="69"/>
      <c r="N109" s="69"/>
      <c r="P109" s="69"/>
      <c r="Q109" s="69"/>
      <c r="R109" s="69"/>
      <c r="T109" s="50"/>
    </row>
    <row r="110" spans="1:20" s="61" customFormat="1">
      <c r="A110" s="141"/>
      <c r="B110" s="47"/>
      <c r="C110" s="131"/>
      <c r="D110" s="58"/>
      <c r="E110" s="71"/>
      <c r="F110" s="70"/>
      <c r="G110" s="70"/>
      <c r="H110" s="112"/>
      <c r="I110" s="46"/>
      <c r="J110" s="69"/>
      <c r="K110" s="69"/>
      <c r="L110" s="69"/>
      <c r="M110" s="69"/>
      <c r="N110" s="69"/>
      <c r="P110" s="69"/>
      <c r="Q110" s="69"/>
      <c r="R110" s="69"/>
      <c r="T110" s="50"/>
    </row>
    <row r="111" spans="1:20" s="61" customFormat="1">
      <c r="A111" s="141"/>
      <c r="B111" s="47"/>
      <c r="C111" s="131"/>
      <c r="D111" s="58"/>
      <c r="E111" s="71"/>
      <c r="F111" s="70"/>
      <c r="G111" s="70"/>
      <c r="H111" s="112"/>
      <c r="I111" s="46"/>
      <c r="J111" s="69"/>
      <c r="K111" s="69"/>
      <c r="L111" s="69"/>
      <c r="M111" s="69"/>
      <c r="N111" s="69"/>
      <c r="O111" s="69"/>
      <c r="P111" s="69"/>
      <c r="Q111" s="69"/>
      <c r="R111" s="50"/>
      <c r="T111" s="50"/>
    </row>
    <row r="112" spans="1:20" s="61" customFormat="1">
      <c r="A112" s="141"/>
      <c r="B112" s="47"/>
      <c r="C112" s="131"/>
      <c r="D112" s="58"/>
      <c r="E112" s="71"/>
      <c r="F112" s="70"/>
      <c r="G112" s="70"/>
      <c r="H112" s="112"/>
      <c r="I112" s="46"/>
      <c r="J112" s="69"/>
      <c r="K112" s="69"/>
      <c r="L112" s="69"/>
      <c r="M112" s="69"/>
      <c r="N112" s="69"/>
      <c r="O112" s="69"/>
      <c r="P112" s="69"/>
      <c r="Q112" s="69"/>
      <c r="R112" s="50"/>
      <c r="T112" s="50"/>
    </row>
    <row r="113" spans="1:20" s="61" customFormat="1">
      <c r="A113" s="167"/>
      <c r="B113" s="47"/>
      <c r="C113" s="131"/>
      <c r="D113" s="58"/>
      <c r="E113" s="71"/>
      <c r="F113" s="70"/>
      <c r="G113" s="70"/>
      <c r="H113" s="112"/>
      <c r="I113" s="46"/>
      <c r="J113" s="69"/>
      <c r="K113" s="69"/>
      <c r="L113" s="69"/>
      <c r="M113" s="69"/>
      <c r="N113" s="69"/>
      <c r="O113" s="69"/>
      <c r="P113" s="69"/>
      <c r="Q113" s="69"/>
      <c r="R113" s="50"/>
      <c r="T113" s="50"/>
    </row>
    <row r="114" spans="1:20" s="61" customFormat="1">
      <c r="A114" s="167"/>
      <c r="B114" s="47"/>
      <c r="C114" s="131"/>
      <c r="D114" s="58"/>
      <c r="E114" s="71"/>
      <c r="F114" s="70"/>
      <c r="G114" s="70"/>
      <c r="H114" s="112"/>
      <c r="I114" s="46"/>
      <c r="J114" s="69"/>
      <c r="K114" s="69"/>
      <c r="L114" s="69"/>
      <c r="M114" s="69"/>
      <c r="N114" s="69"/>
      <c r="O114" s="69"/>
      <c r="P114" s="69"/>
      <c r="Q114" s="69"/>
      <c r="R114" s="50"/>
      <c r="T114" s="50"/>
    </row>
    <row r="115" spans="1:20" s="61" customFormat="1">
      <c r="A115" s="167"/>
      <c r="B115" s="47"/>
      <c r="C115" s="131"/>
      <c r="D115" s="58"/>
      <c r="E115" s="71"/>
      <c r="F115" s="70"/>
      <c r="G115" s="70"/>
      <c r="H115" s="112"/>
      <c r="I115" s="46"/>
      <c r="J115" s="69"/>
      <c r="K115" s="69"/>
      <c r="L115" s="69"/>
      <c r="M115" s="69"/>
      <c r="N115" s="69"/>
      <c r="O115" s="69"/>
      <c r="P115" s="69"/>
      <c r="Q115" s="69"/>
      <c r="R115" s="50"/>
      <c r="T115" s="50"/>
    </row>
    <row r="116" spans="1:20" s="61" customFormat="1">
      <c r="A116" s="167"/>
      <c r="B116" s="47"/>
      <c r="C116" s="131"/>
      <c r="D116" s="58"/>
      <c r="E116" s="71"/>
      <c r="F116" s="70"/>
      <c r="G116" s="70"/>
      <c r="H116" s="112"/>
      <c r="I116" s="46"/>
      <c r="J116" s="69"/>
      <c r="K116" s="69"/>
      <c r="L116" s="69"/>
      <c r="M116" s="69"/>
      <c r="N116" s="69"/>
      <c r="O116" s="69"/>
      <c r="P116" s="69"/>
      <c r="Q116" s="69"/>
      <c r="R116" s="50"/>
      <c r="T116" s="50"/>
    </row>
    <row r="117" spans="1:20" s="61" customFormat="1">
      <c r="A117" s="167"/>
      <c r="B117" s="47"/>
      <c r="C117" s="131"/>
      <c r="D117" s="58"/>
      <c r="E117" s="71"/>
      <c r="F117" s="70"/>
      <c r="G117" s="70"/>
      <c r="H117" s="112"/>
      <c r="I117" s="46"/>
      <c r="J117" s="69"/>
      <c r="K117" s="69"/>
      <c r="L117" s="69"/>
      <c r="M117" s="69"/>
      <c r="N117" s="69"/>
      <c r="O117" s="69"/>
      <c r="P117" s="69"/>
      <c r="Q117" s="69"/>
      <c r="R117" s="50"/>
      <c r="T117" s="50"/>
    </row>
    <row r="118" spans="1:20" s="61" customFormat="1">
      <c r="A118" s="167"/>
      <c r="B118" s="47"/>
      <c r="C118" s="131"/>
      <c r="D118" s="58"/>
      <c r="E118" s="71"/>
      <c r="F118" s="70"/>
      <c r="G118" s="70"/>
      <c r="H118" s="112"/>
      <c r="I118" s="46"/>
      <c r="J118" s="69"/>
      <c r="K118" s="69"/>
      <c r="L118" s="69"/>
      <c r="M118" s="69"/>
      <c r="N118" s="69"/>
      <c r="O118" s="69"/>
      <c r="P118" s="69"/>
      <c r="Q118" s="69"/>
      <c r="R118" s="50"/>
      <c r="T118" s="50"/>
    </row>
    <row r="119" spans="1:20" s="61" customFormat="1">
      <c r="A119" s="167"/>
      <c r="B119" s="47"/>
      <c r="C119" s="131"/>
      <c r="D119" s="58"/>
      <c r="E119" s="71"/>
      <c r="F119" s="70"/>
      <c r="G119" s="70"/>
      <c r="H119" s="112"/>
      <c r="I119" s="46"/>
      <c r="J119" s="69"/>
      <c r="K119" s="69"/>
      <c r="L119" s="69"/>
      <c r="M119" s="69"/>
      <c r="N119" s="69"/>
      <c r="O119" s="69"/>
      <c r="P119" s="69"/>
      <c r="Q119" s="69"/>
      <c r="R119" s="50"/>
      <c r="T119" s="50"/>
    </row>
    <row r="120" spans="1:20" s="61" customFormat="1">
      <c r="A120" s="167"/>
      <c r="B120" s="47"/>
      <c r="C120" s="131"/>
      <c r="D120" s="58"/>
      <c r="E120" s="71"/>
      <c r="F120" s="70"/>
      <c r="G120" s="70"/>
      <c r="H120" s="112"/>
      <c r="I120" s="46"/>
      <c r="J120" s="69"/>
      <c r="K120" s="69"/>
      <c r="L120" s="69"/>
      <c r="M120" s="69"/>
      <c r="N120" s="69"/>
      <c r="O120" s="69"/>
      <c r="P120" s="69"/>
      <c r="Q120" s="69"/>
      <c r="R120" s="50"/>
      <c r="T120" s="50"/>
    </row>
    <row r="121" spans="1:20" s="61" customFormat="1">
      <c r="A121" s="167"/>
      <c r="B121" s="47"/>
      <c r="C121" s="131"/>
      <c r="D121" s="58"/>
      <c r="E121" s="71"/>
      <c r="F121" s="70"/>
      <c r="G121" s="70"/>
      <c r="H121" s="112"/>
      <c r="I121" s="46"/>
      <c r="J121" s="69"/>
      <c r="K121" s="69"/>
      <c r="L121" s="69"/>
      <c r="M121" s="69"/>
      <c r="N121" s="69"/>
      <c r="O121" s="69"/>
      <c r="P121" s="69"/>
      <c r="Q121" s="69"/>
      <c r="R121" s="50"/>
      <c r="T121" s="50"/>
    </row>
    <row r="122" spans="1:20" s="61" customFormat="1">
      <c r="A122" s="167"/>
      <c r="B122" s="47"/>
      <c r="C122" s="131"/>
      <c r="D122" s="58"/>
      <c r="E122" s="71"/>
      <c r="F122" s="70"/>
      <c r="G122" s="70"/>
      <c r="H122" s="112"/>
      <c r="I122" s="46"/>
      <c r="J122" s="69"/>
      <c r="K122" s="69"/>
      <c r="L122" s="69"/>
      <c r="M122" s="69"/>
      <c r="N122" s="69"/>
      <c r="O122" s="69"/>
      <c r="P122" s="69"/>
      <c r="Q122" s="69"/>
      <c r="R122" s="50"/>
      <c r="T122" s="50"/>
    </row>
    <row r="123" spans="1:20" s="61" customFormat="1">
      <c r="A123" s="167"/>
      <c r="B123" s="47" t="s">
        <v>197</v>
      </c>
      <c r="C123" s="131" t="s">
        <v>200</v>
      </c>
      <c r="D123" s="58">
        <v>0</v>
      </c>
      <c r="E123" s="71">
        <f>References!$B$9</f>
        <v>1</v>
      </c>
      <c r="F123" s="70">
        <f t="shared" ref="F123" si="61">E123*12</f>
        <v>12</v>
      </c>
      <c r="G123" s="70">
        <f>References!B32</f>
        <v>840</v>
      </c>
      <c r="H123" s="112">
        <f t="shared" ref="H123" si="62">F123*G123</f>
        <v>10080</v>
      </c>
      <c r="I123" s="46">
        <f t="shared" ref="I123" si="63">$D$147*H123</f>
        <v>6465.5282568544771</v>
      </c>
      <c r="J123" s="69">
        <f>(References!$C$49*I123)</f>
        <v>7.112081082539949</v>
      </c>
      <c r="K123" s="69">
        <f>J123/References!$G$52</f>
        <v>7.2765306758133299</v>
      </c>
      <c r="L123" s="69">
        <f t="shared" ref="L123" si="64">K123/F123</f>
        <v>0.60637755631777746</v>
      </c>
      <c r="M123" s="175">
        <v>73.97</v>
      </c>
      <c r="N123" s="166">
        <f t="shared" ref="N123" si="65">L123+M123</f>
        <v>74.57637755631778</v>
      </c>
      <c r="O123" s="69"/>
      <c r="P123" s="69"/>
      <c r="Q123" s="69"/>
      <c r="R123" s="50">
        <f t="shared" ref="R123" si="66">ROUND(N123,2)</f>
        <v>74.58</v>
      </c>
      <c r="T123" s="50"/>
    </row>
    <row r="124" spans="1:20" s="61" customFormat="1">
      <c r="A124" s="167"/>
      <c r="B124" s="47"/>
      <c r="C124" s="131"/>
      <c r="D124" s="58"/>
      <c r="E124" s="71"/>
      <c r="F124" s="70"/>
      <c r="G124" s="70"/>
      <c r="H124" s="112"/>
      <c r="I124" s="46"/>
      <c r="J124" s="69"/>
      <c r="K124" s="69"/>
      <c r="L124" s="69"/>
      <c r="M124" s="69"/>
      <c r="N124" s="69"/>
      <c r="O124" s="69"/>
      <c r="P124" s="69"/>
      <c r="Q124" s="69"/>
      <c r="R124" s="50"/>
      <c r="T124" s="50"/>
    </row>
    <row r="125" spans="1:20" s="61" customFormat="1">
      <c r="A125" s="167"/>
      <c r="B125" s="47"/>
      <c r="C125" s="131"/>
      <c r="D125" s="58"/>
      <c r="E125" s="71"/>
      <c r="F125" s="70"/>
      <c r="G125" s="70"/>
      <c r="H125" s="112"/>
      <c r="I125" s="46"/>
      <c r="J125" s="69"/>
      <c r="K125" s="69"/>
      <c r="L125" s="69"/>
      <c r="M125" s="69"/>
      <c r="N125" s="69"/>
      <c r="O125" s="69"/>
      <c r="P125" s="69"/>
      <c r="Q125" s="69"/>
      <c r="R125" s="50"/>
      <c r="T125" s="50"/>
    </row>
    <row r="126" spans="1:20" s="61" customFormat="1">
      <c r="A126" s="167"/>
      <c r="B126" s="47"/>
      <c r="C126" s="131"/>
      <c r="D126" s="58"/>
      <c r="E126" s="71"/>
      <c r="F126" s="70"/>
      <c r="G126" s="70"/>
      <c r="H126" s="112"/>
      <c r="I126" s="46"/>
      <c r="J126" s="69"/>
      <c r="K126" s="69"/>
      <c r="L126" s="69"/>
      <c r="M126" s="69"/>
      <c r="N126" s="69"/>
      <c r="O126" s="69"/>
      <c r="P126" s="69"/>
      <c r="Q126" s="69"/>
      <c r="R126" s="50"/>
      <c r="T126" s="50"/>
    </row>
    <row r="127" spans="1:20" s="61" customFormat="1">
      <c r="A127" s="167"/>
      <c r="B127" s="47"/>
      <c r="C127" s="131"/>
      <c r="D127" s="58"/>
      <c r="E127" s="71"/>
      <c r="F127" s="70"/>
      <c r="G127" s="70"/>
      <c r="H127" s="112"/>
      <c r="I127" s="46"/>
      <c r="J127" s="69"/>
      <c r="K127" s="69"/>
      <c r="L127" s="69"/>
      <c r="M127" s="69"/>
      <c r="N127" s="69"/>
      <c r="O127" s="69"/>
      <c r="P127" s="69"/>
      <c r="Q127" s="69"/>
      <c r="R127" s="50"/>
      <c r="T127" s="50"/>
    </row>
    <row r="128" spans="1:20" s="61" customFormat="1">
      <c r="A128" s="167"/>
      <c r="B128" s="47"/>
      <c r="C128" s="131"/>
      <c r="D128" s="58"/>
      <c r="E128" s="71"/>
      <c r="F128" s="70"/>
      <c r="G128" s="70"/>
      <c r="H128" s="112"/>
      <c r="I128" s="46"/>
      <c r="J128" s="69"/>
      <c r="K128" s="69"/>
      <c r="L128" s="69"/>
      <c r="M128" s="69"/>
      <c r="N128" s="69"/>
      <c r="O128" s="69"/>
      <c r="P128" s="69"/>
      <c r="Q128" s="69"/>
      <c r="R128" s="50"/>
      <c r="T128" s="50"/>
    </row>
    <row r="129" spans="1:20" s="61" customFormat="1">
      <c r="A129" s="167"/>
      <c r="B129" s="47"/>
      <c r="C129" s="131"/>
      <c r="D129" s="58"/>
      <c r="E129" s="71"/>
      <c r="F129" s="70"/>
      <c r="G129" s="70"/>
      <c r="H129" s="112"/>
      <c r="I129" s="46"/>
      <c r="J129" s="69"/>
      <c r="K129" s="69"/>
      <c r="L129" s="69"/>
      <c r="M129" s="69"/>
      <c r="N129" s="69"/>
      <c r="O129" s="69"/>
      <c r="P129" s="69"/>
      <c r="Q129" s="69"/>
      <c r="R129" s="50"/>
      <c r="T129" s="50"/>
    </row>
    <row r="130" spans="1:20" s="61" customFormat="1">
      <c r="A130" s="167"/>
      <c r="B130" s="47"/>
      <c r="C130" s="131"/>
      <c r="D130" s="58"/>
      <c r="E130" s="71"/>
      <c r="F130" s="70"/>
      <c r="G130" s="70"/>
      <c r="H130" s="112"/>
      <c r="I130" s="46"/>
      <c r="J130" s="69"/>
      <c r="K130" s="69"/>
      <c r="L130" s="69"/>
      <c r="M130" s="69"/>
      <c r="N130" s="69"/>
      <c r="O130" s="69"/>
      <c r="P130" s="69"/>
      <c r="Q130" s="69"/>
      <c r="R130" s="50"/>
      <c r="T130" s="50"/>
    </row>
    <row r="131" spans="1:20" s="61" customFormat="1">
      <c r="A131" s="167"/>
      <c r="B131" s="47"/>
      <c r="C131" s="131"/>
      <c r="D131" s="58"/>
      <c r="E131" s="71"/>
      <c r="F131" s="70"/>
      <c r="G131" s="70"/>
      <c r="H131" s="112"/>
      <c r="I131" s="46"/>
      <c r="J131" s="69"/>
      <c r="K131" s="69"/>
      <c r="L131" s="69"/>
      <c r="M131" s="69"/>
      <c r="N131" s="69"/>
      <c r="O131" s="69"/>
      <c r="P131" s="69"/>
      <c r="Q131" s="69"/>
      <c r="R131" s="50"/>
      <c r="T131" s="50"/>
    </row>
    <row r="132" spans="1:20" s="61" customFormat="1">
      <c r="A132" s="167"/>
      <c r="B132" s="47"/>
      <c r="C132" s="131"/>
      <c r="D132" s="58"/>
      <c r="E132" s="71"/>
      <c r="F132" s="70"/>
      <c r="G132" s="70"/>
      <c r="H132" s="112"/>
      <c r="I132" s="46"/>
      <c r="J132" s="69"/>
      <c r="K132" s="69"/>
      <c r="L132" s="69"/>
      <c r="M132" s="69"/>
      <c r="N132" s="69"/>
      <c r="O132" s="69"/>
      <c r="P132" s="69"/>
      <c r="Q132" s="69"/>
      <c r="R132" s="50"/>
    </row>
    <row r="133" spans="1:20" s="61" customFormat="1">
      <c r="A133" s="167"/>
      <c r="B133" s="47"/>
      <c r="C133" s="131"/>
      <c r="D133" s="58"/>
      <c r="E133" s="71"/>
      <c r="F133" s="70"/>
      <c r="G133" s="70"/>
      <c r="H133" s="112"/>
      <c r="I133" s="46"/>
      <c r="J133" s="69"/>
      <c r="K133" s="69"/>
      <c r="L133" s="69"/>
      <c r="M133" s="69"/>
      <c r="N133" s="69"/>
      <c r="O133" s="69"/>
      <c r="P133" s="69"/>
      <c r="Q133" s="69"/>
      <c r="R133" s="50"/>
    </row>
    <row r="134" spans="1:20" s="61" customFormat="1">
      <c r="A134" s="167"/>
      <c r="B134" s="47"/>
      <c r="C134" s="131"/>
      <c r="D134" s="58"/>
      <c r="E134" s="71"/>
      <c r="F134" s="70"/>
      <c r="G134" s="70"/>
      <c r="H134" s="112"/>
      <c r="I134" s="46"/>
      <c r="J134" s="69"/>
      <c r="K134" s="69"/>
      <c r="L134" s="69"/>
      <c r="M134" s="69"/>
      <c r="N134" s="69"/>
      <c r="O134" s="69"/>
      <c r="P134" s="69"/>
      <c r="Q134" s="69"/>
      <c r="R134" s="50"/>
    </row>
    <row r="135" spans="1:20" s="61" customFormat="1">
      <c r="A135" s="167"/>
      <c r="B135" s="47"/>
      <c r="C135" s="131"/>
      <c r="D135" s="58"/>
      <c r="E135" s="71"/>
      <c r="F135" s="70"/>
      <c r="G135" s="70"/>
      <c r="H135" s="112"/>
      <c r="I135" s="46"/>
      <c r="J135" s="69"/>
      <c r="K135" s="69"/>
      <c r="L135" s="69"/>
      <c r="M135" s="69"/>
      <c r="N135" s="69"/>
      <c r="O135" s="69"/>
      <c r="P135" s="69"/>
      <c r="Q135" s="69"/>
      <c r="R135" s="50"/>
    </row>
    <row r="136" spans="1:20" s="61" customFormat="1">
      <c r="A136" s="167"/>
      <c r="B136" s="47"/>
      <c r="C136" s="131"/>
      <c r="D136" s="58"/>
      <c r="E136" s="71"/>
      <c r="F136" s="70"/>
      <c r="G136" s="70"/>
      <c r="H136" s="112"/>
      <c r="I136" s="46"/>
      <c r="J136" s="69"/>
      <c r="K136" s="69"/>
      <c r="L136" s="69"/>
      <c r="M136" s="69"/>
      <c r="N136" s="69"/>
      <c r="O136" s="69"/>
      <c r="P136" s="69"/>
      <c r="Q136" s="69"/>
      <c r="R136" s="50"/>
    </row>
    <row r="137" spans="1:20" s="61" customFormat="1">
      <c r="A137" s="167"/>
      <c r="B137" s="47"/>
      <c r="C137" s="131"/>
      <c r="D137" s="58"/>
      <c r="E137" s="71"/>
      <c r="F137" s="70"/>
      <c r="G137" s="70"/>
      <c r="H137" s="112"/>
      <c r="I137" s="46"/>
      <c r="J137" s="69"/>
      <c r="K137" s="69"/>
      <c r="L137" s="69"/>
      <c r="M137" s="69"/>
      <c r="N137" s="69"/>
      <c r="O137" s="69"/>
      <c r="P137" s="69"/>
      <c r="Q137" s="69"/>
      <c r="R137" s="50"/>
    </row>
    <row r="138" spans="1:20" s="61" customFormat="1">
      <c r="A138" s="119"/>
      <c r="B138" s="111"/>
      <c r="C138" s="113"/>
      <c r="D138" s="12"/>
      <c r="E138" s="108"/>
      <c r="F138" s="84"/>
      <c r="G138" s="84"/>
      <c r="H138" s="84"/>
      <c r="I138" s="109"/>
      <c r="J138" s="94"/>
      <c r="K138" s="94"/>
      <c r="L138" s="94"/>
      <c r="M138" s="94"/>
      <c r="N138" s="94"/>
      <c r="O138" s="69"/>
      <c r="P138" s="69"/>
      <c r="Q138" s="69"/>
    </row>
    <row r="139" spans="1:20">
      <c r="A139" s="64"/>
      <c r="C139" s="90"/>
      <c r="D139" s="38"/>
      <c r="E139" s="31"/>
      <c r="F139" s="58"/>
      <c r="G139" s="70"/>
      <c r="H139" s="58"/>
      <c r="J139" s="69"/>
      <c r="K139" s="95"/>
      <c r="L139" s="95"/>
      <c r="M139" s="95"/>
      <c r="N139" s="95"/>
      <c r="P139" s="62"/>
      <c r="S139" s="61"/>
    </row>
    <row r="140" spans="1:20">
      <c r="A140" s="64"/>
      <c r="C140" s="67"/>
      <c r="P140" s="62"/>
      <c r="S140" s="61"/>
    </row>
    <row r="141" spans="1:20">
      <c r="A141" s="64"/>
      <c r="C141" s="67"/>
      <c r="P141" s="62"/>
      <c r="S141" s="61"/>
    </row>
    <row r="142" spans="1:20">
      <c r="A142" s="64"/>
      <c r="C142" s="202" t="s">
        <v>86</v>
      </c>
      <c r="D142" s="202"/>
      <c r="E142" s="89"/>
      <c r="F142" s="89"/>
      <c r="H142" s="93" t="s">
        <v>94</v>
      </c>
      <c r="S142" s="61"/>
    </row>
    <row r="143" spans="1:20">
      <c r="A143" s="64"/>
      <c r="D143" s="56" t="s">
        <v>16</v>
      </c>
      <c r="E143" s="37"/>
      <c r="F143" s="37"/>
      <c r="H143" s="91" t="s">
        <v>114</v>
      </c>
      <c r="J143" s="41"/>
      <c r="O143" s="60"/>
      <c r="S143" s="61"/>
    </row>
    <row r="144" spans="1:20">
      <c r="A144" s="64"/>
      <c r="C144" s="59" t="s">
        <v>32</v>
      </c>
      <c r="D144" s="68">
        <v>6618.43</v>
      </c>
      <c r="E144" s="58"/>
      <c r="F144" s="58"/>
      <c r="G144" s="45"/>
      <c r="H144" s="92" t="s">
        <v>95</v>
      </c>
      <c r="J144" s="41"/>
      <c r="O144" s="60"/>
      <c r="S144" s="61"/>
    </row>
    <row r="145" spans="1:19">
      <c r="A145" s="64"/>
      <c r="C145" s="59" t="s">
        <v>33</v>
      </c>
      <c r="D145" s="36">
        <f>D144*2000</f>
        <v>13236860</v>
      </c>
      <c r="E145" s="36"/>
      <c r="F145" s="36"/>
      <c r="G145" s="36"/>
      <c r="H145" s="117" t="s">
        <v>97</v>
      </c>
      <c r="J145" s="41"/>
      <c r="S145" s="61"/>
    </row>
    <row r="146" spans="1:19">
      <c r="A146" s="64"/>
      <c r="C146" s="59" t="s">
        <v>4</v>
      </c>
      <c r="D146" s="36">
        <f>F12+F71</f>
        <v>262910.03000000003</v>
      </c>
      <c r="E146" s="58"/>
      <c r="F146" s="58"/>
      <c r="G146" s="58"/>
      <c r="H146" s="118" t="s">
        <v>98</v>
      </c>
      <c r="J146" s="41"/>
      <c r="O146" s="60"/>
      <c r="P146" s="30"/>
      <c r="S146" s="61"/>
    </row>
    <row r="147" spans="1:19">
      <c r="C147" s="42" t="s">
        <v>11</v>
      </c>
      <c r="D147" s="35">
        <f>D145/$H$72</f>
        <v>0.64142145405302353</v>
      </c>
      <c r="E147" s="35"/>
      <c r="F147" s="35"/>
      <c r="G147" s="35"/>
      <c r="H147" s="30"/>
      <c r="J147" s="41"/>
      <c r="M147" s="40"/>
      <c r="N147" s="40"/>
      <c r="O147" s="39"/>
      <c r="S147" s="61"/>
    </row>
    <row r="148" spans="1:19">
      <c r="G148" s="44"/>
      <c r="H148" s="32"/>
      <c r="J148" s="41"/>
      <c r="M148" s="43"/>
      <c r="N148" s="29"/>
      <c r="O148" s="62"/>
      <c r="S148" s="61"/>
    </row>
    <row r="149" spans="1:19">
      <c r="D149" s="34"/>
      <c r="E149" s="33"/>
      <c r="G149" s="44"/>
      <c r="H149" s="32"/>
      <c r="J149" s="41"/>
      <c r="M149" s="43"/>
      <c r="N149" s="184"/>
      <c r="O149" s="62"/>
      <c r="S149" s="61"/>
    </row>
    <row r="150" spans="1:19">
      <c r="D150" s="34"/>
      <c r="E150" s="33"/>
      <c r="G150" s="44"/>
      <c r="H150" s="32"/>
      <c r="J150" s="41"/>
      <c r="M150" s="43"/>
      <c r="N150" s="29"/>
      <c r="O150" s="62"/>
      <c r="S150" s="61"/>
    </row>
    <row r="151" spans="1:19">
      <c r="D151" s="59"/>
      <c r="I151" s="59"/>
      <c r="S151" s="61"/>
    </row>
    <row r="152" spans="1:19">
      <c r="D152" s="59"/>
      <c r="E152" s="41"/>
      <c r="I152" s="59"/>
      <c r="S152" s="61"/>
    </row>
    <row r="153" spans="1:19">
      <c r="D153" s="59"/>
      <c r="I153" s="59"/>
      <c r="S153" s="61"/>
    </row>
    <row r="154" spans="1:19">
      <c r="D154" s="59"/>
      <c r="I154" s="59"/>
    </row>
    <row r="155" spans="1:19">
      <c r="D155" s="59"/>
    </row>
    <row r="164" spans="7:9">
      <c r="I164" s="32"/>
    </row>
    <row r="166" spans="7:9">
      <c r="I166" s="181"/>
    </row>
    <row r="169" spans="7:9">
      <c r="G169" s="182"/>
    </row>
    <row r="173" spans="7:9">
      <c r="G173" s="183"/>
    </row>
  </sheetData>
  <autoFilter ref="A1:R138"/>
  <mergeCells count="5">
    <mergeCell ref="A2:A11"/>
    <mergeCell ref="C142:D142"/>
    <mergeCell ref="A76:A86"/>
    <mergeCell ref="A13:A70"/>
    <mergeCell ref="A92:A107"/>
  </mergeCells>
  <phoneticPr fontId="0" type="noConversion"/>
  <pageMargins left="0.2" right="0.22" top="0.63" bottom="0.34" header="0.19" footer="0.17"/>
  <pageSetup paperSize="3" scale="79" fitToHeight="0" orientation="landscape" horizontalDpi="4294967293" r:id="rId1"/>
  <headerFooter>
    <oddHeader>&amp;C&amp;"-,Bold"&amp;12Basin Disposal of Walla Walla&amp;"-,Regular"
Disposal Fee Staff Calculations</oddHeader>
    <oddFooter>&amp;L&amp;F - &amp;A&amp;C&amp;D&amp;R&amp;P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6"/>
  <sheetViews>
    <sheetView workbookViewId="0">
      <pane xSplit="1" ySplit="7" topLeftCell="B8" activePane="bottomRight" state="frozen"/>
      <selection pane="topRight" activeCell="B1" sqref="B1"/>
      <selection pane="bottomLeft" activeCell="A3" sqref="A3"/>
      <selection pane="bottomRight" activeCell="F123" sqref="F123"/>
    </sheetView>
  </sheetViews>
  <sheetFormatPr defaultRowHeight="14.4"/>
  <cols>
    <col min="1" max="1" width="8.88671875" style="189"/>
    <col min="2" max="2" width="51.88671875" style="189" bestFit="1" customWidth="1"/>
    <col min="3" max="4" width="8.88671875" style="189"/>
    <col min="5" max="5" width="10.5546875" style="189" customWidth="1"/>
    <col min="6" max="6" width="14.44140625" style="189" customWidth="1"/>
    <col min="7" max="11" width="8.88671875" style="189"/>
    <col min="12" max="12" width="11.109375" style="189" customWidth="1"/>
    <col min="13" max="13" width="11.6640625" style="189" customWidth="1"/>
    <col min="14" max="14" width="12.88671875" style="189" customWidth="1"/>
    <col min="15" max="16384" width="8.88671875" style="189"/>
  </cols>
  <sheetData>
    <row r="1" spans="2:14">
      <c r="B1" s="191" t="s">
        <v>202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2:14">
      <c r="B2" s="191" t="s">
        <v>203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</row>
    <row r="6" spans="2:14" ht="28.8">
      <c r="F6" s="192" t="s">
        <v>204</v>
      </c>
      <c r="H6" s="193" t="s">
        <v>205</v>
      </c>
      <c r="I6" s="192"/>
      <c r="J6" s="193" t="s">
        <v>206</v>
      </c>
      <c r="M6" s="203" t="s">
        <v>207</v>
      </c>
      <c r="N6" s="203"/>
    </row>
    <row r="7" spans="2:14" ht="28.8">
      <c r="E7" s="193" t="s">
        <v>208</v>
      </c>
      <c r="F7" s="193" t="s">
        <v>209</v>
      </c>
      <c r="G7" s="192"/>
      <c r="H7" s="194">
        <v>1.4999999999999999E-2</v>
      </c>
      <c r="I7" s="192"/>
      <c r="J7" s="195">
        <v>1.7500000000000002E-2</v>
      </c>
      <c r="K7" s="192" t="s">
        <v>9</v>
      </c>
      <c r="L7" s="193" t="s">
        <v>210</v>
      </c>
      <c r="M7" s="193" t="s">
        <v>211</v>
      </c>
      <c r="N7" s="193" t="s">
        <v>212</v>
      </c>
    </row>
    <row r="8" spans="2:14">
      <c r="B8" s="189" t="s">
        <v>213</v>
      </c>
      <c r="C8" s="189">
        <v>50</v>
      </c>
      <c r="E8" s="188">
        <v>12.45</v>
      </c>
      <c r="H8" s="188">
        <f>+E8*H7</f>
        <v>0.18674999999999997</v>
      </c>
      <c r="J8" s="188">
        <f>+E8*J7</f>
        <v>0.21787500000000001</v>
      </c>
      <c r="K8" s="188">
        <f>+J8-H8</f>
        <v>3.1125000000000042E-2</v>
      </c>
      <c r="L8" s="188">
        <f>+E8+K8</f>
        <v>12.481124999999999</v>
      </c>
      <c r="M8" s="188">
        <f>+E8*F8</f>
        <v>0</v>
      </c>
      <c r="N8" s="188">
        <f>+L8*F8</f>
        <v>0</v>
      </c>
    </row>
    <row r="9" spans="2:14">
      <c r="B9" s="189" t="s">
        <v>214</v>
      </c>
      <c r="C9" s="189">
        <v>51</v>
      </c>
      <c r="E9" s="188">
        <v>8.69</v>
      </c>
      <c r="H9" s="188">
        <f>+$H$7*E9</f>
        <v>0.13034999999999999</v>
      </c>
      <c r="I9" s="188"/>
      <c r="J9" s="188">
        <f>+$J$7*E9</f>
        <v>0.15207500000000002</v>
      </c>
      <c r="K9" s="188">
        <f t="shared" ref="K9:K81" si="0">+J9-H9</f>
        <v>2.1725000000000022E-2</v>
      </c>
      <c r="L9" s="188">
        <f t="shared" ref="L9:L81" si="1">+E9+K9</f>
        <v>8.7117249999999995</v>
      </c>
      <c r="M9" s="188">
        <f t="shared" ref="M9:M81" si="2">+E9*F9</f>
        <v>0</v>
      </c>
      <c r="N9" s="188">
        <f t="shared" ref="N9:N81" si="3">+L9*F9</f>
        <v>0</v>
      </c>
    </row>
    <row r="10" spans="2:14">
      <c r="B10" s="189" t="s">
        <v>215</v>
      </c>
      <c r="C10" s="189">
        <v>52</v>
      </c>
      <c r="E10" s="188">
        <v>34.020000000000003</v>
      </c>
      <c r="H10" s="188">
        <f t="shared" ref="H10:H83" si="4">+$H$7*E10</f>
        <v>0.51029999999999998</v>
      </c>
      <c r="I10" s="188"/>
      <c r="J10" s="188">
        <f t="shared" ref="J10:J83" si="5">+$J$7*E10</f>
        <v>0.59535000000000016</v>
      </c>
      <c r="K10" s="188">
        <f t="shared" si="0"/>
        <v>8.5050000000000181E-2</v>
      </c>
      <c r="L10" s="188">
        <f t="shared" si="1"/>
        <v>34.105050000000006</v>
      </c>
      <c r="M10" s="188">
        <f t="shared" si="2"/>
        <v>0</v>
      </c>
      <c r="N10" s="188">
        <f t="shared" si="3"/>
        <v>0</v>
      </c>
    </row>
    <row r="11" spans="2:14">
      <c r="B11" s="189" t="s">
        <v>216</v>
      </c>
      <c r="C11" s="189">
        <v>52</v>
      </c>
      <c r="E11" s="188">
        <v>7.59</v>
      </c>
      <c r="H11" s="188">
        <f t="shared" si="4"/>
        <v>0.11384999999999999</v>
      </c>
      <c r="I11" s="188"/>
      <c r="J11" s="188">
        <f t="shared" si="5"/>
        <v>0.132825</v>
      </c>
      <c r="K11" s="188">
        <f t="shared" si="0"/>
        <v>1.8975000000000006E-2</v>
      </c>
      <c r="L11" s="188">
        <f t="shared" si="1"/>
        <v>7.608975</v>
      </c>
      <c r="M11" s="188">
        <f t="shared" si="2"/>
        <v>0</v>
      </c>
      <c r="N11" s="188">
        <f t="shared" si="3"/>
        <v>0</v>
      </c>
    </row>
    <row r="12" spans="2:14">
      <c r="B12" s="189" t="s">
        <v>217</v>
      </c>
      <c r="C12" s="189">
        <v>52</v>
      </c>
      <c r="E12" s="188">
        <v>1.8</v>
      </c>
      <c r="H12" s="188">
        <f t="shared" si="4"/>
        <v>2.7E-2</v>
      </c>
      <c r="I12" s="188"/>
      <c r="J12" s="188">
        <f t="shared" si="5"/>
        <v>3.1500000000000007E-2</v>
      </c>
      <c r="K12" s="188">
        <f t="shared" si="0"/>
        <v>4.5000000000000075E-3</v>
      </c>
      <c r="L12" s="188">
        <f t="shared" si="1"/>
        <v>1.8045</v>
      </c>
      <c r="M12" s="188">
        <f t="shared" si="2"/>
        <v>0</v>
      </c>
      <c r="N12" s="188">
        <f t="shared" si="3"/>
        <v>0</v>
      </c>
    </row>
    <row r="13" spans="2:14">
      <c r="B13" s="189" t="s">
        <v>218</v>
      </c>
      <c r="C13" s="189">
        <v>55</v>
      </c>
      <c r="E13" s="188">
        <v>1.42</v>
      </c>
      <c r="H13" s="188">
        <f t="shared" si="4"/>
        <v>2.1299999999999999E-2</v>
      </c>
      <c r="I13" s="188"/>
      <c r="J13" s="188">
        <f t="shared" si="5"/>
        <v>2.4850000000000001E-2</v>
      </c>
      <c r="K13" s="188">
        <f t="shared" si="0"/>
        <v>3.5500000000000011E-3</v>
      </c>
      <c r="L13" s="188">
        <f t="shared" si="1"/>
        <v>1.4235499999999999</v>
      </c>
      <c r="M13" s="188">
        <f t="shared" si="2"/>
        <v>0</v>
      </c>
      <c r="N13" s="188">
        <f t="shared" si="3"/>
        <v>0</v>
      </c>
    </row>
    <row r="14" spans="2:14">
      <c r="B14" s="189" t="s">
        <v>219</v>
      </c>
      <c r="C14" s="189">
        <v>55</v>
      </c>
      <c r="E14" s="188">
        <v>2.76</v>
      </c>
      <c r="H14" s="188">
        <f t="shared" si="4"/>
        <v>4.1399999999999992E-2</v>
      </c>
      <c r="I14" s="188"/>
      <c r="J14" s="188">
        <f t="shared" si="5"/>
        <v>4.8300000000000003E-2</v>
      </c>
      <c r="K14" s="188">
        <f t="shared" si="0"/>
        <v>6.9000000000000103E-3</v>
      </c>
      <c r="L14" s="188">
        <f t="shared" si="1"/>
        <v>2.7668999999999997</v>
      </c>
      <c r="M14" s="188">
        <f t="shared" si="2"/>
        <v>0</v>
      </c>
      <c r="N14" s="188">
        <f t="shared" si="3"/>
        <v>0</v>
      </c>
    </row>
    <row r="15" spans="2:14">
      <c r="B15" s="189" t="s">
        <v>219</v>
      </c>
      <c r="C15" s="189">
        <v>55</v>
      </c>
      <c r="E15" s="188">
        <v>4.03</v>
      </c>
      <c r="H15" s="188">
        <f t="shared" si="4"/>
        <v>6.0450000000000004E-2</v>
      </c>
      <c r="I15" s="188"/>
      <c r="J15" s="188">
        <f t="shared" si="5"/>
        <v>7.0525000000000004E-2</v>
      </c>
      <c r="K15" s="188">
        <f t="shared" si="0"/>
        <v>1.0075000000000001E-2</v>
      </c>
      <c r="L15" s="188">
        <f t="shared" si="1"/>
        <v>4.0400749999999999</v>
      </c>
      <c r="M15" s="188">
        <f t="shared" si="2"/>
        <v>0</v>
      </c>
      <c r="N15" s="188">
        <f t="shared" si="3"/>
        <v>0</v>
      </c>
    </row>
    <row r="16" spans="2:14">
      <c r="B16" s="189" t="s">
        <v>220</v>
      </c>
      <c r="C16" s="189">
        <v>60</v>
      </c>
      <c r="E16" s="188">
        <v>15.3</v>
      </c>
      <c r="H16" s="188">
        <f t="shared" si="4"/>
        <v>0.22950000000000001</v>
      </c>
      <c r="I16" s="188"/>
      <c r="J16" s="188">
        <f t="shared" si="5"/>
        <v>0.26775000000000004</v>
      </c>
      <c r="K16" s="188">
        <f t="shared" si="0"/>
        <v>3.8250000000000034E-2</v>
      </c>
      <c r="L16" s="188">
        <f t="shared" si="1"/>
        <v>15.33825</v>
      </c>
      <c r="M16" s="188">
        <f t="shared" si="2"/>
        <v>0</v>
      </c>
      <c r="N16" s="188">
        <f t="shared" si="3"/>
        <v>0</v>
      </c>
    </row>
    <row r="17" spans="2:14">
      <c r="B17" s="189" t="s">
        <v>221</v>
      </c>
      <c r="C17" s="189">
        <v>60</v>
      </c>
      <c r="E17" s="188">
        <v>15.3</v>
      </c>
      <c r="H17" s="188">
        <f t="shared" si="4"/>
        <v>0.22950000000000001</v>
      </c>
      <c r="I17" s="188"/>
      <c r="J17" s="188">
        <f t="shared" si="5"/>
        <v>0.26775000000000004</v>
      </c>
      <c r="K17" s="188">
        <f t="shared" si="0"/>
        <v>3.8250000000000034E-2</v>
      </c>
      <c r="L17" s="188">
        <f t="shared" si="1"/>
        <v>15.33825</v>
      </c>
      <c r="M17" s="188">
        <f t="shared" si="2"/>
        <v>0</v>
      </c>
      <c r="N17" s="188">
        <f t="shared" si="3"/>
        <v>0</v>
      </c>
    </row>
    <row r="18" spans="2:14">
      <c r="B18" s="189" t="s">
        <v>222</v>
      </c>
      <c r="C18" s="189">
        <v>70</v>
      </c>
      <c r="E18" s="188">
        <v>2.67</v>
      </c>
      <c r="H18" s="188">
        <f t="shared" si="4"/>
        <v>4.0049999999999995E-2</v>
      </c>
      <c r="I18" s="188"/>
      <c r="J18" s="188">
        <f t="shared" si="5"/>
        <v>4.6725000000000003E-2</v>
      </c>
      <c r="K18" s="188">
        <f t="shared" si="0"/>
        <v>6.6750000000000073E-3</v>
      </c>
      <c r="L18" s="188">
        <f t="shared" si="1"/>
        <v>2.6766749999999999</v>
      </c>
      <c r="M18" s="188">
        <f t="shared" si="2"/>
        <v>0</v>
      </c>
      <c r="N18" s="188">
        <f t="shared" si="3"/>
        <v>0</v>
      </c>
    </row>
    <row r="19" spans="2:14">
      <c r="B19" s="189" t="s">
        <v>223</v>
      </c>
      <c r="C19" s="189">
        <v>70</v>
      </c>
      <c r="E19" s="188">
        <v>4.29</v>
      </c>
      <c r="H19" s="188">
        <f t="shared" si="4"/>
        <v>6.4350000000000004E-2</v>
      </c>
      <c r="I19" s="188"/>
      <c r="J19" s="188">
        <f t="shared" si="5"/>
        <v>7.5075000000000003E-2</v>
      </c>
      <c r="K19" s="188">
        <f t="shared" si="0"/>
        <v>1.0724999999999998E-2</v>
      </c>
      <c r="L19" s="188">
        <f t="shared" si="1"/>
        <v>4.3007249999999999</v>
      </c>
      <c r="M19" s="188">
        <f t="shared" si="2"/>
        <v>0</v>
      </c>
      <c r="N19" s="188">
        <f t="shared" si="3"/>
        <v>0</v>
      </c>
    </row>
    <row r="20" spans="2:14">
      <c r="B20" s="189" t="s">
        <v>224</v>
      </c>
      <c r="C20" s="189">
        <v>50</v>
      </c>
      <c r="E20" s="188">
        <v>28.8</v>
      </c>
      <c r="H20" s="188">
        <f t="shared" si="4"/>
        <v>0.432</v>
      </c>
      <c r="I20" s="188"/>
      <c r="J20" s="188">
        <f t="shared" si="5"/>
        <v>0.50400000000000011</v>
      </c>
      <c r="K20" s="188">
        <f t="shared" si="0"/>
        <v>7.2000000000000119E-2</v>
      </c>
      <c r="L20" s="188">
        <f t="shared" si="1"/>
        <v>28.872</v>
      </c>
      <c r="M20" s="188">
        <f t="shared" si="2"/>
        <v>0</v>
      </c>
      <c r="N20" s="188">
        <f t="shared" si="3"/>
        <v>0</v>
      </c>
    </row>
    <row r="21" spans="2:14">
      <c r="B21" s="189" t="s">
        <v>225</v>
      </c>
      <c r="C21" s="189">
        <v>80</v>
      </c>
      <c r="E21" s="188">
        <v>0.36</v>
      </c>
      <c r="H21" s="188">
        <f t="shared" si="4"/>
        <v>5.3999999999999994E-3</v>
      </c>
      <c r="I21" s="188"/>
      <c r="J21" s="188">
        <f t="shared" si="5"/>
        <v>6.3E-3</v>
      </c>
      <c r="K21" s="188">
        <f t="shared" si="0"/>
        <v>9.0000000000000063E-4</v>
      </c>
      <c r="L21" s="188">
        <f t="shared" si="1"/>
        <v>0.3609</v>
      </c>
      <c r="M21" s="188">
        <f t="shared" si="2"/>
        <v>0</v>
      </c>
      <c r="N21" s="188">
        <f t="shared" si="3"/>
        <v>0</v>
      </c>
    </row>
    <row r="22" spans="2:14">
      <c r="B22" s="189" t="s">
        <v>226</v>
      </c>
      <c r="C22" s="189">
        <v>80</v>
      </c>
      <c r="E22" s="188">
        <v>0.45</v>
      </c>
      <c r="H22" s="188">
        <f t="shared" si="4"/>
        <v>6.7499999999999999E-3</v>
      </c>
      <c r="I22" s="188"/>
      <c r="J22" s="188">
        <f t="shared" si="5"/>
        <v>7.8750000000000018E-3</v>
      </c>
      <c r="K22" s="188">
        <f t="shared" si="0"/>
        <v>1.1250000000000019E-3</v>
      </c>
      <c r="L22" s="188">
        <f t="shared" si="1"/>
        <v>0.451125</v>
      </c>
      <c r="M22" s="188">
        <f t="shared" si="2"/>
        <v>0</v>
      </c>
      <c r="N22" s="188">
        <f t="shared" si="3"/>
        <v>0</v>
      </c>
    </row>
    <row r="23" spans="2:14">
      <c r="B23" s="189" t="s">
        <v>227</v>
      </c>
      <c r="C23" s="189">
        <v>80</v>
      </c>
      <c r="E23" s="188">
        <v>0.61</v>
      </c>
      <c r="H23" s="188">
        <f t="shared" si="4"/>
        <v>9.1500000000000001E-3</v>
      </c>
      <c r="I23" s="188"/>
      <c r="J23" s="188">
        <f t="shared" si="5"/>
        <v>1.0675E-2</v>
      </c>
      <c r="K23" s="188">
        <f t="shared" si="0"/>
        <v>1.5250000000000003E-3</v>
      </c>
      <c r="L23" s="188">
        <f t="shared" si="1"/>
        <v>0.61152499999999999</v>
      </c>
      <c r="M23" s="188">
        <f t="shared" si="2"/>
        <v>0</v>
      </c>
      <c r="N23" s="188">
        <f t="shared" si="3"/>
        <v>0</v>
      </c>
    </row>
    <row r="24" spans="2:14">
      <c r="B24" s="189" t="s">
        <v>228</v>
      </c>
      <c r="C24" s="189">
        <v>80</v>
      </c>
      <c r="E24" s="188">
        <v>0.82</v>
      </c>
      <c r="H24" s="188">
        <f t="shared" si="4"/>
        <v>1.2299999999999998E-2</v>
      </c>
      <c r="I24" s="188"/>
      <c r="J24" s="188">
        <f t="shared" si="5"/>
        <v>1.435E-2</v>
      </c>
      <c r="K24" s="188">
        <f t="shared" si="0"/>
        <v>2.0500000000000015E-3</v>
      </c>
      <c r="L24" s="188">
        <f t="shared" si="1"/>
        <v>0.82204999999999995</v>
      </c>
      <c r="M24" s="188">
        <f t="shared" si="2"/>
        <v>0</v>
      </c>
      <c r="N24" s="188">
        <f t="shared" si="3"/>
        <v>0</v>
      </c>
    </row>
    <row r="25" spans="2:14">
      <c r="B25" s="189" t="s">
        <v>229</v>
      </c>
      <c r="C25" s="189">
        <v>150</v>
      </c>
      <c r="E25" s="188">
        <v>3.84</v>
      </c>
      <c r="H25" s="188">
        <f t="shared" si="4"/>
        <v>5.7599999999999998E-2</v>
      </c>
      <c r="I25" s="188"/>
      <c r="J25" s="188">
        <f t="shared" si="5"/>
        <v>6.720000000000001E-2</v>
      </c>
      <c r="K25" s="188">
        <f t="shared" si="0"/>
        <v>9.6000000000000113E-3</v>
      </c>
      <c r="L25" s="188">
        <f t="shared" si="1"/>
        <v>3.8495999999999997</v>
      </c>
      <c r="M25" s="188">
        <f t="shared" si="2"/>
        <v>0</v>
      </c>
      <c r="N25" s="188">
        <f t="shared" si="3"/>
        <v>0</v>
      </c>
    </row>
    <row r="26" spans="2:14">
      <c r="B26" s="189" t="s">
        <v>230</v>
      </c>
      <c r="C26" s="189">
        <v>150</v>
      </c>
      <c r="E26" s="188">
        <v>4.26</v>
      </c>
      <c r="H26" s="188">
        <f t="shared" si="4"/>
        <v>6.3899999999999998E-2</v>
      </c>
      <c r="I26" s="188"/>
      <c r="J26" s="188">
        <f t="shared" si="5"/>
        <v>7.4550000000000005E-2</v>
      </c>
      <c r="K26" s="188">
        <f t="shared" si="0"/>
        <v>1.0650000000000007E-2</v>
      </c>
      <c r="L26" s="188">
        <f t="shared" si="1"/>
        <v>4.2706499999999998</v>
      </c>
      <c r="M26" s="188">
        <f t="shared" si="2"/>
        <v>0</v>
      </c>
      <c r="N26" s="188">
        <f t="shared" si="3"/>
        <v>0</v>
      </c>
    </row>
    <row r="27" spans="2:14">
      <c r="B27" s="189" t="s">
        <v>231</v>
      </c>
      <c r="C27" s="189">
        <v>160</v>
      </c>
      <c r="E27" s="188">
        <v>78.819999999999993</v>
      </c>
      <c r="H27" s="188">
        <f t="shared" si="4"/>
        <v>1.1822999999999999</v>
      </c>
      <c r="I27" s="188"/>
      <c r="J27" s="188">
        <f t="shared" si="5"/>
        <v>1.3793500000000001</v>
      </c>
      <c r="K27" s="188">
        <f t="shared" si="0"/>
        <v>0.19705000000000017</v>
      </c>
      <c r="L27" s="188">
        <f t="shared" si="1"/>
        <v>79.017049999999998</v>
      </c>
      <c r="M27" s="188">
        <f t="shared" si="2"/>
        <v>0</v>
      </c>
      <c r="N27" s="188">
        <f t="shared" si="3"/>
        <v>0</v>
      </c>
    </row>
    <row r="28" spans="2:14">
      <c r="B28" s="189" t="s">
        <v>232</v>
      </c>
      <c r="C28" s="189">
        <v>160</v>
      </c>
      <c r="E28" s="188">
        <v>115.91</v>
      </c>
      <c r="H28" s="188">
        <f t="shared" si="4"/>
        <v>1.7386499999999998</v>
      </c>
      <c r="I28" s="188"/>
      <c r="J28" s="188">
        <f t="shared" si="5"/>
        <v>2.0284249999999999</v>
      </c>
      <c r="K28" s="188">
        <f t="shared" si="0"/>
        <v>0.28977500000000012</v>
      </c>
      <c r="L28" s="188">
        <f t="shared" si="1"/>
        <v>116.199775</v>
      </c>
      <c r="M28" s="188">
        <f t="shared" si="2"/>
        <v>0</v>
      </c>
      <c r="N28" s="188">
        <f t="shared" si="3"/>
        <v>0</v>
      </c>
    </row>
    <row r="29" spans="2:14">
      <c r="B29" s="189" t="s">
        <v>233</v>
      </c>
      <c r="C29" s="189">
        <v>160</v>
      </c>
      <c r="E29" s="188">
        <v>115.91</v>
      </c>
      <c r="H29" s="188">
        <f t="shared" si="4"/>
        <v>1.7386499999999998</v>
      </c>
      <c r="I29" s="188"/>
      <c r="J29" s="188">
        <f t="shared" si="5"/>
        <v>2.0284249999999999</v>
      </c>
      <c r="K29" s="188">
        <f t="shared" si="0"/>
        <v>0.28977500000000012</v>
      </c>
      <c r="L29" s="188">
        <f t="shared" si="1"/>
        <v>116.199775</v>
      </c>
      <c r="M29" s="188">
        <f t="shared" si="2"/>
        <v>0</v>
      </c>
      <c r="N29" s="188">
        <f t="shared" si="3"/>
        <v>0</v>
      </c>
    </row>
    <row r="30" spans="2:14">
      <c r="B30" s="189" t="s">
        <v>234</v>
      </c>
      <c r="C30" s="189">
        <v>160</v>
      </c>
      <c r="E30" s="188">
        <v>23.36</v>
      </c>
      <c r="H30" s="188">
        <f t="shared" si="4"/>
        <v>0.35039999999999999</v>
      </c>
      <c r="I30" s="188"/>
      <c r="J30" s="188">
        <f t="shared" si="5"/>
        <v>0.40880000000000005</v>
      </c>
      <c r="K30" s="188">
        <f t="shared" si="0"/>
        <v>5.8400000000000063E-2</v>
      </c>
      <c r="L30" s="188">
        <f t="shared" si="1"/>
        <v>23.418399999999998</v>
      </c>
      <c r="M30" s="188">
        <f t="shared" si="2"/>
        <v>0</v>
      </c>
      <c r="N30" s="188">
        <f t="shared" si="3"/>
        <v>0</v>
      </c>
    </row>
    <row r="31" spans="2:14">
      <c r="B31" s="189" t="s">
        <v>235</v>
      </c>
      <c r="C31" s="189">
        <v>160</v>
      </c>
      <c r="E31" s="188">
        <v>19.7</v>
      </c>
      <c r="H31" s="188">
        <f t="shared" si="4"/>
        <v>0.29549999999999998</v>
      </c>
      <c r="I31" s="188"/>
      <c r="J31" s="188">
        <f t="shared" si="5"/>
        <v>0.34475</v>
      </c>
      <c r="K31" s="188">
        <f t="shared" si="0"/>
        <v>4.9250000000000016E-2</v>
      </c>
      <c r="L31" s="188">
        <f t="shared" si="1"/>
        <v>19.74925</v>
      </c>
      <c r="M31" s="188">
        <f t="shared" si="2"/>
        <v>0</v>
      </c>
      <c r="N31" s="188">
        <f t="shared" si="3"/>
        <v>0</v>
      </c>
    </row>
    <row r="32" spans="2:14">
      <c r="B32" s="189" t="s">
        <v>236</v>
      </c>
      <c r="C32" s="189">
        <v>160</v>
      </c>
      <c r="E32" s="188">
        <v>28.98</v>
      </c>
      <c r="H32" s="188">
        <f t="shared" si="4"/>
        <v>0.43469999999999998</v>
      </c>
      <c r="I32" s="188"/>
      <c r="J32" s="188">
        <f t="shared" si="5"/>
        <v>0.5071500000000001</v>
      </c>
      <c r="K32" s="188">
        <f t="shared" si="0"/>
        <v>7.2450000000000125E-2</v>
      </c>
      <c r="L32" s="188">
        <f t="shared" si="1"/>
        <v>29.05245</v>
      </c>
      <c r="M32" s="188">
        <f t="shared" si="2"/>
        <v>0</v>
      </c>
      <c r="N32" s="188">
        <f t="shared" si="3"/>
        <v>0</v>
      </c>
    </row>
    <row r="33" spans="2:14">
      <c r="B33" s="189" t="s">
        <v>237</v>
      </c>
      <c r="C33" s="189">
        <v>160</v>
      </c>
      <c r="E33" s="188">
        <v>173.87</v>
      </c>
      <c r="H33" s="188">
        <f t="shared" si="4"/>
        <v>2.60805</v>
      </c>
      <c r="I33" s="188"/>
      <c r="J33" s="188">
        <f t="shared" si="5"/>
        <v>3.0427250000000003</v>
      </c>
      <c r="K33" s="188">
        <f t="shared" si="0"/>
        <v>0.43467500000000037</v>
      </c>
      <c r="L33" s="188">
        <f t="shared" si="1"/>
        <v>174.304675</v>
      </c>
      <c r="M33" s="188">
        <f t="shared" si="2"/>
        <v>0</v>
      </c>
      <c r="N33" s="188">
        <f t="shared" si="3"/>
        <v>0</v>
      </c>
    </row>
    <row r="34" spans="2:14">
      <c r="B34" s="189" t="s">
        <v>238</v>
      </c>
      <c r="C34" s="189">
        <v>160</v>
      </c>
      <c r="E34" s="188">
        <v>23.36</v>
      </c>
      <c r="H34" s="188">
        <f t="shared" si="4"/>
        <v>0.35039999999999999</v>
      </c>
      <c r="I34" s="188"/>
      <c r="J34" s="188">
        <f t="shared" si="5"/>
        <v>0.40880000000000005</v>
      </c>
      <c r="K34" s="188">
        <f t="shared" si="0"/>
        <v>5.8400000000000063E-2</v>
      </c>
      <c r="L34" s="188">
        <f t="shared" si="1"/>
        <v>23.418399999999998</v>
      </c>
      <c r="M34" s="188">
        <f t="shared" si="2"/>
        <v>0</v>
      </c>
      <c r="N34" s="188">
        <f t="shared" si="3"/>
        <v>0</v>
      </c>
    </row>
    <row r="35" spans="2:14">
      <c r="B35" s="189" t="s">
        <v>239</v>
      </c>
      <c r="C35" s="189">
        <v>160</v>
      </c>
      <c r="E35" s="188">
        <v>43.47</v>
      </c>
      <c r="H35" s="188">
        <f t="shared" si="4"/>
        <v>0.65204999999999991</v>
      </c>
      <c r="I35" s="188"/>
      <c r="J35" s="188">
        <f t="shared" si="5"/>
        <v>0.7607250000000001</v>
      </c>
      <c r="K35" s="188">
        <f t="shared" si="0"/>
        <v>0.10867500000000019</v>
      </c>
      <c r="L35" s="188">
        <f t="shared" si="1"/>
        <v>43.578674999999997</v>
      </c>
      <c r="M35" s="188">
        <f t="shared" si="2"/>
        <v>0</v>
      </c>
      <c r="N35" s="188">
        <f t="shared" si="3"/>
        <v>0</v>
      </c>
    </row>
    <row r="36" spans="2:14">
      <c r="B36" s="189" t="s">
        <v>240</v>
      </c>
      <c r="C36" s="189">
        <v>205</v>
      </c>
      <c r="E36" s="188">
        <v>2.67</v>
      </c>
      <c r="H36" s="188">
        <f t="shared" si="4"/>
        <v>4.0049999999999995E-2</v>
      </c>
      <c r="I36" s="188"/>
      <c r="J36" s="188">
        <f t="shared" si="5"/>
        <v>4.6725000000000003E-2</v>
      </c>
      <c r="K36" s="188">
        <f t="shared" si="0"/>
        <v>6.6750000000000073E-3</v>
      </c>
      <c r="L36" s="188">
        <f t="shared" si="1"/>
        <v>2.6766749999999999</v>
      </c>
      <c r="M36" s="188">
        <f t="shared" si="2"/>
        <v>0</v>
      </c>
      <c r="N36" s="188">
        <f t="shared" si="3"/>
        <v>0</v>
      </c>
    </row>
    <row r="37" spans="2:14">
      <c r="B37" s="189" t="s">
        <v>241</v>
      </c>
      <c r="C37" s="189">
        <v>205</v>
      </c>
      <c r="E37" s="188">
        <v>2.3199999999999998</v>
      </c>
      <c r="H37" s="188">
        <f t="shared" si="4"/>
        <v>3.4799999999999998E-2</v>
      </c>
      <c r="I37" s="188"/>
      <c r="J37" s="188">
        <f t="shared" si="5"/>
        <v>4.0600000000000004E-2</v>
      </c>
      <c r="K37" s="188">
        <f t="shared" si="0"/>
        <v>5.8000000000000065E-3</v>
      </c>
      <c r="L37" s="188">
        <f t="shared" si="1"/>
        <v>2.3257999999999996</v>
      </c>
      <c r="M37" s="188">
        <f t="shared" si="2"/>
        <v>0</v>
      </c>
      <c r="N37" s="188">
        <f t="shared" si="3"/>
        <v>0</v>
      </c>
    </row>
    <row r="38" spans="2:14">
      <c r="B38" s="189" t="s">
        <v>242</v>
      </c>
      <c r="C38" s="189">
        <v>207</v>
      </c>
      <c r="E38" s="188">
        <v>1.42</v>
      </c>
      <c r="H38" s="188">
        <f t="shared" si="4"/>
        <v>2.1299999999999999E-2</v>
      </c>
      <c r="I38" s="188"/>
      <c r="J38" s="188">
        <f t="shared" si="5"/>
        <v>2.4850000000000001E-2</v>
      </c>
      <c r="K38" s="188">
        <f t="shared" si="0"/>
        <v>3.5500000000000011E-3</v>
      </c>
      <c r="L38" s="188">
        <f t="shared" si="1"/>
        <v>1.4235499999999999</v>
      </c>
      <c r="M38" s="188">
        <f t="shared" si="2"/>
        <v>0</v>
      </c>
      <c r="N38" s="188">
        <f t="shared" si="3"/>
        <v>0</v>
      </c>
    </row>
    <row r="39" spans="2:14">
      <c r="B39" s="189" t="s">
        <v>243</v>
      </c>
      <c r="C39" s="189">
        <v>207</v>
      </c>
      <c r="E39" s="188">
        <v>2.76</v>
      </c>
      <c r="H39" s="188">
        <f t="shared" si="4"/>
        <v>4.1399999999999992E-2</v>
      </c>
      <c r="I39" s="188"/>
      <c r="J39" s="188">
        <f t="shared" si="5"/>
        <v>4.8300000000000003E-2</v>
      </c>
      <c r="K39" s="188">
        <f t="shared" si="0"/>
        <v>6.9000000000000103E-3</v>
      </c>
      <c r="L39" s="188">
        <f t="shared" si="1"/>
        <v>2.7668999999999997</v>
      </c>
      <c r="M39" s="188">
        <f t="shared" si="2"/>
        <v>0</v>
      </c>
      <c r="N39" s="188">
        <f t="shared" si="3"/>
        <v>0</v>
      </c>
    </row>
    <row r="40" spans="2:14">
      <c r="B40" s="189" t="s">
        <v>244</v>
      </c>
      <c r="C40" s="189">
        <v>207</v>
      </c>
      <c r="E40" s="188">
        <v>4.03</v>
      </c>
      <c r="H40" s="188">
        <f t="shared" si="4"/>
        <v>6.0450000000000004E-2</v>
      </c>
      <c r="I40" s="188"/>
      <c r="J40" s="188">
        <f t="shared" si="5"/>
        <v>7.0525000000000004E-2</v>
      </c>
      <c r="K40" s="188">
        <f t="shared" si="0"/>
        <v>1.0075000000000001E-2</v>
      </c>
      <c r="L40" s="188">
        <f t="shared" si="1"/>
        <v>4.0400749999999999</v>
      </c>
      <c r="M40" s="188">
        <f t="shared" si="2"/>
        <v>0</v>
      </c>
      <c r="N40" s="188">
        <f t="shared" si="3"/>
        <v>0</v>
      </c>
    </row>
    <row r="41" spans="2:14">
      <c r="B41" s="189" t="s">
        <v>245</v>
      </c>
      <c r="C41" s="189">
        <v>210</v>
      </c>
      <c r="E41" s="188">
        <v>24.34</v>
      </c>
      <c r="H41" s="188">
        <f t="shared" si="4"/>
        <v>0.36509999999999998</v>
      </c>
      <c r="I41" s="188"/>
      <c r="J41" s="188">
        <f t="shared" si="5"/>
        <v>0.42595000000000005</v>
      </c>
      <c r="K41" s="188">
        <f t="shared" si="0"/>
        <v>6.0850000000000071E-2</v>
      </c>
      <c r="L41" s="188">
        <f t="shared" si="1"/>
        <v>24.400849999999998</v>
      </c>
      <c r="M41" s="188">
        <f t="shared" si="2"/>
        <v>0</v>
      </c>
      <c r="N41" s="188">
        <f t="shared" si="3"/>
        <v>0</v>
      </c>
    </row>
    <row r="42" spans="2:14">
      <c r="B42" s="189" t="s">
        <v>246</v>
      </c>
      <c r="C42" s="189">
        <v>210</v>
      </c>
      <c r="E42" s="188">
        <v>24.34</v>
      </c>
      <c r="H42" s="188">
        <f t="shared" si="4"/>
        <v>0.36509999999999998</v>
      </c>
      <c r="I42" s="188"/>
      <c r="J42" s="188">
        <f t="shared" si="5"/>
        <v>0.42595000000000005</v>
      </c>
      <c r="K42" s="188">
        <f t="shared" si="0"/>
        <v>6.0850000000000071E-2</v>
      </c>
      <c r="L42" s="188">
        <f t="shared" si="1"/>
        <v>24.400849999999998</v>
      </c>
      <c r="M42" s="188">
        <f t="shared" si="2"/>
        <v>0</v>
      </c>
      <c r="N42" s="188">
        <f t="shared" si="3"/>
        <v>0</v>
      </c>
    </row>
    <row r="43" spans="2:14">
      <c r="B43" s="189" t="s">
        <v>247</v>
      </c>
      <c r="C43" s="189">
        <v>210</v>
      </c>
      <c r="E43" s="188">
        <v>24.34</v>
      </c>
      <c r="H43" s="188">
        <f t="shared" si="4"/>
        <v>0.36509999999999998</v>
      </c>
      <c r="I43" s="188"/>
      <c r="J43" s="188">
        <f t="shared" si="5"/>
        <v>0.42595000000000005</v>
      </c>
      <c r="K43" s="188">
        <f t="shared" si="0"/>
        <v>6.0850000000000071E-2</v>
      </c>
      <c r="L43" s="188">
        <f t="shared" si="1"/>
        <v>24.400849999999998</v>
      </c>
      <c r="M43" s="188">
        <f t="shared" si="2"/>
        <v>0</v>
      </c>
      <c r="N43" s="188">
        <f t="shared" si="3"/>
        <v>0</v>
      </c>
    </row>
    <row r="44" spans="2:14">
      <c r="B44" s="189" t="s">
        <v>248</v>
      </c>
      <c r="C44" s="189">
        <v>240</v>
      </c>
      <c r="E44" s="188">
        <v>2.3199999999999998</v>
      </c>
      <c r="H44" s="188">
        <f t="shared" si="4"/>
        <v>3.4799999999999998E-2</v>
      </c>
      <c r="I44" s="188"/>
      <c r="J44" s="188">
        <f t="shared" si="5"/>
        <v>4.0600000000000004E-2</v>
      </c>
      <c r="K44" s="188">
        <f t="shared" si="0"/>
        <v>5.8000000000000065E-3</v>
      </c>
      <c r="L44" s="188">
        <f t="shared" si="1"/>
        <v>2.3257999999999996</v>
      </c>
      <c r="M44" s="188">
        <f t="shared" si="2"/>
        <v>0</v>
      </c>
      <c r="N44" s="188">
        <f t="shared" si="3"/>
        <v>0</v>
      </c>
    </row>
    <row r="45" spans="2:14">
      <c r="B45" s="189" t="s">
        <v>249</v>
      </c>
      <c r="C45" s="189">
        <v>240</v>
      </c>
      <c r="E45" s="188">
        <v>9.1</v>
      </c>
      <c r="H45" s="188">
        <f t="shared" si="4"/>
        <v>0.13649999999999998</v>
      </c>
      <c r="I45" s="188"/>
      <c r="J45" s="188">
        <f t="shared" si="5"/>
        <v>0.15925</v>
      </c>
      <c r="K45" s="188">
        <f t="shared" si="0"/>
        <v>2.275000000000002E-2</v>
      </c>
      <c r="L45" s="188">
        <f t="shared" si="1"/>
        <v>9.1227499999999999</v>
      </c>
      <c r="M45" s="188">
        <f t="shared" si="2"/>
        <v>0</v>
      </c>
      <c r="N45" s="188">
        <f t="shared" si="3"/>
        <v>0</v>
      </c>
    </row>
    <row r="46" spans="2:14">
      <c r="B46" s="189" t="s">
        <v>250</v>
      </c>
      <c r="C46" s="189">
        <v>240</v>
      </c>
      <c r="E46" s="188">
        <v>1.1599999999999999</v>
      </c>
      <c r="H46" s="188">
        <f t="shared" si="4"/>
        <v>1.7399999999999999E-2</v>
      </c>
      <c r="I46" s="188"/>
      <c r="J46" s="188">
        <f t="shared" si="5"/>
        <v>2.0300000000000002E-2</v>
      </c>
      <c r="K46" s="188">
        <f t="shared" si="0"/>
        <v>2.9000000000000033E-3</v>
      </c>
      <c r="L46" s="188">
        <f t="shared" si="1"/>
        <v>1.1628999999999998</v>
      </c>
      <c r="M46" s="188">
        <f t="shared" si="2"/>
        <v>0</v>
      </c>
      <c r="N46" s="188">
        <f t="shared" si="3"/>
        <v>0</v>
      </c>
    </row>
    <row r="47" spans="2:14">
      <c r="B47" s="189" t="s">
        <v>251</v>
      </c>
      <c r="C47" s="189">
        <v>240</v>
      </c>
      <c r="E47" s="188">
        <v>1.22</v>
      </c>
      <c r="H47" s="188">
        <f t="shared" si="4"/>
        <v>1.83E-2</v>
      </c>
      <c r="I47" s="188"/>
      <c r="J47" s="188">
        <f t="shared" si="5"/>
        <v>2.1350000000000001E-2</v>
      </c>
      <c r="K47" s="188">
        <f t="shared" si="0"/>
        <v>3.0500000000000006E-3</v>
      </c>
      <c r="L47" s="188">
        <f t="shared" si="1"/>
        <v>1.22305</v>
      </c>
      <c r="M47" s="188">
        <f t="shared" si="2"/>
        <v>0</v>
      </c>
      <c r="N47" s="188">
        <f t="shared" si="3"/>
        <v>0</v>
      </c>
    </row>
    <row r="48" spans="2:14">
      <c r="B48" s="189" t="s">
        <v>252</v>
      </c>
      <c r="C48" s="189">
        <v>240</v>
      </c>
      <c r="E48" s="188">
        <v>1.45</v>
      </c>
      <c r="H48" s="188">
        <f t="shared" si="4"/>
        <v>2.1749999999999999E-2</v>
      </c>
      <c r="I48" s="188"/>
      <c r="J48" s="188">
        <f t="shared" si="5"/>
        <v>2.5375000000000002E-2</v>
      </c>
      <c r="K48" s="188">
        <f t="shared" si="0"/>
        <v>3.6250000000000032E-3</v>
      </c>
      <c r="L48" s="188">
        <f t="shared" si="1"/>
        <v>1.4536249999999999</v>
      </c>
      <c r="M48" s="188">
        <f t="shared" si="2"/>
        <v>0</v>
      </c>
      <c r="N48" s="188">
        <f t="shared" si="3"/>
        <v>0</v>
      </c>
    </row>
    <row r="49" spans="2:14">
      <c r="B49" s="189" t="s">
        <v>253</v>
      </c>
      <c r="C49" s="189">
        <v>240</v>
      </c>
      <c r="E49" s="188">
        <v>1.51</v>
      </c>
      <c r="H49" s="188">
        <f t="shared" si="4"/>
        <v>2.265E-2</v>
      </c>
      <c r="I49" s="188"/>
      <c r="J49" s="188">
        <f t="shared" si="5"/>
        <v>2.6425000000000004E-2</v>
      </c>
      <c r="K49" s="188">
        <f t="shared" si="0"/>
        <v>3.775000000000004E-3</v>
      </c>
      <c r="L49" s="188">
        <f t="shared" si="1"/>
        <v>1.5137750000000001</v>
      </c>
      <c r="M49" s="188">
        <f t="shared" si="2"/>
        <v>0</v>
      </c>
      <c r="N49" s="188">
        <f t="shared" si="3"/>
        <v>0</v>
      </c>
    </row>
    <row r="50" spans="2:14">
      <c r="B50" s="189" t="s">
        <v>254</v>
      </c>
      <c r="C50" s="189">
        <v>240</v>
      </c>
      <c r="E50" s="188">
        <v>1.62</v>
      </c>
      <c r="H50" s="188">
        <f t="shared" si="4"/>
        <v>2.4300000000000002E-2</v>
      </c>
      <c r="I50" s="188"/>
      <c r="J50" s="188">
        <f t="shared" si="5"/>
        <v>2.8350000000000004E-2</v>
      </c>
      <c r="K50" s="188">
        <f t="shared" si="0"/>
        <v>4.0500000000000015E-3</v>
      </c>
      <c r="L50" s="188">
        <f t="shared" si="1"/>
        <v>1.6240500000000002</v>
      </c>
      <c r="M50" s="188">
        <f t="shared" si="2"/>
        <v>0</v>
      </c>
      <c r="N50" s="188">
        <f t="shared" si="3"/>
        <v>0</v>
      </c>
    </row>
    <row r="51" spans="2:14">
      <c r="B51" s="189" t="s">
        <v>255</v>
      </c>
      <c r="C51" s="189">
        <v>240</v>
      </c>
      <c r="E51" s="188">
        <v>1.74</v>
      </c>
      <c r="H51" s="188">
        <f t="shared" si="4"/>
        <v>2.6099999999999998E-2</v>
      </c>
      <c r="I51" s="188"/>
      <c r="J51" s="188">
        <f t="shared" si="5"/>
        <v>3.0450000000000001E-2</v>
      </c>
      <c r="K51" s="188">
        <f t="shared" si="0"/>
        <v>4.3500000000000032E-3</v>
      </c>
      <c r="L51" s="188">
        <f t="shared" si="1"/>
        <v>1.7443500000000001</v>
      </c>
      <c r="M51" s="188">
        <f t="shared" si="2"/>
        <v>0</v>
      </c>
      <c r="N51" s="188">
        <f t="shared" si="3"/>
        <v>0</v>
      </c>
    </row>
    <row r="52" spans="2:14">
      <c r="B52" s="189" t="s">
        <v>256</v>
      </c>
      <c r="C52" s="189">
        <v>240</v>
      </c>
      <c r="E52" s="188">
        <v>1.85</v>
      </c>
      <c r="H52" s="188">
        <f t="shared" si="4"/>
        <v>2.775E-2</v>
      </c>
      <c r="I52" s="188"/>
      <c r="J52" s="188">
        <f t="shared" si="5"/>
        <v>3.2375000000000008E-2</v>
      </c>
      <c r="K52" s="188">
        <f t="shared" si="0"/>
        <v>4.6250000000000076E-3</v>
      </c>
      <c r="L52" s="188">
        <f t="shared" si="1"/>
        <v>1.8546250000000002</v>
      </c>
      <c r="M52" s="188">
        <f t="shared" si="2"/>
        <v>0</v>
      </c>
      <c r="N52" s="188">
        <f t="shared" si="3"/>
        <v>0</v>
      </c>
    </row>
    <row r="53" spans="2:14">
      <c r="B53" s="189" t="s">
        <v>257</v>
      </c>
      <c r="C53" s="189">
        <v>240</v>
      </c>
      <c r="E53" s="188">
        <v>1.97</v>
      </c>
      <c r="H53" s="188">
        <f t="shared" si="4"/>
        <v>2.955E-2</v>
      </c>
      <c r="I53" s="188"/>
      <c r="J53" s="188">
        <f t="shared" si="5"/>
        <v>3.4475000000000006E-2</v>
      </c>
      <c r="K53" s="188">
        <f t="shared" si="0"/>
        <v>4.9250000000000058E-3</v>
      </c>
      <c r="L53" s="188">
        <f t="shared" si="1"/>
        <v>1.974925</v>
      </c>
      <c r="M53" s="188">
        <f t="shared" si="2"/>
        <v>0</v>
      </c>
      <c r="N53" s="188">
        <f t="shared" si="3"/>
        <v>0</v>
      </c>
    </row>
    <row r="54" spans="2:14">
      <c r="B54" s="189" t="s">
        <v>258</v>
      </c>
      <c r="C54" s="189">
        <v>240</v>
      </c>
      <c r="E54" s="188">
        <v>2.09</v>
      </c>
      <c r="H54" s="188">
        <f t="shared" si="4"/>
        <v>3.1349999999999996E-2</v>
      </c>
      <c r="I54" s="188"/>
      <c r="J54" s="188">
        <f t="shared" si="5"/>
        <v>3.6575000000000003E-2</v>
      </c>
      <c r="K54" s="188">
        <f t="shared" si="0"/>
        <v>5.2250000000000074E-3</v>
      </c>
      <c r="L54" s="190">
        <f t="shared" si="1"/>
        <v>2.0952249999999997</v>
      </c>
      <c r="M54" s="188">
        <f t="shared" si="2"/>
        <v>0</v>
      </c>
      <c r="N54" s="188">
        <f t="shared" si="3"/>
        <v>0</v>
      </c>
    </row>
    <row r="55" spans="2:14">
      <c r="B55" s="189" t="s">
        <v>259</v>
      </c>
      <c r="C55" s="189">
        <v>240</v>
      </c>
      <c r="E55" s="188">
        <v>14.08</v>
      </c>
      <c r="H55" s="188">
        <f t="shared" si="4"/>
        <v>0.2112</v>
      </c>
      <c r="I55" s="188"/>
      <c r="J55" s="188">
        <f t="shared" si="5"/>
        <v>0.24640000000000004</v>
      </c>
      <c r="K55" s="188">
        <f t="shared" si="0"/>
        <v>3.5200000000000037E-2</v>
      </c>
      <c r="L55" s="188">
        <f t="shared" si="1"/>
        <v>14.1152</v>
      </c>
      <c r="M55" s="188">
        <f t="shared" si="2"/>
        <v>0</v>
      </c>
      <c r="N55" s="188">
        <f t="shared" si="3"/>
        <v>0</v>
      </c>
    </row>
    <row r="56" spans="2:14">
      <c r="B56" s="189" t="s">
        <v>260</v>
      </c>
      <c r="C56" s="189">
        <v>240</v>
      </c>
      <c r="E56" s="188">
        <v>14.95</v>
      </c>
      <c r="H56" s="188">
        <f t="shared" si="4"/>
        <v>0.22424999999999998</v>
      </c>
      <c r="I56" s="188"/>
      <c r="J56" s="188">
        <f t="shared" si="5"/>
        <v>0.261625</v>
      </c>
      <c r="K56" s="188">
        <f t="shared" si="0"/>
        <v>3.7375000000000019E-2</v>
      </c>
      <c r="L56" s="188">
        <f t="shared" si="1"/>
        <v>14.987375</v>
      </c>
      <c r="M56" s="188">
        <f t="shared" si="2"/>
        <v>0</v>
      </c>
      <c r="N56" s="188">
        <f t="shared" si="3"/>
        <v>0</v>
      </c>
    </row>
    <row r="57" spans="2:14">
      <c r="B57" s="189" t="s">
        <v>261</v>
      </c>
      <c r="C57" s="189">
        <v>240</v>
      </c>
      <c r="E57" s="188">
        <v>16.63</v>
      </c>
      <c r="H57" s="188">
        <f t="shared" si="4"/>
        <v>0.24944999999999998</v>
      </c>
      <c r="I57" s="188"/>
      <c r="J57" s="188">
        <f t="shared" si="5"/>
        <v>0.29102500000000003</v>
      </c>
      <c r="K57" s="188">
        <f t="shared" si="0"/>
        <v>4.1575000000000056E-2</v>
      </c>
      <c r="L57" s="188">
        <f t="shared" si="1"/>
        <v>16.671575000000001</v>
      </c>
      <c r="M57" s="188">
        <f t="shared" si="2"/>
        <v>0</v>
      </c>
      <c r="N57" s="188">
        <f t="shared" si="3"/>
        <v>0</v>
      </c>
    </row>
    <row r="58" spans="2:14">
      <c r="B58" s="189" t="s">
        <v>262</v>
      </c>
      <c r="C58" s="189">
        <v>240</v>
      </c>
      <c r="E58" s="188">
        <v>23.3</v>
      </c>
      <c r="H58" s="188">
        <f t="shared" si="4"/>
        <v>0.34949999999999998</v>
      </c>
      <c r="I58" s="188"/>
      <c r="J58" s="188">
        <f t="shared" si="5"/>
        <v>0.40775000000000006</v>
      </c>
      <c r="K58" s="188">
        <f t="shared" si="0"/>
        <v>5.8250000000000079E-2</v>
      </c>
      <c r="L58" s="188">
        <f t="shared" si="1"/>
        <v>23.358250000000002</v>
      </c>
      <c r="M58" s="188">
        <f t="shared" si="2"/>
        <v>0</v>
      </c>
      <c r="N58" s="188">
        <f t="shared" si="3"/>
        <v>0</v>
      </c>
    </row>
    <row r="59" spans="2:14">
      <c r="B59" s="189" t="s">
        <v>263</v>
      </c>
      <c r="C59" s="189">
        <v>240</v>
      </c>
      <c r="E59" s="188">
        <v>29.9</v>
      </c>
      <c r="H59" s="188">
        <f t="shared" si="4"/>
        <v>0.44849999999999995</v>
      </c>
      <c r="I59" s="188"/>
      <c r="J59" s="188">
        <f t="shared" si="5"/>
        <v>0.52324999999999999</v>
      </c>
      <c r="K59" s="188">
        <f t="shared" si="0"/>
        <v>7.4750000000000039E-2</v>
      </c>
      <c r="L59" s="188">
        <f t="shared" si="1"/>
        <v>29.97475</v>
      </c>
      <c r="M59" s="188">
        <f t="shared" si="2"/>
        <v>0</v>
      </c>
      <c r="N59" s="188">
        <f t="shared" si="3"/>
        <v>0</v>
      </c>
    </row>
    <row r="60" spans="2:14">
      <c r="B60" s="189" t="s">
        <v>264</v>
      </c>
      <c r="C60" s="189">
        <v>240</v>
      </c>
      <c r="E60" s="188">
        <v>31.64</v>
      </c>
      <c r="H60" s="188">
        <f t="shared" si="4"/>
        <v>0.47459999999999997</v>
      </c>
      <c r="I60" s="188"/>
      <c r="J60" s="188">
        <f t="shared" si="5"/>
        <v>0.55370000000000008</v>
      </c>
      <c r="K60" s="188">
        <f t="shared" si="0"/>
        <v>7.9100000000000115E-2</v>
      </c>
      <c r="L60" s="188">
        <f t="shared" si="1"/>
        <v>31.719100000000001</v>
      </c>
      <c r="M60" s="188">
        <f t="shared" si="2"/>
        <v>0</v>
      </c>
      <c r="N60" s="188">
        <f t="shared" si="3"/>
        <v>0</v>
      </c>
    </row>
    <row r="61" spans="2:14">
      <c r="B61" s="189" t="s">
        <v>265</v>
      </c>
      <c r="C61" s="189">
        <v>240</v>
      </c>
      <c r="E61" s="188">
        <v>33.380000000000003</v>
      </c>
      <c r="H61" s="188">
        <f t="shared" si="4"/>
        <v>0.50070000000000003</v>
      </c>
      <c r="I61" s="188"/>
      <c r="J61" s="188">
        <f t="shared" si="5"/>
        <v>0.58415000000000006</v>
      </c>
      <c r="K61" s="188">
        <f t="shared" si="0"/>
        <v>8.3450000000000024E-2</v>
      </c>
      <c r="L61" s="188">
        <f t="shared" si="1"/>
        <v>33.463450000000002</v>
      </c>
      <c r="M61" s="188">
        <f t="shared" si="2"/>
        <v>0</v>
      </c>
      <c r="N61" s="188">
        <f t="shared" si="3"/>
        <v>0</v>
      </c>
    </row>
    <row r="62" spans="2:14">
      <c r="B62" s="189" t="s">
        <v>266</v>
      </c>
      <c r="C62" s="189">
        <v>240</v>
      </c>
      <c r="E62" s="188">
        <v>36.799999999999997</v>
      </c>
      <c r="H62" s="188">
        <f t="shared" si="4"/>
        <v>0.55199999999999994</v>
      </c>
      <c r="I62" s="188"/>
      <c r="J62" s="188">
        <f t="shared" si="5"/>
        <v>0.64400000000000002</v>
      </c>
      <c r="K62" s="188">
        <f t="shared" si="0"/>
        <v>9.2000000000000082E-2</v>
      </c>
      <c r="L62" s="188">
        <f t="shared" si="1"/>
        <v>36.891999999999996</v>
      </c>
      <c r="M62" s="188">
        <f t="shared" si="2"/>
        <v>0</v>
      </c>
      <c r="N62" s="188">
        <f t="shared" si="3"/>
        <v>0</v>
      </c>
    </row>
    <row r="63" spans="2:14">
      <c r="B63" s="189" t="s">
        <v>267</v>
      </c>
      <c r="C63" s="189">
        <v>240</v>
      </c>
      <c r="E63" s="188">
        <v>40.340000000000003</v>
      </c>
      <c r="H63" s="188">
        <f t="shared" si="4"/>
        <v>0.60510000000000008</v>
      </c>
      <c r="I63" s="188"/>
      <c r="J63" s="188">
        <f t="shared" si="5"/>
        <v>0.70595000000000008</v>
      </c>
      <c r="K63" s="188">
        <f t="shared" si="0"/>
        <v>0.10085</v>
      </c>
      <c r="L63" s="188">
        <f t="shared" si="1"/>
        <v>40.440850000000005</v>
      </c>
      <c r="M63" s="188">
        <f t="shared" si="2"/>
        <v>0</v>
      </c>
      <c r="N63" s="188">
        <f t="shared" si="3"/>
        <v>0</v>
      </c>
    </row>
    <row r="64" spans="2:14">
      <c r="B64" s="189" t="s">
        <v>248</v>
      </c>
      <c r="C64" s="189">
        <v>245</v>
      </c>
      <c r="E64" s="188">
        <v>2.3199999999999998</v>
      </c>
      <c r="H64" s="188">
        <f t="shared" si="4"/>
        <v>3.4799999999999998E-2</v>
      </c>
      <c r="I64" s="188"/>
      <c r="J64" s="188">
        <f t="shared" si="5"/>
        <v>4.0600000000000004E-2</v>
      </c>
      <c r="K64" s="188">
        <f t="shared" si="0"/>
        <v>5.8000000000000065E-3</v>
      </c>
      <c r="L64" s="188">
        <f t="shared" si="1"/>
        <v>2.3257999999999996</v>
      </c>
      <c r="M64" s="188">
        <f t="shared" si="2"/>
        <v>0</v>
      </c>
      <c r="N64" s="188">
        <f t="shared" si="3"/>
        <v>0</v>
      </c>
    </row>
    <row r="65" spans="2:14">
      <c r="B65" s="189" t="s">
        <v>258</v>
      </c>
      <c r="C65" s="189">
        <v>260</v>
      </c>
      <c r="E65" s="188">
        <v>1.97</v>
      </c>
      <c r="H65" s="188">
        <f t="shared" si="4"/>
        <v>2.955E-2</v>
      </c>
      <c r="I65" s="188"/>
      <c r="J65" s="188">
        <f t="shared" si="5"/>
        <v>3.4475000000000006E-2</v>
      </c>
      <c r="K65" s="188">
        <f t="shared" si="0"/>
        <v>4.9250000000000058E-3</v>
      </c>
      <c r="L65" s="188">
        <f t="shared" si="1"/>
        <v>1.974925</v>
      </c>
      <c r="M65" s="188">
        <f t="shared" si="2"/>
        <v>0</v>
      </c>
      <c r="N65" s="188">
        <f t="shared" si="3"/>
        <v>0</v>
      </c>
    </row>
    <row r="66" spans="2:14">
      <c r="B66" s="189" t="s">
        <v>268</v>
      </c>
      <c r="C66" s="189">
        <v>260</v>
      </c>
      <c r="E66" s="188">
        <v>3.71</v>
      </c>
      <c r="H66" s="188">
        <f t="shared" si="4"/>
        <v>5.5649999999999998E-2</v>
      </c>
      <c r="I66" s="188"/>
      <c r="J66" s="188">
        <f t="shared" si="5"/>
        <v>6.492500000000001E-2</v>
      </c>
      <c r="K66" s="188">
        <f t="shared" si="0"/>
        <v>9.2750000000000124E-3</v>
      </c>
      <c r="L66" s="188">
        <f t="shared" si="1"/>
        <v>3.7192750000000001</v>
      </c>
      <c r="M66" s="188">
        <f t="shared" si="2"/>
        <v>0</v>
      </c>
      <c r="N66" s="188">
        <f t="shared" si="3"/>
        <v>0</v>
      </c>
    </row>
    <row r="67" spans="2:14">
      <c r="B67" s="189" t="s">
        <v>269</v>
      </c>
      <c r="C67" s="189">
        <v>260</v>
      </c>
      <c r="E67" s="188">
        <v>4.5199999999999996</v>
      </c>
      <c r="H67" s="188">
        <f t="shared" si="4"/>
        <v>6.7799999999999985E-2</v>
      </c>
      <c r="I67" s="188"/>
      <c r="J67" s="188">
        <f t="shared" si="5"/>
        <v>7.9100000000000004E-2</v>
      </c>
      <c r="K67" s="188">
        <f t="shared" si="0"/>
        <v>1.1300000000000018E-2</v>
      </c>
      <c r="L67" s="188">
        <f t="shared" si="1"/>
        <v>4.5312999999999999</v>
      </c>
      <c r="M67" s="188">
        <f t="shared" si="2"/>
        <v>0</v>
      </c>
      <c r="N67" s="188">
        <f t="shared" si="3"/>
        <v>0</v>
      </c>
    </row>
    <row r="68" spans="2:14">
      <c r="B68" s="189" t="s">
        <v>270</v>
      </c>
      <c r="C68" s="189">
        <v>260</v>
      </c>
      <c r="E68" s="188">
        <v>5.57</v>
      </c>
      <c r="H68" s="188">
        <f t="shared" si="4"/>
        <v>8.3549999999999999E-2</v>
      </c>
      <c r="I68" s="188"/>
      <c r="J68" s="188">
        <f t="shared" si="5"/>
        <v>9.747500000000002E-2</v>
      </c>
      <c r="K68" s="188">
        <f t="shared" si="0"/>
        <v>1.3925000000000021E-2</v>
      </c>
      <c r="L68" s="188">
        <f t="shared" si="1"/>
        <v>5.5839250000000007</v>
      </c>
      <c r="M68" s="188">
        <f t="shared" si="2"/>
        <v>0</v>
      </c>
      <c r="N68" s="188">
        <f t="shared" si="3"/>
        <v>0</v>
      </c>
    </row>
    <row r="69" spans="2:14">
      <c r="B69" s="189" t="s">
        <v>271</v>
      </c>
      <c r="C69" s="189">
        <v>260</v>
      </c>
      <c r="E69" s="188">
        <v>6.09</v>
      </c>
      <c r="H69" s="188">
        <f t="shared" si="4"/>
        <v>9.1350000000000001E-2</v>
      </c>
      <c r="I69" s="188"/>
      <c r="J69" s="188">
        <f t="shared" si="5"/>
        <v>0.106575</v>
      </c>
      <c r="K69" s="188">
        <f t="shared" si="0"/>
        <v>1.5225000000000002E-2</v>
      </c>
      <c r="L69" s="188">
        <f t="shared" si="1"/>
        <v>6.1052249999999999</v>
      </c>
      <c r="M69" s="188">
        <f t="shared" si="2"/>
        <v>0</v>
      </c>
      <c r="N69" s="188">
        <f t="shared" si="3"/>
        <v>0</v>
      </c>
    </row>
    <row r="70" spans="2:14">
      <c r="B70" s="189" t="s">
        <v>272</v>
      </c>
      <c r="C70" s="189">
        <v>260</v>
      </c>
      <c r="E70" s="188">
        <v>39.58</v>
      </c>
      <c r="H70" s="188">
        <f t="shared" si="4"/>
        <v>0.59370000000000001</v>
      </c>
      <c r="I70" s="188"/>
      <c r="J70" s="188">
        <f t="shared" si="5"/>
        <v>0.69264999999999999</v>
      </c>
      <c r="K70" s="188">
        <f t="shared" si="0"/>
        <v>9.8949999999999982E-2</v>
      </c>
      <c r="L70" s="188">
        <f t="shared" si="1"/>
        <v>39.67895</v>
      </c>
      <c r="M70" s="188">
        <f t="shared" si="2"/>
        <v>0</v>
      </c>
      <c r="N70" s="188">
        <f t="shared" si="3"/>
        <v>0</v>
      </c>
    </row>
    <row r="71" spans="2:14">
      <c r="B71" s="189" t="s">
        <v>273</v>
      </c>
      <c r="C71" s="189">
        <v>260</v>
      </c>
      <c r="E71" s="188">
        <v>61.43</v>
      </c>
      <c r="H71" s="188">
        <f t="shared" si="4"/>
        <v>0.92144999999999999</v>
      </c>
      <c r="I71" s="188"/>
      <c r="J71" s="188">
        <f t="shared" si="5"/>
        <v>1.0750250000000001</v>
      </c>
      <c r="K71" s="188">
        <f t="shared" si="0"/>
        <v>0.15357500000000013</v>
      </c>
      <c r="L71" s="188">
        <f t="shared" si="1"/>
        <v>61.583575000000003</v>
      </c>
      <c r="M71" s="188">
        <f t="shared" si="2"/>
        <v>0</v>
      </c>
      <c r="N71" s="188">
        <f t="shared" si="3"/>
        <v>0</v>
      </c>
    </row>
    <row r="72" spans="2:14">
      <c r="B72" s="189" t="s">
        <v>274</v>
      </c>
      <c r="C72" s="189">
        <v>260</v>
      </c>
      <c r="E72" s="188">
        <v>61.43</v>
      </c>
      <c r="H72" s="188">
        <f t="shared" si="4"/>
        <v>0.92144999999999999</v>
      </c>
      <c r="I72" s="188"/>
      <c r="J72" s="188">
        <f t="shared" si="5"/>
        <v>1.0750250000000001</v>
      </c>
      <c r="K72" s="188">
        <f t="shared" si="0"/>
        <v>0.15357500000000013</v>
      </c>
      <c r="L72" s="188">
        <f t="shared" si="1"/>
        <v>61.583575000000003</v>
      </c>
      <c r="M72" s="188">
        <f t="shared" si="2"/>
        <v>0</v>
      </c>
      <c r="N72" s="188">
        <f t="shared" si="3"/>
        <v>0</v>
      </c>
    </row>
    <row r="73" spans="2:14">
      <c r="B73" s="189" t="s">
        <v>275</v>
      </c>
      <c r="C73" s="189">
        <v>260</v>
      </c>
      <c r="E73" s="188">
        <v>61.43</v>
      </c>
      <c r="H73" s="188">
        <f t="shared" si="4"/>
        <v>0.92144999999999999</v>
      </c>
      <c r="I73" s="188"/>
      <c r="J73" s="188">
        <f t="shared" si="5"/>
        <v>1.0750250000000001</v>
      </c>
      <c r="K73" s="188">
        <f t="shared" si="0"/>
        <v>0.15357500000000013</v>
      </c>
      <c r="L73" s="188">
        <f t="shared" si="1"/>
        <v>61.583575000000003</v>
      </c>
      <c r="M73" s="188">
        <f t="shared" si="2"/>
        <v>0</v>
      </c>
      <c r="N73" s="188">
        <f t="shared" si="3"/>
        <v>0</v>
      </c>
    </row>
    <row r="74" spans="2:14">
      <c r="B74" s="189" t="s">
        <v>276</v>
      </c>
      <c r="C74" s="189">
        <v>260</v>
      </c>
      <c r="E74" s="188">
        <v>45.2</v>
      </c>
      <c r="H74" s="188">
        <f t="shared" si="4"/>
        <v>0.67800000000000005</v>
      </c>
      <c r="I74" s="188"/>
      <c r="J74" s="188">
        <f t="shared" si="5"/>
        <v>0.79100000000000015</v>
      </c>
      <c r="K74" s="188">
        <f t="shared" si="0"/>
        <v>0.1130000000000001</v>
      </c>
      <c r="L74" s="188">
        <f t="shared" si="1"/>
        <v>45.313000000000002</v>
      </c>
      <c r="M74" s="188">
        <f t="shared" si="2"/>
        <v>0</v>
      </c>
      <c r="N74" s="188">
        <f t="shared" si="3"/>
        <v>0</v>
      </c>
    </row>
    <row r="75" spans="2:14">
      <c r="B75" s="189" t="s">
        <v>277</v>
      </c>
      <c r="C75" s="189">
        <v>260</v>
      </c>
      <c r="E75" s="188">
        <v>44.68</v>
      </c>
      <c r="H75" s="188">
        <f t="shared" si="4"/>
        <v>0.67020000000000002</v>
      </c>
      <c r="I75" s="188"/>
      <c r="J75" s="188">
        <f t="shared" si="5"/>
        <v>0.78190000000000004</v>
      </c>
      <c r="K75" s="188">
        <f t="shared" si="0"/>
        <v>0.11170000000000002</v>
      </c>
      <c r="L75" s="188">
        <f t="shared" si="1"/>
        <v>44.791699999999999</v>
      </c>
      <c r="M75" s="188">
        <f t="shared" si="2"/>
        <v>0</v>
      </c>
      <c r="N75" s="188">
        <f t="shared" si="3"/>
        <v>0</v>
      </c>
    </row>
    <row r="76" spans="2:14">
      <c r="B76" s="189" t="s">
        <v>278</v>
      </c>
      <c r="C76" s="189">
        <v>260</v>
      </c>
      <c r="E76" s="188">
        <v>66.400000000000006</v>
      </c>
      <c r="H76" s="188">
        <f t="shared" si="4"/>
        <v>0.996</v>
      </c>
      <c r="I76" s="188"/>
      <c r="J76" s="188">
        <f t="shared" si="5"/>
        <v>1.1620000000000001</v>
      </c>
      <c r="K76" s="188">
        <f t="shared" si="0"/>
        <v>0.16600000000000015</v>
      </c>
      <c r="L76" s="188">
        <f t="shared" si="1"/>
        <v>66.566000000000003</v>
      </c>
      <c r="M76" s="188">
        <f t="shared" si="2"/>
        <v>0</v>
      </c>
      <c r="N76" s="188">
        <f t="shared" si="3"/>
        <v>0</v>
      </c>
    </row>
    <row r="77" spans="2:14">
      <c r="B77" s="189" t="s">
        <v>279</v>
      </c>
      <c r="C77" s="189">
        <v>260</v>
      </c>
      <c r="E77" s="188">
        <v>107.36</v>
      </c>
      <c r="H77" s="188">
        <f t="shared" si="4"/>
        <v>1.6103999999999998</v>
      </c>
      <c r="I77" s="188"/>
      <c r="J77" s="188">
        <f t="shared" si="5"/>
        <v>1.8788000000000002</v>
      </c>
      <c r="K77" s="188">
        <f t="shared" si="0"/>
        <v>0.26840000000000042</v>
      </c>
      <c r="L77" s="188">
        <f t="shared" si="1"/>
        <v>107.6284</v>
      </c>
      <c r="M77" s="188">
        <f t="shared" si="2"/>
        <v>0</v>
      </c>
      <c r="N77" s="188">
        <f t="shared" si="3"/>
        <v>0</v>
      </c>
    </row>
    <row r="78" spans="2:14">
      <c r="B78" s="189" t="s">
        <v>280</v>
      </c>
      <c r="C78" s="189">
        <v>260</v>
      </c>
      <c r="E78" s="188">
        <v>107.36</v>
      </c>
      <c r="H78" s="188">
        <f t="shared" si="4"/>
        <v>1.6103999999999998</v>
      </c>
      <c r="I78" s="188"/>
      <c r="J78" s="188">
        <f t="shared" si="5"/>
        <v>1.8788000000000002</v>
      </c>
      <c r="K78" s="188">
        <f t="shared" si="0"/>
        <v>0.26840000000000042</v>
      </c>
      <c r="L78" s="188">
        <f t="shared" si="1"/>
        <v>107.6284</v>
      </c>
      <c r="M78" s="188">
        <f t="shared" si="2"/>
        <v>0</v>
      </c>
      <c r="N78" s="188">
        <f t="shared" si="3"/>
        <v>0</v>
      </c>
    </row>
    <row r="79" spans="2:14">
      <c r="B79" s="189" t="s">
        <v>281</v>
      </c>
      <c r="C79" s="189">
        <v>260</v>
      </c>
      <c r="E79" s="188">
        <v>107.36</v>
      </c>
      <c r="H79" s="188">
        <f t="shared" si="4"/>
        <v>1.6103999999999998</v>
      </c>
      <c r="I79" s="188"/>
      <c r="J79" s="188">
        <f t="shared" si="5"/>
        <v>1.8788000000000002</v>
      </c>
      <c r="K79" s="188">
        <f t="shared" si="0"/>
        <v>0.26840000000000042</v>
      </c>
      <c r="L79" s="188">
        <f t="shared" si="1"/>
        <v>107.6284</v>
      </c>
      <c r="M79" s="188">
        <f t="shared" si="2"/>
        <v>0</v>
      </c>
      <c r="N79" s="188">
        <f t="shared" si="3"/>
        <v>0</v>
      </c>
    </row>
    <row r="80" spans="2:14">
      <c r="B80" s="189" t="s">
        <v>282</v>
      </c>
      <c r="C80" s="189">
        <v>260</v>
      </c>
      <c r="E80" s="188">
        <v>45.2</v>
      </c>
      <c r="H80" s="188">
        <f t="shared" si="4"/>
        <v>0.67800000000000005</v>
      </c>
      <c r="I80" s="188"/>
      <c r="J80" s="188">
        <f t="shared" si="5"/>
        <v>0.79100000000000015</v>
      </c>
      <c r="K80" s="188">
        <f t="shared" si="0"/>
        <v>0.1130000000000001</v>
      </c>
      <c r="L80" s="188">
        <f t="shared" si="1"/>
        <v>45.313000000000002</v>
      </c>
      <c r="M80" s="188">
        <f t="shared" si="2"/>
        <v>0</v>
      </c>
      <c r="N80" s="188">
        <f t="shared" si="3"/>
        <v>0</v>
      </c>
    </row>
    <row r="81" spans="2:14">
      <c r="B81" s="189" t="s">
        <v>277</v>
      </c>
      <c r="C81" s="189">
        <v>260</v>
      </c>
      <c r="E81" s="188">
        <v>71.34</v>
      </c>
      <c r="H81" s="188">
        <f t="shared" si="4"/>
        <v>1.0701000000000001</v>
      </c>
      <c r="I81" s="188"/>
      <c r="J81" s="188">
        <f t="shared" si="5"/>
        <v>1.2484500000000003</v>
      </c>
      <c r="K81" s="188">
        <f t="shared" si="0"/>
        <v>0.17835000000000023</v>
      </c>
      <c r="L81" s="188">
        <f t="shared" si="1"/>
        <v>71.518349999999998</v>
      </c>
      <c r="M81" s="188">
        <f t="shared" si="2"/>
        <v>0</v>
      </c>
      <c r="N81" s="188">
        <f t="shared" si="3"/>
        <v>0</v>
      </c>
    </row>
    <row r="82" spans="2:14">
      <c r="B82" s="189" t="s">
        <v>283</v>
      </c>
      <c r="C82" s="189">
        <v>260</v>
      </c>
      <c r="E82" s="188">
        <v>72.94</v>
      </c>
      <c r="H82" s="188">
        <f t="shared" si="4"/>
        <v>1.0940999999999999</v>
      </c>
      <c r="I82" s="188"/>
      <c r="J82" s="188">
        <f t="shared" si="5"/>
        <v>1.2764500000000001</v>
      </c>
      <c r="K82" s="188">
        <f t="shared" ref="K82:K115" si="6">+J82-H82</f>
        <v>0.18235000000000023</v>
      </c>
      <c r="L82" s="188">
        <f t="shared" ref="L82:L115" si="7">+E82+K82</f>
        <v>73.122349999999997</v>
      </c>
      <c r="M82" s="188">
        <f t="shared" ref="M82:M115" si="8">+E82*F82</f>
        <v>0</v>
      </c>
      <c r="N82" s="188">
        <f t="shared" ref="N82:N115" si="9">+L82*F82</f>
        <v>0</v>
      </c>
    </row>
    <row r="83" spans="2:14">
      <c r="B83" s="189" t="s">
        <v>284</v>
      </c>
      <c r="C83" s="189">
        <v>260</v>
      </c>
      <c r="E83" s="188">
        <v>119.03</v>
      </c>
      <c r="H83" s="188">
        <f t="shared" si="4"/>
        <v>1.78545</v>
      </c>
      <c r="I83" s="188"/>
      <c r="J83" s="188">
        <f t="shared" si="5"/>
        <v>2.0830250000000001</v>
      </c>
      <c r="K83" s="188">
        <f t="shared" si="6"/>
        <v>0.29757500000000014</v>
      </c>
      <c r="L83" s="188">
        <f t="shared" si="7"/>
        <v>119.327575</v>
      </c>
      <c r="M83" s="188">
        <f t="shared" si="8"/>
        <v>0</v>
      </c>
      <c r="N83" s="188">
        <f t="shared" si="9"/>
        <v>0</v>
      </c>
    </row>
    <row r="84" spans="2:14">
      <c r="B84" s="189" t="s">
        <v>285</v>
      </c>
      <c r="C84" s="189">
        <v>260</v>
      </c>
      <c r="E84" s="188">
        <v>119.03</v>
      </c>
      <c r="H84" s="188">
        <f t="shared" ref="H84:H115" si="10">+$H$7*E84</f>
        <v>1.78545</v>
      </c>
      <c r="I84" s="188"/>
      <c r="J84" s="188">
        <f t="shared" ref="J84:J115" si="11">+$J$7*E84</f>
        <v>2.0830250000000001</v>
      </c>
      <c r="K84" s="188">
        <f t="shared" si="6"/>
        <v>0.29757500000000014</v>
      </c>
      <c r="L84" s="188">
        <f t="shared" si="7"/>
        <v>119.327575</v>
      </c>
      <c r="M84" s="188">
        <f t="shared" si="8"/>
        <v>0</v>
      </c>
      <c r="N84" s="188">
        <f t="shared" si="9"/>
        <v>0</v>
      </c>
    </row>
    <row r="85" spans="2:14">
      <c r="B85" s="189" t="s">
        <v>286</v>
      </c>
      <c r="C85" s="189">
        <v>260</v>
      </c>
      <c r="E85" s="188">
        <v>119.03</v>
      </c>
      <c r="H85" s="188">
        <f t="shared" si="10"/>
        <v>1.78545</v>
      </c>
      <c r="I85" s="188"/>
      <c r="J85" s="188">
        <f t="shared" si="11"/>
        <v>2.0830250000000001</v>
      </c>
      <c r="K85" s="188">
        <f t="shared" si="6"/>
        <v>0.29757500000000014</v>
      </c>
      <c r="L85" s="188">
        <f t="shared" si="7"/>
        <v>119.327575</v>
      </c>
      <c r="M85" s="188">
        <f t="shared" si="8"/>
        <v>0</v>
      </c>
      <c r="N85" s="188">
        <f t="shared" si="9"/>
        <v>0</v>
      </c>
    </row>
    <row r="86" spans="2:14">
      <c r="B86" s="189" t="s">
        <v>287</v>
      </c>
      <c r="C86" s="189">
        <v>260</v>
      </c>
      <c r="E86" s="188">
        <v>45.2</v>
      </c>
      <c r="H86" s="188">
        <f t="shared" si="10"/>
        <v>0.67800000000000005</v>
      </c>
      <c r="I86" s="188"/>
      <c r="J86" s="188">
        <f t="shared" si="11"/>
        <v>0.79100000000000015</v>
      </c>
      <c r="K86" s="188">
        <f t="shared" si="6"/>
        <v>0.1130000000000001</v>
      </c>
      <c r="L86" s="188">
        <f t="shared" si="7"/>
        <v>45.313000000000002</v>
      </c>
      <c r="M86" s="188">
        <f t="shared" si="8"/>
        <v>0</v>
      </c>
      <c r="N86" s="188">
        <f t="shared" si="9"/>
        <v>0</v>
      </c>
    </row>
    <row r="87" spans="2:14">
      <c r="B87" s="189" t="s">
        <v>288</v>
      </c>
      <c r="C87" s="189">
        <v>260</v>
      </c>
      <c r="E87" s="188">
        <v>83.97</v>
      </c>
      <c r="H87" s="188">
        <f t="shared" si="10"/>
        <v>1.2595499999999999</v>
      </c>
      <c r="I87" s="188"/>
      <c r="J87" s="188">
        <f t="shared" si="11"/>
        <v>1.4694750000000001</v>
      </c>
      <c r="K87" s="188">
        <f t="shared" si="6"/>
        <v>0.20992500000000014</v>
      </c>
      <c r="L87" s="188">
        <f t="shared" si="7"/>
        <v>84.179924999999997</v>
      </c>
      <c r="M87" s="188">
        <f t="shared" si="8"/>
        <v>0</v>
      </c>
      <c r="N87" s="188">
        <f t="shared" si="9"/>
        <v>0</v>
      </c>
    </row>
    <row r="88" spans="2:14">
      <c r="B88" s="189" t="s">
        <v>289</v>
      </c>
      <c r="C88" s="189">
        <v>260</v>
      </c>
      <c r="E88" s="188">
        <v>114.48</v>
      </c>
      <c r="H88" s="188">
        <f t="shared" si="10"/>
        <v>1.7172000000000001</v>
      </c>
      <c r="I88" s="188"/>
      <c r="J88" s="188">
        <f t="shared" si="11"/>
        <v>2.0034000000000001</v>
      </c>
      <c r="K88" s="188">
        <f t="shared" si="6"/>
        <v>0.28620000000000001</v>
      </c>
      <c r="L88" s="188">
        <f t="shared" si="7"/>
        <v>114.7662</v>
      </c>
      <c r="M88" s="188">
        <f t="shared" si="8"/>
        <v>0</v>
      </c>
      <c r="N88" s="188">
        <f t="shared" si="9"/>
        <v>0</v>
      </c>
    </row>
    <row r="89" spans="2:14">
      <c r="B89" s="189" t="s">
        <v>290</v>
      </c>
      <c r="C89" s="189">
        <v>260</v>
      </c>
      <c r="E89" s="188">
        <v>147.04</v>
      </c>
      <c r="H89" s="188">
        <f t="shared" si="10"/>
        <v>2.2056</v>
      </c>
      <c r="I89" s="188"/>
      <c r="J89" s="188">
        <f t="shared" si="11"/>
        <v>2.5731999999999999</v>
      </c>
      <c r="K89" s="188">
        <f t="shared" si="6"/>
        <v>0.36759999999999993</v>
      </c>
      <c r="L89" s="188">
        <f t="shared" si="7"/>
        <v>147.4076</v>
      </c>
      <c r="M89" s="188">
        <f t="shared" si="8"/>
        <v>0</v>
      </c>
      <c r="N89" s="188">
        <f t="shared" si="9"/>
        <v>0</v>
      </c>
    </row>
    <row r="90" spans="2:14">
      <c r="B90" s="189" t="s">
        <v>291</v>
      </c>
      <c r="C90" s="189">
        <v>260</v>
      </c>
      <c r="E90" s="188">
        <v>147.04</v>
      </c>
      <c r="H90" s="188">
        <f t="shared" si="10"/>
        <v>2.2056</v>
      </c>
      <c r="I90" s="188"/>
      <c r="J90" s="188">
        <f t="shared" si="11"/>
        <v>2.5731999999999999</v>
      </c>
      <c r="K90" s="188">
        <f t="shared" si="6"/>
        <v>0.36759999999999993</v>
      </c>
      <c r="L90" s="188">
        <f t="shared" si="7"/>
        <v>147.4076</v>
      </c>
      <c r="M90" s="188">
        <f t="shared" si="8"/>
        <v>0</v>
      </c>
      <c r="N90" s="188">
        <f t="shared" si="9"/>
        <v>0</v>
      </c>
    </row>
    <row r="91" spans="2:14">
      <c r="B91" s="189" t="s">
        <v>292</v>
      </c>
      <c r="C91" s="189">
        <v>260</v>
      </c>
      <c r="E91" s="188">
        <v>147.04</v>
      </c>
      <c r="H91" s="188">
        <f t="shared" si="10"/>
        <v>2.2056</v>
      </c>
      <c r="I91" s="188"/>
      <c r="J91" s="188">
        <f t="shared" si="11"/>
        <v>2.5731999999999999</v>
      </c>
      <c r="K91" s="188">
        <f t="shared" si="6"/>
        <v>0.36759999999999993</v>
      </c>
      <c r="L91" s="188">
        <f t="shared" si="7"/>
        <v>147.4076</v>
      </c>
      <c r="M91" s="188">
        <f t="shared" si="8"/>
        <v>0</v>
      </c>
      <c r="N91" s="188">
        <f t="shared" si="9"/>
        <v>0</v>
      </c>
    </row>
    <row r="92" spans="2:14">
      <c r="B92" s="189" t="s">
        <v>293</v>
      </c>
      <c r="C92" s="189">
        <v>260</v>
      </c>
      <c r="E92" s="188">
        <v>45.2</v>
      </c>
      <c r="H92" s="188">
        <f t="shared" si="10"/>
        <v>0.67800000000000005</v>
      </c>
      <c r="I92" s="188"/>
      <c r="J92" s="188">
        <f t="shared" si="11"/>
        <v>0.79100000000000015</v>
      </c>
      <c r="K92" s="188">
        <f t="shared" si="6"/>
        <v>0.1130000000000001</v>
      </c>
      <c r="L92" s="188">
        <f t="shared" si="7"/>
        <v>45.313000000000002</v>
      </c>
      <c r="M92" s="188">
        <f t="shared" si="8"/>
        <v>0</v>
      </c>
      <c r="N92" s="188">
        <f t="shared" si="9"/>
        <v>0</v>
      </c>
    </row>
    <row r="93" spans="2:14">
      <c r="B93" s="189" t="s">
        <v>294</v>
      </c>
      <c r="C93" s="189">
        <v>260</v>
      </c>
      <c r="E93" s="188">
        <v>122.18</v>
      </c>
      <c r="H93" s="188">
        <f t="shared" si="10"/>
        <v>1.8327</v>
      </c>
      <c r="I93" s="188"/>
      <c r="J93" s="188">
        <f t="shared" si="11"/>
        <v>2.1381500000000004</v>
      </c>
      <c r="K93" s="188">
        <f t="shared" si="6"/>
        <v>0.30545000000000044</v>
      </c>
      <c r="L93" s="188">
        <f t="shared" si="7"/>
        <v>122.48545000000001</v>
      </c>
      <c r="M93" s="188">
        <f t="shared" si="8"/>
        <v>0</v>
      </c>
      <c r="N93" s="188">
        <f t="shared" si="9"/>
        <v>0</v>
      </c>
    </row>
    <row r="94" spans="2:14">
      <c r="B94" s="189" t="s">
        <v>295</v>
      </c>
      <c r="C94" s="189">
        <v>260</v>
      </c>
      <c r="E94" s="188">
        <v>121.36</v>
      </c>
      <c r="H94" s="188">
        <f t="shared" si="10"/>
        <v>1.8204</v>
      </c>
      <c r="I94" s="188"/>
      <c r="J94" s="188">
        <f t="shared" si="11"/>
        <v>2.1238000000000001</v>
      </c>
      <c r="K94" s="188">
        <f t="shared" si="6"/>
        <v>0.30340000000000011</v>
      </c>
      <c r="L94" s="188">
        <f t="shared" si="7"/>
        <v>121.6634</v>
      </c>
      <c r="M94" s="188">
        <f t="shared" si="8"/>
        <v>0</v>
      </c>
      <c r="N94" s="188">
        <f t="shared" si="9"/>
        <v>0</v>
      </c>
    </row>
    <row r="95" spans="2:14">
      <c r="B95" s="189" t="s">
        <v>296</v>
      </c>
      <c r="C95" s="189">
        <v>260</v>
      </c>
      <c r="E95" s="188">
        <v>148.19</v>
      </c>
      <c r="H95" s="188">
        <f t="shared" si="10"/>
        <v>2.2228499999999998</v>
      </c>
      <c r="I95" s="188"/>
      <c r="J95" s="188">
        <f t="shared" si="11"/>
        <v>2.5933250000000001</v>
      </c>
      <c r="K95" s="188">
        <f t="shared" si="6"/>
        <v>0.37047500000000033</v>
      </c>
      <c r="L95" s="188">
        <f t="shared" si="7"/>
        <v>148.560475</v>
      </c>
      <c r="M95" s="188">
        <f t="shared" si="8"/>
        <v>0</v>
      </c>
      <c r="N95" s="188">
        <f t="shared" si="9"/>
        <v>0</v>
      </c>
    </row>
    <row r="96" spans="2:14">
      <c r="B96" s="189" t="s">
        <v>297</v>
      </c>
      <c r="C96" s="189">
        <v>260</v>
      </c>
      <c r="E96" s="188">
        <v>148.19</v>
      </c>
      <c r="H96" s="188">
        <f t="shared" si="10"/>
        <v>2.2228499999999998</v>
      </c>
      <c r="I96" s="188"/>
      <c r="J96" s="188">
        <f t="shared" si="11"/>
        <v>2.5933250000000001</v>
      </c>
      <c r="K96" s="188">
        <f t="shared" si="6"/>
        <v>0.37047500000000033</v>
      </c>
      <c r="L96" s="188">
        <f t="shared" si="7"/>
        <v>148.560475</v>
      </c>
      <c r="M96" s="188">
        <f t="shared" si="8"/>
        <v>0</v>
      </c>
      <c r="N96" s="188">
        <f t="shared" si="9"/>
        <v>0</v>
      </c>
    </row>
    <row r="97" spans="2:14">
      <c r="B97" s="189" t="s">
        <v>298</v>
      </c>
      <c r="C97" s="189">
        <v>260</v>
      </c>
      <c r="E97" s="188">
        <v>148.19</v>
      </c>
      <c r="H97" s="188">
        <f t="shared" si="10"/>
        <v>2.2228499999999998</v>
      </c>
      <c r="I97" s="188"/>
      <c r="J97" s="188">
        <f t="shared" si="11"/>
        <v>2.5933250000000001</v>
      </c>
      <c r="K97" s="188">
        <f t="shared" si="6"/>
        <v>0.37047500000000033</v>
      </c>
      <c r="L97" s="188">
        <f t="shared" si="7"/>
        <v>148.560475</v>
      </c>
      <c r="M97" s="188">
        <f t="shared" si="8"/>
        <v>0</v>
      </c>
      <c r="N97" s="188">
        <f t="shared" si="9"/>
        <v>0</v>
      </c>
    </row>
    <row r="98" spans="2:14">
      <c r="B98" s="189" t="s">
        <v>299</v>
      </c>
      <c r="C98" s="189">
        <v>260</v>
      </c>
      <c r="E98" s="188">
        <v>45.2</v>
      </c>
      <c r="H98" s="188">
        <f t="shared" si="10"/>
        <v>0.67800000000000005</v>
      </c>
      <c r="I98" s="188"/>
      <c r="J98" s="188">
        <f t="shared" si="11"/>
        <v>0.79100000000000015</v>
      </c>
      <c r="K98" s="188">
        <f t="shared" si="6"/>
        <v>0.1130000000000001</v>
      </c>
      <c r="L98" s="188">
        <f t="shared" si="7"/>
        <v>45.313000000000002</v>
      </c>
      <c r="M98" s="188">
        <f t="shared" si="8"/>
        <v>0</v>
      </c>
      <c r="N98" s="188">
        <f t="shared" si="9"/>
        <v>0</v>
      </c>
    </row>
    <row r="99" spans="2:14">
      <c r="B99" s="189" t="s">
        <v>300</v>
      </c>
      <c r="C99" s="189">
        <v>260</v>
      </c>
      <c r="E99" s="188">
        <v>128.88999999999999</v>
      </c>
      <c r="H99" s="188">
        <f t="shared" si="10"/>
        <v>1.9333499999999997</v>
      </c>
      <c r="I99" s="188"/>
      <c r="J99" s="188">
        <f t="shared" si="11"/>
        <v>2.2555749999999999</v>
      </c>
      <c r="K99" s="188">
        <f t="shared" si="6"/>
        <v>0.32222500000000021</v>
      </c>
      <c r="L99" s="188">
        <f t="shared" si="7"/>
        <v>129.21222499999999</v>
      </c>
      <c r="M99" s="188">
        <f t="shared" si="8"/>
        <v>0</v>
      </c>
      <c r="N99" s="188">
        <f t="shared" si="9"/>
        <v>0</v>
      </c>
    </row>
    <row r="100" spans="2:14">
      <c r="B100" s="189" t="s">
        <v>301</v>
      </c>
      <c r="C100" s="189">
        <v>260</v>
      </c>
      <c r="E100" s="188">
        <v>2.3199999999999998</v>
      </c>
      <c r="H100" s="188">
        <f t="shared" si="10"/>
        <v>3.4799999999999998E-2</v>
      </c>
      <c r="I100" s="188"/>
      <c r="J100" s="188">
        <f t="shared" si="11"/>
        <v>4.0600000000000004E-2</v>
      </c>
      <c r="K100" s="188">
        <f t="shared" si="6"/>
        <v>5.8000000000000065E-3</v>
      </c>
      <c r="L100" s="188">
        <f t="shared" si="7"/>
        <v>2.3257999999999996</v>
      </c>
      <c r="M100" s="188">
        <f t="shared" si="8"/>
        <v>0</v>
      </c>
      <c r="N100" s="188">
        <f t="shared" si="9"/>
        <v>0</v>
      </c>
    </row>
    <row r="101" spans="2:14">
      <c r="B101" s="189" t="s">
        <v>302</v>
      </c>
      <c r="C101" s="189">
        <v>260</v>
      </c>
      <c r="E101" s="188">
        <v>1.8</v>
      </c>
      <c r="H101" s="188">
        <f t="shared" si="10"/>
        <v>2.7E-2</v>
      </c>
      <c r="I101" s="188"/>
      <c r="J101" s="188">
        <f t="shared" si="11"/>
        <v>3.1500000000000007E-2</v>
      </c>
      <c r="K101" s="188">
        <f t="shared" si="6"/>
        <v>4.5000000000000075E-3</v>
      </c>
      <c r="L101" s="188">
        <f t="shared" si="7"/>
        <v>1.8045</v>
      </c>
      <c r="M101" s="188">
        <f t="shared" si="8"/>
        <v>0</v>
      </c>
      <c r="N101" s="188">
        <f t="shared" si="9"/>
        <v>0</v>
      </c>
    </row>
    <row r="102" spans="2:14">
      <c r="B102" s="189" t="s">
        <v>303</v>
      </c>
      <c r="C102" s="189">
        <v>270</v>
      </c>
      <c r="E102" s="188">
        <v>79.92</v>
      </c>
      <c r="H102" s="188">
        <f t="shared" si="10"/>
        <v>1.1988000000000001</v>
      </c>
      <c r="I102" s="188"/>
      <c r="J102" s="188">
        <f t="shared" si="11"/>
        <v>1.3986000000000001</v>
      </c>
      <c r="K102" s="188">
        <f t="shared" si="6"/>
        <v>0.19979999999999998</v>
      </c>
      <c r="L102" s="188">
        <f t="shared" si="7"/>
        <v>80.119799999999998</v>
      </c>
      <c r="M102" s="188">
        <f t="shared" si="8"/>
        <v>0</v>
      </c>
      <c r="N102" s="188">
        <f t="shared" si="9"/>
        <v>0</v>
      </c>
    </row>
    <row r="103" spans="2:14">
      <c r="B103" s="189" t="s">
        <v>304</v>
      </c>
      <c r="C103" s="189">
        <v>270</v>
      </c>
      <c r="E103" s="188">
        <v>69.02</v>
      </c>
      <c r="H103" s="188">
        <f t="shared" si="10"/>
        <v>1.0352999999999999</v>
      </c>
      <c r="I103" s="188"/>
      <c r="J103" s="188">
        <f t="shared" si="11"/>
        <v>1.2078500000000001</v>
      </c>
      <c r="K103" s="188">
        <f t="shared" si="6"/>
        <v>0.1725500000000002</v>
      </c>
      <c r="L103" s="188">
        <f t="shared" si="7"/>
        <v>69.192549999999997</v>
      </c>
      <c r="M103" s="188">
        <f t="shared" si="8"/>
        <v>0</v>
      </c>
      <c r="N103" s="188">
        <f t="shared" si="9"/>
        <v>0</v>
      </c>
    </row>
    <row r="104" spans="2:14">
      <c r="B104" s="189" t="s">
        <v>305</v>
      </c>
      <c r="C104" s="189">
        <v>270</v>
      </c>
      <c r="E104" s="188">
        <v>153.52000000000001</v>
      </c>
      <c r="H104" s="188">
        <f t="shared" si="10"/>
        <v>2.3028</v>
      </c>
      <c r="I104" s="188"/>
      <c r="J104" s="188">
        <f t="shared" si="11"/>
        <v>2.6866000000000003</v>
      </c>
      <c r="K104" s="188">
        <f t="shared" si="6"/>
        <v>0.38380000000000036</v>
      </c>
      <c r="L104" s="188">
        <f t="shared" si="7"/>
        <v>153.90380000000002</v>
      </c>
      <c r="M104" s="188">
        <f t="shared" si="8"/>
        <v>0</v>
      </c>
      <c r="N104" s="188">
        <f t="shared" si="9"/>
        <v>0</v>
      </c>
    </row>
    <row r="105" spans="2:14">
      <c r="B105" s="189" t="s">
        <v>306</v>
      </c>
      <c r="C105" s="189">
        <v>270</v>
      </c>
      <c r="E105" s="188">
        <v>121.36</v>
      </c>
      <c r="H105" s="188">
        <f t="shared" si="10"/>
        <v>1.8204</v>
      </c>
      <c r="I105" s="188"/>
      <c r="J105" s="188">
        <f t="shared" si="11"/>
        <v>2.1238000000000001</v>
      </c>
      <c r="K105" s="188">
        <f t="shared" si="6"/>
        <v>0.30340000000000011</v>
      </c>
      <c r="L105" s="188">
        <f t="shared" si="7"/>
        <v>121.6634</v>
      </c>
      <c r="M105" s="188">
        <f t="shared" si="8"/>
        <v>0</v>
      </c>
      <c r="N105" s="188">
        <f t="shared" si="9"/>
        <v>0</v>
      </c>
    </row>
    <row r="106" spans="2:14">
      <c r="B106" s="189" t="s">
        <v>307</v>
      </c>
      <c r="C106" s="189">
        <v>270</v>
      </c>
      <c r="E106" s="188">
        <v>166.21</v>
      </c>
      <c r="H106" s="188">
        <f t="shared" si="10"/>
        <v>2.49315</v>
      </c>
      <c r="I106" s="188"/>
      <c r="J106" s="188">
        <f t="shared" si="11"/>
        <v>2.9086750000000006</v>
      </c>
      <c r="K106" s="188">
        <f t="shared" si="6"/>
        <v>0.41552500000000059</v>
      </c>
      <c r="L106" s="188">
        <f t="shared" si="7"/>
        <v>166.62552500000001</v>
      </c>
      <c r="M106" s="188">
        <f t="shared" si="8"/>
        <v>0</v>
      </c>
      <c r="N106" s="188">
        <f t="shared" si="9"/>
        <v>0</v>
      </c>
    </row>
    <row r="107" spans="2:14">
      <c r="B107" s="189" t="s">
        <v>308</v>
      </c>
      <c r="C107" s="189">
        <v>270</v>
      </c>
      <c r="E107" s="188">
        <v>126.95</v>
      </c>
      <c r="H107" s="188">
        <f t="shared" si="10"/>
        <v>1.90425</v>
      </c>
      <c r="I107" s="188"/>
      <c r="J107" s="188">
        <f t="shared" si="11"/>
        <v>2.2216250000000004</v>
      </c>
      <c r="K107" s="188">
        <f t="shared" si="6"/>
        <v>0.31737500000000041</v>
      </c>
      <c r="L107" s="188">
        <f t="shared" si="7"/>
        <v>127.267375</v>
      </c>
      <c r="M107" s="188">
        <f t="shared" si="8"/>
        <v>0</v>
      </c>
      <c r="N107" s="188">
        <f t="shared" si="9"/>
        <v>0</v>
      </c>
    </row>
    <row r="108" spans="2:14">
      <c r="B108" s="189" t="s">
        <v>309</v>
      </c>
      <c r="C108" s="189">
        <v>270</v>
      </c>
      <c r="E108" s="188">
        <v>173.58</v>
      </c>
      <c r="H108" s="188">
        <f t="shared" si="10"/>
        <v>2.6036999999999999</v>
      </c>
      <c r="I108" s="188"/>
      <c r="J108" s="188">
        <f t="shared" si="11"/>
        <v>3.0376500000000006</v>
      </c>
      <c r="K108" s="188">
        <f t="shared" si="6"/>
        <v>0.43395000000000072</v>
      </c>
      <c r="L108" s="188">
        <f t="shared" si="7"/>
        <v>174.01395000000002</v>
      </c>
      <c r="M108" s="188">
        <f t="shared" si="8"/>
        <v>0</v>
      </c>
      <c r="N108" s="188">
        <f t="shared" si="9"/>
        <v>0</v>
      </c>
    </row>
    <row r="109" spans="2:14">
      <c r="B109" s="189" t="s">
        <v>310</v>
      </c>
      <c r="C109" s="189">
        <v>270</v>
      </c>
      <c r="E109" s="188">
        <v>136.47999999999999</v>
      </c>
      <c r="H109" s="188">
        <f t="shared" si="10"/>
        <v>2.0471999999999997</v>
      </c>
      <c r="I109" s="188"/>
      <c r="J109" s="188">
        <f t="shared" si="11"/>
        <v>2.3883999999999999</v>
      </c>
      <c r="K109" s="188">
        <f t="shared" si="6"/>
        <v>0.34120000000000017</v>
      </c>
      <c r="L109" s="188">
        <f t="shared" si="7"/>
        <v>136.82119999999998</v>
      </c>
      <c r="M109" s="188">
        <f t="shared" si="8"/>
        <v>0</v>
      </c>
      <c r="N109" s="188">
        <f t="shared" si="9"/>
        <v>0</v>
      </c>
    </row>
    <row r="110" spans="2:14">
      <c r="B110" s="189" t="s">
        <v>311</v>
      </c>
      <c r="C110" s="189">
        <v>270</v>
      </c>
      <c r="E110" s="188">
        <v>183.08</v>
      </c>
      <c r="H110" s="188">
        <f t="shared" si="10"/>
        <v>2.7462</v>
      </c>
      <c r="I110" s="188"/>
      <c r="J110" s="188">
        <f t="shared" si="11"/>
        <v>3.2039000000000004</v>
      </c>
      <c r="K110" s="188">
        <f t="shared" si="6"/>
        <v>0.45770000000000044</v>
      </c>
      <c r="L110" s="188">
        <f t="shared" si="7"/>
        <v>183.5377</v>
      </c>
      <c r="M110" s="188">
        <f t="shared" si="8"/>
        <v>0</v>
      </c>
      <c r="N110" s="188">
        <f t="shared" si="9"/>
        <v>0</v>
      </c>
    </row>
    <row r="111" spans="2:14">
      <c r="B111" s="189" t="s">
        <v>312</v>
      </c>
      <c r="C111" s="189">
        <v>270</v>
      </c>
      <c r="E111" s="188">
        <v>144.08000000000001</v>
      </c>
      <c r="H111" s="188">
        <f t="shared" si="10"/>
        <v>2.1612</v>
      </c>
      <c r="I111" s="188"/>
      <c r="J111" s="188">
        <f t="shared" si="11"/>
        <v>2.5214000000000003</v>
      </c>
      <c r="K111" s="188">
        <f t="shared" si="6"/>
        <v>0.3602000000000003</v>
      </c>
      <c r="L111" s="188">
        <f t="shared" si="7"/>
        <v>144.4402</v>
      </c>
      <c r="M111" s="188">
        <f t="shared" si="8"/>
        <v>0</v>
      </c>
      <c r="N111" s="188">
        <f t="shared" si="9"/>
        <v>0</v>
      </c>
    </row>
    <row r="112" spans="2:14">
      <c r="B112" s="189" t="s">
        <v>313</v>
      </c>
      <c r="C112" s="189">
        <v>270</v>
      </c>
      <c r="E112" s="188">
        <v>236.28</v>
      </c>
      <c r="H112" s="188">
        <f t="shared" si="10"/>
        <v>3.5442</v>
      </c>
      <c r="I112" s="188"/>
      <c r="J112" s="188">
        <f t="shared" si="11"/>
        <v>4.1349</v>
      </c>
      <c r="K112" s="188">
        <f t="shared" si="6"/>
        <v>0.5907</v>
      </c>
      <c r="L112" s="188">
        <f t="shared" si="7"/>
        <v>236.8707</v>
      </c>
      <c r="M112" s="188">
        <f t="shared" si="8"/>
        <v>0</v>
      </c>
      <c r="N112" s="188">
        <f t="shared" si="9"/>
        <v>0</v>
      </c>
    </row>
    <row r="113" spans="2:14">
      <c r="B113" s="189" t="s">
        <v>314</v>
      </c>
      <c r="C113" s="189">
        <v>270</v>
      </c>
      <c r="E113" s="188">
        <v>166.79</v>
      </c>
      <c r="H113" s="188">
        <f t="shared" si="10"/>
        <v>2.5018499999999997</v>
      </c>
      <c r="I113" s="188"/>
      <c r="J113" s="188">
        <f t="shared" si="11"/>
        <v>2.918825</v>
      </c>
      <c r="K113" s="188">
        <f t="shared" si="6"/>
        <v>0.41697500000000032</v>
      </c>
      <c r="L113" s="188">
        <f t="shared" si="7"/>
        <v>167.206975</v>
      </c>
      <c r="M113" s="188">
        <f t="shared" si="8"/>
        <v>0</v>
      </c>
      <c r="N113" s="188">
        <f t="shared" si="9"/>
        <v>0</v>
      </c>
    </row>
    <row r="114" spans="2:14">
      <c r="B114" s="189" t="s">
        <v>315</v>
      </c>
      <c r="C114" s="189">
        <v>270</v>
      </c>
      <c r="E114" s="188">
        <v>2.3199999999999998</v>
      </c>
      <c r="H114" s="188">
        <f t="shared" si="10"/>
        <v>3.4799999999999998E-2</v>
      </c>
      <c r="I114" s="188"/>
      <c r="J114" s="188">
        <f t="shared" si="11"/>
        <v>4.0600000000000004E-2</v>
      </c>
      <c r="K114" s="188">
        <f t="shared" si="6"/>
        <v>5.8000000000000065E-3</v>
      </c>
      <c r="L114" s="188">
        <f t="shared" si="7"/>
        <v>2.3257999999999996</v>
      </c>
      <c r="M114" s="188">
        <f t="shared" si="8"/>
        <v>0</v>
      </c>
      <c r="N114" s="188">
        <f t="shared" si="9"/>
        <v>0</v>
      </c>
    </row>
    <row r="115" spans="2:14">
      <c r="B115" s="189" t="s">
        <v>316</v>
      </c>
      <c r="C115" s="189">
        <v>270</v>
      </c>
      <c r="E115" s="188">
        <v>1.8</v>
      </c>
      <c r="F115" s="196"/>
      <c r="H115" s="188">
        <f t="shared" si="10"/>
        <v>2.7E-2</v>
      </c>
      <c r="I115" s="188"/>
      <c r="J115" s="188">
        <f t="shared" si="11"/>
        <v>3.1500000000000007E-2</v>
      </c>
      <c r="K115" s="188">
        <f t="shared" si="6"/>
        <v>4.5000000000000075E-3</v>
      </c>
      <c r="L115" s="188">
        <f t="shared" si="7"/>
        <v>1.8045</v>
      </c>
      <c r="M115" s="188">
        <f t="shared" si="8"/>
        <v>0</v>
      </c>
      <c r="N115" s="188">
        <f t="shared" si="9"/>
        <v>0</v>
      </c>
    </row>
    <row r="116" spans="2:14">
      <c r="M116" s="188"/>
      <c r="N116" s="188"/>
    </row>
  </sheetData>
  <autoFilter ref="B7:N7"/>
  <mergeCells count="1">
    <mergeCell ref="M6:N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2020-11-16T08:00:00+00:00</OpenedDate>
    <Date1 xmlns="dc463f71-b30c-4ab2-9473-d307f9d35888">2020-11-16T08:00:00+00:00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Basin Disposal of Washington, LLC</CaseCompanyNames>
    <DocketNumber xmlns="dc463f71-b30c-4ab2-9473-d307f9d35888">200933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BB33E17D41A2F48B45C2FF764C484E4" ma:contentTypeVersion="52" ma:contentTypeDescription="" ma:contentTypeScope="" ma:versionID="8c896f84108987c32d4454f38a12c55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2A8CD0-AF00-40F2-B31E-5B94DD90AA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838375-1189-4892-A6D2-BB556694395F}">
  <ds:schemaRefs>
    <ds:schemaRef ds:uri="http://schemas.openxmlformats.org/package/2006/metadata/core-properties"/>
    <ds:schemaRef ds:uri="http://purl.org/dc/dcmitype/"/>
    <ds:schemaRef ds:uri="http://purl.org/dc/terms/"/>
    <ds:schemaRef ds:uri="dc463f71-b30c-4ab2-9473-d307f9d35888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F592495-E700-4B66-BF31-B7F661295679}"/>
</file>

<file path=customXml/itemProps4.xml><?xml version="1.0" encoding="utf-8"?>
<ds:datastoreItem xmlns:ds="http://schemas.openxmlformats.org/officeDocument/2006/customXml" ds:itemID="{1C327182-03DB-4332-9165-6E5B02564B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References</vt:lpstr>
      <vt:lpstr>Disposal Increase Calculations</vt:lpstr>
      <vt:lpstr>B&amp;O Tax Non DisposalCalculation</vt:lpstr>
      <vt:lpstr>SourceNotes</vt:lpstr>
      <vt:lpstr>'Disposal Increase Calculations'!Print_Area</vt:lpstr>
      <vt:lpstr>'Disposal Increase Calculations'!Print_Titles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Francisco Alcala</cp:lastModifiedBy>
  <cp:lastPrinted>2019-10-21T23:29:31Z</cp:lastPrinted>
  <dcterms:created xsi:type="dcterms:W3CDTF">2013-10-29T22:33:54Z</dcterms:created>
  <dcterms:modified xsi:type="dcterms:W3CDTF">2020-11-13T19:30:57Z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0x0101006E56B4D1795A2E4DB2F0B01679ED314A00DBB33E17D41A2F48B45C2FF764C484E4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