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WUTC\YAK Tariff 5\TipFeeIncrease &amp; B&amp;O Tax_Jan2021\Work Papers\"/>
    </mc:Choice>
  </mc:AlternateContent>
  <bookViews>
    <workbookView xWindow="13260" yWindow="192" windowWidth="13380" windowHeight="7296" activeTab="3"/>
  </bookViews>
  <sheets>
    <sheet name="References" sheetId="4" r:id="rId1"/>
    <sheet name="Disposal Increase Calculations" sheetId="7" r:id="rId2"/>
    <sheet name="B&amp;O Tax Increase Calculation" sheetId="9" r:id="rId3"/>
    <sheet name="Revenue Increase" sheetId="8" r:id="rId4"/>
  </sheets>
  <definedNames>
    <definedName name="_xlnm.Print_Area" localSheetId="1">'Disposal Increase Calculations'!$B$1:$R$53</definedName>
    <definedName name="_xlnm.Print_Area" localSheetId="0">References!$A$2:$H$66</definedName>
    <definedName name="_xlnm.Print_Area" localSheetId="3">'Revenue Increase'!$A$1:$L$23</definedName>
    <definedName name="_xlnm.Print_Titles" localSheetId="1">'Disposal Increase Calculations'!$1:$2</definedName>
    <definedName name="_xlnm.Print_Titles" localSheetId="0">References!$1:$1</definedName>
  </definedNames>
  <calcPr calcId="152511"/>
</workbook>
</file>

<file path=xl/calcChain.xml><?xml version="1.0" encoding="utf-8"?>
<calcChain xmlns="http://schemas.openxmlformats.org/spreadsheetml/2006/main">
  <c r="M80" i="9" l="1"/>
  <c r="J80" i="9"/>
  <c r="H80" i="9"/>
  <c r="M79" i="9"/>
  <c r="J79" i="9"/>
  <c r="K79" i="9" s="1"/>
  <c r="L79" i="9" s="1"/>
  <c r="N79" i="9" s="1"/>
  <c r="H79" i="9"/>
  <c r="M78" i="9"/>
  <c r="J78" i="9"/>
  <c r="H78" i="9"/>
  <c r="K78" i="9" s="1"/>
  <c r="L78" i="9" s="1"/>
  <c r="N78" i="9" s="1"/>
  <c r="M77" i="9"/>
  <c r="J77" i="9"/>
  <c r="K77" i="9" s="1"/>
  <c r="L77" i="9" s="1"/>
  <c r="N77" i="9" s="1"/>
  <c r="H77" i="9"/>
  <c r="M76" i="9"/>
  <c r="J76" i="9"/>
  <c r="H76" i="9"/>
  <c r="M75" i="9"/>
  <c r="J75" i="9"/>
  <c r="K75" i="9" s="1"/>
  <c r="L75" i="9" s="1"/>
  <c r="N75" i="9" s="1"/>
  <c r="H75" i="9"/>
  <c r="M74" i="9"/>
  <c r="J74" i="9"/>
  <c r="K74" i="9" s="1"/>
  <c r="L74" i="9" s="1"/>
  <c r="N74" i="9" s="1"/>
  <c r="H74" i="9"/>
  <c r="M73" i="9"/>
  <c r="J73" i="9"/>
  <c r="K73" i="9" s="1"/>
  <c r="L73" i="9" s="1"/>
  <c r="N73" i="9" s="1"/>
  <c r="H73" i="9"/>
  <c r="M72" i="9"/>
  <c r="J72" i="9"/>
  <c r="H72" i="9"/>
  <c r="M71" i="9"/>
  <c r="J71" i="9"/>
  <c r="K71" i="9" s="1"/>
  <c r="L71" i="9" s="1"/>
  <c r="N71" i="9" s="1"/>
  <c r="H71" i="9"/>
  <c r="M70" i="9"/>
  <c r="J70" i="9"/>
  <c r="K70" i="9" s="1"/>
  <c r="L70" i="9" s="1"/>
  <c r="N70" i="9" s="1"/>
  <c r="H70" i="9"/>
  <c r="M69" i="9"/>
  <c r="K69" i="9"/>
  <c r="L69" i="9" s="1"/>
  <c r="N69" i="9" s="1"/>
  <c r="J69" i="9"/>
  <c r="H69" i="9"/>
  <c r="M68" i="9"/>
  <c r="J68" i="9"/>
  <c r="H68" i="9"/>
  <c r="M67" i="9"/>
  <c r="J67" i="9"/>
  <c r="K67" i="9" s="1"/>
  <c r="L67" i="9" s="1"/>
  <c r="N67" i="9" s="1"/>
  <c r="H67" i="9"/>
  <c r="M66" i="9"/>
  <c r="J66" i="9"/>
  <c r="K66" i="9" s="1"/>
  <c r="L66" i="9" s="1"/>
  <c r="N66" i="9" s="1"/>
  <c r="H66" i="9"/>
  <c r="M65" i="9"/>
  <c r="L65" i="9"/>
  <c r="N65" i="9" s="1"/>
  <c r="K65" i="9"/>
  <c r="J65" i="9"/>
  <c r="H65" i="9"/>
  <c r="M64" i="9"/>
  <c r="J64" i="9"/>
  <c r="H64" i="9"/>
  <c r="N63" i="9"/>
  <c r="M63" i="9"/>
  <c r="J63" i="9"/>
  <c r="K63" i="9" s="1"/>
  <c r="L63" i="9" s="1"/>
  <c r="H63" i="9"/>
  <c r="M62" i="9"/>
  <c r="J62" i="9"/>
  <c r="K62" i="9" s="1"/>
  <c r="L62" i="9" s="1"/>
  <c r="N62" i="9" s="1"/>
  <c r="H62" i="9"/>
  <c r="M61" i="9"/>
  <c r="J61" i="9"/>
  <c r="K61" i="9" s="1"/>
  <c r="L61" i="9" s="1"/>
  <c r="N61" i="9" s="1"/>
  <c r="H61" i="9"/>
  <c r="M60" i="9"/>
  <c r="J60" i="9"/>
  <c r="H60" i="9"/>
  <c r="N59" i="9"/>
  <c r="M59" i="9"/>
  <c r="J59" i="9"/>
  <c r="K59" i="9" s="1"/>
  <c r="L59" i="9" s="1"/>
  <c r="H59" i="9"/>
  <c r="M58" i="9"/>
  <c r="J58" i="9"/>
  <c r="K58" i="9" s="1"/>
  <c r="L58" i="9" s="1"/>
  <c r="N58" i="9" s="1"/>
  <c r="H58" i="9"/>
  <c r="M57" i="9"/>
  <c r="J57" i="9"/>
  <c r="K57" i="9" s="1"/>
  <c r="L57" i="9" s="1"/>
  <c r="N57" i="9" s="1"/>
  <c r="H57" i="9"/>
  <c r="M56" i="9"/>
  <c r="J56" i="9"/>
  <c r="H56" i="9"/>
  <c r="M55" i="9"/>
  <c r="J55" i="9"/>
  <c r="K55" i="9" s="1"/>
  <c r="L55" i="9" s="1"/>
  <c r="N55" i="9" s="1"/>
  <c r="H55" i="9"/>
  <c r="M54" i="9"/>
  <c r="J54" i="9"/>
  <c r="K54" i="9" s="1"/>
  <c r="L54" i="9" s="1"/>
  <c r="N54" i="9" s="1"/>
  <c r="H54" i="9"/>
  <c r="M53" i="9"/>
  <c r="J53" i="9"/>
  <c r="K53" i="9" s="1"/>
  <c r="L53" i="9" s="1"/>
  <c r="N53" i="9" s="1"/>
  <c r="H53" i="9"/>
  <c r="M52" i="9"/>
  <c r="J52" i="9"/>
  <c r="K52" i="9" s="1"/>
  <c r="L52" i="9" s="1"/>
  <c r="N52" i="9" s="1"/>
  <c r="H52" i="9"/>
  <c r="M51" i="9"/>
  <c r="J51" i="9"/>
  <c r="K51" i="9" s="1"/>
  <c r="L51" i="9" s="1"/>
  <c r="N51" i="9" s="1"/>
  <c r="H51" i="9"/>
  <c r="M50" i="9"/>
  <c r="L50" i="9"/>
  <c r="N50" i="9" s="1"/>
  <c r="J50" i="9"/>
  <c r="K50" i="9" s="1"/>
  <c r="H50" i="9"/>
  <c r="M49" i="9"/>
  <c r="J49" i="9"/>
  <c r="K49" i="9" s="1"/>
  <c r="L49" i="9" s="1"/>
  <c r="N49" i="9" s="1"/>
  <c r="H49" i="9"/>
  <c r="M48" i="9"/>
  <c r="J48" i="9"/>
  <c r="K48" i="9" s="1"/>
  <c r="L48" i="9" s="1"/>
  <c r="N48" i="9" s="1"/>
  <c r="H48" i="9"/>
  <c r="M47" i="9"/>
  <c r="J47" i="9"/>
  <c r="K47" i="9" s="1"/>
  <c r="L47" i="9" s="1"/>
  <c r="N47" i="9" s="1"/>
  <c r="H47" i="9"/>
  <c r="N46" i="9"/>
  <c r="M46" i="9"/>
  <c r="L46" i="9"/>
  <c r="J46" i="9"/>
  <c r="K46" i="9" s="1"/>
  <c r="H46" i="9"/>
  <c r="M45" i="9"/>
  <c r="K45" i="9"/>
  <c r="L45" i="9" s="1"/>
  <c r="N45" i="9" s="1"/>
  <c r="J45" i="9"/>
  <c r="H45" i="9"/>
  <c r="M44" i="9"/>
  <c r="J44" i="9"/>
  <c r="H44" i="9"/>
  <c r="M43" i="9"/>
  <c r="J43" i="9"/>
  <c r="K43" i="9" s="1"/>
  <c r="L43" i="9" s="1"/>
  <c r="N43" i="9" s="1"/>
  <c r="H43" i="9"/>
  <c r="M42" i="9"/>
  <c r="J42" i="9"/>
  <c r="K42" i="9" s="1"/>
  <c r="L42" i="9" s="1"/>
  <c r="N42" i="9" s="1"/>
  <c r="H42" i="9"/>
  <c r="M41" i="9"/>
  <c r="J41" i="9"/>
  <c r="K41" i="9" s="1"/>
  <c r="L41" i="9" s="1"/>
  <c r="N41" i="9" s="1"/>
  <c r="H41" i="9"/>
  <c r="M40" i="9"/>
  <c r="J40" i="9"/>
  <c r="H40" i="9"/>
  <c r="M39" i="9"/>
  <c r="J39" i="9"/>
  <c r="K39" i="9" s="1"/>
  <c r="L39" i="9" s="1"/>
  <c r="N39" i="9" s="1"/>
  <c r="H39" i="9"/>
  <c r="M38" i="9"/>
  <c r="J38" i="9"/>
  <c r="K38" i="9" s="1"/>
  <c r="L38" i="9" s="1"/>
  <c r="N38" i="9" s="1"/>
  <c r="H38" i="9"/>
  <c r="M37" i="9"/>
  <c r="K37" i="9"/>
  <c r="L37" i="9" s="1"/>
  <c r="N37" i="9" s="1"/>
  <c r="J37" i="9"/>
  <c r="H37" i="9"/>
  <c r="M36" i="9"/>
  <c r="J36" i="9"/>
  <c r="H36" i="9"/>
  <c r="M35" i="9"/>
  <c r="J35" i="9"/>
  <c r="K35" i="9" s="1"/>
  <c r="L35" i="9" s="1"/>
  <c r="N35" i="9" s="1"/>
  <c r="H35" i="9"/>
  <c r="M34" i="9"/>
  <c r="J34" i="9"/>
  <c r="K34" i="9" s="1"/>
  <c r="L34" i="9" s="1"/>
  <c r="N34" i="9" s="1"/>
  <c r="H34" i="9"/>
  <c r="M33" i="9"/>
  <c r="L33" i="9"/>
  <c r="N33" i="9" s="1"/>
  <c r="K33" i="9"/>
  <c r="J33" i="9"/>
  <c r="H33" i="9"/>
  <c r="M32" i="9"/>
  <c r="J32" i="9"/>
  <c r="H32" i="9"/>
  <c r="N31" i="9"/>
  <c r="M31" i="9"/>
  <c r="J31" i="9"/>
  <c r="K31" i="9" s="1"/>
  <c r="L31" i="9" s="1"/>
  <c r="H31" i="9"/>
  <c r="M30" i="9"/>
  <c r="J30" i="9"/>
  <c r="K30" i="9" s="1"/>
  <c r="L30" i="9" s="1"/>
  <c r="N30" i="9" s="1"/>
  <c r="H30" i="9"/>
  <c r="M29" i="9"/>
  <c r="J29" i="9"/>
  <c r="K29" i="9" s="1"/>
  <c r="L29" i="9" s="1"/>
  <c r="N29" i="9" s="1"/>
  <c r="H29" i="9"/>
  <c r="M28" i="9"/>
  <c r="J28" i="9"/>
  <c r="H28" i="9"/>
  <c r="N27" i="9"/>
  <c r="M27" i="9"/>
  <c r="J27" i="9"/>
  <c r="K27" i="9" s="1"/>
  <c r="L27" i="9" s="1"/>
  <c r="H27" i="9"/>
  <c r="M26" i="9"/>
  <c r="J26" i="9"/>
  <c r="K26" i="9" s="1"/>
  <c r="L26" i="9" s="1"/>
  <c r="N26" i="9" s="1"/>
  <c r="H26" i="9"/>
  <c r="M25" i="9"/>
  <c r="J25" i="9"/>
  <c r="K25" i="9" s="1"/>
  <c r="L25" i="9" s="1"/>
  <c r="N25" i="9" s="1"/>
  <c r="H25" i="9"/>
  <c r="M24" i="9"/>
  <c r="J24" i="9"/>
  <c r="H24" i="9"/>
  <c r="M23" i="9"/>
  <c r="J23" i="9"/>
  <c r="K23" i="9" s="1"/>
  <c r="L23" i="9" s="1"/>
  <c r="N23" i="9" s="1"/>
  <c r="H23" i="9"/>
  <c r="M22" i="9"/>
  <c r="J22" i="9"/>
  <c r="K22" i="9" s="1"/>
  <c r="L22" i="9" s="1"/>
  <c r="N22" i="9" s="1"/>
  <c r="H22" i="9"/>
  <c r="M21" i="9"/>
  <c r="J21" i="9"/>
  <c r="K21" i="9" s="1"/>
  <c r="L21" i="9" s="1"/>
  <c r="N21" i="9" s="1"/>
  <c r="H21" i="9"/>
  <c r="M20" i="9"/>
  <c r="J20" i="9"/>
  <c r="K20" i="9" s="1"/>
  <c r="L20" i="9" s="1"/>
  <c r="N20" i="9" s="1"/>
  <c r="H20" i="9"/>
  <c r="M19" i="9"/>
  <c r="J19" i="9"/>
  <c r="K19" i="9" s="1"/>
  <c r="L19" i="9" s="1"/>
  <c r="N19" i="9" s="1"/>
  <c r="H19" i="9"/>
  <c r="M18" i="9"/>
  <c r="L18" i="9"/>
  <c r="N18" i="9" s="1"/>
  <c r="J18" i="9"/>
  <c r="K18" i="9" s="1"/>
  <c r="H18" i="9"/>
  <c r="M17" i="9"/>
  <c r="J17" i="9"/>
  <c r="K17" i="9" s="1"/>
  <c r="L17" i="9" s="1"/>
  <c r="N17" i="9" s="1"/>
  <c r="H17" i="9"/>
  <c r="M16" i="9"/>
  <c r="J16" i="9"/>
  <c r="K16" i="9" s="1"/>
  <c r="L16" i="9" s="1"/>
  <c r="N16" i="9" s="1"/>
  <c r="H16" i="9"/>
  <c r="M15" i="9"/>
  <c r="J15" i="9"/>
  <c r="K15" i="9" s="1"/>
  <c r="L15" i="9" s="1"/>
  <c r="N15" i="9" s="1"/>
  <c r="H15" i="9"/>
  <c r="N14" i="9"/>
  <c r="M14" i="9"/>
  <c r="L14" i="9"/>
  <c r="J14" i="9"/>
  <c r="K14" i="9" s="1"/>
  <c r="H14" i="9"/>
  <c r="M13" i="9"/>
  <c r="J13" i="9"/>
  <c r="K13" i="9" s="1"/>
  <c r="L13" i="9" s="1"/>
  <c r="N13" i="9" s="1"/>
  <c r="H13" i="9"/>
  <c r="M12" i="9"/>
  <c r="J12" i="9"/>
  <c r="H12" i="9"/>
  <c r="M11" i="9"/>
  <c r="J11" i="9"/>
  <c r="K11" i="9" s="1"/>
  <c r="L11" i="9" s="1"/>
  <c r="N11" i="9" s="1"/>
  <c r="H11" i="9"/>
  <c r="M10" i="9"/>
  <c r="J10" i="9"/>
  <c r="K10" i="9" s="1"/>
  <c r="L10" i="9" s="1"/>
  <c r="N10" i="9" s="1"/>
  <c r="H10" i="9"/>
  <c r="M9" i="9"/>
  <c r="J9" i="9"/>
  <c r="K9" i="9" s="1"/>
  <c r="L9" i="9" s="1"/>
  <c r="N9" i="9" s="1"/>
  <c r="H9" i="9"/>
  <c r="M8" i="9"/>
  <c r="J8" i="9"/>
  <c r="H8" i="9"/>
  <c r="K56" i="9" l="1"/>
  <c r="L56" i="9" s="1"/>
  <c r="N56" i="9" s="1"/>
  <c r="K28" i="9"/>
  <c r="L28" i="9" s="1"/>
  <c r="N28" i="9" s="1"/>
  <c r="K60" i="9"/>
  <c r="L60" i="9" s="1"/>
  <c r="N60" i="9" s="1"/>
  <c r="K32" i="9"/>
  <c r="L32" i="9" s="1"/>
  <c r="N32" i="9" s="1"/>
  <c r="K64" i="9"/>
  <c r="L64" i="9" s="1"/>
  <c r="N64" i="9" s="1"/>
  <c r="K40" i="9"/>
  <c r="L40" i="9" s="1"/>
  <c r="N40" i="9" s="1"/>
  <c r="K72" i="9"/>
  <c r="L72" i="9" s="1"/>
  <c r="N72" i="9" s="1"/>
  <c r="K80" i="9"/>
  <c r="L80" i="9" s="1"/>
  <c r="N80" i="9" s="1"/>
  <c r="K24" i="9"/>
  <c r="L24" i="9" s="1"/>
  <c r="N24" i="9" s="1"/>
  <c r="K68" i="9"/>
  <c r="L68" i="9" s="1"/>
  <c r="N68" i="9" s="1"/>
  <c r="M81" i="9"/>
  <c r="K12" i="9"/>
  <c r="L12" i="9" s="1"/>
  <c r="N12" i="9" s="1"/>
  <c r="K44" i="9"/>
  <c r="L44" i="9" s="1"/>
  <c r="N44" i="9" s="1"/>
  <c r="K76" i="9"/>
  <c r="L76" i="9" s="1"/>
  <c r="N76" i="9" s="1"/>
  <c r="K36" i="9"/>
  <c r="L36" i="9" s="1"/>
  <c r="N36" i="9" s="1"/>
  <c r="K8" i="9"/>
  <c r="L8" i="9" s="1"/>
  <c r="N8" i="9" s="1"/>
  <c r="N81" i="9" s="1"/>
  <c r="J12" i="7" l="1"/>
  <c r="I12" i="7"/>
  <c r="G12" i="7"/>
  <c r="E12" i="7"/>
  <c r="P12" i="7"/>
  <c r="G49" i="4" l="1"/>
  <c r="G48" i="4"/>
  <c r="E50" i="7" l="1"/>
  <c r="H16" i="7" l="1"/>
  <c r="H15" i="7"/>
  <c r="G16" i="7"/>
  <c r="I16" i="7" s="1"/>
  <c r="G15" i="7"/>
  <c r="P16" i="7" l="1"/>
  <c r="I15" i="7"/>
  <c r="P15" i="7"/>
  <c r="H37" i="7" l="1"/>
  <c r="G37" i="7"/>
  <c r="I37" i="7" l="1"/>
  <c r="D21" i="8"/>
  <c r="H10" i="8" s="1"/>
  <c r="D20" i="8"/>
  <c r="F10" i="8" s="1"/>
  <c r="E19" i="7"/>
  <c r="H19" i="7"/>
  <c r="P7" i="7"/>
  <c r="P6" i="7"/>
  <c r="H6" i="7"/>
  <c r="P4" i="7"/>
  <c r="H4" i="7"/>
  <c r="L10" i="8" l="1"/>
  <c r="J10" i="8"/>
  <c r="D22" i="8"/>
  <c r="E24" i="7" l="1"/>
  <c r="B5" i="4" l="1"/>
  <c r="B6" i="4"/>
  <c r="B7" i="4"/>
  <c r="B9" i="4"/>
  <c r="B8" i="4"/>
  <c r="B4" i="4"/>
  <c r="G14" i="7"/>
  <c r="F6" i="7" l="1"/>
  <c r="G6" i="7" s="1"/>
  <c r="I6" i="7" s="1"/>
  <c r="F4" i="7"/>
  <c r="G4" i="7" s="1"/>
  <c r="I4" i="7" s="1"/>
  <c r="H21" i="7"/>
  <c r="H35" i="7"/>
  <c r="H33" i="7"/>
  <c r="P9" i="7"/>
  <c r="H8" i="7" l="1"/>
  <c r="H5" i="7"/>
  <c r="H10" i="7"/>
  <c r="H14" i="7"/>
  <c r="I14" i="7" s="1"/>
  <c r="H18" i="7"/>
  <c r="H20" i="7"/>
  <c r="E51" i="7"/>
  <c r="C48" i="4"/>
  <c r="C49" i="4"/>
  <c r="H36" i="7"/>
  <c r="H9" i="7"/>
  <c r="F30" i="7"/>
  <c r="G30" i="7" s="1"/>
  <c r="H30" i="7"/>
  <c r="F31" i="7"/>
  <c r="G31" i="7" s="1"/>
  <c r="H31" i="7"/>
  <c r="H7" i="7"/>
  <c r="F33" i="7"/>
  <c r="H34" i="7"/>
  <c r="F35" i="7"/>
  <c r="P8" i="7"/>
  <c r="H42" i="7"/>
  <c r="H41" i="7"/>
  <c r="H40" i="7"/>
  <c r="P5" i="7"/>
  <c r="P14" i="7"/>
  <c r="P10" i="7"/>
  <c r="F4" i="4"/>
  <c r="H5" i="4"/>
  <c r="D6" i="4"/>
  <c r="C7" i="4"/>
  <c r="C5" i="4"/>
  <c r="E5" i="4"/>
  <c r="G5" i="4"/>
  <c r="F6" i="4"/>
  <c r="C6" i="4"/>
  <c r="D5" i="4"/>
  <c r="F5" i="4"/>
  <c r="E6" i="4"/>
  <c r="G6" i="4"/>
  <c r="H6" i="4"/>
  <c r="G4" i="4"/>
  <c r="H4" i="4"/>
  <c r="G51" i="4"/>
  <c r="G53" i="4" s="1"/>
  <c r="B50" i="4"/>
  <c r="B53" i="4" s="1"/>
  <c r="B10" i="4"/>
  <c r="G9" i="4"/>
  <c r="F8" i="7"/>
  <c r="G8" i="7" s="1"/>
  <c r="F9" i="4"/>
  <c r="E9" i="4"/>
  <c r="D9" i="4"/>
  <c r="H8" i="4"/>
  <c r="G8" i="4"/>
  <c r="E8" i="4"/>
  <c r="D8" i="4"/>
  <c r="G10" i="4"/>
  <c r="F10" i="4"/>
  <c r="F20" i="7" l="1"/>
  <c r="G20" i="7" s="1"/>
  <c r="P20" i="7" s="1"/>
  <c r="F19" i="7"/>
  <c r="G19" i="7" s="1"/>
  <c r="F21" i="7"/>
  <c r="G21" i="7" s="1"/>
  <c r="F18" i="7"/>
  <c r="G18" i="7" s="1"/>
  <c r="H10" i="4"/>
  <c r="F42" i="7"/>
  <c r="G42" i="7" s="1"/>
  <c r="I42" i="7" s="1"/>
  <c r="B54" i="4"/>
  <c r="B56" i="4" s="1"/>
  <c r="F7" i="7"/>
  <c r="G7" i="7" s="1"/>
  <c r="I20" i="7"/>
  <c r="F8" i="8"/>
  <c r="E25" i="7"/>
  <c r="I35" i="7"/>
  <c r="I30" i="7"/>
  <c r="I31" i="7"/>
  <c r="I7" i="7"/>
  <c r="I33" i="7"/>
  <c r="H7" i="4"/>
  <c r="G7" i="4"/>
  <c r="H24" i="7"/>
  <c r="F7" i="4"/>
  <c r="E7" i="4"/>
  <c r="D7" i="4"/>
  <c r="I8" i="7"/>
  <c r="H9" i="4"/>
  <c r="F9" i="7"/>
  <c r="G9" i="7" s="1"/>
  <c r="I9" i="7" s="1"/>
  <c r="C10" i="4"/>
  <c r="F36" i="7"/>
  <c r="G36" i="7" s="1"/>
  <c r="I36" i="7" s="1"/>
  <c r="F41" i="7"/>
  <c r="G41" i="7" s="1"/>
  <c r="I41" i="7" s="1"/>
  <c r="E10" i="4"/>
  <c r="C50" i="4"/>
  <c r="E4" i="4"/>
  <c r="C4" i="4"/>
  <c r="D4" i="4"/>
  <c r="D10" i="4"/>
  <c r="C9" i="4"/>
  <c r="F40" i="7"/>
  <c r="G40" i="7" s="1"/>
  <c r="I40" i="7" s="1"/>
  <c r="C8" i="4"/>
  <c r="F34" i="7"/>
  <c r="I34" i="7" s="1"/>
  <c r="F5" i="7"/>
  <c r="G5" i="7" s="1"/>
  <c r="F8" i="4"/>
  <c r="F10" i="7"/>
  <c r="G10" i="7" s="1"/>
  <c r="I10" i="7" s="1"/>
  <c r="I19" i="7" l="1"/>
  <c r="P19" i="7"/>
  <c r="P18" i="7"/>
  <c r="G24" i="7"/>
  <c r="I18" i="7"/>
  <c r="P21" i="7"/>
  <c r="I21" i="7"/>
  <c r="I5" i="7"/>
  <c r="P24" i="7" l="1"/>
  <c r="F9" i="8" s="1"/>
  <c r="F11" i="8" s="1"/>
  <c r="I24" i="7"/>
  <c r="I25" i="7" s="1"/>
  <c r="E53" i="7" s="1"/>
  <c r="G25" i="7"/>
  <c r="E52" i="7"/>
  <c r="J16" i="7" l="1"/>
  <c r="K16" i="7" s="1"/>
  <c r="L16" i="7" s="1"/>
  <c r="M16" i="7" s="1"/>
  <c r="O16" i="7" s="1"/>
  <c r="J6" i="7"/>
  <c r="K6" i="7" s="1"/>
  <c r="L6" i="7" s="1"/>
  <c r="M6" i="7" s="1"/>
  <c r="O6" i="7" s="1"/>
  <c r="J10" i="7"/>
  <c r="K10" i="7" s="1"/>
  <c r="L10" i="7" s="1"/>
  <c r="M10" i="7" s="1"/>
  <c r="O10" i="7" s="1"/>
  <c r="J20" i="7"/>
  <c r="K20" i="7" s="1"/>
  <c r="L20" i="7" s="1"/>
  <c r="M20" i="7" s="1"/>
  <c r="O20" i="7" s="1"/>
  <c r="J33" i="7"/>
  <c r="K33" i="7" s="1"/>
  <c r="L33" i="7" s="1"/>
  <c r="M33" i="7" s="1"/>
  <c r="O33" i="7" s="1"/>
  <c r="J30" i="7"/>
  <c r="K30" i="7" s="1"/>
  <c r="L30" i="7" s="1"/>
  <c r="M30" i="7" s="1"/>
  <c r="O30" i="7" s="1"/>
  <c r="J7" i="7"/>
  <c r="K7" i="7" s="1"/>
  <c r="L7" i="7" s="1"/>
  <c r="M7" i="7" s="1"/>
  <c r="O7" i="7" s="1"/>
  <c r="J19" i="7"/>
  <c r="K19" i="7" s="1"/>
  <c r="L19" i="7" s="1"/>
  <c r="M19" i="7" s="1"/>
  <c r="O19" i="7" s="1"/>
  <c r="J21" i="7"/>
  <c r="K21" i="7" s="1"/>
  <c r="L21" i="7" s="1"/>
  <c r="M21" i="7" s="1"/>
  <c r="J18" i="7"/>
  <c r="K18" i="7" s="1"/>
  <c r="L18" i="7" s="1"/>
  <c r="M18" i="7" s="1"/>
  <c r="O18" i="7" s="1"/>
  <c r="J5" i="7"/>
  <c r="J41" i="7"/>
  <c r="K41" i="7" s="1"/>
  <c r="L41" i="7" s="1"/>
  <c r="M41" i="7" s="1"/>
  <c r="O41" i="7" s="1"/>
  <c r="J31" i="7"/>
  <c r="K31" i="7" s="1"/>
  <c r="L31" i="7" s="1"/>
  <c r="M31" i="7" s="1"/>
  <c r="O31" i="7" s="1"/>
  <c r="J37" i="7"/>
  <c r="K37" i="7" s="1"/>
  <c r="L37" i="7" s="1"/>
  <c r="M37" i="7" s="1"/>
  <c r="O37" i="7" s="1"/>
  <c r="J14" i="7"/>
  <c r="K14" i="7" s="1"/>
  <c r="L14" i="7" s="1"/>
  <c r="M14" i="7" s="1"/>
  <c r="O14" i="7" s="1"/>
  <c r="J35" i="7"/>
  <c r="K35" i="7" s="1"/>
  <c r="L35" i="7" s="1"/>
  <c r="M35" i="7" s="1"/>
  <c r="O35" i="7" s="1"/>
  <c r="J9" i="7"/>
  <c r="K9" i="7" s="1"/>
  <c r="L9" i="7" s="1"/>
  <c r="M9" i="7" s="1"/>
  <c r="O9" i="7" s="1"/>
  <c r="J34" i="7"/>
  <c r="K34" i="7" s="1"/>
  <c r="L34" i="7" s="1"/>
  <c r="M34" i="7" s="1"/>
  <c r="O34" i="7" s="1"/>
  <c r="J15" i="7"/>
  <c r="K15" i="7" s="1"/>
  <c r="L15" i="7" s="1"/>
  <c r="M15" i="7" s="1"/>
  <c r="O15" i="7" s="1"/>
  <c r="J4" i="7"/>
  <c r="K4" i="7" s="1"/>
  <c r="L4" i="7" s="1"/>
  <c r="M4" i="7" s="1"/>
  <c r="O4" i="7" s="1"/>
  <c r="J8" i="7"/>
  <c r="J40" i="7"/>
  <c r="K40" i="7" s="1"/>
  <c r="L40" i="7" s="1"/>
  <c r="M40" i="7" s="1"/>
  <c r="O40" i="7" s="1"/>
  <c r="J42" i="7"/>
  <c r="K42" i="7" s="1"/>
  <c r="L42" i="7" s="1"/>
  <c r="M42" i="7" s="1"/>
  <c r="O42" i="7" s="1"/>
  <c r="J36" i="7"/>
  <c r="K36" i="7" s="1"/>
  <c r="L36" i="7" s="1"/>
  <c r="M36" i="7" s="1"/>
  <c r="O36" i="7" s="1"/>
  <c r="K5" i="7"/>
  <c r="L5" i="7" s="1"/>
  <c r="M5" i="7" s="1"/>
  <c r="O5" i="7" s="1"/>
  <c r="P25" i="7"/>
  <c r="K8" i="7"/>
  <c r="L8" i="7" s="1"/>
  <c r="M8" i="7" s="1"/>
  <c r="O8" i="7" s="1"/>
  <c r="T35" i="7" l="1"/>
  <c r="S35" i="7"/>
  <c r="S41" i="7"/>
  <c r="T41" i="7"/>
  <c r="Q20" i="7"/>
  <c r="R20" i="7" s="1"/>
  <c r="T20" i="7"/>
  <c r="S20" i="7"/>
  <c r="Q8" i="7"/>
  <c r="R8" i="7" s="1"/>
  <c r="T8" i="7"/>
  <c r="S8" i="7"/>
  <c r="Q14" i="7"/>
  <c r="R14" i="7" s="1"/>
  <c r="T14" i="7"/>
  <c r="S14" i="7"/>
  <c r="Q10" i="7"/>
  <c r="R10" i="7" s="1"/>
  <c r="T10" i="7"/>
  <c r="S10" i="7"/>
  <c r="Q4" i="7"/>
  <c r="T4" i="7"/>
  <c r="S4" i="7"/>
  <c r="Q19" i="7"/>
  <c r="R19" i="7" s="1"/>
  <c r="T19" i="7"/>
  <c r="S19" i="7"/>
  <c r="T37" i="7"/>
  <c r="S37" i="7"/>
  <c r="T36" i="7"/>
  <c r="S36" i="7"/>
  <c r="S42" i="7"/>
  <c r="T42" i="7"/>
  <c r="Q15" i="7"/>
  <c r="R15" i="7" s="1"/>
  <c r="T15" i="7"/>
  <c r="S15" i="7"/>
  <c r="Q7" i="7"/>
  <c r="R7" i="7" s="1"/>
  <c r="T7" i="7"/>
  <c r="S7" i="7"/>
  <c r="S40" i="7"/>
  <c r="T40" i="7"/>
  <c r="T34" i="7"/>
  <c r="S34" i="7"/>
  <c r="Q18" i="7"/>
  <c r="R18" i="7" s="1"/>
  <c r="T18" i="7"/>
  <c r="S18" i="7"/>
  <c r="T30" i="7"/>
  <c r="S30" i="7"/>
  <c r="Q6" i="7"/>
  <c r="R6" i="7" s="1"/>
  <c r="T6" i="7"/>
  <c r="S6" i="7"/>
  <c r="Q5" i="7"/>
  <c r="T5" i="7"/>
  <c r="S5" i="7"/>
  <c r="Q9" i="7"/>
  <c r="R9" i="7" s="1"/>
  <c r="T9" i="7"/>
  <c r="S9" i="7"/>
  <c r="T31" i="7"/>
  <c r="S31" i="7"/>
  <c r="T33" i="7"/>
  <c r="S33" i="7"/>
  <c r="Q16" i="7"/>
  <c r="R16" i="7" s="1"/>
  <c r="T16" i="7"/>
  <c r="S16" i="7"/>
  <c r="J24" i="7"/>
  <c r="J25" i="7" s="1"/>
  <c r="O21" i="7"/>
  <c r="R5" i="7"/>
  <c r="R4" i="7" l="1"/>
  <c r="R12" i="7" s="1"/>
  <c r="Q12" i="7"/>
  <c r="Q25" i="7" s="1"/>
  <c r="H8" i="8"/>
  <c r="J8" i="8" s="1"/>
  <c r="Q21" i="7"/>
  <c r="R21" i="7" s="1"/>
  <c r="R24" i="7" s="1"/>
  <c r="T21" i="7"/>
  <c r="S21" i="7"/>
  <c r="Q24" i="7"/>
  <c r="H9" i="8" s="1"/>
  <c r="L9" i="8" s="1"/>
  <c r="L8" i="8" l="1"/>
  <c r="J9" i="8"/>
  <c r="J11" i="8" s="1"/>
  <c r="H11" i="8"/>
  <c r="L11" i="8" s="1"/>
  <c r="R25" i="7"/>
  <c r="B61" i="4" s="1"/>
  <c r="B62" i="4" s="1"/>
  <c r="B65" i="4" l="1"/>
  <c r="B66" i="4" s="1"/>
  <c r="C66" i="4"/>
</calcChain>
</file>

<file path=xl/sharedStrings.xml><?xml version="1.0" encoding="utf-8"?>
<sst xmlns="http://schemas.openxmlformats.org/spreadsheetml/2006/main" count="261" uniqueCount="238">
  <si>
    <t>Monthly Frequency</t>
  </si>
  <si>
    <t>Annual PU's</t>
  </si>
  <si>
    <t>Gross Up</t>
  </si>
  <si>
    <t>Increase per ton</t>
  </si>
  <si>
    <t>Total Pick Ups</t>
  </si>
  <si>
    <t>Per Ton</t>
  </si>
  <si>
    <t>Per Pound</t>
  </si>
  <si>
    <t xml:space="preserve">Current Rate </t>
  </si>
  <si>
    <t>New Rate per ton</t>
  </si>
  <si>
    <t>Increase</t>
  </si>
  <si>
    <t>Meeks Weights</t>
  </si>
  <si>
    <t>Adjustment factor</t>
  </si>
  <si>
    <t>Collected Revenue Excess/(Deficiency)</t>
  </si>
  <si>
    <t>Residential</t>
  </si>
  <si>
    <t>Commercial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</si>
  <si>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</si>
  <si>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</si>
  <si>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</si>
  <si>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</si>
  <si>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</si>
  <si>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</si>
  <si>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</si>
  <si>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</si>
  <si>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</si>
  <si>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</si>
  <si>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</si>
  <si>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</si>
  <si>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</si>
  <si>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</si>
  <si>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</si>
  <si>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</si>
  <si>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</si>
  <si>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Total Tonnage</t>
  </si>
  <si>
    <t>Total Pounds</t>
  </si>
  <si>
    <t>Calculated Annual Pounds</t>
  </si>
  <si>
    <t>Adjusted Annual Pounds</t>
  </si>
  <si>
    <t>Company Current Revenue</t>
  </si>
  <si>
    <t>Monthly Customers</t>
  </si>
  <si>
    <t>Tariff Rate Increase</t>
  </si>
  <si>
    <t>Revised Revenue Increase</t>
  </si>
  <si>
    <t>1 unit</t>
  </si>
  <si>
    <t>2 units</t>
  </si>
  <si>
    <t>3 units</t>
  </si>
  <si>
    <t>n/a</t>
  </si>
  <si>
    <t>Revenue from Revised Rates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</si>
  <si>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</si>
  <si>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</si>
  <si>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</si>
  <si>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</si>
  <si>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</si>
  <si>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</si>
  <si>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</si>
  <si>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</si>
  <si>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</si>
  <si>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</si>
  <si>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</si>
  <si>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</si>
  <si>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</si>
  <si>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</si>
  <si>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</si>
  <si>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</si>
  <si>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</si>
  <si>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</si>
  <si>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</si>
  <si>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</si>
  <si>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</si>
  <si>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</si>
  <si>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</si>
  <si>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</si>
  <si>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</si>
  <si>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</si>
  <si>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</si>
  <si>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</si>
  <si>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</si>
  <si>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</si>
  <si>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</si>
  <si>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5 yd packer/compactor</t>
  </si>
  <si>
    <t>6 yd packer/compactor</t>
  </si>
  <si>
    <t>Yards</t>
  </si>
  <si>
    <t>Pounds per Pickup</t>
  </si>
  <si>
    <t>20 gal minican</t>
  </si>
  <si>
    <t>*</t>
  </si>
  <si>
    <t>Res'l &amp; Com'l</t>
  </si>
  <si>
    <t>Revenue Inc from Co Proposed Rates</t>
  </si>
  <si>
    <t>Company Proposed Rates</t>
  </si>
  <si>
    <t>Staff Revised Rates</t>
  </si>
  <si>
    <t>Adjustment Factor Calculation</t>
  </si>
  <si>
    <t>4 Times per Week</t>
  </si>
  <si>
    <t>1 yd packer/compactor</t>
  </si>
  <si>
    <t>1.5 yd packer/compactor</t>
  </si>
  <si>
    <t>8 yd packer/compactor</t>
  </si>
  <si>
    <t>No Current Customers</t>
  </si>
  <si>
    <t>* not on meeks - calculated by staff</t>
  </si>
  <si>
    <t>Transfer Station</t>
  </si>
  <si>
    <t>Comments</t>
  </si>
  <si>
    <t>Differ from Company</t>
  </si>
  <si>
    <t>35 gallon Can</t>
  </si>
  <si>
    <t>Calculated Annual PUs based on freq</t>
  </si>
  <si>
    <t>na - multiple pickups not on tariff</t>
  </si>
  <si>
    <t>64 gal cart weekly</t>
  </si>
  <si>
    <t>32 Gal weekly</t>
  </si>
  <si>
    <t>96 gal cart weekly</t>
  </si>
  <si>
    <t>Res_Extra_bag/Box</t>
  </si>
  <si>
    <t>Extra_Yards</t>
  </si>
  <si>
    <t>Not on Meeks, Co provided weight</t>
  </si>
  <si>
    <t>1 Can 1/MG</t>
  </si>
  <si>
    <t>2 Cans WG</t>
  </si>
  <si>
    <t>3 Cans WG</t>
  </si>
  <si>
    <t>Add'l yards (cust load)</t>
  </si>
  <si>
    <t>1-4 yards (comp load)</t>
  </si>
  <si>
    <t>Add'l yards (comp load)</t>
  </si>
  <si>
    <t>Company        Calculated Rate</t>
  </si>
  <si>
    <t>Company    Current Tariff</t>
  </si>
  <si>
    <t>Company Calculated Revenue</t>
  </si>
  <si>
    <t>64-gallon toter-occasional Extra</t>
  </si>
  <si>
    <t>96-gallon toter-occasional Extra</t>
  </si>
  <si>
    <t>"on call" Service</t>
  </si>
  <si>
    <t>Basin Disposal, Inc.</t>
  </si>
  <si>
    <t>Calculated Revenue Increase</t>
  </si>
  <si>
    <t>As a result of increased disposal fees.</t>
  </si>
  <si>
    <t>Residential - from calculation worksheet</t>
  </si>
  <si>
    <t>Current</t>
  </si>
  <si>
    <t>Revenue</t>
  </si>
  <si>
    <t xml:space="preserve">Proposed </t>
  </si>
  <si>
    <t xml:space="preserve">Commercial </t>
  </si>
  <si>
    <t>Disposal Rate Per Ton</t>
  </si>
  <si>
    <t>Percentage</t>
  </si>
  <si>
    <t>Dollars</t>
  </si>
  <si>
    <t>Basin Dispsoal of Yakima, LLC - G-45</t>
  </si>
  <si>
    <t>Yakima County Landfills &amp; Transfer Stations</t>
  </si>
  <si>
    <t>Mini Can</t>
  </si>
  <si>
    <t>2 Can 32 Gal weekly</t>
  </si>
  <si>
    <t>1.5 Yard - Additional Pickup</t>
  </si>
  <si>
    <t>1.5 Yard - 1st Pickup (300 Gallon)</t>
  </si>
  <si>
    <t>1.5 Yard - Special Pickup</t>
  </si>
  <si>
    <t>1.5 Yard - Temporary</t>
  </si>
  <si>
    <t>32 gal can weekly</t>
  </si>
  <si>
    <t>Basin Disposoal of Yakima, LLC G-45</t>
  </si>
  <si>
    <t>Roll - Off - Tonnage 2,507</t>
  </si>
  <si>
    <t>220 Gallon (1 Yard)</t>
  </si>
  <si>
    <t>32 gal can special pickup</t>
  </si>
  <si>
    <t>32 gal can temporary</t>
  </si>
  <si>
    <t>Type</t>
  </si>
  <si>
    <t>Core Service Code</t>
  </si>
  <si>
    <t>RES_32GAL_1X</t>
  </si>
  <si>
    <t>RES_64GAL_1X</t>
  </si>
  <si>
    <t>RES_96GAL_1X</t>
  </si>
  <si>
    <t>RES_EXTRA_CAN</t>
  </si>
  <si>
    <t>COM_300GAL_1X</t>
  </si>
  <si>
    <t>COM_300GAL_SPEC_PICK_UP</t>
  </si>
  <si>
    <t>Notation Added to Staff Rate</t>
  </si>
  <si>
    <t>CORE Rate Amount</t>
  </si>
  <si>
    <t>RES_EXTRA_YDS</t>
  </si>
  <si>
    <t>COM_220GAL_1X</t>
  </si>
  <si>
    <t>RES_64GAL_SPEC_PICK_UP</t>
  </si>
  <si>
    <t>RES_96GAL_SPEC_PICK_UP</t>
  </si>
  <si>
    <t>TEMP_300_GAL</t>
  </si>
  <si>
    <t>Basin Disposal of Yakima, LLC - G-45</t>
  </si>
  <si>
    <t xml:space="preserve">Calculation of B&amp;O Tax Increase </t>
  </si>
  <si>
    <t>Prior Tax Rate</t>
  </si>
  <si>
    <t>Current Tax Rate</t>
  </si>
  <si>
    <t>Annual Revenue</t>
  </si>
  <si>
    <t>Current Tariff Rate</t>
  </si>
  <si>
    <t>Customers Prior Rate Case</t>
  </si>
  <si>
    <t>Revised Tariff Rate</t>
  </si>
  <si>
    <t>Current Rate</t>
  </si>
  <si>
    <t>Proposed Rate</t>
  </si>
  <si>
    <t>Returned Check Charge</t>
  </si>
  <si>
    <t>Restart Fees</t>
  </si>
  <si>
    <t>Redelivery Fee up to 8 yards</t>
  </si>
  <si>
    <t>Redelivery Fee over 8 yards</t>
  </si>
  <si>
    <t>Over-sized/Weight Can 32 gal</t>
  </si>
  <si>
    <t>Overtime Periods</t>
  </si>
  <si>
    <t>Overtime Periods - Minimum</t>
  </si>
  <si>
    <t>Return Trips Cans</t>
  </si>
  <si>
    <t>Return Trip Drum, Bale, Litter Receptable</t>
  </si>
  <si>
    <t>Return Trip Drop Box</t>
  </si>
  <si>
    <t>Return Trip Container</t>
  </si>
  <si>
    <t>Carry Out over 5 feet but not more than 25 feet</t>
  </si>
  <si>
    <t>Carry Out each additional 25 feet</t>
  </si>
  <si>
    <t>Drive-In Residential</t>
  </si>
  <si>
    <t>Drive-In Commercial</t>
  </si>
  <si>
    <t>Drive-Ins over 125 ft</t>
  </si>
  <si>
    <t>Carry Charge</t>
  </si>
  <si>
    <t>Time Rates - Single Drive (Flatbed)</t>
  </si>
  <si>
    <t>Time Rates - Single Packer</t>
  </si>
  <si>
    <t>Time Rates - Single Drop Box</t>
  </si>
  <si>
    <t>Time Rates - Single Ea. extra person</t>
  </si>
  <si>
    <t>Time Rates - Single Drive (Flatbed) Min Charge</t>
  </si>
  <si>
    <t>Time Rates - Packer Truck Minimum Charge</t>
  </si>
  <si>
    <t>Time Rates - Drop-box Truck Minimum Charge</t>
  </si>
  <si>
    <t>Time Rates - Tandem Drop Box</t>
  </si>
  <si>
    <t>Time Rates - Tandem Ea. extra person</t>
  </si>
  <si>
    <t>Time Rates - Tandenm Drop Box Minimum Charge</t>
  </si>
  <si>
    <t>Roll out Charges - Containers</t>
  </si>
  <si>
    <t>Roll out Charges - Carts/Toters</t>
  </si>
  <si>
    <t>Excess Weight - 1.5 yard/300 gallon</t>
  </si>
  <si>
    <t>Washing Container &amp; Drop Box</t>
  </si>
  <si>
    <t>Steam Clean Container &amp; Drop Box</t>
  </si>
  <si>
    <t>Washing\Steam Clean\Sanitizing Minimum</t>
  </si>
  <si>
    <t>Container Svc - Gate/Obstruction</t>
  </si>
  <si>
    <t>Delivery Charge - Temporary Service</t>
  </si>
  <si>
    <t>Rent Per Calendar Day Temporary Service - 1 Yd</t>
  </si>
  <si>
    <t>Rent Per Calendar Day Temporary Service - 300 Gallon</t>
  </si>
  <si>
    <t>Rent Per Calendar Day Temporary Service - 220 Gallon</t>
  </si>
  <si>
    <t>Rent Per Month Temporary Service - 1 Yd</t>
  </si>
  <si>
    <t>Rent Per Month Temporary Service - 300 Gallon</t>
  </si>
  <si>
    <t>Rent Per Month Temporary Service - 220 Gallon</t>
  </si>
  <si>
    <t>Drop Box Svc - 11 Yd  Monthly Rent</t>
  </si>
  <si>
    <t>Drop Box Svc - 11 Yd  1st p/u</t>
  </si>
  <si>
    <t>Drop Box Svc - 11 Yd  Ea. Addt'l p/u</t>
  </si>
  <si>
    <t>Drop Box Svc - 11 Yd - Temporary Service</t>
  </si>
  <si>
    <t>Drop Box Svc - 11 Yd Delivery</t>
  </si>
  <si>
    <t>Drop Box Svc - 11 Yd Temporay Daily Rent</t>
  </si>
  <si>
    <t>Drop Box Svc - Temporary Monthly Rent</t>
  </si>
  <si>
    <t>Drop Box Svc - 20 Yd  Monthly Rent</t>
  </si>
  <si>
    <t>Drop Box Svc - 20Yd 1st p/u</t>
  </si>
  <si>
    <t>Drop Box Svc - 20Yd Ea. Addt'l p/u</t>
  </si>
  <si>
    <t>Drop Box Svc - 20Yd -Temporary Service</t>
  </si>
  <si>
    <t>Drop Box Svc - 20 Yd Delivery</t>
  </si>
  <si>
    <t>Drop Box Svc - Temporay Monthly Rent</t>
  </si>
  <si>
    <t>Drop Box Svc - 20 Yd Temporay Daily Rent</t>
  </si>
  <si>
    <t>Drop Box Svc - 30 Yd  Monthly Rent</t>
  </si>
  <si>
    <t>Drop Box Svc - 30Yd 1st p/u</t>
  </si>
  <si>
    <t>Drop Box Svc - 30Yd Ea. Addt'l p/u</t>
  </si>
  <si>
    <t>Drop Box Svc - 30Yd -Temporary Service</t>
  </si>
  <si>
    <t>Drop Box Svc - 30 Yd Delivery</t>
  </si>
  <si>
    <t>Drop Box Svc - 30 Yd Temporay Daily Rent</t>
  </si>
  <si>
    <t>Drop Box Svc - 40 Yd  Monthly Rent</t>
  </si>
  <si>
    <t>Drop Box Svc - 40Yd 1st p/u</t>
  </si>
  <si>
    <t>Drop Box Svc - 40Yd Ea. Addt'l p/u</t>
  </si>
  <si>
    <t>Drop Box Svc - 40Yd -Temporary Service</t>
  </si>
  <si>
    <t>Drop Box Svc - 40 Yd Delivery</t>
  </si>
  <si>
    <t>Drop Box Svc - 40 Yd Temporay Daily Rent</t>
  </si>
  <si>
    <t>Drop Box Svc - Gate Charge</t>
  </si>
  <si>
    <t>Mileage Charge</t>
  </si>
  <si>
    <t>Drop Box Svc - 25 Yd Comp</t>
  </si>
  <si>
    <t>Drop Box Svc - Mileage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</si>
</sst>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00000"/>
    <numFmt numFmtId="171" formatCode="0.0%"/>
    <numFmt numFmtId="172" formatCode="[$-409]mmmm\ d\,\ yyyy;@"/>
    <numFmt numFmtId="173" formatCode="0.000%"/>
  </numFmts>
  <fonts count="6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8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indexed="42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91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4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32" fillId="26" borderId="1" applyNumberFormat="0" applyAlignment="0" applyProtection="0"/>
    <xf numFmtId="0" fontId="47" fillId="26" borderId="1" applyNumberFormat="0" applyAlignment="0" applyProtection="0"/>
    <xf numFmtId="0" fontId="16" fillId="26" borderId="1" applyNumberFormat="0" applyAlignment="0" applyProtection="0"/>
    <xf numFmtId="0" fontId="47" fillId="4" borderId="1" applyNumberFormat="0" applyAlignment="0" applyProtection="0"/>
    <xf numFmtId="0" fontId="17" fillId="28" borderId="3" applyNumberFormat="0" applyAlignment="0" applyProtection="0"/>
    <xf numFmtId="0" fontId="17" fillId="27" borderId="2" applyNumberFormat="0" applyAlignment="0" applyProtection="0"/>
    <xf numFmtId="0" fontId="2" fillId="29" borderId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30" borderId="4" applyAlignment="0">
      <alignment horizontal="right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5" fillId="31" borderId="0">
      <alignment horizontal="right"/>
      <protection locked="0"/>
    </xf>
    <xf numFmtId="14" fontId="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31" borderId="0">
      <alignment horizontal="right"/>
      <protection locked="0"/>
    </xf>
    <xf numFmtId="1" fontId="2" fillId="0" borderId="0">
      <alignment horizontal="center"/>
    </xf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36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8" applyNumberFormat="0" applyFill="0" applyAlignment="0" applyProtection="0"/>
    <xf numFmtId="0" fontId="49" fillId="0" borderId="5" applyNumberFormat="0" applyFill="0" applyAlignment="0" applyProtection="0"/>
    <xf numFmtId="0" fontId="37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10" applyNumberFormat="0" applyFill="0" applyAlignment="0" applyProtection="0"/>
    <xf numFmtId="0" fontId="50" fillId="0" borderId="9" applyNumberFormat="0" applyFill="0" applyAlignment="0" applyProtection="0"/>
    <xf numFmtId="0" fontId="38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14" applyNumberFormat="0" applyFill="0" applyAlignment="0" applyProtection="0"/>
    <xf numFmtId="0" fontId="51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41" fillId="13" borderId="1" applyNumberFormat="0" applyAlignment="0" applyProtection="0"/>
    <xf numFmtId="0" fontId="25" fillId="13" borderId="1" applyNumberFormat="0" applyAlignment="0" applyProtection="0"/>
    <xf numFmtId="3" fontId="10" fillId="32" borderId="0">
      <protection locked="0"/>
    </xf>
    <xf numFmtId="4" fontId="10" fillId="32" borderId="0">
      <protection locked="0"/>
    </xf>
    <xf numFmtId="0" fontId="42" fillId="0" borderId="16" applyNumberFormat="0" applyFill="0" applyAlignment="0" applyProtection="0"/>
    <xf numFmtId="0" fontId="52" fillId="0" borderId="15" applyNumberFormat="0" applyFill="0" applyAlignment="0" applyProtection="0"/>
    <xf numFmtId="0" fontId="26" fillId="0" borderId="17" applyNumberFormat="0" applyFill="0" applyAlignment="0" applyProtection="0"/>
    <xf numFmtId="0" fontId="43" fillId="13" borderId="0" applyNumberFormat="0" applyBorder="0" applyAlignment="0" applyProtection="0"/>
    <xf numFmtId="0" fontId="53" fillId="13" borderId="0" applyNumberFormat="0" applyBorder="0" applyAlignment="0" applyProtection="0"/>
    <xf numFmtId="0" fontId="27" fillId="13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59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59" fillId="0" borderId="0"/>
    <xf numFmtId="0" fontId="1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3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9" borderId="18" applyNumberFormat="0" applyFont="0" applyAlignment="0" applyProtection="0"/>
    <xf numFmtId="0" fontId="8" fillId="9" borderId="18" applyNumberFormat="0" applyFont="0" applyAlignment="0" applyProtection="0"/>
    <xf numFmtId="0" fontId="28" fillId="9" borderId="18" applyNumberFormat="0" applyFont="0" applyAlignment="0" applyProtection="0"/>
    <xf numFmtId="0" fontId="48" fillId="9" borderId="18" applyNumberFormat="0" applyFont="0" applyAlignment="0" applyProtection="0"/>
    <xf numFmtId="171" fontId="44" fillId="0" borderId="0" applyNumberFormat="0"/>
    <xf numFmtId="0" fontId="24" fillId="26" borderId="20" applyNumberFormat="0" applyAlignment="0" applyProtection="0"/>
    <xf numFmtId="0" fontId="29" fillId="26" borderId="19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1">
      <alignment horizontal="center"/>
    </xf>
    <xf numFmtId="3" fontId="6" fillId="0" borderId="0" applyFont="0" applyFill="0" applyBorder="0" applyAlignment="0" applyProtection="0"/>
    <xf numFmtId="0" fontId="6" fillId="33" borderId="0" applyNumberFormat="0" applyFon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37" fontId="55" fillId="0" borderId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3" applyNumberFormat="0" applyFill="0" applyAlignment="0" applyProtection="0"/>
    <xf numFmtId="0" fontId="31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6" fontId="4" fillId="34" borderId="0" applyFont="0" applyFill="0" applyBorder="0" applyAlignment="0" applyProtection="0">
      <alignment wrapText="1"/>
    </xf>
    <xf numFmtId="0" fontId="61" fillId="0" borderId="0"/>
  </cellStyleXfs>
  <cellXfs count="206">
    <xf numFmtId="0" fontId="0" fillId="0" borderId="0" xfId="0"/>
    <xf numFmtId="43" fontId="0" fillId="0" borderId="0" xfId="82" applyFont="1"/>
    <xf numFmtId="0" fontId="3" fillId="0" borderId="0" xfId="0" applyFont="1"/>
    <xf numFmtId="0" fontId="0" fillId="0" borderId="0" xfId="0" applyFont="1"/>
    <xf numFmtId="44" fontId="3" fillId="0" borderId="0" xfId="0" applyNumberFormat="1" applyFont="1"/>
    <xf numFmtId="165" fontId="0" fillId="35" borderId="0" xfId="126" applyNumberFormat="1" applyFont="1" applyFill="1"/>
    <xf numFmtId="44" fontId="0" fillId="35" borderId="0" xfId="126" applyFont="1" applyFill="1"/>
    <xf numFmtId="44" fontId="0" fillId="35" borderId="4" xfId="126" applyFont="1" applyFill="1" applyBorder="1"/>
    <xf numFmtId="165" fontId="0" fillId="35" borderId="4" xfId="126" applyNumberFormat="1" applyFont="1" applyFill="1" applyBorder="1"/>
    <xf numFmtId="167" fontId="0" fillId="0" borderId="4" xfId="82" applyNumberFormat="1" applyFont="1" applyBorder="1"/>
    <xf numFmtId="169" fontId="0" fillId="35" borderId="0" xfId="126" applyNumberFormat="1" applyFont="1" applyFill="1"/>
    <xf numFmtId="166" fontId="0" fillId="0" borderId="0" xfId="82" applyNumberFormat="1" applyFont="1"/>
    <xf numFmtId="166" fontId="0" fillId="0" borderId="4" xfId="82" applyNumberFormat="1" applyFont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35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68" fontId="0" fillId="0" borderId="0" xfId="0" applyNumberFormat="1" applyFont="1"/>
    <xf numFmtId="44" fontId="0" fillId="0" borderId="0" xfId="0" applyNumberFormat="1" applyFont="1"/>
    <xf numFmtId="170" fontId="0" fillId="0" borderId="0" xfId="0" applyNumberFormat="1" applyFont="1"/>
    <xf numFmtId="0" fontId="0" fillId="36" borderId="4" xfId="0" applyFont="1" applyFill="1" applyBorder="1" applyAlignment="1">
      <alignment horizontal="center"/>
    </xf>
    <xf numFmtId="0" fontId="0" fillId="36" borderId="4" xfId="0" applyFont="1" applyFill="1" applyBorder="1"/>
    <xf numFmtId="0" fontId="3" fillId="36" borderId="4" xfId="0" applyFont="1" applyFill="1" applyBorder="1"/>
    <xf numFmtId="43" fontId="0" fillId="0" borderId="0" xfId="82" applyFont="1" applyAlignment="1">
      <alignment horizontal="center"/>
    </xf>
    <xf numFmtId="164" fontId="0" fillId="0" borderId="0" xfId="126" applyNumberFormat="1" applyFont="1" applyBorder="1"/>
    <xf numFmtId="10" fontId="0" fillId="0" borderId="0" xfId="338" applyNumberFormat="1" applyFont="1" applyBorder="1"/>
    <xf numFmtId="43" fontId="0" fillId="0" borderId="0" xfId="82" applyFont="1" applyFill="1" applyBorder="1"/>
    <xf numFmtId="43" fontId="0" fillId="0" borderId="0" xfId="82" applyFont="1" applyBorder="1"/>
    <xf numFmtId="165" fontId="0" fillId="0" borderId="0" xfId="126" applyNumberFormat="1" applyFont="1" applyBorder="1"/>
    <xf numFmtId="44" fontId="0" fillId="0" borderId="0" xfId="126" applyFont="1" applyBorder="1" applyAlignment="1">
      <alignment horizontal="right"/>
    </xf>
    <xf numFmtId="10" fontId="0" fillId="0" borderId="0" xfId="338" applyNumberFormat="1" applyFont="1" applyBorder="1" applyAlignment="1">
      <alignment horizontal="right"/>
    </xf>
    <xf numFmtId="166" fontId="0" fillId="0" borderId="0" xfId="82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0" fillId="0" borderId="0" xfId="82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43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44" fontId="0" fillId="0" borderId="0" xfId="0" applyNumberFormat="1" applyFont="1" applyBorder="1"/>
    <xf numFmtId="0" fontId="11" fillId="0" borderId="0" xfId="330" applyFont="1" applyFill="1" applyBorder="1" applyAlignment="1">
      <alignment horizontal="left"/>
    </xf>
    <xf numFmtId="166" fontId="11" fillId="0" borderId="0" xfId="82" applyNumberFormat="1" applyFont="1" applyFill="1" applyBorder="1" applyAlignment="1">
      <alignment horizontal="left"/>
    </xf>
    <xf numFmtId="166" fontId="0" fillId="0" borderId="0" xfId="82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36" borderId="4" xfId="0" applyFont="1" applyFill="1" applyBorder="1" applyAlignment="1">
      <alignment vertical="center" textRotation="90"/>
    </xf>
    <xf numFmtId="0" fontId="12" fillId="36" borderId="4" xfId="330" applyFont="1" applyFill="1" applyBorder="1" applyAlignment="1">
      <alignment horizontal="left"/>
    </xf>
    <xf numFmtId="44" fontId="0" fillId="0" borderId="0" xfId="0" applyNumberFormat="1" applyFont="1" applyFill="1" applyBorder="1"/>
    <xf numFmtId="3" fontId="3" fillId="36" borderId="4" xfId="0" applyNumberFormat="1" applyFont="1" applyFill="1" applyBorder="1" applyAlignment="1">
      <alignment horizontal="right"/>
    </xf>
    <xf numFmtId="43" fontId="0" fillId="36" borderId="4" xfId="82" applyFont="1" applyFill="1" applyBorder="1"/>
    <xf numFmtId="43" fontId="0" fillId="36" borderId="4" xfId="0" applyNumberFormat="1" applyFont="1" applyFill="1" applyBorder="1"/>
    <xf numFmtId="166" fontId="3" fillId="0" borderId="4" xfId="82" applyNumberFormat="1" applyFont="1" applyBorder="1" applyAlignment="1">
      <alignment horizontal="center"/>
    </xf>
    <xf numFmtId="44" fontId="0" fillId="0" borderId="0" xfId="82" applyNumberFormat="1" applyFont="1" applyFill="1" applyBorder="1"/>
    <xf numFmtId="166" fontId="0" fillId="0" borderId="0" xfId="82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textRotation="90"/>
    </xf>
    <xf numFmtId="0" fontId="12" fillId="0" borderId="0" xfId="330" applyFont="1" applyFill="1" applyBorder="1" applyAlignment="1">
      <alignment horizontal="left"/>
    </xf>
    <xf numFmtId="166" fontId="3" fillId="0" borderId="0" xfId="82" applyNumberFormat="1" applyFont="1" applyBorder="1" applyAlignment="1">
      <alignment horizontal="right"/>
    </xf>
    <xf numFmtId="0" fontId="9" fillId="0" borderId="0" xfId="319" applyFont="1" applyBorder="1" applyAlignment="1">
      <alignment horizontal="left"/>
    </xf>
    <xf numFmtId="166" fontId="0" fillId="35" borderId="0" xfId="82" applyNumberFormat="1" applyFont="1" applyFill="1" applyBorder="1" applyAlignment="1">
      <alignment horizontal="right"/>
    </xf>
    <xf numFmtId="44" fontId="0" fillId="0" borderId="0" xfId="126" applyFont="1" applyFill="1" applyBorder="1"/>
    <xf numFmtId="166" fontId="0" fillId="0" borderId="0" xfId="82" applyNumberFormat="1" applyFont="1" applyFill="1" applyBorder="1"/>
    <xf numFmtId="43" fontId="0" fillId="0" borderId="0" xfId="82" applyNumberFormat="1" applyFont="1" applyFill="1" applyBorder="1"/>
    <xf numFmtId="44" fontId="0" fillId="32" borderId="0" xfId="126" applyFont="1" applyFill="1" applyBorder="1"/>
    <xf numFmtId="44" fontId="3" fillId="36" borderId="4" xfId="126" applyFont="1" applyFill="1" applyBorder="1"/>
    <xf numFmtId="44" fontId="0" fillId="36" borderId="4" xfId="126" applyFont="1" applyFill="1" applyBorder="1"/>
    <xf numFmtId="44" fontId="3" fillId="0" borderId="0" xfId="126" applyFont="1" applyBorder="1" applyAlignment="1">
      <alignment horizontal="right"/>
    </xf>
    <xf numFmtId="0" fontId="0" fillId="36" borderId="0" xfId="0" applyFont="1" applyFill="1" applyBorder="1"/>
    <xf numFmtId="0" fontId="0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right"/>
    </xf>
    <xf numFmtId="166" fontId="0" fillId="36" borderId="0" xfId="82" applyNumberFormat="1" applyFont="1" applyFill="1" applyBorder="1"/>
    <xf numFmtId="44" fontId="0" fillId="36" borderId="0" xfId="82" applyNumberFormat="1" applyFont="1" applyFill="1" applyBorder="1"/>
    <xf numFmtId="0" fontId="3" fillId="36" borderId="0" xfId="0" applyFont="1" applyFill="1" applyBorder="1"/>
    <xf numFmtId="166" fontId="0" fillId="0" borderId="4" xfId="82" applyNumberFormat="1" applyFont="1" applyFill="1" applyBorder="1"/>
    <xf numFmtId="0" fontId="3" fillId="36" borderId="4" xfId="0" applyFont="1" applyFill="1" applyBorder="1" applyAlignment="1">
      <alignment horizontal="center" wrapText="1"/>
    </xf>
    <xf numFmtId="0" fontId="3" fillId="36" borderId="4" xfId="0" applyFont="1" applyFill="1" applyBorder="1" applyAlignment="1">
      <alignment horizontal="center" vertical="center"/>
    </xf>
    <xf numFmtId="0" fontId="0" fillId="36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11" fillId="0" borderId="0" xfId="319" applyFont="1" applyBorder="1" applyAlignment="1">
      <alignment horizontal="left"/>
    </xf>
    <xf numFmtId="0" fontId="0" fillId="35" borderId="0" xfId="0" applyFont="1" applyFill="1" applyBorder="1" applyAlignment="1">
      <alignment horizontal="left"/>
    </xf>
    <xf numFmtId="0" fontId="9" fillId="0" borderId="0" xfId="330" applyFont="1" applyFill="1" applyBorder="1" applyAlignment="1">
      <alignment horizontal="left"/>
    </xf>
    <xf numFmtId="0" fontId="0" fillId="37" borderId="0" xfId="0" applyFont="1" applyFill="1" applyBorder="1" applyAlignment="1">
      <alignment horizontal="left"/>
    </xf>
    <xf numFmtId="44" fontId="0" fillId="0" borderId="4" xfId="126" applyFont="1" applyFill="1" applyBorder="1"/>
    <xf numFmtId="44" fontId="0" fillId="0" borderId="0" xfId="126" applyFont="1" applyBorder="1"/>
    <xf numFmtId="0" fontId="3" fillId="0" borderId="27" xfId="0" applyFont="1" applyBorder="1"/>
    <xf numFmtId="0" fontId="0" fillId="36" borderId="28" xfId="0" applyFont="1" applyFill="1" applyBorder="1" applyAlignment="1">
      <alignment horizontal="center"/>
    </xf>
    <xf numFmtId="0" fontId="0" fillId="0" borderId="29" xfId="0" applyFont="1" applyBorder="1"/>
    <xf numFmtId="44" fontId="0" fillId="0" borderId="30" xfId="126" applyFont="1" applyBorder="1"/>
    <xf numFmtId="0" fontId="0" fillId="0" borderId="30" xfId="0" applyFont="1" applyBorder="1"/>
    <xf numFmtId="0" fontId="3" fillId="0" borderId="29" xfId="0" applyFont="1" applyBorder="1"/>
    <xf numFmtId="0" fontId="0" fillId="36" borderId="31" xfId="0" applyFont="1" applyFill="1" applyBorder="1" applyAlignment="1">
      <alignment horizontal="center"/>
    </xf>
    <xf numFmtId="44" fontId="1" fillId="0" borderId="30" xfId="126" applyFont="1" applyBorder="1"/>
    <xf numFmtId="0" fontId="0" fillId="0" borderId="32" xfId="0" applyFont="1" applyBorder="1" applyAlignment="1">
      <alignment horizontal="left"/>
    </xf>
    <xf numFmtId="44" fontId="0" fillId="0" borderId="33" xfId="126" applyFont="1" applyBorder="1"/>
    <xf numFmtId="164" fontId="0" fillId="0" borderId="0" xfId="0" applyNumberFormat="1" applyFont="1" applyFill="1" applyBorder="1"/>
    <xf numFmtId="43" fontId="3" fillId="0" borderId="0" xfId="82" applyNumberFormat="1" applyFont="1" applyBorder="1" applyAlignment="1">
      <alignment horizontal="right"/>
    </xf>
    <xf numFmtId="43" fontId="0" fillId="0" borderId="4" xfId="82" applyNumberFormat="1" applyFont="1" applyFill="1" applyBorder="1"/>
    <xf numFmtId="166" fontId="0" fillId="0" borderId="4" xfId="82" applyNumberFormat="1" applyFont="1" applyFill="1" applyBorder="1" applyAlignment="1">
      <alignment horizontal="center" wrapText="1"/>
    </xf>
    <xf numFmtId="0" fontId="11" fillId="0" borderId="0" xfId="329" applyFont="1" applyBorder="1"/>
    <xf numFmtId="0" fontId="0" fillId="0" borderId="4" xfId="0" applyFont="1" applyFill="1" applyBorder="1" applyAlignment="1">
      <alignment horizontal="center" vertical="center"/>
    </xf>
    <xf numFmtId="166" fontId="11" fillId="0" borderId="0" xfId="82" applyNumberFormat="1" applyFont="1" applyFill="1" applyBorder="1"/>
    <xf numFmtId="0" fontId="11" fillId="0" borderId="4" xfId="329" applyFont="1" applyBorder="1"/>
    <xf numFmtId="0" fontId="3" fillId="36" borderId="4" xfId="0" applyFont="1" applyFill="1" applyBorder="1" applyAlignment="1">
      <alignment wrapText="1"/>
    </xf>
    <xf numFmtId="166" fontId="3" fillId="36" borderId="4" xfId="82" applyNumberFormat="1" applyFont="1" applyFill="1" applyBorder="1" applyAlignment="1">
      <alignment horizontal="center" wrapText="1"/>
    </xf>
    <xf numFmtId="0" fontId="56" fillId="0" borderId="0" xfId="82" applyNumberFormat="1" applyFont="1" applyBorder="1" applyAlignment="1">
      <alignment horizontal="left"/>
    </xf>
    <xf numFmtId="0" fontId="0" fillId="0" borderId="0" xfId="82" applyNumberFormat="1" applyFont="1" applyBorder="1"/>
    <xf numFmtId="43" fontId="9" fillId="0" borderId="0" xfId="82" applyNumberFormat="1" applyFont="1" applyFill="1" applyBorder="1"/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/>
    <xf numFmtId="43" fontId="11" fillId="0" borderId="0" xfId="83" applyFont="1"/>
    <xf numFmtId="44" fontId="11" fillId="0" borderId="0" xfId="129" applyFont="1"/>
    <xf numFmtId="3" fontId="11" fillId="0" borderId="0" xfId="200" applyNumberFormat="1" applyFont="1" applyBorder="1"/>
    <xf numFmtId="166" fontId="11" fillId="0" borderId="0" xfId="322" applyNumberFormat="1" applyFont="1" applyBorder="1"/>
    <xf numFmtId="3" fontId="11" fillId="0" borderId="0" xfId="200" applyNumberFormat="1" applyFont="1"/>
    <xf numFmtId="166" fontId="11" fillId="0" borderId="0" xfId="82" applyNumberFormat="1" applyFont="1"/>
    <xf numFmtId="10" fontId="0" fillId="0" borderId="0" xfId="338" applyNumberFormat="1" applyFont="1" applyFill="1" applyBorder="1"/>
    <xf numFmtId="0" fontId="11" fillId="0" borderId="0" xfId="329" applyFont="1" applyBorder="1" applyAlignment="1">
      <alignment horizontal="left" indent="1"/>
    </xf>
    <xf numFmtId="0" fontId="0" fillId="0" borderId="34" xfId="0" applyFont="1" applyFill="1" applyBorder="1" applyAlignment="1">
      <alignment horizontal="center" vertical="center" textRotation="90"/>
    </xf>
    <xf numFmtId="0" fontId="0" fillId="0" borderId="34" xfId="0" applyFont="1" applyFill="1" applyBorder="1" applyAlignment="1">
      <alignment horizontal="center" vertical="center"/>
    </xf>
    <xf numFmtId="166" fontId="0" fillId="0" borderId="34" xfId="82" applyNumberFormat="1" applyFont="1" applyBorder="1"/>
    <xf numFmtId="43" fontId="0" fillId="0" borderId="34" xfId="82" applyNumberFormat="1" applyFont="1" applyFill="1" applyBorder="1"/>
    <xf numFmtId="166" fontId="0" fillId="0" borderId="34" xfId="82" applyNumberFormat="1" applyFont="1" applyFill="1" applyBorder="1"/>
    <xf numFmtId="166" fontId="0" fillId="0" borderId="34" xfId="82" applyNumberFormat="1" applyFont="1" applyFill="1" applyBorder="1" applyAlignment="1">
      <alignment horizontal="center" wrapText="1"/>
    </xf>
    <xf numFmtId="44" fontId="0" fillId="0" borderId="34" xfId="126" applyFont="1" applyFill="1" applyBorder="1"/>
    <xf numFmtId="44" fontId="0" fillId="0" borderId="34" xfId="126" applyFont="1" applyBorder="1"/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Font="1" applyFill="1"/>
    <xf numFmtId="166" fontId="11" fillId="0" borderId="0" xfId="83" applyNumberFormat="1" applyFont="1"/>
    <xf numFmtId="166" fontId="3" fillId="36" borderId="4" xfId="0" applyNumberFormat="1" applyFont="1" applyFill="1" applyBorder="1" applyAlignment="1">
      <alignment horizontal="right"/>
    </xf>
    <xf numFmtId="166" fontId="0" fillId="0" borderId="0" xfId="0" applyNumberFormat="1" applyFont="1" applyBorder="1"/>
    <xf numFmtId="166" fontId="0" fillId="36" borderId="0" xfId="0" applyNumberFormat="1" applyFont="1" applyFill="1" applyBorder="1"/>
    <xf numFmtId="44" fontId="0" fillId="38" borderId="0" xfId="126" applyFont="1" applyFill="1" applyBorder="1"/>
    <xf numFmtId="3" fontId="11" fillId="39" borderId="0" xfId="200" applyNumberFormat="1" applyFont="1" applyFill="1"/>
    <xf numFmtId="43" fontId="0" fillId="39" borderId="0" xfId="82" applyNumberFormat="1" applyFont="1" applyFill="1" applyBorder="1"/>
    <xf numFmtId="166" fontId="11" fillId="39" borderId="0" xfId="82" applyNumberFormat="1" applyFont="1" applyFill="1"/>
    <xf numFmtId="166" fontId="11" fillId="39" borderId="0" xfId="83" applyNumberFormat="1" applyFont="1" applyFill="1"/>
    <xf numFmtId="166" fontId="0" fillId="39" borderId="0" xfId="82" applyNumberFormat="1" applyFont="1" applyFill="1" applyBorder="1"/>
    <xf numFmtId="166" fontId="0" fillId="39" borderId="0" xfId="82" applyNumberFormat="1" applyFont="1" applyFill="1" applyBorder="1" applyAlignment="1">
      <alignment horizontal="center" wrapText="1"/>
    </xf>
    <xf numFmtId="44" fontId="0" fillId="39" borderId="0" xfId="126" applyFont="1" applyFill="1" applyBorder="1"/>
    <xf numFmtId="44" fontId="0" fillId="40" borderId="0" xfId="126" applyFont="1" applyFill="1" applyBorder="1"/>
    <xf numFmtId="44" fontId="0" fillId="41" borderId="0" xfId="126" applyFont="1" applyFill="1" applyBorder="1"/>
    <xf numFmtId="3" fontId="11" fillId="42" borderId="0" xfId="200" applyNumberFormat="1" applyFont="1" applyFill="1"/>
    <xf numFmtId="166" fontId="0" fillId="42" borderId="0" xfId="82" applyNumberFormat="1" applyFont="1" applyFill="1" applyBorder="1"/>
    <xf numFmtId="43" fontId="0" fillId="42" borderId="0" xfId="82" applyNumberFormat="1" applyFont="1" applyFill="1" applyBorder="1"/>
    <xf numFmtId="166" fontId="11" fillId="42" borderId="0" xfId="83" applyNumberFormat="1" applyFont="1" applyFill="1"/>
    <xf numFmtId="166" fontId="0" fillId="42" borderId="0" xfId="82" applyNumberFormat="1" applyFont="1" applyFill="1" applyBorder="1" applyAlignment="1">
      <alignment horizontal="center" wrapText="1"/>
    </xf>
    <xf numFmtId="44" fontId="0" fillId="42" borderId="0" xfId="126" applyFont="1" applyFill="1" applyBorder="1"/>
    <xf numFmtId="1" fontId="0" fillId="0" borderId="0" xfId="82" applyNumberFormat="1" applyFont="1" applyBorder="1"/>
    <xf numFmtId="1" fontId="0" fillId="0" borderId="0" xfId="0" applyNumberFormat="1" applyFont="1" applyBorder="1"/>
    <xf numFmtId="1" fontId="0" fillId="39" borderId="0" xfId="0" applyNumberFormat="1" applyFont="1" applyFill="1" applyBorder="1"/>
    <xf numFmtId="1" fontId="0" fillId="42" borderId="0" xfId="82" applyNumberFormat="1" applyFont="1" applyFill="1" applyBorder="1"/>
    <xf numFmtId="0" fontId="60" fillId="0" borderId="0" xfId="0" applyFont="1" applyBorder="1" applyAlignment="1">
      <alignment horizontal="centerContinuous"/>
    </xf>
    <xf numFmtId="166" fontId="60" fillId="0" borderId="0" xfId="82" applyNumberFormat="1" applyFont="1" applyBorder="1" applyAlignment="1">
      <alignment horizontal="centerContinuous"/>
    </xf>
    <xf numFmtId="3" fontId="0" fillId="0" borderId="0" xfId="0" applyNumberFormat="1"/>
    <xf numFmtId="0" fontId="0" fillId="43" borderId="4" xfId="0" applyFont="1" applyFill="1" applyBorder="1" applyAlignment="1">
      <alignment horizontal="center"/>
    </xf>
    <xf numFmtId="0" fontId="0" fillId="43" borderId="0" xfId="0" applyFont="1" applyFill="1" applyAlignment="1">
      <alignment horizontal="left"/>
    </xf>
    <xf numFmtId="44" fontId="0" fillId="43" borderId="0" xfId="126" applyFont="1" applyFill="1"/>
    <xf numFmtId="44" fontId="0" fillId="43" borderId="4" xfId="126" applyFont="1" applyFill="1" applyBorder="1"/>
    <xf numFmtId="0" fontId="0" fillId="43" borderId="0" xfId="0" applyFont="1" applyFill="1" applyAlignment="1">
      <alignment horizontal="left" indent="1"/>
    </xf>
    <xf numFmtId="10" fontId="0" fillId="0" borderId="0" xfId="0" applyNumberFormat="1"/>
    <xf numFmtId="3" fontId="0" fillId="0" borderId="4" xfId="0" applyNumberFormat="1" applyBorder="1"/>
    <xf numFmtId="10" fontId="0" fillId="0" borderId="4" xfId="0" applyNumberFormat="1" applyBorder="1"/>
    <xf numFmtId="0" fontId="60" fillId="0" borderId="0" xfId="0" applyFont="1" applyAlignment="1">
      <alignment horizontal="centerContinuous"/>
    </xf>
    <xf numFmtId="172" fontId="60" fillId="0" borderId="0" xfId="0" applyNumberFormat="1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vertical="center" textRotation="90"/>
    </xf>
    <xf numFmtId="0" fontId="3" fillId="0" borderId="4" xfId="0" applyFont="1" applyFill="1" applyBorder="1"/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Alignment="1">
      <alignment vertical="center" wrapText="1"/>
    </xf>
    <xf numFmtId="44" fontId="0" fillId="0" borderId="0" xfId="0" applyNumberFormat="1"/>
    <xf numFmtId="0" fontId="0" fillId="44" borderId="0" xfId="0" applyFill="1" applyAlignment="1">
      <alignment horizontal="right"/>
    </xf>
    <xf numFmtId="0" fontId="0" fillId="45" borderId="0" xfId="0" applyFill="1" applyBorder="1" applyAlignment="1">
      <alignment horizontal="center" wrapText="1"/>
    </xf>
    <xf numFmtId="44" fontId="11" fillId="46" borderId="0" xfId="129" applyFont="1" applyFill="1"/>
    <xf numFmtId="44" fontId="0" fillId="46" borderId="0" xfId="126" applyFont="1" applyFill="1" applyBorder="1"/>
    <xf numFmtId="44" fontId="11" fillId="46" borderId="0" xfId="126" applyFont="1" applyFill="1" applyBorder="1"/>
    <xf numFmtId="0" fontId="0" fillId="46" borderId="0" xfId="0" applyFont="1" applyFill="1" applyBorder="1"/>
    <xf numFmtId="167" fontId="0" fillId="47" borderId="0" xfId="82" applyNumberFormat="1" applyFont="1" applyFill="1"/>
    <xf numFmtId="167" fontId="0" fillId="47" borderId="0" xfId="82" applyNumberFormat="1" applyFont="1" applyFill="1" applyBorder="1"/>
    <xf numFmtId="0" fontId="0" fillId="36" borderId="0" xfId="0" applyFont="1" applyFill="1" applyAlignment="1">
      <alignment horizontal="center"/>
    </xf>
    <xf numFmtId="0" fontId="3" fillId="36" borderId="4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36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26" xfId="0" applyFont="1" applyFill="1" applyBorder="1" applyAlignment="1">
      <alignment horizontal="center" vertical="center" textRotation="90"/>
    </xf>
    <xf numFmtId="0" fontId="0" fillId="0" borderId="26" xfId="0" applyFont="1" applyFill="1" applyBorder="1" applyAlignment="1">
      <alignment vertical="top" textRotation="90"/>
    </xf>
    <xf numFmtId="0" fontId="0" fillId="0" borderId="0" xfId="0" applyAlignment="1"/>
    <xf numFmtId="0" fontId="61" fillId="0" borderId="0" xfId="390" applyAlignment="1">
      <alignment horizontal="centerContinuous"/>
    </xf>
    <xf numFmtId="0" fontId="61" fillId="0" borderId="0" xfId="390" applyFill="1" applyAlignment="1">
      <alignment horizontal="centerContinuous"/>
    </xf>
    <xf numFmtId="0" fontId="61" fillId="0" borderId="0" xfId="390"/>
    <xf numFmtId="0" fontId="61" fillId="0" borderId="0" xfId="390" applyFill="1"/>
    <xf numFmtId="0" fontId="61" fillId="0" borderId="0" xfId="390" applyAlignment="1">
      <alignment horizontal="center"/>
    </xf>
    <xf numFmtId="0" fontId="61" fillId="0" borderId="0" xfId="390" applyAlignment="1">
      <alignment horizontal="center" wrapText="1"/>
    </xf>
    <xf numFmtId="0" fontId="61" fillId="0" borderId="0" xfId="390" applyAlignment="1">
      <alignment horizontal="center"/>
    </xf>
    <xf numFmtId="0" fontId="61" fillId="0" borderId="0" xfId="390" applyFill="1" applyAlignment="1">
      <alignment horizontal="center" wrapText="1"/>
    </xf>
    <xf numFmtId="173" fontId="61" fillId="0" borderId="0" xfId="390" applyNumberFormat="1" applyAlignment="1">
      <alignment horizontal="center"/>
    </xf>
    <xf numFmtId="10" fontId="61" fillId="0" borderId="0" xfId="390" applyNumberFormat="1" applyAlignment="1">
      <alignment horizontal="center"/>
    </xf>
    <xf numFmtId="4" fontId="61" fillId="0" borderId="0" xfId="390" applyNumberFormat="1" applyFill="1"/>
    <xf numFmtId="4" fontId="61" fillId="0" borderId="0" xfId="390" applyNumberFormat="1"/>
    <xf numFmtId="3" fontId="61" fillId="0" borderId="0" xfId="390" applyNumberFormat="1"/>
  </cellXfs>
  <cellStyles count="391">
    <cellStyle name="20% - Accent1 2" xfId="1"/>
    <cellStyle name="20% - Accent1 2 2" xfId="2"/>
    <cellStyle name="20% - Accent1 3" xfId="3"/>
    <cellStyle name="20% - Accent1 3 2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2 2" xfId="10"/>
    <cellStyle name="20% - Accent4 3" xfId="11"/>
    <cellStyle name="20% - Accent4 3 2" xfId="12"/>
    <cellStyle name="20% - Accent5 2" xfId="13"/>
    <cellStyle name="20% - Accent5 3" xfId="14"/>
    <cellStyle name="20% - Accent6 2" xfId="15"/>
    <cellStyle name="20% - Accent6 3" xfId="16"/>
    <cellStyle name="40% - Accent1 2" xfId="17"/>
    <cellStyle name="40% - Accent1 3" xfId="18"/>
    <cellStyle name="40% - Accent1 3 2" xfId="19"/>
    <cellStyle name="40% - Accent2 2" xfId="20"/>
    <cellStyle name="40% - Accent2 3" xfId="21"/>
    <cellStyle name="40% - Accent3 2" xfId="22"/>
    <cellStyle name="40% - Accent3 3" xfId="23"/>
    <cellStyle name="40% - Accent4 2" xfId="24"/>
    <cellStyle name="40% - Accent4 3" xfId="25"/>
    <cellStyle name="40% - Accent4 3 2" xfId="26"/>
    <cellStyle name="40% - Accent5 2" xfId="27"/>
    <cellStyle name="40% - Accent5 3" xfId="28"/>
    <cellStyle name="40% - Accent6 2" xfId="29"/>
    <cellStyle name="40% - Accent6 3" xfId="30"/>
    <cellStyle name="40% - Accent6 3 2" xfId="31"/>
    <cellStyle name="60% - Accent1 2" xfId="32"/>
    <cellStyle name="60% - Accent1 2 2" xfId="33"/>
    <cellStyle name="60% - Accent1 3" xfId="34"/>
    <cellStyle name="60% - Accent1 3 2" xfId="35"/>
    <cellStyle name="60% - Accent2 2" xfId="36"/>
    <cellStyle name="60% - Accent2 3" xfId="37"/>
    <cellStyle name="60% - Accent3 2" xfId="38"/>
    <cellStyle name="60% - Accent3 3" xfId="39"/>
    <cellStyle name="60% - Accent3 3 2" xfId="40"/>
    <cellStyle name="60% - Accent4 2" xfId="41"/>
    <cellStyle name="60% - Accent4 3" xfId="42"/>
    <cellStyle name="60% - Accent4 3 2" xfId="43"/>
    <cellStyle name="60% - Accent5 2" xfId="44"/>
    <cellStyle name="60% - Accent5 2 2" xfId="45"/>
    <cellStyle name="60% - Accent5 3" xfId="46"/>
    <cellStyle name="60% - Accent6 2" xfId="47"/>
    <cellStyle name="60% - Accent6 3" xfId="48"/>
    <cellStyle name="Accent1 2" xfId="49"/>
    <cellStyle name="Accent1 2 2" xfId="50"/>
    <cellStyle name="Accent1 3" xfId="51"/>
    <cellStyle name="Accent1 3 2" xfId="52"/>
    <cellStyle name="Accent2 2" xfId="53"/>
    <cellStyle name="Accent2 3" xfId="54"/>
    <cellStyle name="Accent3 2" xfId="55"/>
    <cellStyle name="Accent3 2 2" xfId="56"/>
    <cellStyle name="Accent3 3" xfId="57"/>
    <cellStyle name="Accent4 2" xfId="58"/>
    <cellStyle name="Accent4 3" xfId="59"/>
    <cellStyle name="Accent5 2" xfId="60"/>
    <cellStyle name="Accent5 3" xfId="61"/>
    <cellStyle name="Accent6 2" xfId="62"/>
    <cellStyle name="Accent6 2 2" xfId="63"/>
    <cellStyle name="Accent6 3" xfId="64"/>
    <cellStyle name="Accounting" xfId="65"/>
    <cellStyle name="Accounting 2" xfId="66"/>
    <cellStyle name="Accounting 3" xfId="67"/>
    <cellStyle name="Accounting_2011-11" xfId="68"/>
    <cellStyle name="Bad 2" xfId="69"/>
    <cellStyle name="Bad 3" xfId="70"/>
    <cellStyle name="Budget" xfId="71"/>
    <cellStyle name="Budget 2" xfId="72"/>
    <cellStyle name="Budget 3" xfId="73"/>
    <cellStyle name="Budget_2011-11" xfId="74"/>
    <cellStyle name="Calculation 2" xfId="75"/>
    <cellStyle name="Calculation 2 2" xfId="76"/>
    <cellStyle name="Calculation 3" xfId="77"/>
    <cellStyle name="Calculation 3 2" xfId="78"/>
    <cellStyle name="Check Cell 2" xfId="79"/>
    <cellStyle name="Check Cell 3" xfId="80"/>
    <cellStyle name="combo" xfId="81"/>
    <cellStyle name="Comma" xfId="82" builtinId="3"/>
    <cellStyle name="Comma 10" xfId="83"/>
    <cellStyle name="Comma 11" xfId="84"/>
    <cellStyle name="Comma 12" xfId="85"/>
    <cellStyle name="Comma 12 2" xfId="86"/>
    <cellStyle name="Comma 12 3" xfId="87"/>
    <cellStyle name="Comma 13" xfId="88"/>
    <cellStyle name="Comma 14" xfId="89"/>
    <cellStyle name="Comma 15" xfId="90"/>
    <cellStyle name="Comma 16" xfId="91"/>
    <cellStyle name="Comma 17" xfId="92"/>
    <cellStyle name="Comma 18" xfId="93"/>
    <cellStyle name="Comma 19" xfId="94"/>
    <cellStyle name="Comma 2" xfId="95"/>
    <cellStyle name="Comma 2 2" xfId="96"/>
    <cellStyle name="Comma 2 2 2" xfId="97"/>
    <cellStyle name="Comma 2 3" xfId="98"/>
    <cellStyle name="Comma 2 4" xfId="99"/>
    <cellStyle name="Comma 2 6" xfId="100"/>
    <cellStyle name="Comma 2 6 2" xfId="101"/>
    <cellStyle name="Comma 20" xfId="102"/>
    <cellStyle name="Comma 3" xfId="103"/>
    <cellStyle name="Comma 3 2" xfId="104"/>
    <cellStyle name="Comma 3 2 2" xfId="105"/>
    <cellStyle name="Comma 3 3" xfId="106"/>
    <cellStyle name="Comma 3 4" xfId="107"/>
    <cellStyle name="Comma 4" xfId="108"/>
    <cellStyle name="Comma 4 2" xfId="109"/>
    <cellStyle name="Comma 4 2 2" xfId="110"/>
    <cellStyle name="Comma 4 3" xfId="111"/>
    <cellStyle name="Comma 4 3 2" xfId="112"/>
    <cellStyle name="Comma 4 4" xfId="113"/>
    <cellStyle name="Comma 4 5" xfId="114"/>
    <cellStyle name="Comma 4 6" xfId="115"/>
    <cellStyle name="Comma 5" xfId="116"/>
    <cellStyle name="Comma 6" xfId="117"/>
    <cellStyle name="Comma 6 2" xfId="118"/>
    <cellStyle name="Comma 7" xfId="119"/>
    <cellStyle name="Comma 8" xfId="120"/>
    <cellStyle name="Comma 9" xfId="121"/>
    <cellStyle name="Comma(2)" xfId="122"/>
    <cellStyle name="Comma0 - Style2" xfId="123"/>
    <cellStyle name="Comma1 - Style1" xfId="124"/>
    <cellStyle name="Comments" xfId="125"/>
    <cellStyle name="Currency" xfId="126" builtinId="4"/>
    <cellStyle name="Currency 10" xfId="127"/>
    <cellStyle name="Currency 11" xfId="128"/>
    <cellStyle name="Currency 2" xfId="129"/>
    <cellStyle name="Currency 2 2" xfId="130"/>
    <cellStyle name="Currency 2 2 2" xfId="131"/>
    <cellStyle name="Currency 2 3" xfId="132"/>
    <cellStyle name="Currency 2 3 2" xfId="133"/>
    <cellStyle name="Currency 2 6" xfId="134"/>
    <cellStyle name="Currency 2 6 2" xfId="135"/>
    <cellStyle name="Currency 3" xfId="136"/>
    <cellStyle name="Currency 3 2" xfId="137"/>
    <cellStyle name="Currency 3 3" xfId="138"/>
    <cellStyle name="Currency 3 4" xfId="139"/>
    <cellStyle name="Currency 4" xfId="140"/>
    <cellStyle name="Currency 4 2" xfId="141"/>
    <cellStyle name="Currency 5" xfId="142"/>
    <cellStyle name="Currency 5 2" xfId="143"/>
    <cellStyle name="Currency 5 3" xfId="144"/>
    <cellStyle name="Currency 6" xfId="145"/>
    <cellStyle name="Currency 7" xfId="146"/>
    <cellStyle name="Currency 8" xfId="147"/>
    <cellStyle name="Currency 9" xfId="148"/>
    <cellStyle name="Data Enter" xfId="149"/>
    <cellStyle name="date" xfId="150"/>
    <cellStyle name="Explanatory Text 2" xfId="151"/>
    <cellStyle name="Explanatory Text 3" xfId="152"/>
    <cellStyle name="FactSheet" xfId="153"/>
    <cellStyle name="fish" xfId="154"/>
    <cellStyle name="Good 2" xfId="155"/>
    <cellStyle name="Good 3" xfId="156"/>
    <cellStyle name="Heading 1 2" xfId="157"/>
    <cellStyle name="Heading 1 2 2" xfId="158"/>
    <cellStyle name="Heading 1 3" xfId="159"/>
    <cellStyle name="Heading 1 3 2" xfId="160"/>
    <cellStyle name="Heading 2 2" xfId="161"/>
    <cellStyle name="Heading 2 2 2" xfId="162"/>
    <cellStyle name="Heading 2 3" xfId="163"/>
    <cellStyle name="Heading 2 3 2" xfId="164"/>
    <cellStyle name="Heading 3 2" xfId="165"/>
    <cellStyle name="Heading 3 2 2" xfId="166"/>
    <cellStyle name="Heading 3 3" xfId="167"/>
    <cellStyle name="Heading 3 3 2" xfId="168"/>
    <cellStyle name="Heading 4 2" xfId="169"/>
    <cellStyle name="Heading 4 3" xfId="170"/>
    <cellStyle name="Hyperlink 2" xfId="171"/>
    <cellStyle name="Hyperlink 3" xfId="172"/>
    <cellStyle name="Hyperlink 3 2" xfId="173"/>
    <cellStyle name="Input 2" xfId="174"/>
    <cellStyle name="Input 3" xfId="175"/>
    <cellStyle name="input(0)" xfId="176"/>
    <cellStyle name="Input(2)" xfId="177"/>
    <cellStyle name="Linked Cell 2" xfId="178"/>
    <cellStyle name="Linked Cell 2 2" xfId="179"/>
    <cellStyle name="Linked Cell 3" xfId="180"/>
    <cellStyle name="Neutral 2" xfId="181"/>
    <cellStyle name="Neutral 2 2" xfId="182"/>
    <cellStyle name="Neutral 3" xfId="183"/>
    <cellStyle name="New_normal" xfId="184"/>
    <cellStyle name="Normal" xfId="0" builtinId="0"/>
    <cellStyle name="Normal - Style1" xfId="185"/>
    <cellStyle name="Normal - Style2" xfId="186"/>
    <cellStyle name="Normal - Style3" xfId="187"/>
    <cellStyle name="Normal - Style4" xfId="188"/>
    <cellStyle name="Normal - Style5" xfId="189"/>
    <cellStyle name="Normal 10" xfId="190"/>
    <cellStyle name="Normal 10 2" xfId="191"/>
    <cellStyle name="Normal 10 2 2" xfId="192"/>
    <cellStyle name="Normal 10 2 3" xfId="193"/>
    <cellStyle name="Normal 10_2112 DF Schedule" xfId="194"/>
    <cellStyle name="Normal 100" xfId="195"/>
    <cellStyle name="Normal 101" xfId="196"/>
    <cellStyle name="Normal 102" xfId="197"/>
    <cellStyle name="Normal 103" xfId="198"/>
    <cellStyle name="Normal 104" xfId="199"/>
    <cellStyle name="Normal 105" xfId="200"/>
    <cellStyle name="Normal 106" xfId="201"/>
    <cellStyle name="Normal 107" xfId="202"/>
    <cellStyle name="Normal 108" xfId="203"/>
    <cellStyle name="Normal 109" xfId="390"/>
    <cellStyle name="Normal 11" xfId="204"/>
    <cellStyle name="Normal 12" xfId="205"/>
    <cellStyle name="Normal 12 2" xfId="206"/>
    <cellStyle name="Normal 13" xfId="207"/>
    <cellStyle name="Normal 13 2" xfId="208"/>
    <cellStyle name="Normal 14" xfId="209"/>
    <cellStyle name="Normal 14 2" xfId="210"/>
    <cellStyle name="Normal 15" xfId="211"/>
    <cellStyle name="Normal 15 2" xfId="212"/>
    <cellStyle name="Normal 16" xfId="213"/>
    <cellStyle name="Normal 16 2" xfId="214"/>
    <cellStyle name="Normal 17" xfId="215"/>
    <cellStyle name="Normal 17 2" xfId="216"/>
    <cellStyle name="Normal 18" xfId="217"/>
    <cellStyle name="Normal 18 2" xfId="218"/>
    <cellStyle name="Normal 19" xfId="219"/>
    <cellStyle name="Normal 19 2" xfId="220"/>
    <cellStyle name="Normal 2" xfId="221"/>
    <cellStyle name="Normal 2 2" xfId="222"/>
    <cellStyle name="Normal 2 2 2" xfId="223"/>
    <cellStyle name="Normal 2 2 3" xfId="224"/>
    <cellStyle name="Normal 2 2_Actual_Fuel" xfId="225"/>
    <cellStyle name="Normal 2 3" xfId="226"/>
    <cellStyle name="Normal 2 3 2" xfId="227"/>
    <cellStyle name="Normal 2 3 3" xfId="228"/>
    <cellStyle name="Normal 2 4" xfId="229"/>
    <cellStyle name="Normal 2 5" xfId="230"/>
    <cellStyle name="Normal 2_2012-10" xfId="231"/>
    <cellStyle name="Normal 20" xfId="232"/>
    <cellStyle name="Normal 21" xfId="233"/>
    <cellStyle name="Normal 22" xfId="234"/>
    <cellStyle name="Normal 23" xfId="235"/>
    <cellStyle name="Normal 24" xfId="236"/>
    <cellStyle name="Normal 25" xfId="237"/>
    <cellStyle name="Normal 26" xfId="238"/>
    <cellStyle name="Normal 27" xfId="239"/>
    <cellStyle name="Normal 28" xfId="240"/>
    <cellStyle name="Normal 29" xfId="241"/>
    <cellStyle name="Normal 3" xfId="242"/>
    <cellStyle name="Normal 3 2" xfId="243"/>
    <cellStyle name="Normal 3 3" xfId="244"/>
    <cellStyle name="Normal 3 4" xfId="245"/>
    <cellStyle name="Normal 3_2012 PR" xfId="246"/>
    <cellStyle name="Normal 30" xfId="247"/>
    <cellStyle name="Normal 31" xfId="248"/>
    <cellStyle name="Normal 32" xfId="249"/>
    <cellStyle name="Normal 33" xfId="250"/>
    <cellStyle name="Normal 34" xfId="251"/>
    <cellStyle name="Normal 35" xfId="252"/>
    <cellStyle name="Normal 36" xfId="253"/>
    <cellStyle name="Normal 37" xfId="254"/>
    <cellStyle name="Normal 38" xfId="255"/>
    <cellStyle name="Normal 39" xfId="256"/>
    <cellStyle name="Normal 4" xfId="257"/>
    <cellStyle name="Normal 4 2" xfId="258"/>
    <cellStyle name="Normal 40" xfId="259"/>
    <cellStyle name="Normal 41" xfId="260"/>
    <cellStyle name="Normal 42" xfId="261"/>
    <cellStyle name="Normal 43" xfId="262"/>
    <cellStyle name="Normal 44" xfId="263"/>
    <cellStyle name="Normal 45" xfId="264"/>
    <cellStyle name="Normal 46" xfId="265"/>
    <cellStyle name="Normal 47" xfId="266"/>
    <cellStyle name="Normal 48" xfId="267"/>
    <cellStyle name="Normal 49" xfId="268"/>
    <cellStyle name="Normal 5" xfId="269"/>
    <cellStyle name="Normal 5 2" xfId="270"/>
    <cellStyle name="Normal 5_2112 DF Schedule" xfId="271"/>
    <cellStyle name="Normal 50" xfId="272"/>
    <cellStyle name="Normal 51" xfId="273"/>
    <cellStyle name="Normal 52" xfId="274"/>
    <cellStyle name="Normal 53" xfId="275"/>
    <cellStyle name="Normal 54" xfId="276"/>
    <cellStyle name="Normal 55" xfId="277"/>
    <cellStyle name="Normal 56" xfId="278"/>
    <cellStyle name="Normal 57" xfId="279"/>
    <cellStyle name="Normal 58" xfId="280"/>
    <cellStyle name="Normal 59" xfId="281"/>
    <cellStyle name="Normal 6" xfId="282"/>
    <cellStyle name="Normal 6 2" xfId="283"/>
    <cellStyle name="Normal 60" xfId="284"/>
    <cellStyle name="Normal 61" xfId="285"/>
    <cellStyle name="Normal 62" xfId="286"/>
    <cellStyle name="Normal 63" xfId="287"/>
    <cellStyle name="Normal 64" xfId="288"/>
    <cellStyle name="Normal 65" xfId="289"/>
    <cellStyle name="Normal 66" xfId="290"/>
    <cellStyle name="Normal 67" xfId="291"/>
    <cellStyle name="Normal 68" xfId="292"/>
    <cellStyle name="Normal 69" xfId="293"/>
    <cellStyle name="Normal 7" xfId="294"/>
    <cellStyle name="Normal 70" xfId="295"/>
    <cellStyle name="Normal 71" xfId="296"/>
    <cellStyle name="Normal 72" xfId="297"/>
    <cellStyle name="Normal 73" xfId="298"/>
    <cellStyle name="Normal 74" xfId="299"/>
    <cellStyle name="Normal 75" xfId="300"/>
    <cellStyle name="Normal 76" xfId="301"/>
    <cellStyle name="Normal 77" xfId="302"/>
    <cellStyle name="Normal 78" xfId="303"/>
    <cellStyle name="Normal 79" xfId="304"/>
    <cellStyle name="Normal 8" xfId="305"/>
    <cellStyle name="Normal 80" xfId="306"/>
    <cellStyle name="Normal 81" xfId="307"/>
    <cellStyle name="Normal 82" xfId="308"/>
    <cellStyle name="Normal 83" xfId="309"/>
    <cellStyle name="Normal 84" xfId="310"/>
    <cellStyle name="Normal 84 2" xfId="311"/>
    <cellStyle name="Normal 84 3" xfId="312"/>
    <cellStyle name="Normal 85" xfId="313"/>
    <cellStyle name="Normal 86" xfId="314"/>
    <cellStyle name="Normal 87" xfId="315"/>
    <cellStyle name="Normal 88" xfId="316"/>
    <cellStyle name="Normal 89" xfId="317"/>
    <cellStyle name="Normal 9" xfId="318"/>
    <cellStyle name="Normal 90" xfId="319"/>
    <cellStyle name="Normal 91" xfId="320"/>
    <cellStyle name="Normal 92" xfId="321"/>
    <cellStyle name="Normal 93" xfId="322"/>
    <cellStyle name="Normal 94" xfId="323"/>
    <cellStyle name="Normal 95" xfId="324"/>
    <cellStyle name="Normal 96" xfId="325"/>
    <cellStyle name="Normal 97" xfId="326"/>
    <cellStyle name="Normal 98" xfId="327"/>
    <cellStyle name="Normal 99" xfId="328"/>
    <cellStyle name="Normal_Murrey's Jan-Dec 2012" xfId="329"/>
    <cellStyle name="Normal_Price out" xfId="330"/>
    <cellStyle name="Note 2" xfId="331"/>
    <cellStyle name="Note 2 2" xfId="332"/>
    <cellStyle name="Note 3" xfId="333"/>
    <cellStyle name="Note 3 2" xfId="334"/>
    <cellStyle name="Notes" xfId="335"/>
    <cellStyle name="Output 2" xfId="336"/>
    <cellStyle name="Output 3" xfId="337"/>
    <cellStyle name="Percent" xfId="338" builtinId="5"/>
    <cellStyle name="Percent 2" xfId="339"/>
    <cellStyle name="Percent 2 2" xfId="340"/>
    <cellStyle name="Percent 2 2 2" xfId="341"/>
    <cellStyle name="Percent 2 3" xfId="342"/>
    <cellStyle name="Percent 2 6" xfId="343"/>
    <cellStyle name="Percent 3" xfId="344"/>
    <cellStyle name="Percent 3 2" xfId="345"/>
    <cellStyle name="Percent 4" xfId="346"/>
    <cellStyle name="Percent 4 2" xfId="347"/>
    <cellStyle name="Percent 4 3" xfId="348"/>
    <cellStyle name="Percent 5" xfId="349"/>
    <cellStyle name="Percent 6" xfId="350"/>
    <cellStyle name="Percent 7" xfId="351"/>
    <cellStyle name="Percent 7 2" xfId="352"/>
    <cellStyle name="Percent 7 3" xfId="353"/>
    <cellStyle name="Percent 8" xfId="354"/>
    <cellStyle name="Percent 9" xfId="355"/>
    <cellStyle name="Percent(1)" xfId="356"/>
    <cellStyle name="Percent(2)" xfId="357"/>
    <cellStyle name="PRM" xfId="358"/>
    <cellStyle name="PRM 2" xfId="359"/>
    <cellStyle name="PRM 3" xfId="360"/>
    <cellStyle name="PRM_2011-11" xfId="361"/>
    <cellStyle name="PS_Comma" xfId="362"/>
    <cellStyle name="PSChar" xfId="363"/>
    <cellStyle name="PSDate" xfId="364"/>
    <cellStyle name="PSDec" xfId="365"/>
    <cellStyle name="PSHeading" xfId="366"/>
    <cellStyle name="PSInt" xfId="367"/>
    <cellStyle name="PSSpacer" xfId="368"/>
    <cellStyle name="STYL0 - Style1" xfId="369"/>
    <cellStyle name="STYL1 - Style2" xfId="370"/>
    <cellStyle name="STYL2 - Style3" xfId="371"/>
    <cellStyle name="STYL3 - Style4" xfId="372"/>
    <cellStyle name="STYL4 - Style5" xfId="373"/>
    <cellStyle name="STYL5 - Style6" xfId="374"/>
    <cellStyle name="STYL6 - Style7" xfId="375"/>
    <cellStyle name="STYL7 - Style8" xfId="376"/>
    <cellStyle name="Style 1" xfId="377"/>
    <cellStyle name="Style 1 2" xfId="378"/>
    <cellStyle name="STYLE1" xfId="379"/>
    <cellStyle name="sub heading" xfId="380"/>
    <cellStyle name="Title 2" xfId="381"/>
    <cellStyle name="Title 3" xfId="382"/>
    <cellStyle name="Total 2" xfId="383"/>
    <cellStyle name="Total 2 2" xfId="384"/>
    <cellStyle name="Total 3" xfId="385"/>
    <cellStyle name="Total 3 2" xfId="386"/>
    <cellStyle name="Warning Text 2" xfId="387"/>
    <cellStyle name="Warning Text 3" xfId="388"/>
    <cellStyle name="WM_STANDARD" xfId="3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opLeftCell="A40" workbookViewId="0">
      <selection activeCell="D63" sqref="D63"/>
    </sheetView>
  </sheetViews>
  <sheetFormatPr defaultColWidth="9.109375" defaultRowHeight="14.4"/>
  <cols>
    <col min="1" max="1" width="40" style="3" customWidth="1"/>
    <col min="2" max="4" width="16" style="3" customWidth="1"/>
    <col min="5" max="5" width="7" style="3" bestFit="1" customWidth="1"/>
    <col min="6" max="6" width="11.44140625" style="3" bestFit="1" customWidth="1"/>
    <col min="7" max="7" width="10" style="3" bestFit="1" customWidth="1"/>
    <col min="8" max="8" width="8" style="3" bestFit="1" customWidth="1"/>
    <col min="9" max="9" width="15.88671875" style="3" bestFit="1" customWidth="1"/>
    <col min="10" max="10" width="12" style="3" bestFit="1" customWidth="1"/>
    <col min="11" max="16384" width="9.109375" style="3"/>
  </cols>
  <sheetData>
    <row r="1" spans="1:8" ht="18">
      <c r="A1" s="158" t="s">
        <v>128</v>
      </c>
      <c r="B1" s="158"/>
      <c r="C1" s="158"/>
      <c r="D1" s="158"/>
      <c r="E1" s="158"/>
      <c r="F1" s="158"/>
      <c r="G1" s="158"/>
      <c r="H1" s="158"/>
    </row>
    <row r="2" spans="1:8">
      <c r="A2" s="185" t="s">
        <v>18</v>
      </c>
      <c r="B2" s="185"/>
      <c r="C2" s="185"/>
      <c r="D2" s="185"/>
      <c r="E2" s="185"/>
      <c r="F2" s="185"/>
      <c r="G2" s="185"/>
      <c r="H2" s="185"/>
    </row>
    <row r="3" spans="1:8">
      <c r="A3" s="3" t="s">
        <v>54</v>
      </c>
      <c r="B3" s="15" t="s">
        <v>40</v>
      </c>
      <c r="C3" s="15" t="s">
        <v>41</v>
      </c>
      <c r="D3" s="15" t="s">
        <v>42</v>
      </c>
      <c r="E3" s="16" t="s">
        <v>45</v>
      </c>
      <c r="F3" s="16" t="s">
        <v>46</v>
      </c>
      <c r="G3" s="16" t="s">
        <v>47</v>
      </c>
      <c r="H3" s="15" t="s">
        <v>50</v>
      </c>
    </row>
    <row r="4" spans="1:8">
      <c r="A4" s="3" t="s">
        <v>51</v>
      </c>
      <c r="B4" s="1">
        <f>ROUND(52*5/12,2)</f>
        <v>21.67</v>
      </c>
      <c r="C4" s="17">
        <f>$B$4*2</f>
        <v>43.34</v>
      </c>
      <c r="D4" s="17">
        <f>$B$4*3</f>
        <v>65.010000000000005</v>
      </c>
      <c r="E4" s="17">
        <f>$B$4*4</f>
        <v>86.68</v>
      </c>
      <c r="F4" s="17">
        <f>$B$4*5</f>
        <v>108.35000000000001</v>
      </c>
      <c r="G4" s="17">
        <f>$B$4*6</f>
        <v>130.02000000000001</v>
      </c>
      <c r="H4" s="17">
        <f>$B$4*7</f>
        <v>151.69</v>
      </c>
    </row>
    <row r="5" spans="1:8">
      <c r="A5" s="3" t="s">
        <v>87</v>
      </c>
      <c r="B5" s="1">
        <f>ROUND(52*4/12,2)</f>
        <v>17.329999999999998</v>
      </c>
      <c r="C5" s="17">
        <f>$B$5*2</f>
        <v>34.659999999999997</v>
      </c>
      <c r="D5" s="17">
        <f>$B$5*3</f>
        <v>51.989999999999995</v>
      </c>
      <c r="E5" s="17">
        <f>$B$5*4</f>
        <v>69.319999999999993</v>
      </c>
      <c r="F5" s="17">
        <f>$B$5*5</f>
        <v>86.649999999999991</v>
      </c>
      <c r="G5" s="17">
        <f>$B$5*6</f>
        <v>103.97999999999999</v>
      </c>
      <c r="H5" s="17">
        <f>$B$5*7</f>
        <v>121.30999999999999</v>
      </c>
    </row>
    <row r="6" spans="1:8">
      <c r="A6" s="3" t="s">
        <v>52</v>
      </c>
      <c r="B6" s="1">
        <f>ROUND(52*3/12,2)</f>
        <v>13</v>
      </c>
      <c r="C6" s="17">
        <f>$B$6*2</f>
        <v>26</v>
      </c>
      <c r="D6" s="17">
        <f>$B$6*3</f>
        <v>39</v>
      </c>
      <c r="E6" s="17">
        <f>$B$6*4</f>
        <v>52</v>
      </c>
      <c r="F6" s="17">
        <f>$B$6*5</f>
        <v>65</v>
      </c>
      <c r="G6" s="17">
        <f>$B$6*6</f>
        <v>78</v>
      </c>
      <c r="H6" s="17">
        <f>$B$6*7</f>
        <v>91</v>
      </c>
    </row>
    <row r="7" spans="1:8">
      <c r="A7" s="3" t="s">
        <v>53</v>
      </c>
      <c r="B7" s="1">
        <f>ROUND(52*2/12,2)</f>
        <v>8.67</v>
      </c>
      <c r="C7" s="18">
        <f>$B$7*2</f>
        <v>17.34</v>
      </c>
      <c r="D7" s="18">
        <f>$B$7*3</f>
        <v>26.009999999999998</v>
      </c>
      <c r="E7" s="18">
        <f>$B$7*4</f>
        <v>34.68</v>
      </c>
      <c r="F7" s="18">
        <f>$B$7*5</f>
        <v>43.35</v>
      </c>
      <c r="G7" s="18">
        <f>$B$7*6</f>
        <v>52.019999999999996</v>
      </c>
      <c r="H7" s="18">
        <f>$B$7*7</f>
        <v>60.69</v>
      </c>
    </row>
    <row r="8" spans="1:8">
      <c r="A8" s="3" t="s">
        <v>21</v>
      </c>
      <c r="B8" s="1">
        <f>ROUND(52/12,2)</f>
        <v>4.33</v>
      </c>
      <c r="C8" s="18">
        <f>$B$8*2</f>
        <v>8.66</v>
      </c>
      <c r="D8" s="18">
        <f>$B$8*3</f>
        <v>12.99</v>
      </c>
      <c r="E8" s="18">
        <f>$B$8*4</f>
        <v>17.32</v>
      </c>
      <c r="F8" s="18">
        <f>$B$8*5</f>
        <v>21.65</v>
      </c>
      <c r="G8" s="18">
        <f>$B$8*6</f>
        <v>25.98</v>
      </c>
      <c r="H8" s="18">
        <f>$B$8*7</f>
        <v>30.310000000000002</v>
      </c>
    </row>
    <row r="9" spans="1:8">
      <c r="A9" s="3" t="s">
        <v>23</v>
      </c>
      <c r="B9" s="1">
        <f>ROUND(26/12,2)</f>
        <v>2.17</v>
      </c>
      <c r="C9" s="18">
        <f>$B$9*2</f>
        <v>4.34</v>
      </c>
      <c r="D9" s="18">
        <f>$B$9*3</f>
        <v>6.51</v>
      </c>
      <c r="E9" s="18">
        <f>$B$9*4</f>
        <v>8.68</v>
      </c>
      <c r="F9" s="18">
        <f>$B$9*5</f>
        <v>10.85</v>
      </c>
      <c r="G9" s="18">
        <f>$B$9*6</f>
        <v>13.02</v>
      </c>
      <c r="H9" s="18">
        <f>$B$9*7</f>
        <v>15.19</v>
      </c>
    </row>
    <row r="10" spans="1:8">
      <c r="A10" s="3" t="s">
        <v>22</v>
      </c>
      <c r="B10" s="1">
        <f>12/12</f>
        <v>1</v>
      </c>
      <c r="C10" s="18">
        <f>$B$10*2</f>
        <v>2</v>
      </c>
      <c r="D10" s="18">
        <f>$B$10*3</f>
        <v>3</v>
      </c>
      <c r="E10" s="18">
        <f>$B$10*4</f>
        <v>4</v>
      </c>
      <c r="F10" s="18">
        <f>$B$10*5</f>
        <v>5</v>
      </c>
      <c r="G10" s="18">
        <f>$B$10*6</f>
        <v>6</v>
      </c>
      <c r="H10" s="18">
        <f>$B$10*7</f>
        <v>7</v>
      </c>
    </row>
    <row r="11" spans="1:8">
      <c r="B11" s="1"/>
      <c r="C11" s="18"/>
      <c r="D11" s="18"/>
      <c r="E11" s="18"/>
      <c r="F11" s="18"/>
      <c r="G11" s="18"/>
      <c r="H11" s="18"/>
    </row>
    <row r="12" spans="1:8">
      <c r="A12" s="185" t="s">
        <v>10</v>
      </c>
      <c r="B12" s="185"/>
      <c r="C12" s="18"/>
      <c r="D12" s="18"/>
      <c r="E12" s="18"/>
      <c r="F12" s="18"/>
      <c r="G12" s="18"/>
      <c r="H12" s="18"/>
    </row>
    <row r="13" spans="1:8">
      <c r="A13" s="2" t="s">
        <v>49</v>
      </c>
      <c r="B13" s="28" t="s">
        <v>79</v>
      </c>
      <c r="C13" s="18"/>
      <c r="D13" s="18"/>
      <c r="E13" s="18"/>
      <c r="F13" s="18"/>
      <c r="G13" s="18"/>
      <c r="H13" s="18"/>
    </row>
    <row r="14" spans="1:8">
      <c r="A14" s="19" t="s">
        <v>80</v>
      </c>
      <c r="B14" s="11">
        <v>20</v>
      </c>
      <c r="C14" s="18"/>
      <c r="D14" s="18"/>
      <c r="E14" s="18"/>
      <c r="F14" s="18"/>
      <c r="G14" s="18"/>
      <c r="H14" s="18"/>
    </row>
    <row r="15" spans="1:8">
      <c r="A15" s="19" t="s">
        <v>55</v>
      </c>
      <c r="B15" s="11">
        <v>34</v>
      </c>
      <c r="C15" s="18"/>
      <c r="D15" s="18"/>
      <c r="E15" s="18"/>
      <c r="F15" s="18"/>
      <c r="G15" s="18"/>
      <c r="H15" s="18"/>
    </row>
    <row r="16" spans="1:8">
      <c r="A16" s="19" t="s">
        <v>56</v>
      </c>
      <c r="B16" s="11">
        <v>51</v>
      </c>
      <c r="C16" s="18"/>
      <c r="D16" s="18"/>
      <c r="E16" s="18"/>
      <c r="F16" s="18"/>
      <c r="G16" s="18"/>
      <c r="H16" s="18"/>
    </row>
    <row r="17" spans="1:8">
      <c r="A17" s="19" t="s">
        <v>57</v>
      </c>
      <c r="B17" s="11">
        <v>77</v>
      </c>
      <c r="C17" s="18"/>
      <c r="D17" s="18"/>
      <c r="E17" s="18"/>
      <c r="F17" s="3" t="s">
        <v>19</v>
      </c>
      <c r="G17" s="11">
        <v>2000</v>
      </c>
      <c r="H17" s="18"/>
    </row>
    <row r="18" spans="1:8">
      <c r="A18" s="19" t="s">
        <v>58</v>
      </c>
      <c r="B18" s="11">
        <v>97</v>
      </c>
      <c r="C18" s="18"/>
      <c r="D18" s="18"/>
      <c r="E18" s="18"/>
      <c r="F18" s="3" t="s">
        <v>20</v>
      </c>
      <c r="G18" s="20" t="s">
        <v>43</v>
      </c>
      <c r="H18" s="18"/>
    </row>
    <row r="19" spans="1:8">
      <c r="A19" s="19" t="s">
        <v>59</v>
      </c>
      <c r="B19" s="11">
        <v>117</v>
      </c>
      <c r="C19" s="18"/>
      <c r="D19" s="18"/>
      <c r="E19" s="18"/>
      <c r="H19" s="18"/>
    </row>
    <row r="20" spans="1:8">
      <c r="A20" s="19" t="s">
        <v>60</v>
      </c>
      <c r="B20" s="11">
        <v>157</v>
      </c>
      <c r="C20" s="18"/>
      <c r="D20" s="18"/>
      <c r="E20" s="18"/>
      <c r="F20" s="13"/>
      <c r="G20" s="14"/>
      <c r="H20" s="18"/>
    </row>
    <row r="21" spans="1:8">
      <c r="A21" s="19" t="s">
        <v>96</v>
      </c>
      <c r="B21" s="11">
        <v>37</v>
      </c>
      <c r="C21" s="18" t="s">
        <v>81</v>
      </c>
      <c r="D21" s="18"/>
      <c r="E21" s="18"/>
      <c r="F21" s="13"/>
      <c r="G21" s="14"/>
      <c r="H21" s="18"/>
    </row>
    <row r="22" spans="1:8">
      <c r="A22" s="19" t="s">
        <v>61</v>
      </c>
      <c r="B22" s="11">
        <v>47</v>
      </c>
      <c r="C22" s="18"/>
      <c r="D22" s="18"/>
      <c r="E22" s="18"/>
      <c r="F22" s="18"/>
      <c r="G22" s="18"/>
      <c r="H22" s="18"/>
    </row>
    <row r="23" spans="1:8">
      <c r="A23" s="19" t="s">
        <v>62</v>
      </c>
      <c r="B23" s="11">
        <v>68</v>
      </c>
      <c r="C23" s="18"/>
      <c r="D23" s="18"/>
      <c r="E23" s="18"/>
      <c r="F23" s="18"/>
      <c r="G23" s="18"/>
      <c r="H23" s="18"/>
    </row>
    <row r="24" spans="1:8">
      <c r="A24" s="19" t="s">
        <v>63</v>
      </c>
      <c r="B24" s="11">
        <v>34</v>
      </c>
      <c r="C24" s="18"/>
      <c r="D24" s="18"/>
      <c r="E24" s="18"/>
      <c r="F24" s="18"/>
      <c r="G24" s="18"/>
      <c r="H24" s="18"/>
    </row>
    <row r="25" spans="1:8">
      <c r="A25" s="19" t="s">
        <v>31</v>
      </c>
      <c r="B25" s="11">
        <v>34</v>
      </c>
      <c r="C25" s="18"/>
      <c r="D25" s="18"/>
      <c r="E25" s="18"/>
      <c r="F25" s="18"/>
      <c r="G25" s="18"/>
      <c r="H25" s="18"/>
    </row>
    <row r="26" spans="1:8">
      <c r="A26" s="2" t="s">
        <v>64</v>
      </c>
      <c r="B26" s="11"/>
      <c r="C26" s="18"/>
      <c r="D26" s="18"/>
      <c r="E26" s="18"/>
      <c r="F26" s="18"/>
      <c r="G26" s="18"/>
      <c r="H26" s="18"/>
    </row>
    <row r="27" spans="1:8">
      <c r="A27" s="19" t="s">
        <v>65</v>
      </c>
      <c r="B27" s="11">
        <v>29</v>
      </c>
      <c r="C27" s="18"/>
      <c r="D27" s="18"/>
      <c r="E27" s="18"/>
      <c r="F27" s="18"/>
      <c r="G27" s="18"/>
      <c r="H27" s="18"/>
    </row>
    <row r="28" spans="1:8">
      <c r="A28" s="19" t="s">
        <v>66</v>
      </c>
      <c r="B28" s="11">
        <v>175</v>
      </c>
      <c r="C28" s="18"/>
      <c r="D28" s="18"/>
      <c r="E28" s="18"/>
      <c r="F28" s="18"/>
      <c r="G28" s="18"/>
      <c r="H28" s="18"/>
    </row>
    <row r="29" spans="1:8">
      <c r="A29" s="19" t="s">
        <v>67</v>
      </c>
      <c r="B29" s="11">
        <v>250</v>
      </c>
      <c r="C29" s="18"/>
      <c r="D29" s="18"/>
      <c r="E29" s="18"/>
      <c r="F29" s="18"/>
      <c r="G29" s="18"/>
      <c r="H29" s="18"/>
    </row>
    <row r="30" spans="1:8">
      <c r="A30" s="19" t="s">
        <v>68</v>
      </c>
      <c r="B30" s="11">
        <v>324</v>
      </c>
      <c r="C30" s="18"/>
      <c r="D30" s="18"/>
      <c r="E30" s="18"/>
      <c r="F30" s="18"/>
      <c r="G30" s="18"/>
      <c r="H30" s="18"/>
    </row>
    <row r="31" spans="1:8">
      <c r="A31" s="19" t="s">
        <v>69</v>
      </c>
      <c r="B31" s="11">
        <v>473</v>
      </c>
      <c r="C31" s="18"/>
      <c r="D31" s="18"/>
      <c r="E31" s="18"/>
      <c r="F31" s="18"/>
      <c r="G31" s="18"/>
      <c r="H31" s="18"/>
    </row>
    <row r="32" spans="1:8">
      <c r="A32" s="19" t="s">
        <v>70</v>
      </c>
      <c r="B32" s="11">
        <v>613</v>
      </c>
      <c r="C32" s="18"/>
      <c r="D32" s="18"/>
      <c r="E32" s="18"/>
      <c r="F32" s="18"/>
      <c r="G32" s="18"/>
      <c r="H32" s="18"/>
    </row>
    <row r="33" spans="1:8">
      <c r="A33" s="19" t="s">
        <v>71</v>
      </c>
      <c r="B33" s="11">
        <v>840</v>
      </c>
      <c r="C33" s="18"/>
      <c r="D33" s="18"/>
      <c r="E33" s="18"/>
      <c r="F33" s="18"/>
      <c r="G33" s="18"/>
      <c r="H33" s="18"/>
    </row>
    <row r="34" spans="1:8">
      <c r="A34" s="19" t="s">
        <v>72</v>
      </c>
      <c r="B34" s="11">
        <v>980</v>
      </c>
      <c r="C34" s="18"/>
      <c r="D34" s="18"/>
      <c r="E34" s="18"/>
      <c r="F34" s="18"/>
      <c r="G34" s="18"/>
      <c r="H34" s="18"/>
    </row>
    <row r="35" spans="1:8">
      <c r="A35" s="19" t="s">
        <v>88</v>
      </c>
      <c r="B35" s="11">
        <v>482</v>
      </c>
      <c r="C35" s="18" t="s">
        <v>81</v>
      </c>
      <c r="D35" s="18"/>
      <c r="E35" s="18"/>
      <c r="F35" s="18"/>
      <c r="G35" s="18"/>
      <c r="H35" s="18"/>
    </row>
    <row r="36" spans="1:8">
      <c r="A36" s="19" t="s">
        <v>89</v>
      </c>
      <c r="B36" s="11">
        <v>689</v>
      </c>
      <c r="C36" s="18" t="s">
        <v>81</v>
      </c>
      <c r="D36" s="18"/>
      <c r="E36" s="18"/>
      <c r="F36" s="18"/>
      <c r="G36" s="18"/>
      <c r="H36" s="18"/>
    </row>
    <row r="37" spans="1:8">
      <c r="A37" s="19" t="s">
        <v>74</v>
      </c>
      <c r="B37" s="11">
        <v>892</v>
      </c>
      <c r="C37" s="18" t="s">
        <v>81</v>
      </c>
      <c r="D37" s="18"/>
      <c r="E37" s="18"/>
      <c r="F37" s="18"/>
      <c r="G37" s="18"/>
      <c r="H37" s="18"/>
    </row>
    <row r="38" spans="1:8">
      <c r="A38" s="19" t="s">
        <v>73</v>
      </c>
      <c r="B38" s="11">
        <v>1301</v>
      </c>
      <c r="C38" s="18"/>
      <c r="D38" s="18"/>
      <c r="E38" s="18"/>
      <c r="F38" s="18"/>
      <c r="G38" s="18"/>
      <c r="H38" s="18"/>
    </row>
    <row r="39" spans="1:8">
      <c r="A39" s="19" t="s">
        <v>75</v>
      </c>
      <c r="B39" s="11">
        <v>1686</v>
      </c>
      <c r="C39" s="18"/>
      <c r="D39" s="18"/>
      <c r="E39" s="18"/>
      <c r="F39" s="18"/>
      <c r="G39" s="18"/>
      <c r="H39" s="18"/>
    </row>
    <row r="40" spans="1:8">
      <c r="A40" s="19" t="s">
        <v>76</v>
      </c>
      <c r="B40" s="11">
        <v>2046</v>
      </c>
      <c r="C40" s="18"/>
      <c r="D40" s="18"/>
      <c r="E40" s="18"/>
      <c r="F40" s="18"/>
      <c r="G40" s="18"/>
      <c r="H40" s="18"/>
    </row>
    <row r="41" spans="1:8">
      <c r="A41" s="19" t="s">
        <v>77</v>
      </c>
      <c r="B41" s="11">
        <v>2310</v>
      </c>
      <c r="C41" s="18"/>
      <c r="D41" s="18"/>
      <c r="E41" s="18"/>
      <c r="F41" s="18"/>
      <c r="G41" s="18"/>
      <c r="H41" s="18"/>
    </row>
    <row r="42" spans="1:8">
      <c r="A42" s="19" t="s">
        <v>90</v>
      </c>
      <c r="B42" s="11">
        <v>2800</v>
      </c>
      <c r="C42" s="18" t="s">
        <v>81</v>
      </c>
      <c r="D42" s="18"/>
      <c r="E42" s="18"/>
      <c r="F42" s="18"/>
      <c r="G42" s="18"/>
      <c r="H42" s="18"/>
    </row>
    <row r="43" spans="1:8">
      <c r="A43" s="19" t="s">
        <v>78</v>
      </c>
      <c r="B43" s="11">
        <v>125</v>
      </c>
      <c r="C43" s="18"/>
      <c r="D43" s="18"/>
      <c r="E43" s="18"/>
      <c r="F43" s="18"/>
      <c r="G43" s="18"/>
      <c r="H43" s="18"/>
    </row>
    <row r="44" spans="1:8">
      <c r="B44" s="187" t="s">
        <v>92</v>
      </c>
      <c r="C44" s="187"/>
    </row>
    <row r="47" spans="1:8">
      <c r="A47" s="27" t="s">
        <v>129</v>
      </c>
      <c r="B47" s="25" t="s">
        <v>5</v>
      </c>
      <c r="C47" s="25" t="s">
        <v>6</v>
      </c>
      <c r="F47" s="186" t="s">
        <v>26</v>
      </c>
      <c r="G47" s="186"/>
    </row>
    <row r="48" spans="1:8">
      <c r="A48" s="21" t="s">
        <v>7</v>
      </c>
      <c r="B48" s="6">
        <v>34.75</v>
      </c>
      <c r="C48" s="5">
        <f>B48/2000</f>
        <v>1.7375000000000002E-2</v>
      </c>
      <c r="F48" s="3" t="s">
        <v>27</v>
      </c>
      <c r="G48" s="183">
        <f>0.0175</f>
        <v>1.7500000000000002E-2</v>
      </c>
    </row>
    <row r="49" spans="1:10">
      <c r="A49" s="21" t="s">
        <v>8</v>
      </c>
      <c r="B49" s="7">
        <v>36.68</v>
      </c>
      <c r="C49" s="8">
        <f>B49/2000</f>
        <v>1.8339999999999999E-2</v>
      </c>
      <c r="F49" s="3" t="s">
        <v>28</v>
      </c>
      <c r="G49" s="184">
        <f>0.0051</f>
        <v>5.1000000000000004E-3</v>
      </c>
    </row>
    <row r="50" spans="1:10">
      <c r="A50" s="19" t="s">
        <v>9</v>
      </c>
      <c r="B50" s="6">
        <f>B49-B48</f>
        <v>1.9299999999999997</v>
      </c>
      <c r="C50" s="10">
        <f>C49-C48</f>
        <v>9.6499999999999711E-4</v>
      </c>
      <c r="F50" s="3" t="s">
        <v>48</v>
      </c>
      <c r="G50" s="9"/>
    </row>
    <row r="51" spans="1:10">
      <c r="F51" s="3" t="s">
        <v>16</v>
      </c>
      <c r="G51" s="22">
        <f>SUM(G48:G50)</f>
        <v>2.2600000000000002E-2</v>
      </c>
    </row>
    <row r="52" spans="1:10">
      <c r="B52" s="26" t="s">
        <v>93</v>
      </c>
    </row>
    <row r="53" spans="1:10">
      <c r="A53" s="3" t="s">
        <v>3</v>
      </c>
      <c r="B53" s="23">
        <f>B50</f>
        <v>1.9299999999999997</v>
      </c>
      <c r="F53" s="3" t="s">
        <v>29</v>
      </c>
      <c r="G53" s="24">
        <f>1-G51</f>
        <v>0.97740000000000005</v>
      </c>
      <c r="J53" s="3">
        <v>34.75</v>
      </c>
    </row>
    <row r="54" spans="1:10">
      <c r="A54" s="3" t="s">
        <v>25</v>
      </c>
      <c r="B54" s="23">
        <f>B53/$G$53</f>
        <v>1.9746265602619191</v>
      </c>
    </row>
    <row r="55" spans="1:10">
      <c r="A55" s="3" t="s">
        <v>24</v>
      </c>
      <c r="B55" s="12">
        <v>4706</v>
      </c>
    </row>
    <row r="56" spans="1:10">
      <c r="A56" s="2" t="s">
        <v>30</v>
      </c>
      <c r="B56" s="4">
        <f>B54*B55</f>
        <v>9292.5925925925912</v>
      </c>
    </row>
    <row r="59" spans="1:10" ht="15" thickBot="1"/>
    <row r="60" spans="1:10">
      <c r="A60" s="91" t="s">
        <v>84</v>
      </c>
      <c r="B60" s="92" t="s">
        <v>82</v>
      </c>
      <c r="D60" s="23"/>
    </row>
    <row r="61" spans="1:10">
      <c r="A61" s="93" t="s">
        <v>83</v>
      </c>
      <c r="B61" s="94">
        <f>+'Disposal Increase Calculations'!R25</f>
        <v>9348.5952095193206</v>
      </c>
    </row>
    <row r="62" spans="1:10">
      <c r="A62" s="93" t="s">
        <v>12</v>
      </c>
      <c r="B62" s="94">
        <f>B61-B56</f>
        <v>56.002616926729388</v>
      </c>
    </row>
    <row r="63" spans="1:10">
      <c r="A63" s="93"/>
      <c r="B63" s="95"/>
    </row>
    <row r="64" spans="1:10">
      <c r="A64" s="96" t="s">
        <v>85</v>
      </c>
      <c r="B64" s="97" t="s">
        <v>82</v>
      </c>
    </row>
    <row r="65" spans="1:3">
      <c r="A65" s="93" t="s">
        <v>44</v>
      </c>
      <c r="B65" s="98">
        <f>'Disposal Increase Calculations'!R25</f>
        <v>9348.5952095193206</v>
      </c>
    </row>
    <row r="66" spans="1:3" ht="15" thickBot="1">
      <c r="A66" s="99" t="s">
        <v>12</v>
      </c>
      <c r="B66" s="100">
        <f>B65-B56</f>
        <v>56.002616926729388</v>
      </c>
      <c r="C66" s="23">
        <f>B62-B66</f>
        <v>0</v>
      </c>
    </row>
  </sheetData>
  <mergeCells count="4">
    <mergeCell ref="A2:H2"/>
    <mergeCell ref="F47:G47"/>
    <mergeCell ref="A12:B12"/>
    <mergeCell ref="B44:C44"/>
  </mergeCells>
  <phoneticPr fontId="0" type="noConversion"/>
  <pageMargins left="0.28000000000000003" right="0.52" top="0.75" bottom="0.75" header="0.3" footer="0.3"/>
  <pageSetup scale="70" orientation="portrait" r:id="rId1"/>
  <headerFooter>
    <oddHeader>&amp;C&amp;12Disposal Fee Reference</oddHeader>
    <oddFooter>&amp;L&amp;8&amp;F - &amp;A&amp;C&amp;D&amp;R&amp;P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1"/>
  <sheetViews>
    <sheetView zoomScale="90" zoomScaleNormal="90" workbookViewId="0">
      <pane xSplit="4" ySplit="2" topLeftCell="E3" activePane="bottomRight" state="frozen"/>
      <selection pane="topRight" activeCell="D1" sqref="D1"/>
      <selection pane="bottomLeft" activeCell="A6" sqref="A6"/>
      <selection pane="bottomRight" activeCell="D26" sqref="D26"/>
    </sheetView>
  </sheetViews>
  <sheetFormatPr defaultColWidth="8.88671875" defaultRowHeight="14.4"/>
  <cols>
    <col min="1" max="1" width="15.88671875" style="57" hidden="1" customWidth="1"/>
    <col min="2" max="2" width="4.5546875" style="57" customWidth="1"/>
    <col min="3" max="3" width="10.88671875" style="61" bestFit="1" customWidth="1"/>
    <col min="4" max="4" width="40.33203125" style="57" customWidth="1"/>
    <col min="5" max="5" width="18.88671875" style="58" bestFit="1" customWidth="1"/>
    <col min="6" max="6" width="10.44140625" style="57" bestFit="1" customWidth="1"/>
    <col min="7" max="7" width="14" style="57" bestFit="1" customWidth="1"/>
    <col min="8" max="8" width="15.109375" style="57" customWidth="1"/>
    <col min="9" max="9" width="21.44140625" style="57" customWidth="1"/>
    <col min="10" max="10" width="16.33203125" style="56" customWidth="1"/>
    <col min="11" max="12" width="12.33203125" style="57" customWidth="1"/>
    <col min="13" max="13" width="10.6640625" style="57" customWidth="1"/>
    <col min="14" max="14" width="16.5546875" style="57" customWidth="1"/>
    <col min="15" max="15" width="15.44140625" style="57" customWidth="1"/>
    <col min="16" max="17" width="17.6640625" style="57" bestFit="1" customWidth="1"/>
    <col min="18" max="18" width="16" style="57" customWidth="1"/>
    <col min="19" max="20" width="11.6640625" style="57" customWidth="1"/>
    <col min="21" max="16384" width="8.88671875" style="57"/>
  </cols>
  <sheetData>
    <row r="1" spans="1:21" ht="18">
      <c r="B1" s="158" t="s">
        <v>137</v>
      </c>
      <c r="C1" s="158"/>
      <c r="D1" s="158"/>
      <c r="E1" s="158"/>
      <c r="F1" s="158"/>
      <c r="G1" s="158"/>
      <c r="H1" s="158"/>
      <c r="I1" s="158"/>
      <c r="J1" s="159"/>
      <c r="K1" s="158"/>
      <c r="L1" s="158"/>
      <c r="M1" s="158"/>
      <c r="N1" s="158"/>
      <c r="O1" s="158"/>
      <c r="P1" s="158"/>
      <c r="Q1" s="158"/>
      <c r="R1" s="158"/>
    </row>
    <row r="2" spans="1:21" ht="43.2">
      <c r="A2" s="57" t="s">
        <v>143</v>
      </c>
      <c r="B2" s="27" t="s">
        <v>142</v>
      </c>
      <c r="C2" s="81" t="s">
        <v>15</v>
      </c>
      <c r="D2" s="82" t="s">
        <v>17</v>
      </c>
      <c r="E2" s="81" t="s">
        <v>37</v>
      </c>
      <c r="F2" s="81" t="s">
        <v>0</v>
      </c>
      <c r="G2" s="27" t="s">
        <v>1</v>
      </c>
      <c r="H2" s="81" t="s">
        <v>10</v>
      </c>
      <c r="I2" s="81" t="s">
        <v>34</v>
      </c>
      <c r="J2" s="110" t="s">
        <v>35</v>
      </c>
      <c r="K2" s="109" t="s">
        <v>9</v>
      </c>
      <c r="L2" s="81" t="s">
        <v>2</v>
      </c>
      <c r="M2" s="81" t="s">
        <v>38</v>
      </c>
      <c r="N2" s="81" t="s">
        <v>112</v>
      </c>
      <c r="O2" s="81" t="s">
        <v>111</v>
      </c>
      <c r="P2" s="81" t="s">
        <v>36</v>
      </c>
      <c r="Q2" s="81" t="s">
        <v>113</v>
      </c>
      <c r="R2" s="81" t="s">
        <v>39</v>
      </c>
      <c r="S2" s="178" t="s">
        <v>150</v>
      </c>
      <c r="T2" s="178" t="s">
        <v>151</v>
      </c>
    </row>
    <row r="3" spans="1:21" s="59" customFormat="1">
      <c r="B3" s="190" t="s">
        <v>13</v>
      </c>
      <c r="C3" s="114"/>
      <c r="T3" s="50"/>
    </row>
    <row r="4" spans="1:21" s="59" customFormat="1">
      <c r="B4" s="189"/>
      <c r="C4" s="47">
        <v>22</v>
      </c>
      <c r="D4" s="44" t="s">
        <v>130</v>
      </c>
      <c r="E4" s="115">
        <v>1</v>
      </c>
      <c r="F4" s="69">
        <f>References!$B$8</f>
        <v>4.33</v>
      </c>
      <c r="G4" s="68">
        <f t="shared" ref="G4" si="0">E4*F4*12</f>
        <v>51.96</v>
      </c>
      <c r="H4" s="134">
        <f>References!B14</f>
        <v>20</v>
      </c>
      <c r="I4" s="68">
        <f t="shared" ref="I4" si="1">G4*H4</f>
        <v>1039.2</v>
      </c>
      <c r="J4" s="46">
        <f t="shared" ref="J4:J10" si="2">$E$53*I4</f>
        <v>636.4531797835823</v>
      </c>
      <c r="K4" s="67">
        <f>(References!$C$50*J4)</f>
        <v>0.61417731849115509</v>
      </c>
      <c r="L4" s="67">
        <f>K4/References!$G$53</f>
        <v>0.62837867658190616</v>
      </c>
      <c r="M4" s="67">
        <f t="shared" ref="M4:M10" si="3">L4/G4*F4</f>
        <v>5.2364889715158847E-2</v>
      </c>
      <c r="N4" s="179">
        <v>5.58</v>
      </c>
      <c r="O4" s="138">
        <f t="shared" ref="O4:O9" si="4">M4+N4</f>
        <v>5.6323648897151593</v>
      </c>
      <c r="P4" s="67">
        <f t="shared" ref="P4:P10" si="5">E4*N4*12</f>
        <v>66.960000000000008</v>
      </c>
      <c r="Q4" s="67">
        <f t="shared" ref="Q4:Q10" si="6">E4*O4*12</f>
        <v>67.588378676581911</v>
      </c>
      <c r="R4" s="70">
        <f t="shared" ref="R4" si="7">+Q4-P4</f>
        <v>0.62837867658190305</v>
      </c>
      <c r="S4" s="177" t="str">
        <f>IF(O4&gt;N4,DOLLAR(ROUND(O4,2))&amp;" (A)",
IF(N4&gt;O4,DOLLAR(ROUND(O4,2))&amp;" (R)",
DOLLAR(ROUND(#REF!,2))))</f>
        <v>$5.63 (A)</v>
      </c>
      <c r="T4" s="176">
        <f>O4</f>
        <v>5.6323648897151593</v>
      </c>
      <c r="U4" s="50"/>
    </row>
    <row r="5" spans="1:21" s="59" customFormat="1">
      <c r="A5" t="s">
        <v>144</v>
      </c>
      <c r="B5" s="189"/>
      <c r="C5" s="47">
        <v>22</v>
      </c>
      <c r="D5" s="44" t="s">
        <v>100</v>
      </c>
      <c r="E5" s="115">
        <v>266</v>
      </c>
      <c r="F5" s="69">
        <f>References!$B$8</f>
        <v>4.33</v>
      </c>
      <c r="G5" s="68">
        <f t="shared" ref="G5:G10" si="8">E5*F5*12</f>
        <v>13821.36</v>
      </c>
      <c r="H5" s="134">
        <f>References!B15</f>
        <v>34</v>
      </c>
      <c r="I5" s="68">
        <f t="shared" ref="I5:I10" si="9">G5*H5</f>
        <v>469926.24</v>
      </c>
      <c r="J5" s="46">
        <f t="shared" si="2"/>
        <v>287804.12789813592</v>
      </c>
      <c r="K5" s="67">
        <f>(References!$C$50*J5)</f>
        <v>277.73098342170033</v>
      </c>
      <c r="L5" s="67">
        <f>K5/References!$G$53</f>
        <v>284.15283755033795</v>
      </c>
      <c r="M5" s="67">
        <f t="shared" si="3"/>
        <v>8.9020312515770042E-2</v>
      </c>
      <c r="N5" s="179">
        <v>7.43</v>
      </c>
      <c r="O5" s="138">
        <f t="shared" si="4"/>
        <v>7.51902031251577</v>
      </c>
      <c r="P5" s="67">
        <f t="shared" si="5"/>
        <v>23716.559999999998</v>
      </c>
      <c r="Q5" s="67">
        <f t="shared" si="6"/>
        <v>24000.712837550338</v>
      </c>
      <c r="R5" s="70">
        <f t="shared" ref="R5:R10" si="10">+Q5-P5</f>
        <v>284.15283755034034</v>
      </c>
      <c r="S5" s="177" t="str">
        <f>IF(O5&gt;N5,DOLLAR(ROUND(O5,2))&amp;" (A)",
IF(N5&gt;O5,DOLLAR(ROUND(O5,2))&amp;" (R)",
DOLLAR(ROUND(#REF!,2))))</f>
        <v>$7.52 (A)</v>
      </c>
      <c r="T5" s="176">
        <f t="shared" ref="T5:T10" si="11">O5</f>
        <v>7.51902031251577</v>
      </c>
      <c r="U5" s="50"/>
    </row>
    <row r="6" spans="1:21" s="59" customFormat="1">
      <c r="B6" s="189"/>
      <c r="C6" s="47">
        <v>22</v>
      </c>
      <c r="D6" s="44" t="s">
        <v>131</v>
      </c>
      <c r="E6" s="115">
        <v>1</v>
      </c>
      <c r="F6" s="69">
        <f>References!$B$8</f>
        <v>4.33</v>
      </c>
      <c r="G6" s="68">
        <f t="shared" ref="G6" si="12">E6*F6*12</f>
        <v>51.96</v>
      </c>
      <c r="H6" s="134">
        <f>References!B16</f>
        <v>51</v>
      </c>
      <c r="I6" s="68">
        <f t="shared" ref="I6" si="13">G6*H6</f>
        <v>2649.96</v>
      </c>
      <c r="J6" s="46">
        <f t="shared" si="2"/>
        <v>1622.9556084481349</v>
      </c>
      <c r="K6" s="67">
        <f>(References!$C$50*J6)</f>
        <v>1.5661521621524455</v>
      </c>
      <c r="L6" s="67">
        <f>K6/References!$G$53</f>
        <v>1.6023656252838607</v>
      </c>
      <c r="M6" s="67">
        <f t="shared" si="3"/>
        <v>0.13353046877365504</v>
      </c>
      <c r="N6" s="179">
        <v>9.18</v>
      </c>
      <c r="O6" s="138">
        <f t="shared" si="4"/>
        <v>9.3135304687736546</v>
      </c>
      <c r="P6" s="67">
        <f t="shared" si="5"/>
        <v>110.16</v>
      </c>
      <c r="Q6" s="67">
        <f t="shared" si="6"/>
        <v>111.76236562528385</v>
      </c>
      <c r="R6" s="70">
        <f t="shared" ref="R6" si="14">+Q6-P6</f>
        <v>1.6023656252838521</v>
      </c>
      <c r="S6" s="177" t="str">
        <f>IF(O6&gt;N6,DOLLAR(ROUND(O6,2))&amp;" (A)",
IF(N6&gt;O6,DOLLAR(ROUND(O6,2))&amp;" (R)",
DOLLAR(ROUND(#REF!,2))))</f>
        <v>$9.31 (A)</v>
      </c>
      <c r="T6" s="176">
        <f t="shared" si="11"/>
        <v>9.3135304687736546</v>
      </c>
      <c r="U6" s="50"/>
    </row>
    <row r="7" spans="1:21" s="59" customFormat="1">
      <c r="B7" s="189"/>
      <c r="C7" s="47">
        <v>22</v>
      </c>
      <c r="D7" s="105" t="s">
        <v>105</v>
      </c>
      <c r="E7" s="68">
        <v>10</v>
      </c>
      <c r="F7" s="69">
        <f>References!B10</f>
        <v>1</v>
      </c>
      <c r="G7" s="68">
        <f>F7*12</f>
        <v>12</v>
      </c>
      <c r="H7" s="68">
        <f>References!B15</f>
        <v>34</v>
      </c>
      <c r="I7" s="68">
        <f>G7*H7</f>
        <v>408</v>
      </c>
      <c r="J7" s="46">
        <f t="shared" si="2"/>
        <v>249.87769183189144</v>
      </c>
      <c r="K7" s="67">
        <f>(References!$C$50*J7)</f>
        <v>0.24113197261777453</v>
      </c>
      <c r="L7" s="67">
        <f>K7/References!$G$53</f>
        <v>0.24670756355409712</v>
      </c>
      <c r="M7" s="67">
        <f t="shared" si="3"/>
        <v>2.0558963629508095E-2</v>
      </c>
      <c r="N7" s="180">
        <v>2.33</v>
      </c>
      <c r="O7" s="138">
        <f t="shared" si="4"/>
        <v>2.3505589636295081</v>
      </c>
      <c r="P7" s="67">
        <f t="shared" si="5"/>
        <v>279.60000000000002</v>
      </c>
      <c r="Q7" s="67">
        <f t="shared" si="6"/>
        <v>282.06707563554096</v>
      </c>
      <c r="R7" s="70">
        <f t="shared" ref="R7" si="15">+Q7-P7</f>
        <v>2.4670756355409367</v>
      </c>
      <c r="S7" s="177" t="str">
        <f>IF(O7&gt;N7,DOLLAR(ROUND(O7,2))&amp;" (A)",
IF(N7&gt;O7,DOLLAR(ROUND(O7,2))&amp;" (R)",
DOLLAR(ROUND(#REF!,2))))</f>
        <v>$2.35 (A)</v>
      </c>
      <c r="T7" s="176">
        <f t="shared" si="11"/>
        <v>2.3505589636295081</v>
      </c>
      <c r="U7" s="50"/>
    </row>
    <row r="8" spans="1:21" s="59" customFormat="1">
      <c r="A8" t="s">
        <v>145</v>
      </c>
      <c r="B8" s="189"/>
      <c r="C8" s="47">
        <v>22</v>
      </c>
      <c r="D8" s="44" t="s">
        <v>99</v>
      </c>
      <c r="E8" s="115">
        <v>885</v>
      </c>
      <c r="F8" s="69">
        <f>References!$B$8</f>
        <v>4.33</v>
      </c>
      <c r="G8" s="68">
        <f>E8*F8*12</f>
        <v>45984.600000000006</v>
      </c>
      <c r="H8" s="134">
        <f>References!B22</f>
        <v>47</v>
      </c>
      <c r="I8" s="68">
        <f>G8*H8</f>
        <v>2161276.2000000002</v>
      </c>
      <c r="J8" s="46">
        <f t="shared" si="2"/>
        <v>1323663.5006549053</v>
      </c>
      <c r="K8" s="67">
        <f>(References!$C$50*J8)</f>
        <v>1277.3352781319797</v>
      </c>
      <c r="L8" s="67">
        <f>K8/References!$G$53</f>
        <v>1306.8705526212193</v>
      </c>
      <c r="M8" s="67">
        <f t="shared" si="3"/>
        <v>0.12305749083062327</v>
      </c>
      <c r="N8" s="179">
        <v>9.16</v>
      </c>
      <c r="O8" s="138">
        <f t="shared" si="4"/>
        <v>9.2830574908306236</v>
      </c>
      <c r="P8" s="67">
        <f t="shared" si="5"/>
        <v>97279.200000000012</v>
      </c>
      <c r="Q8" s="67">
        <f t="shared" si="6"/>
        <v>98586.070552621226</v>
      </c>
      <c r="R8" s="70">
        <f>+Q8-P8</f>
        <v>1306.8705526212143</v>
      </c>
      <c r="S8" s="177" t="str">
        <f>IF(O8&gt;N8,DOLLAR(ROUND(O8,2))&amp;" (A)",
IF(N8&gt;O8,DOLLAR(ROUND(O8,2))&amp;" (R)",
DOLLAR(ROUND(#REF!,2))))</f>
        <v>$9.28 (A)</v>
      </c>
      <c r="T8" s="176">
        <f t="shared" si="11"/>
        <v>9.2830574908306236</v>
      </c>
      <c r="U8" s="50"/>
    </row>
    <row r="9" spans="1:21" s="59" customFormat="1">
      <c r="A9" t="s">
        <v>147</v>
      </c>
      <c r="B9" s="189"/>
      <c r="C9" s="47">
        <v>23</v>
      </c>
      <c r="D9" s="133" t="s">
        <v>102</v>
      </c>
      <c r="E9" s="68">
        <v>219</v>
      </c>
      <c r="F9" s="69">
        <f>References!B10</f>
        <v>1</v>
      </c>
      <c r="G9" s="68">
        <f>F9*12</f>
        <v>12</v>
      </c>
      <c r="H9" s="68">
        <f>References!B25</f>
        <v>34</v>
      </c>
      <c r="I9" s="68">
        <f>G9*H9</f>
        <v>408</v>
      </c>
      <c r="J9" s="46">
        <f t="shared" si="2"/>
        <v>249.87769183189144</v>
      </c>
      <c r="K9" s="67">
        <f>(References!$C$50*J9)</f>
        <v>0.24113197261777453</v>
      </c>
      <c r="L9" s="67">
        <f>K9/References!$G$53</f>
        <v>0.24670756355409712</v>
      </c>
      <c r="M9" s="67">
        <f t="shared" si="3"/>
        <v>2.0558963629508095E-2</v>
      </c>
      <c r="N9" s="180">
        <v>2.33</v>
      </c>
      <c r="O9" s="138">
        <f t="shared" si="4"/>
        <v>2.3505589636295081</v>
      </c>
      <c r="P9" s="67">
        <f t="shared" si="5"/>
        <v>6123.2400000000007</v>
      </c>
      <c r="Q9" s="67">
        <f t="shared" si="6"/>
        <v>6177.2689564183474</v>
      </c>
      <c r="R9" s="70">
        <f>+Q9-P9</f>
        <v>54.028956418346752</v>
      </c>
      <c r="S9" s="177" t="str">
        <f>IF(O9&gt;N9,DOLLAR(ROUND(O9,2))&amp;" (A)",
IF(N9&gt;O9,DOLLAR(ROUND(O9,2))&amp;" (R)",
DOLLAR(ROUND(#REF!,2))))</f>
        <v>$2.35 (A)</v>
      </c>
      <c r="T9" s="176">
        <f t="shared" si="11"/>
        <v>2.3505589636295081</v>
      </c>
      <c r="U9" s="50"/>
    </row>
    <row r="10" spans="1:21" s="59" customFormat="1">
      <c r="A10" t="s">
        <v>146</v>
      </c>
      <c r="B10" s="189"/>
      <c r="C10" s="47">
        <v>22</v>
      </c>
      <c r="D10" s="44" t="s">
        <v>101</v>
      </c>
      <c r="E10" s="115">
        <v>696</v>
      </c>
      <c r="F10" s="69">
        <f>References!$B$8</f>
        <v>4.33</v>
      </c>
      <c r="G10" s="68">
        <f t="shared" si="8"/>
        <v>36164.159999999996</v>
      </c>
      <c r="H10" s="134">
        <f>References!B23</f>
        <v>68</v>
      </c>
      <c r="I10" s="68">
        <f t="shared" si="9"/>
        <v>2459162.88</v>
      </c>
      <c r="J10" s="46">
        <f t="shared" si="2"/>
        <v>1506102.8046398691</v>
      </c>
      <c r="K10" s="67">
        <f>(References!$C$50*J10)</f>
        <v>1453.3892064774693</v>
      </c>
      <c r="L10" s="67">
        <f>K10/References!$G$53</f>
        <v>1486.9953002634227</v>
      </c>
      <c r="M10" s="67">
        <f t="shared" si="3"/>
        <v>0.17804062503154011</v>
      </c>
      <c r="N10" s="179">
        <v>11.19</v>
      </c>
      <c r="O10" s="138">
        <f t="shared" ref="O10:O20" si="16">M10+N10</f>
        <v>11.36804062503154</v>
      </c>
      <c r="P10" s="67">
        <f t="shared" si="5"/>
        <v>93458.880000000005</v>
      </c>
      <c r="Q10" s="67">
        <f t="shared" si="6"/>
        <v>94945.875300263418</v>
      </c>
      <c r="R10" s="70">
        <f t="shared" si="10"/>
        <v>1486.9953002634138</v>
      </c>
      <c r="S10" s="177" t="str">
        <f>IF(O10&gt;N10,DOLLAR(ROUND(O10,2))&amp;" (A)",
IF(N10&gt;O10,DOLLAR(ROUND(O10,2))&amp;" (R)",
DOLLAR(ROUND(#REF!,2))))</f>
        <v>$11.37 (A)</v>
      </c>
      <c r="T10" s="176">
        <f t="shared" si="11"/>
        <v>11.36804062503154</v>
      </c>
      <c r="U10" s="50"/>
    </row>
    <row r="11" spans="1:21" s="59" customFormat="1">
      <c r="B11" s="189"/>
      <c r="C11" s="47"/>
      <c r="D11" s="118"/>
      <c r="E11" s="119"/>
      <c r="F11" s="113"/>
      <c r="G11" s="68"/>
      <c r="H11" s="116"/>
      <c r="I11" s="68"/>
      <c r="J11" s="46"/>
      <c r="K11" s="67"/>
      <c r="L11" s="67"/>
      <c r="M11" s="67"/>
      <c r="N11" s="117"/>
      <c r="O11" s="67"/>
      <c r="P11" s="67"/>
      <c r="Q11" s="67"/>
      <c r="R11" s="70"/>
    </row>
    <row r="12" spans="1:21" s="59" customFormat="1">
      <c r="B12" s="48"/>
      <c r="C12" s="83"/>
      <c r="D12" s="49" t="s">
        <v>16</v>
      </c>
      <c r="E12" s="51">
        <f>SUM(E4:E11)</f>
        <v>2078</v>
      </c>
      <c r="F12" s="52"/>
      <c r="G12" s="51">
        <f>SUM(G4:G11)</f>
        <v>96098.040000000008</v>
      </c>
      <c r="H12" s="53"/>
      <c r="I12" s="51">
        <f>SUM(I4:I11)</f>
        <v>5094870.4800000004</v>
      </c>
      <c r="J12" s="51">
        <f>SUM(J4:J11)</f>
        <v>3120329.5973648056</v>
      </c>
      <c r="K12" s="72"/>
      <c r="L12" s="72"/>
      <c r="M12" s="72"/>
      <c r="N12" s="72"/>
      <c r="O12" s="72"/>
      <c r="P12" s="51">
        <f>SUM(P4:P11)</f>
        <v>221034.60000000003</v>
      </c>
      <c r="Q12" s="51">
        <f t="shared" ref="Q12:R12" si="17">SUM(Q4:Q11)</f>
        <v>224171.34546679072</v>
      </c>
      <c r="R12" s="51">
        <f t="shared" si="17"/>
        <v>3136.7454667907218</v>
      </c>
    </row>
    <row r="13" spans="1:21" s="59" customFormat="1">
      <c r="B13" s="190" t="s">
        <v>14</v>
      </c>
      <c r="C13" s="47"/>
      <c r="D13" s="120"/>
      <c r="E13" s="56"/>
      <c r="F13" s="69"/>
      <c r="G13" s="121"/>
      <c r="H13" s="134"/>
      <c r="I13" s="68"/>
      <c r="J13" s="46"/>
      <c r="K13" s="67"/>
      <c r="L13" s="67"/>
      <c r="M13" s="67"/>
      <c r="N13" s="179"/>
      <c r="O13" s="138"/>
      <c r="P13" s="67"/>
      <c r="Q13" s="67"/>
      <c r="R13" s="70"/>
      <c r="T13" s="50"/>
    </row>
    <row r="14" spans="1:21" s="59" customFormat="1">
      <c r="B14" s="189"/>
      <c r="C14" s="47">
        <v>32</v>
      </c>
      <c r="D14" s="120" t="s">
        <v>136</v>
      </c>
      <c r="E14" s="155">
        <v>9</v>
      </c>
      <c r="F14" s="69">
        <v>1</v>
      </c>
      <c r="G14" s="68">
        <f>E14*F14*12</f>
        <v>108</v>
      </c>
      <c r="H14" s="134">
        <f>References!B23</f>
        <v>68</v>
      </c>
      <c r="I14" s="107">
        <f>G14*H14</f>
        <v>7344</v>
      </c>
      <c r="J14" s="46">
        <f>$E$53*I14</f>
        <v>4497.7984529740461</v>
      </c>
      <c r="K14" s="67">
        <f>(References!$C$50*J14)</f>
        <v>4.3403755071199415</v>
      </c>
      <c r="L14" s="67">
        <f>K14/References!$G$53</f>
        <v>4.4407361439737478</v>
      </c>
      <c r="M14" s="67">
        <f>L14/G14</f>
        <v>4.1117927259016182E-2</v>
      </c>
      <c r="N14" s="180">
        <v>1.37</v>
      </c>
      <c r="O14" s="138">
        <f t="shared" si="16"/>
        <v>1.4111179272590162</v>
      </c>
      <c r="P14" s="67">
        <f>G14*N14</f>
        <v>147.96</v>
      </c>
      <c r="Q14" s="67">
        <f>G14*O14</f>
        <v>152.40073614397375</v>
      </c>
      <c r="R14" s="70">
        <f t="shared" ref="R14:R20" si="18">+Q14-P14</f>
        <v>4.4407361439737372</v>
      </c>
      <c r="S14" s="177" t="str">
        <f>IF(O14&gt;N14,DOLLAR(ROUND(O14,2))&amp;" (A)",
IF(N14&gt;O14,DOLLAR(ROUND(O14,2))&amp;" (R)",
DOLLAR(ROUND(#REF!,2))))</f>
        <v>$1.41 (A)</v>
      </c>
      <c r="T14" s="50">
        <f>ROUND(O14*4.33,2)</f>
        <v>6.11</v>
      </c>
      <c r="U14" s="50"/>
    </row>
    <row r="15" spans="1:21" s="59" customFormat="1">
      <c r="B15" s="189"/>
      <c r="C15" s="47">
        <v>32</v>
      </c>
      <c r="D15" s="120" t="s">
        <v>140</v>
      </c>
      <c r="E15" s="155">
        <v>9</v>
      </c>
      <c r="F15" s="69">
        <v>1</v>
      </c>
      <c r="G15" s="68">
        <f t="shared" ref="G15:G16" si="19">E15*F15*12</f>
        <v>108</v>
      </c>
      <c r="H15" s="134">
        <f>References!B23</f>
        <v>68</v>
      </c>
      <c r="I15" s="107">
        <f t="shared" ref="I15:I16" si="20">G15*H15</f>
        <v>7344</v>
      </c>
      <c r="J15" s="46">
        <f t="shared" ref="J15:J16" si="21">$E$53*I15</f>
        <v>4497.7984529740461</v>
      </c>
      <c r="K15" s="67">
        <f>(References!$C$50*J15)</f>
        <v>4.3403755071199415</v>
      </c>
      <c r="L15" s="67">
        <f>K15/References!$G$53</f>
        <v>4.4407361439737478</v>
      </c>
      <c r="M15" s="67">
        <f t="shared" ref="M15:M16" si="22">L15/G15</f>
        <v>4.1117927259016182E-2</v>
      </c>
      <c r="N15" s="180">
        <v>5.67</v>
      </c>
      <c r="O15" s="138">
        <f t="shared" ref="O15:O16" si="23">M15+N15</f>
        <v>5.711117927259016</v>
      </c>
      <c r="P15" s="67">
        <f t="shared" ref="P15:P16" si="24">G15*N15</f>
        <v>612.36</v>
      </c>
      <c r="Q15" s="67">
        <f t="shared" ref="Q15:Q16" si="25">G15*O15</f>
        <v>616.80073614397372</v>
      </c>
      <c r="R15" s="70">
        <f t="shared" ref="R15:R16" si="26">+Q15-P15</f>
        <v>4.4407361439737087</v>
      </c>
      <c r="S15" s="177" t="str">
        <f>IF(O15&gt;N15,DOLLAR(ROUND(O15,2))&amp;" (A)",
IF(N15&gt;O15,DOLLAR(ROUND(O15,2))&amp;" (R)",
DOLLAR(ROUND(#REF!,2))))</f>
        <v>$5.71 (A)</v>
      </c>
      <c r="T15" s="176">
        <f t="shared" ref="T15:T16" si="27">O15</f>
        <v>5.711117927259016</v>
      </c>
      <c r="U15" s="50"/>
    </row>
    <row r="16" spans="1:21" s="59" customFormat="1">
      <c r="B16" s="189"/>
      <c r="C16" s="47">
        <v>32</v>
      </c>
      <c r="D16" s="120" t="s">
        <v>141</v>
      </c>
      <c r="E16" s="155">
        <v>9</v>
      </c>
      <c r="F16" s="69">
        <v>1</v>
      </c>
      <c r="G16" s="68">
        <f t="shared" si="19"/>
        <v>108</v>
      </c>
      <c r="H16" s="134">
        <f>References!B23</f>
        <v>68</v>
      </c>
      <c r="I16" s="107">
        <f t="shared" si="20"/>
        <v>7344</v>
      </c>
      <c r="J16" s="46">
        <f t="shared" si="21"/>
        <v>4497.7984529740461</v>
      </c>
      <c r="K16" s="67">
        <f>(References!$C$50*J16)</f>
        <v>4.3403755071199415</v>
      </c>
      <c r="L16" s="67">
        <f>K16/References!$G$53</f>
        <v>4.4407361439737478</v>
      </c>
      <c r="M16" s="67">
        <f t="shared" si="22"/>
        <v>4.1117927259016182E-2</v>
      </c>
      <c r="N16" s="180">
        <v>2.37</v>
      </c>
      <c r="O16" s="138">
        <f t="shared" si="23"/>
        <v>2.4111179272590162</v>
      </c>
      <c r="P16" s="67">
        <f t="shared" si="24"/>
        <v>255.96</v>
      </c>
      <c r="Q16" s="67">
        <f t="shared" si="25"/>
        <v>260.40073614397375</v>
      </c>
      <c r="R16" s="70">
        <f t="shared" si="26"/>
        <v>4.4407361439737372</v>
      </c>
      <c r="S16" s="177" t="str">
        <f>IF(O16&gt;N16,DOLLAR(ROUND(O16,2))&amp;" (A)",
IF(N16&gt;O16,DOLLAR(ROUND(O16,2))&amp;" (R)",
DOLLAR(ROUND(#REF!,2))))</f>
        <v>$2.41 (A)</v>
      </c>
      <c r="T16" s="176">
        <f t="shared" si="27"/>
        <v>2.4111179272590162</v>
      </c>
      <c r="U16" s="50"/>
    </row>
    <row r="17" spans="1:21" s="59" customFormat="1">
      <c r="B17" s="189"/>
      <c r="C17" s="47"/>
      <c r="D17" s="139"/>
      <c r="E17" s="156"/>
      <c r="F17" s="140"/>
      <c r="G17" s="141"/>
      <c r="H17" s="142"/>
      <c r="I17" s="143"/>
      <c r="J17" s="144"/>
      <c r="K17" s="145"/>
      <c r="L17" s="145"/>
      <c r="M17" s="145"/>
      <c r="N17" s="181"/>
      <c r="O17" s="146"/>
      <c r="P17" s="145"/>
      <c r="Q17" s="145"/>
      <c r="R17" s="147"/>
      <c r="T17" s="50"/>
    </row>
    <row r="18" spans="1:21" s="59" customFormat="1">
      <c r="A18" t="s">
        <v>148</v>
      </c>
      <c r="B18" s="189"/>
      <c r="C18" s="47">
        <v>31</v>
      </c>
      <c r="D18" s="148" t="s">
        <v>133</v>
      </c>
      <c r="E18" s="157">
        <v>706</v>
      </c>
      <c r="F18" s="150">
        <f>+References!B10</f>
        <v>1</v>
      </c>
      <c r="G18" s="68">
        <f t="shared" ref="G18:G20" si="28">E18*F18*12</f>
        <v>8472</v>
      </c>
      <c r="H18" s="151">
        <f>References!$B$29</f>
        <v>250</v>
      </c>
      <c r="I18" s="149">
        <f t="shared" ref="I18:I20" si="29">G18*H18</f>
        <v>2118000</v>
      </c>
      <c r="J18" s="152">
        <f>$E$53*I18</f>
        <v>1297159.1943626129</v>
      </c>
      <c r="K18" s="153">
        <f>(References!$C$50*J18)</f>
        <v>1251.7586225599177</v>
      </c>
      <c r="L18" s="153">
        <f>K18/References!$G$53</f>
        <v>1280.7024990381806</v>
      </c>
      <c r="M18" s="153">
        <f t="shared" ref="M18:M20" si="30">L18/G18</f>
        <v>0.15116885021697127</v>
      </c>
      <c r="N18" s="181">
        <v>9.58</v>
      </c>
      <c r="O18" s="138">
        <f t="shared" si="16"/>
        <v>9.7311688502169709</v>
      </c>
      <c r="P18" s="153">
        <f t="shared" ref="P18:P20" si="31">G18*N18</f>
        <v>81161.759999999995</v>
      </c>
      <c r="Q18" s="153">
        <f t="shared" ref="Q18:Q20" si="32">G18*O18</f>
        <v>82442.462499038171</v>
      </c>
      <c r="R18" s="70">
        <f t="shared" si="18"/>
        <v>1280.702499038176</v>
      </c>
      <c r="S18" s="177" t="str">
        <f>IF(O18&gt;N18,DOLLAR(ROUND(O18,2))&amp;" (A)",
IF(N18&gt;O18,DOLLAR(ROUND(O18,2))&amp;" (R)",
DOLLAR(ROUND(#REF!,2))))</f>
        <v>$9.73 (A)</v>
      </c>
      <c r="T18" s="50">
        <f>ROUND(O18*4.33,2)</f>
        <v>42.14</v>
      </c>
      <c r="U18" s="50"/>
    </row>
    <row r="19" spans="1:21" s="59" customFormat="1">
      <c r="B19" s="189"/>
      <c r="C19" s="47">
        <v>31</v>
      </c>
      <c r="D19" s="148" t="s">
        <v>132</v>
      </c>
      <c r="E19" s="157">
        <f>2670</f>
        <v>2670</v>
      </c>
      <c r="F19" s="150">
        <f>+References!B10</f>
        <v>1</v>
      </c>
      <c r="G19" s="68">
        <f t="shared" ref="G19" si="33">E19*F19*12</f>
        <v>32040</v>
      </c>
      <c r="H19" s="151">
        <f>References!$B$29</f>
        <v>250</v>
      </c>
      <c r="I19" s="149">
        <f t="shared" ref="I19" si="34">G19*H19</f>
        <v>8010000</v>
      </c>
      <c r="J19" s="152">
        <f>$E$53*I19</f>
        <v>4905687.0381702213</v>
      </c>
      <c r="K19" s="153">
        <f>(References!$C$50*J19)</f>
        <v>4733.9879918342494</v>
      </c>
      <c r="L19" s="153">
        <f>K19/References!$G$53</f>
        <v>4843.4499609517588</v>
      </c>
      <c r="M19" s="153">
        <f t="shared" ref="M19" si="35">L19/G19</f>
        <v>0.15116885021697124</v>
      </c>
      <c r="N19" s="181">
        <v>9.58</v>
      </c>
      <c r="O19" s="138">
        <f t="shared" ref="O19" si="36">M19+N19</f>
        <v>9.7311688502169709</v>
      </c>
      <c r="P19" s="153">
        <f t="shared" ref="P19" si="37">G19*N19</f>
        <v>306943.2</v>
      </c>
      <c r="Q19" s="153">
        <f t="shared" ref="Q19" si="38">G19*O19</f>
        <v>311786.64996095176</v>
      </c>
      <c r="R19" s="70">
        <f t="shared" ref="R19" si="39">+Q19-P19</f>
        <v>4843.4499609517516</v>
      </c>
      <c r="S19" s="177" t="str">
        <f>IF(O19&gt;N19,DOLLAR(ROUND(O19,2))&amp;" (A)",
IF(N19&gt;O19,DOLLAR(ROUND(O19,2))&amp;" (R)",
DOLLAR(ROUND(#REF!,2))))</f>
        <v>$9.73 (A)</v>
      </c>
      <c r="T19" s="176">
        <f t="shared" ref="T19:T21" si="40">O19</f>
        <v>9.7311688502169709</v>
      </c>
      <c r="U19" s="50"/>
    </row>
    <row r="20" spans="1:21" s="59" customFormat="1" ht="28.8">
      <c r="A20" s="175" t="s">
        <v>149</v>
      </c>
      <c r="B20" s="189"/>
      <c r="C20" s="47">
        <v>31</v>
      </c>
      <c r="D20" s="120" t="s">
        <v>134</v>
      </c>
      <c r="E20" s="154">
        <v>19</v>
      </c>
      <c r="F20" s="69">
        <f>+References!B10</f>
        <v>1</v>
      </c>
      <c r="G20" s="68">
        <f t="shared" si="28"/>
        <v>228</v>
      </c>
      <c r="H20" s="134">
        <f>References!$B$29</f>
        <v>250</v>
      </c>
      <c r="I20" s="68">
        <f t="shared" si="29"/>
        <v>57000</v>
      </c>
      <c r="J20" s="46">
        <f>$E$53*I20</f>
        <v>34909.383417690718</v>
      </c>
      <c r="K20" s="67">
        <f>(References!$C$50*J20)</f>
        <v>33.687554998071441</v>
      </c>
      <c r="L20" s="67">
        <f>K20/References!$G$53</f>
        <v>34.466497849469448</v>
      </c>
      <c r="M20" s="67">
        <f t="shared" si="30"/>
        <v>0.15116885021697127</v>
      </c>
      <c r="N20" s="181">
        <v>9.58</v>
      </c>
      <c r="O20" s="138">
        <f t="shared" si="16"/>
        <v>9.7311688502169709</v>
      </c>
      <c r="P20" s="67">
        <f t="shared" si="31"/>
        <v>2184.2400000000002</v>
      </c>
      <c r="Q20" s="67">
        <f t="shared" si="32"/>
        <v>2218.7064978494695</v>
      </c>
      <c r="R20" s="70">
        <f t="shared" si="18"/>
        <v>34.466497849469306</v>
      </c>
      <c r="S20" s="177" t="str">
        <f>IF(O20&gt;N20,DOLLAR(ROUND(O20,2))&amp;" (A)",
IF(N20&gt;O20,DOLLAR(ROUND(O20,2))&amp;" (R)",
DOLLAR(ROUND(#REF!,2))))</f>
        <v>$9.73 (A)</v>
      </c>
      <c r="T20" s="176">
        <f t="shared" si="40"/>
        <v>9.7311688502169709</v>
      </c>
      <c r="U20" s="50"/>
    </row>
    <row r="21" spans="1:21" s="59" customFormat="1">
      <c r="A21" s="59" t="s">
        <v>156</v>
      </c>
      <c r="B21" s="189"/>
      <c r="C21" s="47">
        <v>31</v>
      </c>
      <c r="D21" s="148" t="s">
        <v>135</v>
      </c>
      <c r="E21" s="157">
        <v>22</v>
      </c>
      <c r="F21" s="150">
        <f>+References!B10</f>
        <v>1</v>
      </c>
      <c r="G21" s="68">
        <f t="shared" ref="G21" si="41">E21*F21*12</f>
        <v>264</v>
      </c>
      <c r="H21" s="134">
        <f>References!$B$29</f>
        <v>250</v>
      </c>
      <c r="I21" s="68">
        <f t="shared" ref="I21" si="42">G21*H21</f>
        <v>66000</v>
      </c>
      <c r="J21" s="46">
        <f>$E$53*I21</f>
        <v>40421.391325747143</v>
      </c>
      <c r="K21" s="67">
        <f>(References!$C$50*J21)</f>
        <v>39.006642629345876</v>
      </c>
      <c r="L21" s="67">
        <f>K21/References!$G$53</f>
        <v>39.908576457280411</v>
      </c>
      <c r="M21" s="67">
        <f t="shared" ref="M21" si="43">L21/G21</f>
        <v>0.15116885021697124</v>
      </c>
      <c r="N21" s="181">
        <v>9.58</v>
      </c>
      <c r="O21" s="138">
        <f t="shared" ref="O21" si="44">M21+N21</f>
        <v>9.7311688502169709</v>
      </c>
      <c r="P21" s="67">
        <f t="shared" ref="P21" si="45">G21*N21</f>
        <v>2529.12</v>
      </c>
      <c r="Q21" s="67">
        <f t="shared" ref="Q21" si="46">G21*O21</f>
        <v>2569.0285764572805</v>
      </c>
      <c r="R21" s="70">
        <f t="shared" ref="R21" si="47">+Q21-P21</f>
        <v>39.90857645728056</v>
      </c>
      <c r="S21" s="177" t="str">
        <f>IF(O21&gt;N21,DOLLAR(ROUND(O21,2))&amp;" (A)",
IF(N21&gt;O21,DOLLAR(ROUND(O21,2))&amp;" (R)",
DOLLAR(ROUND(#REF!,2))))</f>
        <v>$9.73 (A)</v>
      </c>
      <c r="T21" s="176">
        <f t="shared" si="40"/>
        <v>9.7311688502169709</v>
      </c>
      <c r="U21" s="50"/>
    </row>
    <row r="22" spans="1:21" s="59" customFormat="1">
      <c r="B22" s="189"/>
      <c r="C22" s="47"/>
      <c r="D22" s="148"/>
      <c r="E22" s="157"/>
      <c r="F22" s="150"/>
      <c r="G22" s="68"/>
      <c r="H22" s="134"/>
      <c r="I22" s="68"/>
      <c r="J22" s="46"/>
      <c r="K22" s="67"/>
      <c r="L22" s="67"/>
      <c r="M22" s="67"/>
      <c r="N22" s="181"/>
      <c r="O22" s="138"/>
      <c r="P22" s="67"/>
      <c r="Q22" s="67"/>
      <c r="R22" s="70"/>
      <c r="T22" s="50"/>
    </row>
    <row r="23" spans="1:21" s="59" customFormat="1">
      <c r="B23" s="189"/>
      <c r="C23" s="47"/>
      <c r="D23" s="120"/>
      <c r="E23" s="56"/>
      <c r="F23" s="69"/>
      <c r="G23" s="121"/>
      <c r="H23" s="134"/>
      <c r="I23" s="68"/>
      <c r="J23" s="46"/>
      <c r="K23" s="67"/>
      <c r="L23" s="67"/>
      <c r="M23" s="67"/>
      <c r="N23" s="67"/>
      <c r="O23" s="67"/>
      <c r="P23" s="67"/>
      <c r="Q23" s="67"/>
      <c r="R23" s="70"/>
      <c r="T23" s="50"/>
    </row>
    <row r="24" spans="1:21" s="59" customFormat="1">
      <c r="B24" s="48"/>
      <c r="C24" s="25"/>
      <c r="D24" s="49"/>
      <c r="E24" s="51">
        <f>SUM(E13:E22)</f>
        <v>3444</v>
      </c>
      <c r="F24" s="51"/>
      <c r="G24" s="51">
        <f>SUM(G13:G22)</f>
        <v>41328</v>
      </c>
      <c r="H24" s="135">
        <f>SUM(H13:H23)</f>
        <v>1204</v>
      </c>
      <c r="I24" s="51">
        <f>SUM(I13:I22)</f>
        <v>10273032</v>
      </c>
      <c r="J24" s="51">
        <f>SUM(J13:J22)</f>
        <v>6291670.4026351953</v>
      </c>
      <c r="K24" s="71"/>
      <c r="L24" s="71"/>
      <c r="M24" s="71"/>
      <c r="N24" s="71"/>
      <c r="O24" s="71"/>
      <c r="P24" s="51">
        <f>SUM(P13:P22)</f>
        <v>393834.6</v>
      </c>
      <c r="Q24" s="51">
        <f>SUM(Q13:Q22)</f>
        <v>400046.44974272867</v>
      </c>
      <c r="R24" s="51">
        <f>SUM(R13:R22)</f>
        <v>6211.8497427285984</v>
      </c>
    </row>
    <row r="25" spans="1:21">
      <c r="D25" s="63"/>
      <c r="E25" s="64">
        <f>E12+E24</f>
        <v>5522</v>
      </c>
      <c r="F25" s="64"/>
      <c r="G25" s="102">
        <f>G12+G24</f>
        <v>137426.04</v>
      </c>
      <c r="H25" s="64"/>
      <c r="I25" s="64">
        <f>I12+I24</f>
        <v>15367902.48</v>
      </c>
      <c r="J25" s="64">
        <f>J12+J24</f>
        <v>9412000</v>
      </c>
      <c r="K25" s="67"/>
      <c r="L25" s="73"/>
      <c r="M25" s="73"/>
      <c r="N25" s="73"/>
      <c r="O25" s="73"/>
      <c r="P25" s="73">
        <f>P12+P24</f>
        <v>614869.19999999995</v>
      </c>
      <c r="Q25" s="73">
        <f>Q12+Q24</f>
        <v>624217.79520951933</v>
      </c>
      <c r="R25" s="73">
        <f>R12+R24</f>
        <v>9348.5952095193206</v>
      </c>
    </row>
    <row r="26" spans="1:21">
      <c r="H26" s="136"/>
      <c r="K26" s="55"/>
      <c r="Q26" s="60"/>
    </row>
    <row r="27" spans="1:21">
      <c r="H27" s="136"/>
      <c r="K27" s="55"/>
      <c r="Q27" s="60"/>
    </row>
    <row r="28" spans="1:21">
      <c r="B28" s="74"/>
      <c r="C28" s="75"/>
      <c r="D28" s="79" t="s">
        <v>91</v>
      </c>
      <c r="E28" s="76"/>
      <c r="F28" s="74"/>
      <c r="G28" s="74"/>
      <c r="H28" s="137"/>
      <c r="I28" s="74"/>
      <c r="J28" s="77"/>
      <c r="K28" s="78"/>
      <c r="L28" s="74"/>
      <c r="M28" s="74"/>
      <c r="N28" s="74"/>
      <c r="O28" s="74"/>
      <c r="P28" s="59"/>
      <c r="Q28" s="101"/>
      <c r="R28" s="59"/>
    </row>
    <row r="29" spans="1:21" s="59" customFormat="1">
      <c r="B29" s="189" t="s">
        <v>49</v>
      </c>
      <c r="C29" s="47"/>
      <c r="D29" s="120"/>
      <c r="E29" s="68"/>
      <c r="F29" s="69"/>
      <c r="G29" s="68"/>
      <c r="H29" s="68"/>
      <c r="I29" s="68"/>
      <c r="J29" s="46"/>
      <c r="K29" s="67"/>
      <c r="L29" s="67"/>
      <c r="M29" s="67"/>
      <c r="N29" s="180"/>
      <c r="O29" s="138"/>
      <c r="P29" s="122"/>
      <c r="Q29" s="67"/>
      <c r="R29" s="67"/>
    </row>
    <row r="30" spans="1:21" s="59" customFormat="1">
      <c r="B30" s="189"/>
      <c r="C30" s="47">
        <v>22</v>
      </c>
      <c r="D30" s="105" t="s">
        <v>106</v>
      </c>
      <c r="E30" s="68">
        <v>0</v>
      </c>
      <c r="F30" s="69">
        <f>References!$B$8</f>
        <v>4.33</v>
      </c>
      <c r="G30" s="68">
        <f t="shared" ref="G30:G31" si="48">F30*12</f>
        <v>51.96</v>
      </c>
      <c r="H30" s="68">
        <f>References!B16</f>
        <v>51</v>
      </c>
      <c r="I30" s="68">
        <f t="shared" ref="I30:I35" si="49">G30*H30</f>
        <v>2649.96</v>
      </c>
      <c r="J30" s="46">
        <f>$E$53*I30</f>
        <v>1622.9556084481349</v>
      </c>
      <c r="K30" s="67">
        <f>(References!$C$50*J30)</f>
        <v>1.5661521621524455</v>
      </c>
      <c r="L30" s="67">
        <f>K30/References!$G$53</f>
        <v>1.6023656252838607</v>
      </c>
      <c r="M30" s="67">
        <f>L30/G30*F30</f>
        <v>0.13353046877365504</v>
      </c>
      <c r="N30" s="180">
        <v>9.18</v>
      </c>
      <c r="O30" s="138">
        <f>M30+N30</f>
        <v>9.3135304687736546</v>
      </c>
      <c r="P30" s="67"/>
      <c r="Q30" s="67"/>
      <c r="R30" s="67"/>
      <c r="S30" s="177" t="str">
        <f>IF(O30&gt;N30,DOLLAR(ROUND(O30,2))&amp;" (A)",
IF(N30&gt;O30,DOLLAR(ROUND(O30,2))&amp;" (R)",
DOLLAR(ROUND(#REF!,2))))</f>
        <v>$9.31 (A)</v>
      </c>
      <c r="T30" s="50">
        <f t="shared" ref="T30:T31" si="50">ROUND(O30*4.33,2)</f>
        <v>40.33</v>
      </c>
      <c r="U30" s="50"/>
    </row>
    <row r="31" spans="1:21" s="59" customFormat="1">
      <c r="B31" s="189"/>
      <c r="C31" s="47">
        <v>22</v>
      </c>
      <c r="D31" s="105" t="s">
        <v>107</v>
      </c>
      <c r="E31" s="68">
        <v>0</v>
      </c>
      <c r="F31" s="69">
        <f>References!$B$8</f>
        <v>4.33</v>
      </c>
      <c r="G31" s="68">
        <f t="shared" si="48"/>
        <v>51.96</v>
      </c>
      <c r="H31" s="68">
        <f>References!B17</f>
        <v>77</v>
      </c>
      <c r="I31" s="68">
        <f t="shared" si="49"/>
        <v>4000.92</v>
      </c>
      <c r="J31" s="46">
        <f>$E$53*I31</f>
        <v>2450.344742166792</v>
      </c>
      <c r="K31" s="67">
        <f>(References!$C$50*J31)</f>
        <v>2.3645826761909472</v>
      </c>
      <c r="L31" s="67">
        <f>K31/References!$G$53</f>
        <v>2.4192579048403386</v>
      </c>
      <c r="M31" s="67">
        <f t="shared" ref="M31:M35" si="51">L31/G31*F31</f>
        <v>0.20160482540336155</v>
      </c>
      <c r="N31" s="180">
        <v>11.24</v>
      </c>
      <c r="O31" s="138">
        <f t="shared" ref="O31:O35" si="52">M31+N31</f>
        <v>11.441604825403362</v>
      </c>
      <c r="P31" s="67"/>
      <c r="Q31" s="67"/>
      <c r="R31" s="67"/>
      <c r="S31" s="177" t="str">
        <f>IF(O31&gt;N31,DOLLAR(ROUND(O31,2))&amp;" (A)",
IF(N31&gt;O31,DOLLAR(ROUND(O31,2))&amp;" (R)",
DOLLAR(ROUND(#REF!,2))))</f>
        <v>$11.44 (A)</v>
      </c>
      <c r="T31" s="50">
        <f t="shared" si="50"/>
        <v>49.54</v>
      </c>
      <c r="U31" s="50"/>
    </row>
    <row r="32" spans="1:21" s="59" customFormat="1">
      <c r="B32" s="189"/>
      <c r="N32" s="182"/>
      <c r="O32" s="138"/>
      <c r="P32" s="67"/>
      <c r="Q32" s="67"/>
      <c r="R32" s="67"/>
    </row>
    <row r="33" spans="1:21" s="59" customFormat="1">
      <c r="A33" s="59" t="s">
        <v>154</v>
      </c>
      <c r="B33" s="189"/>
      <c r="C33" s="47">
        <v>23</v>
      </c>
      <c r="D33" s="105" t="s">
        <v>114</v>
      </c>
      <c r="E33" s="68">
        <v>0</v>
      </c>
      <c r="F33" s="69">
        <f>References!$B$8</f>
        <v>4.33</v>
      </c>
      <c r="G33" s="68">
        <v>1</v>
      </c>
      <c r="H33" s="68">
        <f>+References!B22</f>
        <v>47</v>
      </c>
      <c r="I33" s="68">
        <f t="shared" si="49"/>
        <v>47</v>
      </c>
      <c r="J33" s="46">
        <f>$E$53*I33</f>
        <v>28.784930186516906</v>
      </c>
      <c r="K33" s="67">
        <f>(References!$C$50*J33)</f>
        <v>2.777745762998873E-2</v>
      </c>
      <c r="L33" s="67">
        <f>K33/References!$G$53</f>
        <v>2.8419743840790598E-2</v>
      </c>
      <c r="M33" s="67">
        <f t="shared" si="51"/>
        <v>0.12305749083062328</v>
      </c>
      <c r="N33" s="180">
        <v>2.54</v>
      </c>
      <c r="O33" s="138">
        <f t="shared" si="52"/>
        <v>2.6630574908306235</v>
      </c>
      <c r="P33" s="67"/>
      <c r="Q33" s="67"/>
      <c r="R33" s="67"/>
      <c r="S33" s="177" t="str">
        <f>IF(O33&gt;N33,DOLLAR(ROUND(O33,2))&amp;" (A)",
IF(N33&gt;O33,DOLLAR(ROUND(O33,2))&amp;" (R)",
DOLLAR(ROUND(#REF!,2))))</f>
        <v>$2.66 (A)</v>
      </c>
      <c r="T33" s="176">
        <f t="shared" ref="T33:T36" si="53">O33</f>
        <v>2.6630574908306235</v>
      </c>
      <c r="U33" s="50"/>
    </row>
    <row r="34" spans="1:21" s="59" customFormat="1">
      <c r="A34" s="59" t="s">
        <v>155</v>
      </c>
      <c r="B34" s="189"/>
      <c r="C34" s="47">
        <v>23</v>
      </c>
      <c r="D34" s="105" t="s">
        <v>115</v>
      </c>
      <c r="E34" s="68">
        <v>0</v>
      </c>
      <c r="F34" s="69">
        <f>References!$B$8</f>
        <v>4.33</v>
      </c>
      <c r="G34" s="68">
        <v>1</v>
      </c>
      <c r="H34" s="68">
        <f>References!B23</f>
        <v>68</v>
      </c>
      <c r="I34" s="68">
        <f t="shared" si="49"/>
        <v>68</v>
      </c>
      <c r="J34" s="46">
        <f>$E$53*I34</f>
        <v>41.646281971981907</v>
      </c>
      <c r="K34" s="67">
        <f>(References!$C$50*J34)</f>
        <v>4.0188662102962416E-2</v>
      </c>
      <c r="L34" s="67">
        <f>K34/References!$G$53</f>
        <v>4.1117927259016182E-2</v>
      </c>
      <c r="M34" s="67">
        <f t="shared" si="51"/>
        <v>0.17804062503154008</v>
      </c>
      <c r="N34" s="180">
        <v>2.64</v>
      </c>
      <c r="O34" s="138">
        <f t="shared" si="52"/>
        <v>2.8180406250315402</v>
      </c>
      <c r="P34" s="67"/>
      <c r="Q34" s="67"/>
      <c r="R34" s="67"/>
      <c r="S34" s="177" t="str">
        <f>IF(O34&gt;N34,DOLLAR(ROUND(O34,2))&amp;" (A)",
IF(N34&gt;O34,DOLLAR(ROUND(O34,2))&amp;" (R)",
DOLLAR(ROUND(#REF!,2))))</f>
        <v>$2.82 (A)</v>
      </c>
      <c r="T34" s="176">
        <f t="shared" si="53"/>
        <v>2.8180406250315402</v>
      </c>
      <c r="U34" s="50"/>
    </row>
    <row r="35" spans="1:21" s="59" customFormat="1">
      <c r="B35" s="189"/>
      <c r="C35" s="47">
        <v>23</v>
      </c>
      <c r="D35" s="105" t="s">
        <v>116</v>
      </c>
      <c r="E35" s="68">
        <v>0</v>
      </c>
      <c r="F35" s="69">
        <f>References!$B$8</f>
        <v>4.33</v>
      </c>
      <c r="G35" s="68">
        <v>1</v>
      </c>
      <c r="H35" s="68">
        <f>+References!B15</f>
        <v>34</v>
      </c>
      <c r="I35" s="68">
        <f t="shared" si="49"/>
        <v>34</v>
      </c>
      <c r="J35" s="46">
        <f>$E$53*I35</f>
        <v>20.823140985990953</v>
      </c>
      <c r="K35" s="67">
        <f>(References!$C$50*J35)</f>
        <v>2.0094331051481208E-2</v>
      </c>
      <c r="L35" s="67">
        <f>K35/References!$G$53</f>
        <v>2.0558963629508091E-2</v>
      </c>
      <c r="M35" s="67">
        <f t="shared" si="51"/>
        <v>8.9020312515770042E-2</v>
      </c>
      <c r="N35" s="180">
        <v>4.18</v>
      </c>
      <c r="O35" s="138">
        <f t="shared" si="52"/>
        <v>4.26902031251577</v>
      </c>
      <c r="P35" s="67"/>
      <c r="Q35" s="67"/>
      <c r="R35" s="67"/>
      <c r="S35" s="177" t="str">
        <f>IF(O35&gt;N35,DOLLAR(ROUND(O35,2))&amp;" (A)",
IF(N35&gt;O35,DOLLAR(ROUND(O35,2))&amp;" (R)",
DOLLAR(ROUND(#REF!,2))))</f>
        <v>$4.27 (A)</v>
      </c>
      <c r="T35" s="176">
        <f t="shared" si="53"/>
        <v>4.26902031251577</v>
      </c>
      <c r="U35" s="50"/>
    </row>
    <row r="36" spans="1:21" s="59" customFormat="1">
      <c r="B36" s="132"/>
      <c r="C36" s="47">
        <v>24</v>
      </c>
      <c r="D36" s="59" t="s">
        <v>103</v>
      </c>
      <c r="E36" s="68">
        <v>0</v>
      </c>
      <c r="F36" s="69">
        <f>References!B10</f>
        <v>1</v>
      </c>
      <c r="G36" s="68">
        <f>F36*12</f>
        <v>12</v>
      </c>
      <c r="H36" s="68">
        <f>References!B43</f>
        <v>125</v>
      </c>
      <c r="I36" s="68">
        <f>G36*H36</f>
        <v>1500</v>
      </c>
      <c r="J36" s="46">
        <f>$E$53*I36</f>
        <v>918.66798467607146</v>
      </c>
      <c r="K36" s="67">
        <f>(References!$C$50*J36)</f>
        <v>0.88651460521240633</v>
      </c>
      <c r="L36" s="67">
        <f>K36/References!$G$53</f>
        <v>0.90701310130182755</v>
      </c>
      <c r="M36" s="67">
        <f>L36/G36*F36</f>
        <v>7.5584425108485634E-2</v>
      </c>
      <c r="N36" s="180">
        <v>2.44</v>
      </c>
      <c r="O36" s="138">
        <f>M36+N36</f>
        <v>2.5155844251084858</v>
      </c>
      <c r="P36" s="67"/>
      <c r="Q36" s="67"/>
      <c r="R36" s="67"/>
      <c r="S36" s="177" t="str">
        <f>IF(O36&gt;N36,DOLLAR(ROUND(O36,2))&amp;" (A)",
IF(N36&gt;O36,DOLLAR(ROUND(O36,2))&amp;" (R)",
DOLLAR(ROUND(#REF!,2))))</f>
        <v>$2.52 (A)</v>
      </c>
      <c r="T36" s="176">
        <f t="shared" si="53"/>
        <v>2.5155844251084858</v>
      </c>
      <c r="U36" s="50"/>
    </row>
    <row r="37" spans="1:21" s="59" customFormat="1">
      <c r="A37" s="175" t="s">
        <v>153</v>
      </c>
      <c r="B37" s="174"/>
      <c r="C37" s="47">
        <v>31</v>
      </c>
      <c r="D37" s="59" t="s">
        <v>139</v>
      </c>
      <c r="E37" s="68">
        <v>0</v>
      </c>
      <c r="F37" s="69">
        <v>1</v>
      </c>
      <c r="G37" s="68">
        <f>F37*12</f>
        <v>12</v>
      </c>
      <c r="H37" s="68">
        <f>+References!B28</f>
        <v>175</v>
      </c>
      <c r="I37" s="68">
        <f>G37*H37</f>
        <v>2100</v>
      </c>
      <c r="J37" s="46">
        <f>$E$53*I37</f>
        <v>1286.1351785465001</v>
      </c>
      <c r="K37" s="67">
        <f>(References!$C$50*J37)</f>
        <v>1.2411204472973689</v>
      </c>
      <c r="L37" s="67">
        <f>K37/References!$G$53</f>
        <v>1.2698183418225586</v>
      </c>
      <c r="M37" s="67">
        <f>L37/G37*F37</f>
        <v>0.10581819515187989</v>
      </c>
      <c r="N37" s="180">
        <v>6.7</v>
      </c>
      <c r="O37" s="138">
        <f>M37+N37</f>
        <v>6.8058181951518799</v>
      </c>
      <c r="P37" s="67"/>
      <c r="Q37" s="67"/>
      <c r="R37" s="67"/>
      <c r="S37" s="177" t="str">
        <f>IF(O37&gt;N37,DOLLAR(ROUND(O37,2))&amp;" (A)",
IF(N37&gt;O37,DOLLAR(ROUND(O37,2))&amp;" (R)",
DOLLAR(ROUND(#REF!,2))))</f>
        <v>$6.81 (A)</v>
      </c>
      <c r="T37" s="176">
        <f>ROUND(O37*4.33,2)</f>
        <v>29.47</v>
      </c>
      <c r="U37" s="50"/>
    </row>
    <row r="38" spans="1:21" s="59" customFormat="1">
      <c r="B38" s="132"/>
      <c r="C38" s="47"/>
      <c r="D38" s="108"/>
      <c r="E38" s="68"/>
      <c r="F38" s="69"/>
      <c r="G38" s="68"/>
      <c r="H38" s="68"/>
      <c r="I38" s="68"/>
      <c r="J38" s="46"/>
      <c r="K38" s="67"/>
      <c r="L38" s="67"/>
      <c r="M38" s="67"/>
      <c r="N38" s="90"/>
      <c r="O38" s="67"/>
      <c r="P38" s="67"/>
      <c r="Q38" s="67"/>
      <c r="R38" s="67"/>
    </row>
    <row r="39" spans="1:21" s="59" customFormat="1">
      <c r="B39" s="124"/>
      <c r="C39" s="125"/>
      <c r="D39" s="108"/>
      <c r="E39" s="126"/>
      <c r="F39" s="127"/>
      <c r="G39" s="128"/>
      <c r="H39" s="128"/>
      <c r="I39" s="128"/>
      <c r="J39" s="129"/>
      <c r="K39" s="130"/>
      <c r="L39" s="130"/>
      <c r="M39" s="130"/>
      <c r="N39" s="131"/>
      <c r="O39" s="130"/>
      <c r="P39" s="67"/>
      <c r="Q39" s="67"/>
      <c r="R39" s="67"/>
    </row>
    <row r="40" spans="1:21" s="59" customFormat="1">
      <c r="B40" s="191" t="s">
        <v>14</v>
      </c>
      <c r="C40" s="47">
        <v>24</v>
      </c>
      <c r="D40" s="105" t="s">
        <v>108</v>
      </c>
      <c r="E40" s="56">
        <v>0</v>
      </c>
      <c r="F40" s="69">
        <f>References!$B$10</f>
        <v>1</v>
      </c>
      <c r="G40" s="68">
        <f>F40*12</f>
        <v>12</v>
      </c>
      <c r="H40" s="68">
        <f>References!B43</f>
        <v>125</v>
      </c>
      <c r="I40" s="68">
        <f>G40*H40</f>
        <v>1500</v>
      </c>
      <c r="J40" s="46">
        <f>$E$53*I40</f>
        <v>918.66798467607146</v>
      </c>
      <c r="K40" s="67">
        <f>(References!$C$50*J40)</f>
        <v>0.88651460521240633</v>
      </c>
      <c r="L40" s="67">
        <f>K40/References!$G$53</f>
        <v>0.90701310130182755</v>
      </c>
      <c r="M40" s="67">
        <f>L40/G40</f>
        <v>7.5584425108485634E-2</v>
      </c>
      <c r="N40" s="180">
        <v>4.1500000000000004</v>
      </c>
      <c r="O40" s="138">
        <f>M40+N40</f>
        <v>4.2255844251084858</v>
      </c>
      <c r="P40" s="67"/>
      <c r="Q40" s="67"/>
      <c r="R40" s="67"/>
      <c r="S40" s="177" t="str">
        <f>IF(O40&gt;N40,DOLLAR(ROUND(O40,2))&amp;" (A)",
IF(N40&gt;O40,DOLLAR(ROUND(O40,2))&amp;" (R)",
DOLLAR(ROUND(#REF!,2))))</f>
        <v>$4.23 (A)</v>
      </c>
      <c r="T40" s="176">
        <f t="shared" ref="T40:T42" si="54">O40</f>
        <v>4.2255844251084858</v>
      </c>
      <c r="U40" s="50"/>
    </row>
    <row r="41" spans="1:21" s="59" customFormat="1">
      <c r="A41" s="175" t="s">
        <v>152</v>
      </c>
      <c r="B41" s="192"/>
      <c r="C41" s="47">
        <v>24</v>
      </c>
      <c r="D41" s="105" t="s">
        <v>109</v>
      </c>
      <c r="E41" s="56">
        <v>0</v>
      </c>
      <c r="F41" s="69">
        <f>References!$B$10</f>
        <v>1</v>
      </c>
      <c r="G41" s="68">
        <f>F41*12</f>
        <v>12</v>
      </c>
      <c r="H41" s="68">
        <f>References!B43</f>
        <v>125</v>
      </c>
      <c r="I41" s="68">
        <f>G41*H41</f>
        <v>1500</v>
      </c>
      <c r="J41" s="46">
        <f>$E$53*I41</f>
        <v>918.66798467607146</v>
      </c>
      <c r="K41" s="67">
        <f>(References!$C$50*J41)</f>
        <v>0.88651460521240633</v>
      </c>
      <c r="L41" s="67">
        <f>K41/References!$G$53</f>
        <v>0.90701310130182755</v>
      </c>
      <c r="M41" s="67">
        <f>L41/G41</f>
        <v>7.5584425108485634E-2</v>
      </c>
      <c r="N41" s="180">
        <v>6.61</v>
      </c>
      <c r="O41" s="138">
        <f>M41+N41</f>
        <v>6.6855844251084857</v>
      </c>
      <c r="P41" s="67"/>
      <c r="Q41" s="67"/>
      <c r="R41" s="67"/>
      <c r="S41" s="177" t="str">
        <f>IF(O41&gt;N41,DOLLAR(ROUND(O41,2))&amp;" (A)",
IF(N41&gt;O41,DOLLAR(ROUND(O41,2))&amp;" (R)",
DOLLAR(ROUND(#REF!,2))))</f>
        <v>$6.69 (A)</v>
      </c>
      <c r="T41" s="176">
        <f t="shared" si="54"/>
        <v>6.6855844251084857</v>
      </c>
      <c r="U41" s="50"/>
    </row>
    <row r="42" spans="1:21" s="59" customFormat="1">
      <c r="B42" s="192"/>
      <c r="C42" s="47">
        <v>24</v>
      </c>
      <c r="D42" s="105" t="s">
        <v>110</v>
      </c>
      <c r="E42" s="56">
        <v>0</v>
      </c>
      <c r="F42" s="69">
        <f>References!$B$10</f>
        <v>1</v>
      </c>
      <c r="G42" s="68">
        <f>F42*12</f>
        <v>12</v>
      </c>
      <c r="H42" s="68">
        <f>References!B43</f>
        <v>125</v>
      </c>
      <c r="I42" s="68">
        <f>G42*H42</f>
        <v>1500</v>
      </c>
      <c r="J42" s="46">
        <f>$E$53*I42</f>
        <v>918.66798467607146</v>
      </c>
      <c r="K42" s="67">
        <f>(References!$C$50*J42)</f>
        <v>0.88651460521240633</v>
      </c>
      <c r="L42" s="67">
        <f>K42/References!$G$53</f>
        <v>0.90701310130182755</v>
      </c>
      <c r="M42" s="67">
        <f>L42/G42</f>
        <v>7.5584425108485634E-2</v>
      </c>
      <c r="N42" s="180">
        <v>5.77</v>
      </c>
      <c r="O42" s="138">
        <f>M42+N42</f>
        <v>5.845584425108485</v>
      </c>
      <c r="P42" s="67"/>
      <c r="Q42" s="67"/>
      <c r="R42" s="67"/>
      <c r="S42" s="177" t="str">
        <f>IF(O42&gt;N42,DOLLAR(ROUND(O42,2))&amp;" (A)",
IF(N42&gt;O42,DOLLAR(ROUND(O42,2))&amp;" (R)",
DOLLAR(ROUND(#REF!,2))))</f>
        <v>$5.85 (A)</v>
      </c>
      <c r="T42" s="176">
        <f t="shared" si="54"/>
        <v>5.845584425108485</v>
      </c>
      <c r="U42" s="50"/>
    </row>
    <row r="43" spans="1:21" s="59" customFormat="1">
      <c r="B43" s="172"/>
      <c r="C43" s="47"/>
      <c r="D43" s="123"/>
      <c r="E43" s="56"/>
      <c r="F43" s="69"/>
      <c r="G43" s="68"/>
      <c r="H43" s="68"/>
      <c r="I43" s="107"/>
      <c r="J43" s="46"/>
      <c r="K43" s="67"/>
      <c r="L43" s="67"/>
      <c r="M43" s="67"/>
      <c r="N43" s="67"/>
      <c r="O43" s="67"/>
      <c r="P43" s="67"/>
      <c r="Q43" s="67"/>
      <c r="R43" s="67"/>
    </row>
    <row r="44" spans="1:21" s="59" customFormat="1">
      <c r="B44" s="172"/>
      <c r="C44" s="106"/>
      <c r="D44" s="108"/>
      <c r="E44" s="12"/>
      <c r="F44" s="103"/>
      <c r="G44" s="80"/>
      <c r="H44" s="80"/>
      <c r="I44" s="80"/>
      <c r="J44" s="104"/>
      <c r="K44" s="89"/>
      <c r="L44" s="89"/>
      <c r="M44" s="89"/>
      <c r="N44" s="89"/>
      <c r="O44" s="89"/>
      <c r="P44" s="67"/>
      <c r="Q44" s="67"/>
      <c r="R44" s="67"/>
    </row>
    <row r="45" spans="1:21">
      <c r="D45" s="85"/>
      <c r="E45" s="38"/>
      <c r="F45" s="31"/>
      <c r="G45" s="56"/>
      <c r="H45" s="68"/>
      <c r="I45" s="56"/>
      <c r="K45" s="67"/>
      <c r="L45" s="90"/>
      <c r="M45" s="90"/>
      <c r="N45" s="90"/>
      <c r="O45" s="90"/>
      <c r="Q45" s="60"/>
    </row>
    <row r="46" spans="1:21">
      <c r="B46" s="62"/>
      <c r="D46" s="65"/>
      <c r="Q46" s="60"/>
    </row>
    <row r="47" spans="1:21">
      <c r="B47" s="62"/>
      <c r="D47" s="65"/>
      <c r="Q47" s="60"/>
    </row>
    <row r="48" spans="1:21">
      <c r="B48" s="62"/>
      <c r="D48" s="188" t="s">
        <v>86</v>
      </c>
      <c r="E48" s="188"/>
      <c r="F48" s="84"/>
      <c r="G48" s="84"/>
      <c r="I48" s="88" t="s">
        <v>94</v>
      </c>
    </row>
    <row r="49" spans="2:16">
      <c r="B49" s="62"/>
      <c r="E49" s="54" t="s">
        <v>16</v>
      </c>
      <c r="F49" s="37"/>
      <c r="G49" s="37"/>
      <c r="I49" s="86" t="s">
        <v>104</v>
      </c>
      <c r="K49" s="41"/>
      <c r="P49" s="58"/>
    </row>
    <row r="50" spans="2:16">
      <c r="B50" s="62"/>
      <c r="D50" s="57" t="s">
        <v>32</v>
      </c>
      <c r="E50" s="66">
        <f>+References!B55</f>
        <v>4706</v>
      </c>
      <c r="F50" s="56"/>
      <c r="G50" s="56"/>
      <c r="H50" s="45"/>
      <c r="I50" s="87" t="s">
        <v>95</v>
      </c>
      <c r="K50" s="41"/>
      <c r="P50" s="58"/>
    </row>
    <row r="51" spans="2:16">
      <c r="B51" s="62"/>
      <c r="D51" s="57" t="s">
        <v>33</v>
      </c>
      <c r="E51" s="36">
        <f>E50*2000</f>
        <v>9412000</v>
      </c>
      <c r="F51" s="36"/>
      <c r="G51" s="36"/>
      <c r="H51" s="36"/>
      <c r="I51" s="111" t="s">
        <v>97</v>
      </c>
      <c r="K51" s="41"/>
    </row>
    <row r="52" spans="2:16">
      <c r="B52" s="62"/>
      <c r="D52" s="57" t="s">
        <v>4</v>
      </c>
      <c r="E52" s="36">
        <f>G12+G24</f>
        <v>137426.04</v>
      </c>
      <c r="F52" s="56"/>
      <c r="G52" s="56"/>
      <c r="H52" s="56"/>
      <c r="I52" s="112" t="s">
        <v>98</v>
      </c>
      <c r="K52" s="41"/>
      <c r="P52" s="58"/>
    </row>
    <row r="53" spans="2:16">
      <c r="D53" s="42" t="s">
        <v>11</v>
      </c>
      <c r="E53" s="35">
        <f>E51/$I$25</f>
        <v>0.61244532311738098</v>
      </c>
      <c r="F53" s="35"/>
      <c r="G53" s="35"/>
      <c r="H53" s="35"/>
      <c r="I53" s="30"/>
      <c r="K53" s="41"/>
      <c r="N53" s="40"/>
      <c r="O53" s="40"/>
      <c r="P53" s="39"/>
    </row>
    <row r="54" spans="2:16">
      <c r="H54" s="44"/>
      <c r="I54" s="32"/>
      <c r="K54" s="41"/>
      <c r="N54" s="43"/>
      <c r="O54" s="29"/>
      <c r="P54" s="60"/>
    </row>
    <row r="55" spans="2:16">
      <c r="E55" s="34"/>
      <c r="F55" s="33"/>
      <c r="H55" s="44"/>
      <c r="I55" s="32"/>
      <c r="K55" s="41"/>
      <c r="N55" s="43"/>
      <c r="O55" s="29"/>
      <c r="P55" s="60"/>
    </row>
    <row r="56" spans="2:16">
      <c r="E56" s="34"/>
      <c r="F56" s="33"/>
      <c r="H56" s="44"/>
      <c r="I56" s="32"/>
      <c r="K56" s="41"/>
      <c r="N56" s="43"/>
      <c r="O56" s="29"/>
      <c r="P56" s="60"/>
    </row>
    <row r="57" spans="2:16">
      <c r="E57" s="57"/>
      <c r="J57" s="57"/>
    </row>
    <row r="58" spans="2:16">
      <c r="E58" s="57"/>
      <c r="F58" s="41"/>
      <c r="J58" s="57"/>
    </row>
    <row r="59" spans="2:16">
      <c r="E59" s="57"/>
      <c r="J59" s="57"/>
    </row>
    <row r="60" spans="2:16">
      <c r="E60" s="57"/>
      <c r="J60" s="57"/>
    </row>
    <row r="61" spans="2:16">
      <c r="E61" s="57"/>
    </row>
  </sheetData>
  <mergeCells count="5">
    <mergeCell ref="D48:E48"/>
    <mergeCell ref="B29:B35"/>
    <mergeCell ref="B3:B11"/>
    <mergeCell ref="B13:B23"/>
    <mergeCell ref="B40:B42"/>
  </mergeCells>
  <phoneticPr fontId="0" type="noConversion"/>
  <pageMargins left="0" right="0" top="0.63" bottom="0.34" header="0.19" footer="0.17"/>
  <pageSetup scale="50" fitToHeight="0" orientation="landscape" r:id="rId1"/>
  <headerFooter>
    <oddFooter>&amp;L&amp;Z&amp;F&amp;C  [Date]&amp;R&amp;P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1"/>
  <sheetViews>
    <sheetView workbookViewId="0">
      <pane xSplit="1" ySplit="7" topLeftCell="B47" activePane="bottomRight" state="frozen"/>
      <selection pane="topRight" activeCell="B1" sqref="B1"/>
      <selection pane="bottomLeft" activeCell="A3" sqref="A3"/>
      <selection pane="bottomRight" activeCell="B21" sqref="B21"/>
    </sheetView>
  </sheetViews>
  <sheetFormatPr defaultRowHeight="14.4"/>
  <cols>
    <col min="1" max="1" width="8.88671875" style="195"/>
    <col min="2" max="2" width="51.88671875" style="195" bestFit="1" customWidth="1"/>
    <col min="3" max="4" width="8.88671875" style="195"/>
    <col min="5" max="5" width="10.5546875" style="196" customWidth="1"/>
    <col min="6" max="6" width="14.44140625" style="195" customWidth="1"/>
    <col min="7" max="11" width="8.88671875" style="195"/>
    <col min="12" max="12" width="11.109375" style="195" customWidth="1"/>
    <col min="13" max="13" width="11.6640625" style="195" customWidth="1"/>
    <col min="14" max="14" width="12.88671875" style="195" customWidth="1"/>
    <col min="15" max="16384" width="8.88671875" style="195"/>
  </cols>
  <sheetData>
    <row r="1" spans="2:14">
      <c r="B1" s="193" t="s">
        <v>157</v>
      </c>
      <c r="C1" s="193"/>
      <c r="D1" s="193"/>
      <c r="E1" s="194"/>
      <c r="F1" s="193"/>
      <c r="G1" s="193"/>
      <c r="H1" s="193"/>
      <c r="I1" s="193"/>
      <c r="J1" s="193"/>
      <c r="K1" s="193"/>
      <c r="L1" s="193"/>
      <c r="M1" s="193"/>
      <c r="N1" s="193"/>
    </row>
    <row r="2" spans="2:14">
      <c r="B2" s="193" t="s">
        <v>158</v>
      </c>
      <c r="C2" s="193"/>
      <c r="D2" s="193"/>
      <c r="E2" s="194"/>
      <c r="F2" s="193"/>
      <c r="G2" s="193"/>
      <c r="H2" s="193"/>
      <c r="I2" s="193"/>
      <c r="J2" s="193"/>
      <c r="K2" s="193"/>
      <c r="L2" s="193"/>
      <c r="M2" s="193"/>
      <c r="N2" s="193"/>
    </row>
    <row r="6" spans="2:14" ht="28.8">
      <c r="F6" s="197"/>
      <c r="H6" s="198" t="s">
        <v>159</v>
      </c>
      <c r="I6" s="197"/>
      <c r="J6" s="198" t="s">
        <v>160</v>
      </c>
      <c r="M6" s="199" t="s">
        <v>161</v>
      </c>
      <c r="N6" s="199"/>
    </row>
    <row r="7" spans="2:14" ht="28.8">
      <c r="E7" s="200" t="s">
        <v>162</v>
      </c>
      <c r="F7" s="198" t="s">
        <v>163</v>
      </c>
      <c r="G7" s="197"/>
      <c r="H7" s="201">
        <v>1.4999999999999999E-2</v>
      </c>
      <c r="I7" s="197"/>
      <c r="J7" s="202">
        <v>1.7500000000000002E-2</v>
      </c>
      <c r="K7" s="197" t="s">
        <v>9</v>
      </c>
      <c r="L7" s="198" t="s">
        <v>164</v>
      </c>
      <c r="M7" s="198" t="s">
        <v>165</v>
      </c>
      <c r="N7" s="198" t="s">
        <v>166</v>
      </c>
    </row>
    <row r="8" spans="2:14">
      <c r="B8" s="195" t="s">
        <v>167</v>
      </c>
      <c r="C8" s="195">
        <v>50</v>
      </c>
      <c r="E8" s="203">
        <v>20</v>
      </c>
      <c r="H8" s="204">
        <f>+E8*H7</f>
        <v>0.3</v>
      </c>
      <c r="J8" s="204">
        <f>+E8*J7</f>
        <v>0.35000000000000003</v>
      </c>
      <c r="K8" s="204">
        <f>+J8-H8</f>
        <v>5.0000000000000044E-2</v>
      </c>
      <c r="L8" s="204">
        <f>+E8+K8</f>
        <v>20.05</v>
      </c>
      <c r="M8" s="204">
        <f>+E8*F8</f>
        <v>0</v>
      </c>
      <c r="N8" s="204">
        <f>+L8*F8</f>
        <v>0</v>
      </c>
    </row>
    <row r="9" spans="2:14">
      <c r="B9" s="195" t="s">
        <v>168</v>
      </c>
      <c r="C9" s="195">
        <v>51</v>
      </c>
      <c r="E9" s="203">
        <v>5</v>
      </c>
      <c r="H9" s="204">
        <f>+$H$7*E9</f>
        <v>7.4999999999999997E-2</v>
      </c>
      <c r="I9" s="204"/>
      <c r="J9" s="204">
        <f>+$J$7*E9</f>
        <v>8.7500000000000008E-2</v>
      </c>
      <c r="K9" s="204">
        <f t="shared" ref="K9:K72" si="0">+J9-H9</f>
        <v>1.2500000000000011E-2</v>
      </c>
      <c r="L9" s="204">
        <f t="shared" ref="L9:L72" si="1">+E9+K9</f>
        <v>5.0125000000000002</v>
      </c>
      <c r="M9" s="204">
        <f t="shared" ref="M9:M72" si="2">+E9*F9</f>
        <v>0</v>
      </c>
      <c r="N9" s="204">
        <f t="shared" ref="N9:N72" si="3">+L9*F9</f>
        <v>0</v>
      </c>
    </row>
    <row r="10" spans="2:14">
      <c r="B10" s="195" t="s">
        <v>169</v>
      </c>
      <c r="C10" s="195">
        <v>52</v>
      </c>
      <c r="E10" s="203">
        <v>15</v>
      </c>
      <c r="H10" s="204">
        <f>+$H$7*E10</f>
        <v>0.22499999999999998</v>
      </c>
      <c r="I10" s="204"/>
      <c r="J10" s="204">
        <f>+$J$7*E10</f>
        <v>0.26250000000000001</v>
      </c>
      <c r="K10" s="204">
        <f t="shared" si="0"/>
        <v>3.7500000000000033E-2</v>
      </c>
      <c r="L10" s="204">
        <f t="shared" si="1"/>
        <v>15.0375</v>
      </c>
      <c r="M10" s="204">
        <f t="shared" si="2"/>
        <v>0</v>
      </c>
      <c r="N10" s="204">
        <f t="shared" si="3"/>
        <v>0</v>
      </c>
    </row>
    <row r="11" spans="2:14">
      <c r="B11" s="195" t="s">
        <v>170</v>
      </c>
      <c r="C11" s="195">
        <v>52</v>
      </c>
      <c r="E11" s="203">
        <v>25</v>
      </c>
      <c r="H11" s="204">
        <f t="shared" ref="H11:H74" si="4">+$H$7*E11</f>
        <v>0.375</v>
      </c>
      <c r="I11" s="204"/>
      <c r="J11" s="204">
        <f t="shared" ref="J11:J74" si="5">+$J$7*E11</f>
        <v>0.43750000000000006</v>
      </c>
      <c r="K11" s="204">
        <f t="shared" si="0"/>
        <v>6.2500000000000056E-2</v>
      </c>
      <c r="L11" s="204">
        <f t="shared" si="1"/>
        <v>25.0625</v>
      </c>
      <c r="M11" s="204">
        <f t="shared" si="2"/>
        <v>0</v>
      </c>
      <c r="N11" s="204">
        <f t="shared" si="3"/>
        <v>0</v>
      </c>
    </row>
    <row r="12" spans="2:14">
      <c r="B12" s="195" t="s">
        <v>171</v>
      </c>
      <c r="C12" s="195">
        <v>55</v>
      </c>
      <c r="E12" s="203">
        <v>2</v>
      </c>
      <c r="H12" s="204">
        <f t="shared" si="4"/>
        <v>0.03</v>
      </c>
      <c r="I12" s="204"/>
      <c r="J12" s="204">
        <f t="shared" si="5"/>
        <v>3.5000000000000003E-2</v>
      </c>
      <c r="K12" s="204">
        <f t="shared" si="0"/>
        <v>5.0000000000000044E-3</v>
      </c>
      <c r="L12" s="204">
        <f t="shared" si="1"/>
        <v>2.0049999999999999</v>
      </c>
      <c r="M12" s="204">
        <f t="shared" si="2"/>
        <v>0</v>
      </c>
      <c r="N12" s="204">
        <f t="shared" si="3"/>
        <v>0</v>
      </c>
    </row>
    <row r="13" spans="2:14">
      <c r="B13" s="195" t="s">
        <v>172</v>
      </c>
      <c r="C13" s="195">
        <v>60</v>
      </c>
      <c r="E13" s="203">
        <v>20</v>
      </c>
      <c r="H13" s="204">
        <f t="shared" si="4"/>
        <v>0.3</v>
      </c>
      <c r="I13" s="204"/>
      <c r="J13" s="204">
        <f t="shared" si="5"/>
        <v>0.35000000000000003</v>
      </c>
      <c r="K13" s="204">
        <f t="shared" si="0"/>
        <v>5.0000000000000044E-2</v>
      </c>
      <c r="L13" s="204">
        <f t="shared" si="1"/>
        <v>20.05</v>
      </c>
      <c r="M13" s="204">
        <f t="shared" si="2"/>
        <v>0</v>
      </c>
      <c r="N13" s="204">
        <f t="shared" si="3"/>
        <v>0</v>
      </c>
    </row>
    <row r="14" spans="2:14">
      <c r="B14" s="195" t="s">
        <v>173</v>
      </c>
      <c r="C14" s="195">
        <v>60</v>
      </c>
      <c r="E14" s="203">
        <v>20</v>
      </c>
      <c r="H14" s="204">
        <f t="shared" si="4"/>
        <v>0.3</v>
      </c>
      <c r="I14" s="204"/>
      <c r="J14" s="204">
        <f t="shared" si="5"/>
        <v>0.35000000000000003</v>
      </c>
      <c r="K14" s="204">
        <f t="shared" si="0"/>
        <v>5.0000000000000044E-2</v>
      </c>
      <c r="L14" s="204">
        <f t="shared" si="1"/>
        <v>20.05</v>
      </c>
      <c r="M14" s="204">
        <f t="shared" si="2"/>
        <v>0</v>
      </c>
      <c r="N14" s="204">
        <f t="shared" si="3"/>
        <v>0</v>
      </c>
    </row>
    <row r="15" spans="2:14">
      <c r="B15" s="195" t="s">
        <v>174</v>
      </c>
      <c r="C15" s="195">
        <v>70</v>
      </c>
      <c r="E15" s="203">
        <v>5.64</v>
      </c>
      <c r="H15" s="204">
        <f t="shared" si="4"/>
        <v>8.4599999999999995E-2</v>
      </c>
      <c r="I15" s="204"/>
      <c r="J15" s="204">
        <f t="shared" si="5"/>
        <v>9.870000000000001E-2</v>
      </c>
      <c r="K15" s="204">
        <f t="shared" si="0"/>
        <v>1.4100000000000015E-2</v>
      </c>
      <c r="L15" s="204">
        <f t="shared" si="1"/>
        <v>5.6540999999999997</v>
      </c>
      <c r="M15" s="204">
        <f t="shared" si="2"/>
        <v>0</v>
      </c>
      <c r="N15" s="204">
        <f t="shared" si="3"/>
        <v>0</v>
      </c>
    </row>
    <row r="16" spans="2:14">
      <c r="B16" s="195" t="s">
        <v>175</v>
      </c>
      <c r="C16" s="195">
        <v>70</v>
      </c>
      <c r="E16" s="203">
        <v>9.01</v>
      </c>
      <c r="H16" s="204">
        <f t="shared" si="4"/>
        <v>0.13514999999999999</v>
      </c>
      <c r="I16" s="204"/>
      <c r="J16" s="204">
        <f t="shared" si="5"/>
        <v>0.15767500000000001</v>
      </c>
      <c r="K16" s="204">
        <f t="shared" si="0"/>
        <v>2.2525000000000017E-2</v>
      </c>
      <c r="L16" s="204">
        <f t="shared" si="1"/>
        <v>9.0325249999999997</v>
      </c>
      <c r="M16" s="204">
        <f t="shared" si="2"/>
        <v>0</v>
      </c>
      <c r="N16" s="204">
        <f t="shared" si="3"/>
        <v>0</v>
      </c>
    </row>
    <row r="17" spans="2:14">
      <c r="B17" s="195" t="s">
        <v>176</v>
      </c>
      <c r="C17" s="195">
        <v>70</v>
      </c>
      <c r="E17" s="203">
        <v>14.64</v>
      </c>
      <c r="H17" s="204">
        <f t="shared" si="4"/>
        <v>0.21959999999999999</v>
      </c>
      <c r="I17" s="204"/>
      <c r="J17" s="204">
        <f t="shared" si="5"/>
        <v>0.25620000000000004</v>
      </c>
      <c r="K17" s="204">
        <f t="shared" si="0"/>
        <v>3.6600000000000049E-2</v>
      </c>
      <c r="L17" s="204">
        <f t="shared" si="1"/>
        <v>14.676600000000001</v>
      </c>
      <c r="M17" s="204">
        <f t="shared" si="2"/>
        <v>0</v>
      </c>
      <c r="N17" s="204">
        <f t="shared" si="3"/>
        <v>0</v>
      </c>
    </row>
    <row r="18" spans="2:14">
      <c r="B18" s="195" t="s">
        <v>177</v>
      </c>
      <c r="C18" s="195">
        <v>70</v>
      </c>
      <c r="E18" s="203">
        <v>11.26</v>
      </c>
      <c r="H18" s="204">
        <f t="shared" si="4"/>
        <v>0.16889999999999999</v>
      </c>
      <c r="I18" s="204"/>
      <c r="J18" s="204">
        <f t="shared" si="5"/>
        <v>0.19705</v>
      </c>
      <c r="K18" s="204">
        <f t="shared" si="0"/>
        <v>2.8150000000000008E-2</v>
      </c>
      <c r="L18" s="204">
        <f t="shared" si="1"/>
        <v>11.28815</v>
      </c>
      <c r="M18" s="204">
        <f t="shared" si="2"/>
        <v>0</v>
      </c>
      <c r="N18" s="204">
        <f t="shared" si="3"/>
        <v>0</v>
      </c>
    </row>
    <row r="19" spans="2:14">
      <c r="B19" s="195" t="s">
        <v>178</v>
      </c>
      <c r="C19" s="195">
        <v>80</v>
      </c>
      <c r="E19" s="203">
        <v>0.54</v>
      </c>
      <c r="H19" s="204">
        <f t="shared" si="4"/>
        <v>8.0999999999999996E-3</v>
      </c>
      <c r="I19" s="204"/>
      <c r="J19" s="204">
        <f t="shared" si="5"/>
        <v>9.4500000000000018E-3</v>
      </c>
      <c r="K19" s="204">
        <f t="shared" si="0"/>
        <v>1.3500000000000022E-3</v>
      </c>
      <c r="L19" s="204">
        <f t="shared" si="1"/>
        <v>0.54135</v>
      </c>
      <c r="M19" s="204">
        <f t="shared" si="2"/>
        <v>0</v>
      </c>
      <c r="N19" s="204">
        <f t="shared" si="3"/>
        <v>0</v>
      </c>
    </row>
    <row r="20" spans="2:14">
      <c r="B20" s="195" t="s">
        <v>179</v>
      </c>
      <c r="C20" s="195">
        <v>80</v>
      </c>
      <c r="E20" s="203">
        <v>1.08</v>
      </c>
      <c r="H20" s="204">
        <f t="shared" si="4"/>
        <v>1.6199999999999999E-2</v>
      </c>
      <c r="I20" s="204"/>
      <c r="J20" s="204">
        <f t="shared" si="5"/>
        <v>1.8900000000000004E-2</v>
      </c>
      <c r="K20" s="204">
        <f t="shared" si="0"/>
        <v>2.7000000000000045E-3</v>
      </c>
      <c r="L20" s="204">
        <f t="shared" si="1"/>
        <v>1.0827</v>
      </c>
      <c r="M20" s="204">
        <f t="shared" si="2"/>
        <v>0</v>
      </c>
      <c r="N20" s="204">
        <f t="shared" si="3"/>
        <v>0</v>
      </c>
    </row>
    <row r="21" spans="2:14">
      <c r="B21" s="195" t="s">
        <v>180</v>
      </c>
      <c r="C21" s="195">
        <v>80</v>
      </c>
      <c r="E21" s="203">
        <v>1.04</v>
      </c>
      <c r="H21" s="204">
        <f t="shared" si="4"/>
        <v>1.5599999999999999E-2</v>
      </c>
      <c r="I21" s="204"/>
      <c r="J21" s="204">
        <f t="shared" si="5"/>
        <v>1.8200000000000001E-2</v>
      </c>
      <c r="K21" s="204">
        <f t="shared" si="0"/>
        <v>2.6000000000000016E-3</v>
      </c>
      <c r="L21" s="204">
        <f t="shared" si="1"/>
        <v>1.0426</v>
      </c>
      <c r="M21" s="204">
        <f t="shared" si="2"/>
        <v>0</v>
      </c>
      <c r="N21" s="204">
        <f t="shared" si="3"/>
        <v>0</v>
      </c>
    </row>
    <row r="22" spans="2:14">
      <c r="B22" s="195" t="s">
        <v>181</v>
      </c>
      <c r="C22" s="195">
        <v>80</v>
      </c>
      <c r="E22" s="203">
        <v>1.04</v>
      </c>
      <c r="H22" s="204">
        <f t="shared" si="4"/>
        <v>1.5599999999999999E-2</v>
      </c>
      <c r="I22" s="204"/>
      <c r="J22" s="204">
        <f t="shared" si="5"/>
        <v>1.8200000000000001E-2</v>
      </c>
      <c r="K22" s="204">
        <f t="shared" si="0"/>
        <v>2.6000000000000016E-3</v>
      </c>
      <c r="L22" s="204">
        <f t="shared" si="1"/>
        <v>1.0426</v>
      </c>
      <c r="M22" s="204">
        <f t="shared" si="2"/>
        <v>0</v>
      </c>
      <c r="N22" s="204">
        <f t="shared" si="3"/>
        <v>0</v>
      </c>
    </row>
    <row r="23" spans="2:14">
      <c r="B23" s="195" t="s">
        <v>182</v>
      </c>
      <c r="C23" s="195">
        <v>80</v>
      </c>
      <c r="E23" s="203">
        <v>4.5</v>
      </c>
      <c r="H23" s="204">
        <f t="shared" si="4"/>
        <v>6.7500000000000004E-2</v>
      </c>
      <c r="I23" s="204"/>
      <c r="J23" s="204">
        <f t="shared" si="5"/>
        <v>7.8750000000000014E-2</v>
      </c>
      <c r="K23" s="204">
        <f t="shared" si="0"/>
        <v>1.125000000000001E-2</v>
      </c>
      <c r="L23" s="204">
        <f t="shared" si="1"/>
        <v>4.5112500000000004</v>
      </c>
      <c r="M23" s="204">
        <f t="shared" si="2"/>
        <v>0</v>
      </c>
      <c r="N23" s="204">
        <f t="shared" si="3"/>
        <v>0</v>
      </c>
    </row>
    <row r="24" spans="2:14">
      <c r="B24" s="195" t="s">
        <v>183</v>
      </c>
      <c r="C24" s="195">
        <v>150</v>
      </c>
      <c r="E24" s="203">
        <v>2.17</v>
      </c>
      <c r="H24" s="204">
        <f t="shared" si="4"/>
        <v>3.2549999999999996E-2</v>
      </c>
      <c r="I24" s="204"/>
      <c r="J24" s="204">
        <f t="shared" si="5"/>
        <v>3.7975000000000002E-2</v>
      </c>
      <c r="K24" s="204">
        <f t="shared" si="0"/>
        <v>5.4250000000000062E-3</v>
      </c>
      <c r="L24" s="204">
        <f t="shared" si="1"/>
        <v>2.1754249999999997</v>
      </c>
      <c r="M24" s="204">
        <f t="shared" si="2"/>
        <v>0</v>
      </c>
      <c r="N24" s="204">
        <f t="shared" si="3"/>
        <v>0</v>
      </c>
    </row>
    <row r="25" spans="2:14">
      <c r="B25" s="195" t="s">
        <v>184</v>
      </c>
      <c r="C25" s="195">
        <v>160</v>
      </c>
      <c r="E25" s="203">
        <v>42.86</v>
      </c>
      <c r="H25" s="204">
        <f t="shared" si="4"/>
        <v>0.64289999999999992</v>
      </c>
      <c r="I25" s="204"/>
      <c r="J25" s="204">
        <f t="shared" si="5"/>
        <v>0.75005000000000011</v>
      </c>
      <c r="K25" s="204">
        <f t="shared" si="0"/>
        <v>0.10715000000000019</v>
      </c>
      <c r="L25" s="204">
        <f t="shared" si="1"/>
        <v>42.967149999999997</v>
      </c>
      <c r="M25" s="204">
        <f t="shared" si="2"/>
        <v>0</v>
      </c>
      <c r="N25" s="204">
        <f t="shared" si="3"/>
        <v>0</v>
      </c>
    </row>
    <row r="26" spans="2:14">
      <c r="B26" s="195" t="s">
        <v>185</v>
      </c>
      <c r="C26" s="195">
        <v>160</v>
      </c>
      <c r="E26" s="203">
        <v>51.47</v>
      </c>
      <c r="H26" s="204">
        <f t="shared" si="4"/>
        <v>0.7720499999999999</v>
      </c>
      <c r="I26" s="204"/>
      <c r="J26" s="204">
        <f t="shared" si="5"/>
        <v>0.90072500000000011</v>
      </c>
      <c r="K26" s="204">
        <f t="shared" si="0"/>
        <v>0.12867500000000021</v>
      </c>
      <c r="L26" s="204">
        <f t="shared" si="1"/>
        <v>51.598675</v>
      </c>
      <c r="M26" s="204">
        <f t="shared" si="2"/>
        <v>0</v>
      </c>
      <c r="N26" s="204">
        <f t="shared" si="3"/>
        <v>0</v>
      </c>
    </row>
    <row r="27" spans="2:14">
      <c r="B27" s="195" t="s">
        <v>186</v>
      </c>
      <c r="C27" s="195">
        <v>160</v>
      </c>
      <c r="E27" s="203">
        <v>51.47</v>
      </c>
      <c r="H27" s="204">
        <f t="shared" si="4"/>
        <v>0.7720499999999999</v>
      </c>
      <c r="I27" s="204"/>
      <c r="J27" s="204">
        <f t="shared" si="5"/>
        <v>0.90072500000000011</v>
      </c>
      <c r="K27" s="204">
        <f t="shared" si="0"/>
        <v>0.12867500000000021</v>
      </c>
      <c r="L27" s="204">
        <f t="shared" si="1"/>
        <v>51.598675</v>
      </c>
      <c r="M27" s="204">
        <f t="shared" si="2"/>
        <v>0</v>
      </c>
      <c r="N27" s="204">
        <f t="shared" si="3"/>
        <v>0</v>
      </c>
    </row>
    <row r="28" spans="2:14">
      <c r="B28" s="195" t="s">
        <v>187</v>
      </c>
      <c r="C28" s="195">
        <v>160</v>
      </c>
      <c r="E28" s="203">
        <v>22.86</v>
      </c>
      <c r="H28" s="204">
        <f t="shared" si="4"/>
        <v>0.34289999999999998</v>
      </c>
      <c r="I28" s="204"/>
      <c r="J28" s="204">
        <f t="shared" si="5"/>
        <v>0.40005000000000002</v>
      </c>
      <c r="K28" s="204">
        <f t="shared" si="0"/>
        <v>5.7150000000000034E-2</v>
      </c>
      <c r="L28" s="204">
        <f t="shared" si="1"/>
        <v>22.917149999999999</v>
      </c>
      <c r="M28" s="204">
        <f t="shared" si="2"/>
        <v>0</v>
      </c>
      <c r="N28" s="204">
        <f t="shared" si="3"/>
        <v>0</v>
      </c>
    </row>
    <row r="29" spans="2:14">
      <c r="B29" s="195" t="s">
        <v>188</v>
      </c>
      <c r="C29" s="195">
        <v>160</v>
      </c>
      <c r="E29" s="203">
        <v>42.86</v>
      </c>
      <c r="H29" s="204">
        <f t="shared" si="4"/>
        <v>0.64289999999999992</v>
      </c>
      <c r="I29" s="204"/>
      <c r="J29" s="204">
        <f t="shared" si="5"/>
        <v>0.75005000000000011</v>
      </c>
      <c r="K29" s="204">
        <f t="shared" si="0"/>
        <v>0.10715000000000019</v>
      </c>
      <c r="L29" s="204">
        <f t="shared" si="1"/>
        <v>42.967149999999997</v>
      </c>
      <c r="M29" s="204">
        <f t="shared" si="2"/>
        <v>0</v>
      </c>
      <c r="N29" s="204">
        <f t="shared" si="3"/>
        <v>0</v>
      </c>
    </row>
    <row r="30" spans="2:14">
      <c r="B30" s="195" t="s">
        <v>189</v>
      </c>
      <c r="C30" s="195">
        <v>160</v>
      </c>
      <c r="E30" s="203">
        <v>51.47</v>
      </c>
      <c r="H30" s="204">
        <f t="shared" si="4"/>
        <v>0.7720499999999999</v>
      </c>
      <c r="I30" s="204"/>
      <c r="J30" s="204">
        <f t="shared" si="5"/>
        <v>0.90072500000000011</v>
      </c>
      <c r="K30" s="204">
        <f t="shared" si="0"/>
        <v>0.12867500000000021</v>
      </c>
      <c r="L30" s="204">
        <f t="shared" si="1"/>
        <v>51.598675</v>
      </c>
      <c r="M30" s="204">
        <f t="shared" si="2"/>
        <v>0</v>
      </c>
      <c r="N30" s="204">
        <f t="shared" si="3"/>
        <v>0</v>
      </c>
    </row>
    <row r="31" spans="2:14">
      <c r="B31" s="195" t="s">
        <v>190</v>
      </c>
      <c r="C31" s="195">
        <v>160</v>
      </c>
      <c r="E31" s="203">
        <v>51.47</v>
      </c>
      <c r="H31" s="204">
        <f t="shared" si="4"/>
        <v>0.7720499999999999</v>
      </c>
      <c r="I31" s="204"/>
      <c r="J31" s="204">
        <f t="shared" si="5"/>
        <v>0.90072500000000011</v>
      </c>
      <c r="K31" s="204">
        <f t="shared" si="0"/>
        <v>0.12867500000000021</v>
      </c>
      <c r="L31" s="204">
        <f t="shared" si="1"/>
        <v>51.598675</v>
      </c>
      <c r="M31" s="204">
        <f t="shared" si="2"/>
        <v>0</v>
      </c>
      <c r="N31" s="204">
        <f t="shared" si="3"/>
        <v>0</v>
      </c>
    </row>
    <row r="32" spans="2:14">
      <c r="B32" s="195" t="s">
        <v>191</v>
      </c>
      <c r="C32" s="195">
        <v>160</v>
      </c>
      <c r="E32" s="203">
        <v>62.87</v>
      </c>
      <c r="H32" s="204">
        <f t="shared" si="4"/>
        <v>0.94304999999999994</v>
      </c>
      <c r="I32" s="204"/>
      <c r="J32" s="204">
        <f t="shared" si="5"/>
        <v>1.100225</v>
      </c>
      <c r="K32" s="204">
        <f t="shared" si="0"/>
        <v>0.15717500000000006</v>
      </c>
      <c r="L32" s="204">
        <f t="shared" si="1"/>
        <v>63.027175</v>
      </c>
      <c r="M32" s="204">
        <f t="shared" si="2"/>
        <v>0</v>
      </c>
      <c r="N32" s="204">
        <f t="shared" si="3"/>
        <v>0</v>
      </c>
    </row>
    <row r="33" spans="2:14">
      <c r="B33" s="195" t="s">
        <v>192</v>
      </c>
      <c r="C33" s="195">
        <v>160</v>
      </c>
      <c r="E33" s="203">
        <v>22.86</v>
      </c>
      <c r="H33" s="204">
        <f t="shared" si="4"/>
        <v>0.34289999999999998</v>
      </c>
      <c r="I33" s="204"/>
      <c r="J33" s="204">
        <f t="shared" si="5"/>
        <v>0.40005000000000002</v>
      </c>
      <c r="K33" s="204">
        <f t="shared" si="0"/>
        <v>5.7150000000000034E-2</v>
      </c>
      <c r="L33" s="204">
        <f t="shared" si="1"/>
        <v>22.917149999999999</v>
      </c>
      <c r="M33" s="204">
        <f t="shared" si="2"/>
        <v>0</v>
      </c>
      <c r="N33" s="204">
        <f t="shared" si="3"/>
        <v>0</v>
      </c>
    </row>
    <row r="34" spans="2:14">
      <c r="B34" s="195" t="s">
        <v>193</v>
      </c>
      <c r="C34" s="195">
        <v>160</v>
      </c>
      <c r="E34" s="203">
        <v>62.87</v>
      </c>
      <c r="H34" s="204">
        <f t="shared" si="4"/>
        <v>0.94304999999999994</v>
      </c>
      <c r="I34" s="204"/>
      <c r="J34" s="204">
        <f t="shared" si="5"/>
        <v>1.100225</v>
      </c>
      <c r="K34" s="204">
        <f t="shared" si="0"/>
        <v>0.15717500000000006</v>
      </c>
      <c r="L34" s="204">
        <f t="shared" si="1"/>
        <v>63.027175</v>
      </c>
      <c r="M34" s="204">
        <f t="shared" si="2"/>
        <v>0</v>
      </c>
      <c r="N34" s="204">
        <f t="shared" si="3"/>
        <v>0</v>
      </c>
    </row>
    <row r="35" spans="2:14">
      <c r="B35" s="195" t="s">
        <v>194</v>
      </c>
      <c r="C35" s="195">
        <v>205</v>
      </c>
      <c r="E35" s="203">
        <v>3.25</v>
      </c>
      <c r="H35" s="204">
        <f t="shared" si="4"/>
        <v>4.8750000000000002E-2</v>
      </c>
      <c r="I35" s="204"/>
      <c r="J35" s="204">
        <f t="shared" si="5"/>
        <v>5.6875000000000009E-2</v>
      </c>
      <c r="K35" s="204">
        <f t="shared" si="0"/>
        <v>8.1250000000000072E-3</v>
      </c>
      <c r="L35" s="204">
        <f t="shared" si="1"/>
        <v>3.2581250000000002</v>
      </c>
      <c r="M35" s="204">
        <f t="shared" si="2"/>
        <v>0</v>
      </c>
      <c r="N35" s="204">
        <f t="shared" si="3"/>
        <v>0</v>
      </c>
    </row>
    <row r="36" spans="2:14">
      <c r="B36" s="195" t="s">
        <v>195</v>
      </c>
      <c r="C36" s="195">
        <v>205</v>
      </c>
      <c r="E36" s="203">
        <v>1.08</v>
      </c>
      <c r="H36" s="204">
        <f t="shared" si="4"/>
        <v>1.6199999999999999E-2</v>
      </c>
      <c r="I36" s="204"/>
      <c r="J36" s="204">
        <f t="shared" si="5"/>
        <v>1.8900000000000004E-2</v>
      </c>
      <c r="K36" s="204">
        <f t="shared" si="0"/>
        <v>2.7000000000000045E-3</v>
      </c>
      <c r="L36" s="204">
        <f t="shared" si="1"/>
        <v>1.0827</v>
      </c>
      <c r="M36" s="204">
        <f t="shared" si="2"/>
        <v>0</v>
      </c>
      <c r="N36" s="204">
        <f t="shared" si="3"/>
        <v>0</v>
      </c>
    </row>
    <row r="37" spans="2:14">
      <c r="B37" s="195" t="s">
        <v>196</v>
      </c>
      <c r="C37" s="195">
        <v>207</v>
      </c>
      <c r="E37" s="203">
        <v>5.71</v>
      </c>
      <c r="H37" s="204">
        <f t="shared" si="4"/>
        <v>8.564999999999999E-2</v>
      </c>
      <c r="I37" s="204"/>
      <c r="J37" s="204">
        <f t="shared" si="5"/>
        <v>9.9925000000000014E-2</v>
      </c>
      <c r="K37" s="204">
        <f t="shared" si="0"/>
        <v>1.4275000000000024E-2</v>
      </c>
      <c r="L37" s="204">
        <f t="shared" si="1"/>
        <v>5.7242749999999996</v>
      </c>
      <c r="M37" s="204">
        <f t="shared" si="2"/>
        <v>0</v>
      </c>
      <c r="N37" s="204">
        <f t="shared" si="3"/>
        <v>0</v>
      </c>
    </row>
    <row r="38" spans="2:14">
      <c r="B38" s="195" t="s">
        <v>197</v>
      </c>
      <c r="C38" s="195">
        <v>210</v>
      </c>
      <c r="E38" s="203">
        <v>7.5</v>
      </c>
      <c r="H38" s="204">
        <f t="shared" si="4"/>
        <v>0.11249999999999999</v>
      </c>
      <c r="I38" s="204"/>
      <c r="J38" s="204">
        <f t="shared" si="5"/>
        <v>0.13125000000000001</v>
      </c>
      <c r="K38" s="204">
        <f t="shared" si="0"/>
        <v>1.8750000000000017E-2</v>
      </c>
      <c r="L38" s="204">
        <f t="shared" si="1"/>
        <v>7.5187499999999998</v>
      </c>
      <c r="M38" s="204">
        <f t="shared" si="2"/>
        <v>0</v>
      </c>
      <c r="N38" s="204">
        <f t="shared" si="3"/>
        <v>0</v>
      </c>
    </row>
    <row r="39" spans="2:14">
      <c r="B39" s="195" t="s">
        <v>198</v>
      </c>
      <c r="C39" s="195">
        <v>210</v>
      </c>
      <c r="E39" s="203">
        <v>12.5</v>
      </c>
      <c r="H39" s="204">
        <f t="shared" si="4"/>
        <v>0.1875</v>
      </c>
      <c r="I39" s="204"/>
      <c r="J39" s="204">
        <f t="shared" si="5"/>
        <v>0.21875000000000003</v>
      </c>
      <c r="K39" s="204">
        <f t="shared" si="0"/>
        <v>3.1250000000000028E-2</v>
      </c>
      <c r="L39" s="204">
        <f t="shared" si="1"/>
        <v>12.53125</v>
      </c>
      <c r="M39" s="204">
        <f t="shared" si="2"/>
        <v>0</v>
      </c>
      <c r="N39" s="204">
        <f t="shared" si="3"/>
        <v>0</v>
      </c>
    </row>
    <row r="40" spans="2:14">
      <c r="B40" s="195" t="s">
        <v>199</v>
      </c>
      <c r="C40" s="195">
        <v>210</v>
      </c>
      <c r="E40" s="203">
        <v>20</v>
      </c>
      <c r="H40" s="204">
        <f t="shared" si="4"/>
        <v>0.3</v>
      </c>
      <c r="I40" s="204"/>
      <c r="J40" s="204">
        <f t="shared" si="5"/>
        <v>0.35000000000000003</v>
      </c>
      <c r="K40" s="204">
        <f t="shared" si="0"/>
        <v>5.0000000000000044E-2</v>
      </c>
      <c r="L40" s="204">
        <f t="shared" si="1"/>
        <v>20.05</v>
      </c>
      <c r="M40" s="204">
        <f t="shared" si="2"/>
        <v>0</v>
      </c>
      <c r="N40" s="204">
        <f t="shared" si="3"/>
        <v>0</v>
      </c>
    </row>
    <row r="41" spans="2:14">
      <c r="B41" s="195" t="s">
        <v>200</v>
      </c>
      <c r="C41" s="195">
        <v>240</v>
      </c>
      <c r="E41" s="203">
        <v>1.08</v>
      </c>
      <c r="H41" s="204">
        <f t="shared" si="4"/>
        <v>1.6199999999999999E-2</v>
      </c>
      <c r="I41" s="204"/>
      <c r="J41" s="204">
        <f t="shared" si="5"/>
        <v>1.8900000000000004E-2</v>
      </c>
      <c r="K41" s="204">
        <f t="shared" si="0"/>
        <v>2.7000000000000045E-3</v>
      </c>
      <c r="L41" s="204">
        <f t="shared" si="1"/>
        <v>1.0827</v>
      </c>
      <c r="M41" s="204">
        <f t="shared" si="2"/>
        <v>0</v>
      </c>
      <c r="N41" s="204">
        <f t="shared" si="3"/>
        <v>0</v>
      </c>
    </row>
    <row r="42" spans="2:14">
      <c r="B42" s="195" t="s">
        <v>201</v>
      </c>
      <c r="C42" s="195">
        <v>240</v>
      </c>
      <c r="E42" s="203">
        <v>15.42</v>
      </c>
      <c r="H42" s="204">
        <f t="shared" si="4"/>
        <v>0.23129999999999998</v>
      </c>
      <c r="I42" s="204"/>
      <c r="J42" s="204">
        <f t="shared" si="5"/>
        <v>0.26985000000000003</v>
      </c>
      <c r="K42" s="204">
        <f t="shared" si="0"/>
        <v>3.8550000000000056E-2</v>
      </c>
      <c r="L42" s="204">
        <f t="shared" si="1"/>
        <v>15.458550000000001</v>
      </c>
      <c r="M42" s="204">
        <f t="shared" si="2"/>
        <v>0</v>
      </c>
      <c r="N42" s="204">
        <f t="shared" si="3"/>
        <v>0</v>
      </c>
    </row>
    <row r="43" spans="2:14">
      <c r="B43" s="195" t="s">
        <v>202</v>
      </c>
      <c r="C43" s="195">
        <v>240</v>
      </c>
      <c r="E43" s="203">
        <v>0.88</v>
      </c>
      <c r="H43" s="204">
        <f t="shared" si="4"/>
        <v>1.32E-2</v>
      </c>
      <c r="I43" s="204"/>
      <c r="J43" s="204">
        <f t="shared" si="5"/>
        <v>1.5400000000000002E-2</v>
      </c>
      <c r="K43" s="204">
        <f t="shared" si="0"/>
        <v>2.2000000000000023E-3</v>
      </c>
      <c r="L43" s="204">
        <f t="shared" si="1"/>
        <v>0.88219999999999998</v>
      </c>
      <c r="M43" s="204">
        <f t="shared" si="2"/>
        <v>0</v>
      </c>
      <c r="N43" s="204">
        <f t="shared" si="3"/>
        <v>0</v>
      </c>
    </row>
    <row r="44" spans="2:14">
      <c r="B44" s="195" t="s">
        <v>203</v>
      </c>
      <c r="C44" s="195">
        <v>240</v>
      </c>
      <c r="E44" s="203">
        <v>0.88</v>
      </c>
      <c r="H44" s="204">
        <f t="shared" si="4"/>
        <v>1.32E-2</v>
      </c>
      <c r="I44" s="204"/>
      <c r="J44" s="204">
        <f t="shared" si="5"/>
        <v>1.5400000000000002E-2</v>
      </c>
      <c r="K44" s="204">
        <f t="shared" si="0"/>
        <v>2.2000000000000023E-3</v>
      </c>
      <c r="L44" s="204">
        <f t="shared" si="1"/>
        <v>0.88219999999999998</v>
      </c>
      <c r="M44" s="204">
        <f t="shared" si="2"/>
        <v>0</v>
      </c>
      <c r="N44" s="204">
        <f t="shared" si="3"/>
        <v>0</v>
      </c>
    </row>
    <row r="45" spans="2:14">
      <c r="B45" s="195" t="s">
        <v>204</v>
      </c>
      <c r="C45" s="195">
        <v>240</v>
      </c>
      <c r="E45" s="203">
        <v>0.62</v>
      </c>
      <c r="H45" s="204">
        <f t="shared" si="4"/>
        <v>9.2999999999999992E-3</v>
      </c>
      <c r="I45" s="204"/>
      <c r="J45" s="204">
        <f t="shared" si="5"/>
        <v>1.085E-2</v>
      </c>
      <c r="K45" s="204">
        <f t="shared" si="0"/>
        <v>1.550000000000001E-3</v>
      </c>
      <c r="L45" s="204">
        <f t="shared" si="1"/>
        <v>0.62155000000000005</v>
      </c>
      <c r="M45" s="204">
        <f t="shared" si="2"/>
        <v>0</v>
      </c>
      <c r="N45" s="204">
        <f t="shared" si="3"/>
        <v>0</v>
      </c>
    </row>
    <row r="46" spans="2:14">
      <c r="B46" s="195" t="s">
        <v>205</v>
      </c>
      <c r="C46" s="195">
        <v>240</v>
      </c>
      <c r="E46" s="203">
        <v>26.8</v>
      </c>
      <c r="H46" s="204">
        <f t="shared" si="4"/>
        <v>0.40199999999999997</v>
      </c>
      <c r="I46" s="204"/>
      <c r="J46" s="204">
        <f t="shared" si="5"/>
        <v>0.46900000000000008</v>
      </c>
      <c r="K46" s="204">
        <f t="shared" si="0"/>
        <v>6.7000000000000115E-2</v>
      </c>
      <c r="L46" s="204">
        <f t="shared" si="1"/>
        <v>26.867000000000001</v>
      </c>
      <c r="M46" s="204">
        <f t="shared" si="2"/>
        <v>0</v>
      </c>
      <c r="N46" s="204">
        <f t="shared" si="3"/>
        <v>0</v>
      </c>
    </row>
    <row r="47" spans="2:14">
      <c r="B47" s="195" t="s">
        <v>206</v>
      </c>
      <c r="C47" s="195">
        <v>240</v>
      </c>
      <c r="E47" s="203">
        <v>26.8</v>
      </c>
      <c r="H47" s="204">
        <f t="shared" si="4"/>
        <v>0.40199999999999997</v>
      </c>
      <c r="I47" s="204"/>
      <c r="J47" s="204">
        <f t="shared" si="5"/>
        <v>0.46900000000000008</v>
      </c>
      <c r="K47" s="204">
        <f t="shared" si="0"/>
        <v>6.7000000000000115E-2</v>
      </c>
      <c r="L47" s="204">
        <f t="shared" si="1"/>
        <v>26.867000000000001</v>
      </c>
      <c r="M47" s="204">
        <f t="shared" si="2"/>
        <v>0</v>
      </c>
      <c r="N47" s="204">
        <f t="shared" si="3"/>
        <v>0</v>
      </c>
    </row>
    <row r="48" spans="2:14">
      <c r="B48" s="195" t="s">
        <v>207</v>
      </c>
      <c r="C48" s="195">
        <v>240</v>
      </c>
      <c r="E48" s="203">
        <v>18.760000000000002</v>
      </c>
      <c r="H48" s="204">
        <f t="shared" si="4"/>
        <v>0.28140000000000004</v>
      </c>
      <c r="I48" s="204"/>
      <c r="J48" s="204">
        <f t="shared" si="5"/>
        <v>0.32830000000000004</v>
      </c>
      <c r="K48" s="204">
        <f t="shared" si="0"/>
        <v>4.6899999999999997E-2</v>
      </c>
      <c r="L48" s="204">
        <f t="shared" si="1"/>
        <v>18.806900000000002</v>
      </c>
      <c r="M48" s="204">
        <f t="shared" si="2"/>
        <v>0</v>
      </c>
      <c r="N48" s="204">
        <f t="shared" si="3"/>
        <v>0</v>
      </c>
    </row>
    <row r="49" spans="2:14">
      <c r="B49" s="195" t="s">
        <v>208</v>
      </c>
      <c r="C49" s="195">
        <v>260</v>
      </c>
      <c r="E49" s="203">
        <v>28</v>
      </c>
      <c r="H49" s="204">
        <f t="shared" si="4"/>
        <v>0.42</v>
      </c>
      <c r="I49" s="204"/>
      <c r="J49" s="204">
        <f t="shared" si="5"/>
        <v>0.49000000000000005</v>
      </c>
      <c r="K49" s="204">
        <f t="shared" si="0"/>
        <v>7.0000000000000062E-2</v>
      </c>
      <c r="L49" s="204">
        <f t="shared" si="1"/>
        <v>28.07</v>
      </c>
      <c r="M49" s="204">
        <f t="shared" si="2"/>
        <v>0</v>
      </c>
      <c r="N49" s="204">
        <f t="shared" si="3"/>
        <v>0</v>
      </c>
    </row>
    <row r="50" spans="2:14">
      <c r="B50" s="195" t="s">
        <v>209</v>
      </c>
      <c r="C50" s="195">
        <v>260</v>
      </c>
      <c r="E50" s="203">
        <v>88</v>
      </c>
      <c r="H50" s="204">
        <f t="shared" si="4"/>
        <v>1.3199999999999998</v>
      </c>
      <c r="I50" s="204"/>
      <c r="J50" s="204">
        <f t="shared" si="5"/>
        <v>1.54</v>
      </c>
      <c r="K50" s="204">
        <f t="shared" si="0"/>
        <v>0.2200000000000002</v>
      </c>
      <c r="L50" s="204">
        <f t="shared" si="1"/>
        <v>88.22</v>
      </c>
      <c r="M50" s="204">
        <f t="shared" si="2"/>
        <v>0</v>
      </c>
      <c r="N50" s="204">
        <f t="shared" si="3"/>
        <v>0</v>
      </c>
    </row>
    <row r="51" spans="2:14">
      <c r="B51" s="195" t="s">
        <v>210</v>
      </c>
      <c r="C51" s="195">
        <v>260</v>
      </c>
      <c r="E51" s="203">
        <v>60</v>
      </c>
      <c r="H51" s="204">
        <f t="shared" si="4"/>
        <v>0.89999999999999991</v>
      </c>
      <c r="I51" s="204"/>
      <c r="J51" s="204">
        <f t="shared" si="5"/>
        <v>1.05</v>
      </c>
      <c r="K51" s="204">
        <f t="shared" si="0"/>
        <v>0.15000000000000013</v>
      </c>
      <c r="L51" s="204">
        <f t="shared" si="1"/>
        <v>60.15</v>
      </c>
      <c r="M51" s="204">
        <f t="shared" si="2"/>
        <v>0</v>
      </c>
      <c r="N51" s="204">
        <f t="shared" si="3"/>
        <v>0</v>
      </c>
    </row>
    <row r="52" spans="2:14">
      <c r="B52" s="195" t="s">
        <v>211</v>
      </c>
      <c r="C52" s="195">
        <v>260</v>
      </c>
      <c r="E52" s="203">
        <v>61</v>
      </c>
      <c r="H52" s="204">
        <f t="shared" si="4"/>
        <v>0.91499999999999992</v>
      </c>
      <c r="I52" s="204"/>
      <c r="J52" s="204">
        <f t="shared" si="5"/>
        <v>1.0675000000000001</v>
      </c>
      <c r="K52" s="204">
        <f t="shared" si="0"/>
        <v>0.15250000000000019</v>
      </c>
      <c r="L52" s="204">
        <f t="shared" si="1"/>
        <v>61.152500000000003</v>
      </c>
      <c r="M52" s="204">
        <f t="shared" si="2"/>
        <v>0</v>
      </c>
      <c r="N52" s="204">
        <f t="shared" si="3"/>
        <v>0</v>
      </c>
    </row>
    <row r="53" spans="2:14">
      <c r="B53" s="195" t="s">
        <v>212</v>
      </c>
      <c r="C53" s="195">
        <v>260</v>
      </c>
      <c r="E53" s="203">
        <v>28.38</v>
      </c>
      <c r="H53" s="204">
        <f t="shared" si="4"/>
        <v>0.42569999999999997</v>
      </c>
      <c r="I53" s="204"/>
      <c r="J53" s="204">
        <f t="shared" si="5"/>
        <v>0.49665000000000004</v>
      </c>
      <c r="K53" s="204">
        <f t="shared" si="0"/>
        <v>7.0950000000000069E-2</v>
      </c>
      <c r="L53" s="204">
        <f t="shared" si="1"/>
        <v>28.450949999999999</v>
      </c>
      <c r="M53" s="204">
        <f t="shared" si="2"/>
        <v>0</v>
      </c>
      <c r="N53" s="204">
        <f t="shared" si="3"/>
        <v>0</v>
      </c>
    </row>
    <row r="54" spans="2:14">
      <c r="B54" s="195" t="s">
        <v>213</v>
      </c>
      <c r="C54" s="195">
        <v>260</v>
      </c>
      <c r="E54" s="203">
        <v>2.93</v>
      </c>
      <c r="H54" s="204">
        <f t="shared" si="4"/>
        <v>4.3950000000000003E-2</v>
      </c>
      <c r="I54" s="204"/>
      <c r="J54" s="204">
        <f t="shared" si="5"/>
        <v>5.1275000000000008E-2</v>
      </c>
      <c r="K54" s="204">
        <f t="shared" si="0"/>
        <v>7.3250000000000051E-3</v>
      </c>
      <c r="L54" s="204">
        <f t="shared" si="1"/>
        <v>2.937325</v>
      </c>
      <c r="M54" s="204">
        <f t="shared" si="2"/>
        <v>0</v>
      </c>
      <c r="N54" s="204">
        <f t="shared" si="3"/>
        <v>0</v>
      </c>
    </row>
    <row r="55" spans="2:14">
      <c r="B55" s="195" t="s">
        <v>214</v>
      </c>
      <c r="C55" s="195">
        <v>260</v>
      </c>
      <c r="E55" s="203">
        <v>28</v>
      </c>
      <c r="H55" s="204">
        <f t="shared" si="4"/>
        <v>0.42</v>
      </c>
      <c r="I55" s="204"/>
      <c r="J55" s="204">
        <f t="shared" si="5"/>
        <v>0.49000000000000005</v>
      </c>
      <c r="K55" s="204">
        <f t="shared" si="0"/>
        <v>7.0000000000000062E-2</v>
      </c>
      <c r="L55" s="204">
        <f t="shared" si="1"/>
        <v>28.07</v>
      </c>
      <c r="M55" s="204">
        <f t="shared" si="2"/>
        <v>0</v>
      </c>
      <c r="N55" s="204">
        <f t="shared" si="3"/>
        <v>0</v>
      </c>
    </row>
    <row r="56" spans="2:14">
      <c r="B56" s="195" t="s">
        <v>215</v>
      </c>
      <c r="C56" s="195">
        <v>260</v>
      </c>
      <c r="E56" s="203">
        <v>30</v>
      </c>
      <c r="H56" s="204">
        <f t="shared" si="4"/>
        <v>0.44999999999999996</v>
      </c>
      <c r="I56" s="204"/>
      <c r="J56" s="204">
        <f t="shared" si="5"/>
        <v>0.52500000000000002</v>
      </c>
      <c r="K56" s="204">
        <f t="shared" si="0"/>
        <v>7.5000000000000067E-2</v>
      </c>
      <c r="L56" s="204">
        <f t="shared" si="1"/>
        <v>30.074999999999999</v>
      </c>
      <c r="M56" s="204">
        <f t="shared" si="2"/>
        <v>0</v>
      </c>
      <c r="N56" s="204">
        <f t="shared" si="3"/>
        <v>0</v>
      </c>
    </row>
    <row r="57" spans="2:14">
      <c r="B57" s="195" t="s">
        <v>216</v>
      </c>
      <c r="C57" s="195">
        <v>260</v>
      </c>
      <c r="E57" s="203">
        <v>93</v>
      </c>
      <c r="H57" s="204">
        <f t="shared" si="4"/>
        <v>1.395</v>
      </c>
      <c r="I57" s="204"/>
      <c r="J57" s="204">
        <f t="shared" si="5"/>
        <v>1.6275000000000002</v>
      </c>
      <c r="K57" s="204">
        <f t="shared" si="0"/>
        <v>0.23250000000000015</v>
      </c>
      <c r="L57" s="204">
        <f t="shared" si="1"/>
        <v>93.232500000000002</v>
      </c>
      <c r="M57" s="204">
        <f t="shared" si="2"/>
        <v>0</v>
      </c>
      <c r="N57" s="204">
        <f t="shared" si="3"/>
        <v>0</v>
      </c>
    </row>
    <row r="58" spans="2:14">
      <c r="B58" s="195" t="s">
        <v>217</v>
      </c>
      <c r="C58" s="195">
        <v>260</v>
      </c>
      <c r="E58" s="203">
        <v>63</v>
      </c>
      <c r="H58" s="204">
        <f t="shared" si="4"/>
        <v>0.94499999999999995</v>
      </c>
      <c r="I58" s="204"/>
      <c r="J58" s="204">
        <f t="shared" si="5"/>
        <v>1.1025</v>
      </c>
      <c r="K58" s="204">
        <f t="shared" si="0"/>
        <v>0.15750000000000008</v>
      </c>
      <c r="L58" s="204">
        <f t="shared" si="1"/>
        <v>63.157499999999999</v>
      </c>
      <c r="M58" s="204">
        <f t="shared" si="2"/>
        <v>0</v>
      </c>
      <c r="N58" s="204">
        <f t="shared" si="3"/>
        <v>0</v>
      </c>
    </row>
    <row r="59" spans="2:14">
      <c r="B59" s="195" t="s">
        <v>218</v>
      </c>
      <c r="C59" s="195">
        <v>260</v>
      </c>
      <c r="E59" s="203">
        <v>64.05</v>
      </c>
      <c r="H59" s="204">
        <f t="shared" si="4"/>
        <v>0.96074999999999988</v>
      </c>
      <c r="I59" s="204"/>
      <c r="J59" s="204">
        <f t="shared" si="5"/>
        <v>1.1208750000000001</v>
      </c>
      <c r="K59" s="204">
        <f t="shared" si="0"/>
        <v>0.16012500000000018</v>
      </c>
      <c r="L59" s="204">
        <f t="shared" si="1"/>
        <v>64.210124999999991</v>
      </c>
      <c r="M59" s="204">
        <f t="shared" si="2"/>
        <v>0</v>
      </c>
      <c r="N59" s="204">
        <f t="shared" si="3"/>
        <v>0</v>
      </c>
    </row>
    <row r="60" spans="2:14">
      <c r="B60" s="195" t="s">
        <v>219</v>
      </c>
      <c r="C60" s="195">
        <v>260</v>
      </c>
      <c r="E60" s="203">
        <v>28.38</v>
      </c>
      <c r="H60" s="204">
        <f t="shared" si="4"/>
        <v>0.42569999999999997</v>
      </c>
      <c r="I60" s="204"/>
      <c r="J60" s="204">
        <f t="shared" si="5"/>
        <v>0.49665000000000004</v>
      </c>
      <c r="K60" s="204">
        <f t="shared" si="0"/>
        <v>7.0950000000000069E-2</v>
      </c>
      <c r="L60" s="204">
        <f t="shared" si="1"/>
        <v>28.450949999999999</v>
      </c>
      <c r="M60" s="204">
        <f t="shared" si="2"/>
        <v>0</v>
      </c>
      <c r="N60" s="204">
        <f t="shared" si="3"/>
        <v>0</v>
      </c>
    </row>
    <row r="61" spans="2:14">
      <c r="B61" s="195" t="s">
        <v>220</v>
      </c>
      <c r="C61" s="195">
        <v>260</v>
      </c>
      <c r="E61" s="203">
        <v>30</v>
      </c>
      <c r="H61" s="204">
        <f t="shared" si="4"/>
        <v>0.44999999999999996</v>
      </c>
      <c r="I61" s="204"/>
      <c r="J61" s="204">
        <f t="shared" si="5"/>
        <v>0.52500000000000002</v>
      </c>
      <c r="K61" s="204">
        <f t="shared" si="0"/>
        <v>7.5000000000000067E-2</v>
      </c>
      <c r="L61" s="204">
        <f t="shared" si="1"/>
        <v>30.074999999999999</v>
      </c>
      <c r="M61" s="204">
        <f t="shared" si="2"/>
        <v>0</v>
      </c>
      <c r="N61" s="204">
        <f t="shared" si="3"/>
        <v>0</v>
      </c>
    </row>
    <row r="62" spans="2:14">
      <c r="B62" s="195" t="s">
        <v>221</v>
      </c>
      <c r="C62" s="195">
        <v>260</v>
      </c>
      <c r="E62" s="203">
        <v>3.15</v>
      </c>
      <c r="H62" s="204">
        <f t="shared" si="4"/>
        <v>4.725E-2</v>
      </c>
      <c r="I62" s="204"/>
      <c r="J62" s="204">
        <f t="shared" si="5"/>
        <v>5.5125E-2</v>
      </c>
      <c r="K62" s="204">
        <f t="shared" si="0"/>
        <v>7.8750000000000001E-3</v>
      </c>
      <c r="L62" s="204">
        <f t="shared" si="1"/>
        <v>3.1578749999999998</v>
      </c>
      <c r="M62" s="204">
        <f t="shared" si="2"/>
        <v>0</v>
      </c>
      <c r="N62" s="204">
        <f t="shared" si="3"/>
        <v>0</v>
      </c>
    </row>
    <row r="63" spans="2:14">
      <c r="B63" s="195" t="s">
        <v>222</v>
      </c>
      <c r="C63" s="195">
        <v>260</v>
      </c>
      <c r="E63" s="203">
        <v>32.5</v>
      </c>
      <c r="H63" s="204">
        <f t="shared" si="4"/>
        <v>0.48749999999999999</v>
      </c>
      <c r="I63" s="204"/>
      <c r="J63" s="204">
        <f t="shared" si="5"/>
        <v>0.56875000000000009</v>
      </c>
      <c r="K63" s="204">
        <f t="shared" si="0"/>
        <v>8.12500000000001E-2</v>
      </c>
      <c r="L63" s="204">
        <f t="shared" si="1"/>
        <v>32.581249999999997</v>
      </c>
      <c r="M63" s="204">
        <f t="shared" si="2"/>
        <v>0</v>
      </c>
      <c r="N63" s="204">
        <f t="shared" si="3"/>
        <v>0</v>
      </c>
    </row>
    <row r="64" spans="2:14">
      <c r="B64" s="195" t="s">
        <v>223</v>
      </c>
      <c r="C64" s="195">
        <v>260</v>
      </c>
      <c r="E64" s="203">
        <v>100.5</v>
      </c>
      <c r="H64" s="204">
        <f t="shared" si="4"/>
        <v>1.5074999999999998</v>
      </c>
      <c r="I64" s="204"/>
      <c r="J64" s="204">
        <f t="shared" si="5"/>
        <v>1.7587500000000003</v>
      </c>
      <c r="K64" s="204">
        <f t="shared" si="0"/>
        <v>0.25125000000000042</v>
      </c>
      <c r="L64" s="204">
        <f t="shared" si="1"/>
        <v>100.75125</v>
      </c>
      <c r="M64" s="204">
        <f t="shared" si="2"/>
        <v>0</v>
      </c>
      <c r="N64" s="204">
        <f t="shared" si="3"/>
        <v>0</v>
      </c>
    </row>
    <row r="65" spans="2:14">
      <c r="B65" s="195" t="s">
        <v>224</v>
      </c>
      <c r="C65" s="195">
        <v>260</v>
      </c>
      <c r="E65" s="203">
        <v>68</v>
      </c>
      <c r="H65" s="204">
        <f t="shared" si="4"/>
        <v>1.02</v>
      </c>
      <c r="I65" s="204"/>
      <c r="J65" s="204">
        <f t="shared" si="5"/>
        <v>1.1900000000000002</v>
      </c>
      <c r="K65" s="204">
        <f t="shared" si="0"/>
        <v>0.17000000000000015</v>
      </c>
      <c r="L65" s="204">
        <f t="shared" si="1"/>
        <v>68.17</v>
      </c>
      <c r="M65" s="204">
        <f t="shared" si="2"/>
        <v>0</v>
      </c>
      <c r="N65" s="204">
        <f t="shared" si="3"/>
        <v>0</v>
      </c>
    </row>
    <row r="66" spans="2:14">
      <c r="B66" s="195" t="s">
        <v>225</v>
      </c>
      <c r="C66" s="195">
        <v>260</v>
      </c>
      <c r="E66" s="203">
        <v>69.13</v>
      </c>
      <c r="H66" s="204">
        <f t="shared" si="4"/>
        <v>1.0369499999999998</v>
      </c>
      <c r="I66" s="204"/>
      <c r="J66" s="204">
        <f t="shared" si="5"/>
        <v>1.209775</v>
      </c>
      <c r="K66" s="204">
        <f t="shared" si="0"/>
        <v>0.17282500000000023</v>
      </c>
      <c r="L66" s="204">
        <f t="shared" si="1"/>
        <v>69.302824999999999</v>
      </c>
      <c r="M66" s="204">
        <f t="shared" si="2"/>
        <v>0</v>
      </c>
      <c r="N66" s="204">
        <f t="shared" si="3"/>
        <v>0</v>
      </c>
    </row>
    <row r="67" spans="2:14">
      <c r="B67" s="195" t="s">
        <v>226</v>
      </c>
      <c r="C67" s="195">
        <v>260</v>
      </c>
      <c r="E67" s="203">
        <v>28.38</v>
      </c>
      <c r="H67" s="204">
        <f t="shared" si="4"/>
        <v>0.42569999999999997</v>
      </c>
      <c r="I67" s="204"/>
      <c r="J67" s="204">
        <f t="shared" si="5"/>
        <v>0.49665000000000004</v>
      </c>
      <c r="K67" s="204">
        <f t="shared" si="0"/>
        <v>7.0950000000000069E-2</v>
      </c>
      <c r="L67" s="204">
        <f t="shared" si="1"/>
        <v>28.450949999999999</v>
      </c>
      <c r="M67" s="204">
        <f t="shared" si="2"/>
        <v>0</v>
      </c>
      <c r="N67" s="204">
        <f t="shared" si="3"/>
        <v>0</v>
      </c>
    </row>
    <row r="68" spans="2:14">
      <c r="B68" s="195" t="s">
        <v>220</v>
      </c>
      <c r="C68" s="195">
        <v>260</v>
      </c>
      <c r="E68" s="203">
        <v>32.5</v>
      </c>
      <c r="H68" s="204">
        <f t="shared" si="4"/>
        <v>0.48749999999999999</v>
      </c>
      <c r="I68" s="204"/>
      <c r="J68" s="204">
        <f t="shared" si="5"/>
        <v>0.56875000000000009</v>
      </c>
      <c r="K68" s="204">
        <f t="shared" si="0"/>
        <v>8.12500000000001E-2</v>
      </c>
      <c r="L68" s="204">
        <f t="shared" si="1"/>
        <v>32.581249999999997</v>
      </c>
      <c r="M68" s="204">
        <f t="shared" si="2"/>
        <v>0</v>
      </c>
      <c r="N68" s="204">
        <f t="shared" si="3"/>
        <v>0</v>
      </c>
    </row>
    <row r="69" spans="2:14">
      <c r="B69" s="195" t="s">
        <v>227</v>
      </c>
      <c r="C69" s="195">
        <v>260</v>
      </c>
      <c r="E69" s="203">
        <v>3.4</v>
      </c>
      <c r="H69" s="204">
        <f t="shared" si="4"/>
        <v>5.0999999999999997E-2</v>
      </c>
      <c r="I69" s="204"/>
      <c r="J69" s="204">
        <f t="shared" si="5"/>
        <v>5.9500000000000004E-2</v>
      </c>
      <c r="K69" s="204">
        <f t="shared" si="0"/>
        <v>8.5000000000000075E-3</v>
      </c>
      <c r="L69" s="204">
        <f t="shared" si="1"/>
        <v>3.4085000000000001</v>
      </c>
      <c r="M69" s="204">
        <f t="shared" si="2"/>
        <v>0</v>
      </c>
      <c r="N69" s="204">
        <f t="shared" si="3"/>
        <v>0</v>
      </c>
    </row>
    <row r="70" spans="2:14">
      <c r="B70" s="195" t="s">
        <v>228</v>
      </c>
      <c r="C70" s="195">
        <v>260</v>
      </c>
      <c r="E70" s="203">
        <v>36.1</v>
      </c>
      <c r="H70" s="204">
        <f t="shared" si="4"/>
        <v>0.54149999999999998</v>
      </c>
      <c r="I70" s="204"/>
      <c r="J70" s="204">
        <f t="shared" si="5"/>
        <v>0.63175000000000003</v>
      </c>
      <c r="K70" s="204">
        <f t="shared" si="0"/>
        <v>9.0250000000000052E-2</v>
      </c>
      <c r="L70" s="204">
        <f t="shared" si="1"/>
        <v>36.190249999999999</v>
      </c>
      <c r="M70" s="204">
        <f t="shared" si="2"/>
        <v>0</v>
      </c>
      <c r="N70" s="204">
        <f t="shared" si="3"/>
        <v>0</v>
      </c>
    </row>
    <row r="71" spans="2:14">
      <c r="B71" s="195" t="s">
        <v>229</v>
      </c>
      <c r="C71" s="195">
        <v>260</v>
      </c>
      <c r="E71" s="203">
        <v>120.1</v>
      </c>
      <c r="H71" s="204">
        <f t="shared" si="4"/>
        <v>1.8014999999999999</v>
      </c>
      <c r="I71" s="204"/>
      <c r="J71" s="204">
        <f t="shared" si="5"/>
        <v>2.10175</v>
      </c>
      <c r="K71" s="204">
        <f t="shared" si="0"/>
        <v>0.30025000000000013</v>
      </c>
      <c r="L71" s="204">
        <f t="shared" si="1"/>
        <v>120.40025</v>
      </c>
      <c r="M71" s="204">
        <f t="shared" si="2"/>
        <v>0</v>
      </c>
      <c r="N71" s="204">
        <f t="shared" si="3"/>
        <v>0</v>
      </c>
    </row>
    <row r="72" spans="2:14">
      <c r="B72" s="195" t="s">
        <v>230</v>
      </c>
      <c r="C72" s="195">
        <v>260</v>
      </c>
      <c r="E72" s="203">
        <v>84</v>
      </c>
      <c r="H72" s="204">
        <f t="shared" si="4"/>
        <v>1.26</v>
      </c>
      <c r="I72" s="204"/>
      <c r="J72" s="204">
        <f t="shared" si="5"/>
        <v>1.4700000000000002</v>
      </c>
      <c r="K72" s="204">
        <f t="shared" si="0"/>
        <v>0.21000000000000019</v>
      </c>
      <c r="L72" s="204">
        <f t="shared" si="1"/>
        <v>84.21</v>
      </c>
      <c r="M72" s="204">
        <f t="shared" si="2"/>
        <v>0</v>
      </c>
      <c r="N72" s="204">
        <f t="shared" si="3"/>
        <v>0</v>
      </c>
    </row>
    <row r="73" spans="2:14">
      <c r="B73" s="195" t="s">
        <v>231</v>
      </c>
      <c r="C73" s="195">
        <v>260</v>
      </c>
      <c r="E73" s="203">
        <v>85.68</v>
      </c>
      <c r="H73" s="204">
        <f t="shared" si="4"/>
        <v>1.2852000000000001</v>
      </c>
      <c r="I73" s="204"/>
      <c r="J73" s="204">
        <f t="shared" si="5"/>
        <v>1.4994000000000003</v>
      </c>
      <c r="K73" s="204">
        <f t="shared" ref="K73:K90" si="6">+J73-H73</f>
        <v>0.21420000000000017</v>
      </c>
      <c r="L73" s="204">
        <f t="shared" ref="L73:L90" si="7">+E73+K73</f>
        <v>85.894200000000012</v>
      </c>
      <c r="M73" s="204">
        <f t="shared" ref="M73:M90" si="8">+E73*F73</f>
        <v>0</v>
      </c>
      <c r="N73" s="204">
        <f t="shared" ref="N73:N90" si="9">+L73*F73</f>
        <v>0</v>
      </c>
    </row>
    <row r="74" spans="2:14">
      <c r="B74" s="195" t="s">
        <v>232</v>
      </c>
      <c r="C74" s="195">
        <v>260</v>
      </c>
      <c r="E74" s="203">
        <v>28.38</v>
      </c>
      <c r="H74" s="204">
        <f t="shared" si="4"/>
        <v>0.42569999999999997</v>
      </c>
      <c r="I74" s="204"/>
      <c r="J74" s="204">
        <f t="shared" si="5"/>
        <v>0.49665000000000004</v>
      </c>
      <c r="K74" s="204">
        <f t="shared" si="6"/>
        <v>7.0950000000000069E-2</v>
      </c>
      <c r="L74" s="204">
        <f t="shared" si="7"/>
        <v>28.450949999999999</v>
      </c>
      <c r="M74" s="204">
        <f t="shared" si="8"/>
        <v>0</v>
      </c>
      <c r="N74" s="204">
        <f t="shared" si="9"/>
        <v>0</v>
      </c>
    </row>
    <row r="75" spans="2:14">
      <c r="B75" s="195" t="s">
        <v>220</v>
      </c>
      <c r="C75" s="195">
        <v>260</v>
      </c>
      <c r="E75" s="203">
        <v>36.1</v>
      </c>
      <c r="H75" s="204">
        <f t="shared" ref="H75:H90" si="10">+$H$7*E75</f>
        <v>0.54149999999999998</v>
      </c>
      <c r="I75" s="204"/>
      <c r="J75" s="204">
        <f t="shared" ref="J75:J90" si="11">+$J$7*E75</f>
        <v>0.63175000000000003</v>
      </c>
      <c r="K75" s="204">
        <f t="shared" si="6"/>
        <v>9.0250000000000052E-2</v>
      </c>
      <c r="L75" s="204">
        <f t="shared" si="7"/>
        <v>36.190249999999999</v>
      </c>
      <c r="M75" s="204">
        <f t="shared" si="8"/>
        <v>0</v>
      </c>
      <c r="N75" s="204">
        <f t="shared" si="9"/>
        <v>0</v>
      </c>
    </row>
    <row r="76" spans="2:14">
      <c r="B76" s="195" t="s">
        <v>233</v>
      </c>
      <c r="C76" s="195">
        <v>260</v>
      </c>
      <c r="E76" s="203">
        <v>3.8</v>
      </c>
      <c r="H76" s="204">
        <f t="shared" si="10"/>
        <v>5.6999999999999995E-2</v>
      </c>
      <c r="I76" s="204"/>
      <c r="J76" s="204">
        <f t="shared" si="11"/>
        <v>6.6500000000000004E-2</v>
      </c>
      <c r="K76" s="204">
        <f t="shared" si="6"/>
        <v>9.5000000000000084E-3</v>
      </c>
      <c r="L76" s="204">
        <f t="shared" si="7"/>
        <v>3.8094999999999999</v>
      </c>
      <c r="M76" s="204">
        <f t="shared" si="8"/>
        <v>0</v>
      </c>
      <c r="N76" s="204">
        <f t="shared" si="9"/>
        <v>0</v>
      </c>
    </row>
    <row r="77" spans="2:14">
      <c r="B77" s="195" t="s">
        <v>234</v>
      </c>
      <c r="C77" s="195">
        <v>260</v>
      </c>
      <c r="E77" s="203">
        <v>1.08</v>
      </c>
      <c r="H77" s="204">
        <f t="shared" si="10"/>
        <v>1.6199999999999999E-2</v>
      </c>
      <c r="I77" s="204"/>
      <c r="J77" s="204">
        <f t="shared" si="11"/>
        <v>1.8900000000000004E-2</v>
      </c>
      <c r="K77" s="204">
        <f t="shared" si="6"/>
        <v>2.7000000000000045E-3</v>
      </c>
      <c r="L77" s="204">
        <f t="shared" si="7"/>
        <v>1.0827</v>
      </c>
      <c r="M77" s="204">
        <f t="shared" si="8"/>
        <v>0</v>
      </c>
      <c r="N77" s="204">
        <f t="shared" si="9"/>
        <v>0</v>
      </c>
    </row>
    <row r="78" spans="2:14">
      <c r="B78" s="195" t="s">
        <v>235</v>
      </c>
      <c r="C78" s="195">
        <v>260</v>
      </c>
      <c r="E78" s="203">
        <v>3.15</v>
      </c>
      <c r="H78" s="204">
        <f t="shared" si="10"/>
        <v>4.725E-2</v>
      </c>
      <c r="I78" s="204"/>
      <c r="J78" s="204">
        <f t="shared" si="11"/>
        <v>5.5125E-2</v>
      </c>
      <c r="K78" s="204">
        <f t="shared" si="6"/>
        <v>7.8750000000000001E-3</v>
      </c>
      <c r="L78" s="204">
        <f t="shared" si="7"/>
        <v>3.1578749999999998</v>
      </c>
      <c r="M78" s="204">
        <f t="shared" si="8"/>
        <v>0</v>
      </c>
      <c r="N78" s="204">
        <f t="shared" si="9"/>
        <v>0</v>
      </c>
    </row>
    <row r="79" spans="2:14">
      <c r="B79" s="195" t="s">
        <v>236</v>
      </c>
      <c r="C79" s="195">
        <v>275</v>
      </c>
      <c r="E79" s="203">
        <v>126.2</v>
      </c>
      <c r="H79" s="204">
        <f t="shared" si="10"/>
        <v>1.893</v>
      </c>
      <c r="I79" s="204"/>
      <c r="J79" s="204">
        <f t="shared" si="11"/>
        <v>2.2085000000000004</v>
      </c>
      <c r="K79" s="204">
        <f t="shared" si="6"/>
        <v>0.31550000000000034</v>
      </c>
      <c r="L79" s="204">
        <f t="shared" si="7"/>
        <v>126.5155</v>
      </c>
      <c r="M79" s="204">
        <f t="shared" si="8"/>
        <v>0</v>
      </c>
      <c r="N79" s="204">
        <f t="shared" si="9"/>
        <v>0</v>
      </c>
    </row>
    <row r="80" spans="2:14">
      <c r="B80" s="195" t="s">
        <v>237</v>
      </c>
      <c r="C80" s="195">
        <v>275</v>
      </c>
      <c r="E80" s="203">
        <v>3.15</v>
      </c>
      <c r="F80" s="205"/>
      <c r="H80" s="204">
        <f t="shared" si="10"/>
        <v>4.725E-2</v>
      </c>
      <c r="I80" s="204"/>
      <c r="J80" s="204">
        <f t="shared" si="11"/>
        <v>5.5125E-2</v>
      </c>
      <c r="K80" s="204">
        <f t="shared" si="6"/>
        <v>7.8750000000000001E-3</v>
      </c>
      <c r="L80" s="204">
        <f t="shared" si="7"/>
        <v>3.1578749999999998</v>
      </c>
      <c r="M80" s="204">
        <f t="shared" si="8"/>
        <v>0</v>
      </c>
      <c r="N80" s="204">
        <f t="shared" si="9"/>
        <v>0</v>
      </c>
    </row>
    <row r="81" spans="13:14">
      <c r="M81" s="204">
        <f>SUM(M8:M80)</f>
        <v>0</v>
      </c>
      <c r="N81" s="204">
        <f>SUM(N8:N80)</f>
        <v>0</v>
      </c>
    </row>
  </sheetData>
  <mergeCells count="1">
    <mergeCell ref="M6:N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workbookViewId="0">
      <selection activeCell="D26" sqref="D26"/>
    </sheetView>
  </sheetViews>
  <sheetFormatPr defaultRowHeight="14.4"/>
  <cols>
    <col min="1" max="1" width="21.109375" customWidth="1"/>
    <col min="6" max="6" width="12.5546875" bestFit="1" customWidth="1"/>
    <col min="7" max="7" width="1.6640625" customWidth="1"/>
    <col min="8" max="8" width="12.5546875" bestFit="1" customWidth="1"/>
    <col min="9" max="9" width="1.6640625" customWidth="1"/>
    <col min="11" max="11" width="1.6640625" customWidth="1"/>
    <col min="12" max="12" width="11.6640625" customWidth="1"/>
  </cols>
  <sheetData>
    <row r="1" spans="1:12" ht="18">
      <c r="A1" s="169" t="s">
        <v>117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18">
      <c r="A2" s="169" t="s">
        <v>118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18">
      <c r="A3" s="170">
        <v>44197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2" ht="18">
      <c r="A4" s="169" t="s">
        <v>119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6" spans="1:12">
      <c r="F6" s="171" t="s">
        <v>121</v>
      </c>
      <c r="G6" s="171"/>
      <c r="H6" s="171" t="s">
        <v>123</v>
      </c>
      <c r="I6" s="171"/>
      <c r="J6" s="171" t="s">
        <v>9</v>
      </c>
      <c r="L6" s="171" t="s">
        <v>9</v>
      </c>
    </row>
    <row r="7" spans="1:12">
      <c r="F7" s="171" t="s">
        <v>122</v>
      </c>
      <c r="G7" s="171"/>
      <c r="H7" s="171" t="s">
        <v>122</v>
      </c>
      <c r="I7" s="171"/>
      <c r="J7" s="171" t="s">
        <v>127</v>
      </c>
      <c r="L7" s="171" t="s">
        <v>126</v>
      </c>
    </row>
    <row r="8" spans="1:12">
      <c r="A8" t="s">
        <v>120</v>
      </c>
      <c r="F8" s="160">
        <f>+'Disposal Increase Calculations'!P12</f>
        <v>221034.60000000003</v>
      </c>
      <c r="H8" s="160">
        <f>+'Disposal Increase Calculations'!Q12</f>
        <v>224171.34546679072</v>
      </c>
      <c r="J8" s="160">
        <f>+H8-F8</f>
        <v>3136.7454667906859</v>
      </c>
      <c r="L8" s="166">
        <f>+H8/F8-1</f>
        <v>1.419119661261492E-2</v>
      </c>
    </row>
    <row r="9" spans="1:12">
      <c r="A9" t="s">
        <v>124</v>
      </c>
      <c r="F9" s="160">
        <f>+'Disposal Increase Calculations'!P24</f>
        <v>393834.6</v>
      </c>
      <c r="H9" s="160">
        <f>+'Disposal Increase Calculations'!Q24</f>
        <v>400046.44974272867</v>
      </c>
      <c r="J9" s="160">
        <f t="shared" ref="J9:J10" si="0">+H9-F9</f>
        <v>6211.8497427286929</v>
      </c>
      <c r="L9" s="166">
        <f t="shared" ref="L9:L11" si="1">+H9/F9-1</f>
        <v>1.5772737445437057E-2</v>
      </c>
    </row>
    <row r="10" spans="1:12">
      <c r="A10" t="s">
        <v>138</v>
      </c>
      <c r="F10" s="167">
        <f>2507*D20</f>
        <v>87118.25</v>
      </c>
      <c r="G10" s="160"/>
      <c r="H10" s="167">
        <f>2507*D21</f>
        <v>91956.76</v>
      </c>
      <c r="J10" s="167">
        <f t="shared" si="0"/>
        <v>4838.5099999999948</v>
      </c>
      <c r="L10" s="168">
        <f t="shared" si="1"/>
        <v>5.5539568345323698E-2</v>
      </c>
    </row>
    <row r="11" spans="1:12">
      <c r="F11" s="160">
        <f t="shared" ref="F11:J11" si="2">SUM(F8:F10)</f>
        <v>701987.45</v>
      </c>
      <c r="G11" s="160"/>
      <c r="H11" s="160">
        <f t="shared" si="2"/>
        <v>716174.55520951934</v>
      </c>
      <c r="I11" s="160"/>
      <c r="J11" s="160">
        <f t="shared" si="2"/>
        <v>14187.105209519374</v>
      </c>
      <c r="L11" s="166">
        <f t="shared" si="1"/>
        <v>2.020991288308549E-2</v>
      </c>
    </row>
    <row r="17" spans="1:4">
      <c r="A17" t="s">
        <v>125</v>
      </c>
    </row>
    <row r="19" spans="1:4">
      <c r="A19" s="173" t="s">
        <v>129</v>
      </c>
      <c r="D19" s="161" t="s">
        <v>5</v>
      </c>
    </row>
    <row r="20" spans="1:4">
      <c r="A20" s="162" t="s">
        <v>7</v>
      </c>
      <c r="D20" s="163">
        <f>+References!B48</f>
        <v>34.75</v>
      </c>
    </row>
    <row r="21" spans="1:4">
      <c r="A21" s="162" t="s">
        <v>8</v>
      </c>
      <c r="D21" s="164">
        <f>+References!B49</f>
        <v>36.68</v>
      </c>
    </row>
    <row r="22" spans="1:4">
      <c r="A22" s="165" t="s">
        <v>9</v>
      </c>
      <c r="D22" s="163">
        <f>D21-D20</f>
        <v>1.9299999999999997</v>
      </c>
    </row>
  </sheetData>
  <pageMargins left="0.2" right="0.2" top="0.75" bottom="0.75" header="0.3" footer="0.3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2020-11-16T08:00:00+00:00</OpenedDate>
    <SignificantOrder xmlns="dc463f71-b30c-4ab2-9473-d307f9d35888">false</SignificantOrder>
    <Date1 xmlns="dc463f71-b30c-4ab2-9473-d307f9d35888">2020-11-16T08:00:00+00:00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Basin Disposal of Yakima, LLC</CaseCompanyNames>
    <Nickname xmlns="http://schemas.microsoft.com/sharepoint/v3" xsi:nil="true"/>
    <DocketNumber xmlns="dc463f71-b30c-4ab2-9473-d307f9d35888">200930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CA80921C1F1244BB731EBFB59C8ACBD" ma:contentTypeVersion="44" ma:contentTypeDescription="" ma:contentTypeScope="" ma:versionID="4f214a30688fa676f0166da0ca82fa9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838375-1189-4892-A6D2-BB556694395F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6a7bd91e-004b-490a-8704-e368d63d59a0"/>
    <ds:schemaRef ds:uri="http://www.w3.org/XML/1998/namespace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D2A8CD0-AF00-40F2-B31E-5B94DD90AA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A2345A-8936-4E72-A74A-71037D56F6DE}"/>
</file>

<file path=customXml/itemProps4.xml><?xml version="1.0" encoding="utf-8"?>
<ds:datastoreItem xmlns:ds="http://schemas.openxmlformats.org/officeDocument/2006/customXml" ds:itemID="{C20B33AD-6098-4A88-B7AC-2E2BEBBBCD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References</vt:lpstr>
      <vt:lpstr>Disposal Increase Calculations</vt:lpstr>
      <vt:lpstr>B&amp;O Tax Increase Calculation</vt:lpstr>
      <vt:lpstr>Revenue Increase</vt:lpstr>
      <vt:lpstr>'Disposal Increase Calculations'!Print_Area</vt:lpstr>
      <vt:lpstr>References!Print_Area</vt:lpstr>
      <vt:lpstr>'Revenue Increase'!Print_Area</vt:lpstr>
      <vt:lpstr>'Disposal Increase Calculations'!Print_Titles</vt:lpstr>
      <vt:lpstr>References!Print_Titles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Francisco Alcala</cp:lastModifiedBy>
  <cp:lastPrinted>2016-12-15T21:53:31Z</cp:lastPrinted>
  <dcterms:created xsi:type="dcterms:W3CDTF">2013-10-29T22:33:54Z</dcterms:created>
  <dcterms:modified xsi:type="dcterms:W3CDTF">2020-11-13T17:59:23Z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0x0101006E56B4D1795A2E4DB2F0B01679ED314A003CA80921C1F1244BB731EBFB59C8ACBD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