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_TO_S\PUD0783 - Pullman Disposal Services\Tipping Fee Increase\010121\Workpapers\"/>
    </mc:Choice>
  </mc:AlternateContent>
  <bookViews>
    <workbookView xWindow="-28908" yWindow="-4092" windowWidth="29016" windowHeight="15816" activeTab="2"/>
  </bookViews>
  <sheets>
    <sheet name="Notes" sheetId="8" r:id="rId1"/>
    <sheet name="References" sheetId="4" r:id="rId2"/>
    <sheet name="Staff Calcs 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>#REF!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[4]ControlPanel!$Z$2:$Z$5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'[5]Vashon BS'!#REF!</definedName>
    <definedName name="DistrictNum">#REF!</definedName>
    <definedName name="drlFilter">[1]Settings!$D$27</definedName>
    <definedName name="End">#REF!</definedName>
    <definedName name="ExcludeIC">'[5]Vashon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[6]JEexport!$L$10</definedName>
    <definedName name="OffsetAcctPmt">[6]JEexport!$L$9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>#REF!</definedName>
    <definedName name="RevCust">[7]RevenuesCust!#REF!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'[8]Feb''12 FAR Data'!#REF!</definedName>
    <definedName name="Supplemental_filter">[1]Settings!$C$31</definedName>
    <definedName name="SWDisposal">#N/A</definedName>
    <definedName name="System">[9]BS_Close!$V$8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'[5]Vashon BS'!#REF!</definedName>
    <definedName name="YWMedWasteDisp">#N/A</definedName>
  </definedNames>
  <calcPr calcId="162913"/>
</workbook>
</file>

<file path=xl/calcChain.xml><?xml version="1.0" encoding="utf-8"?>
<calcChain xmlns="http://schemas.openxmlformats.org/spreadsheetml/2006/main">
  <c r="Q6" i="7" l="1"/>
  <c r="O47" i="7" l="1"/>
  <c r="O44" i="7"/>
  <c r="O41" i="7"/>
  <c r="Q80" i="7" l="1"/>
  <c r="Q79" i="7"/>
  <c r="G80" i="7"/>
  <c r="G79" i="7"/>
  <c r="G12" i="7"/>
  <c r="E145" i="7"/>
  <c r="I80" i="7" l="1"/>
  <c r="B22" i="4" l="1"/>
  <c r="E68" i="7" l="1"/>
  <c r="G130" i="7" l="1"/>
  <c r="Q130" i="7" s="1"/>
  <c r="Q123" i="7"/>
  <c r="Q128" i="7"/>
  <c r="G114" i="7"/>
  <c r="I114" i="7" s="1"/>
  <c r="G115" i="7"/>
  <c r="G116" i="7"/>
  <c r="Q116" i="7" s="1"/>
  <c r="G117" i="7"/>
  <c r="Q117" i="7" s="1"/>
  <c r="G118" i="7"/>
  <c r="Q118" i="7" s="1"/>
  <c r="I118" i="7"/>
  <c r="G119" i="7"/>
  <c r="Q119" i="7" s="1"/>
  <c r="G120" i="7"/>
  <c r="Q120" i="7" s="1"/>
  <c r="G121" i="7"/>
  <c r="Q121" i="7" s="1"/>
  <c r="I121" i="7"/>
  <c r="G122" i="7"/>
  <c r="Q122" i="7" s="1"/>
  <c r="G123" i="7"/>
  <c r="I123" i="7"/>
  <c r="G124" i="7"/>
  <c r="Q124" i="7" s="1"/>
  <c r="G125" i="7"/>
  <c r="Q125" i="7" s="1"/>
  <c r="G126" i="7"/>
  <c r="I126" i="7" s="1"/>
  <c r="G127" i="7"/>
  <c r="Q127" i="7" s="1"/>
  <c r="I127" i="7"/>
  <c r="G128" i="7"/>
  <c r="I128" i="7"/>
  <c r="G129" i="7"/>
  <c r="Q129" i="7" s="1"/>
  <c r="Q140" i="7"/>
  <c r="G95" i="7"/>
  <c r="Q95" i="7" s="1"/>
  <c r="G96" i="7"/>
  <c r="Q96" i="7" s="1"/>
  <c r="G97" i="7"/>
  <c r="I97" i="7" s="1"/>
  <c r="G98" i="7"/>
  <c r="I98" i="7" s="1"/>
  <c r="G99" i="7"/>
  <c r="Q99" i="7" s="1"/>
  <c r="G100" i="7"/>
  <c r="Q100" i="7" s="1"/>
  <c r="G101" i="7"/>
  <c r="I101" i="7" s="1"/>
  <c r="G102" i="7"/>
  <c r="Q102" i="7" s="1"/>
  <c r="G103" i="7"/>
  <c r="G104" i="7"/>
  <c r="Q104" i="7" s="1"/>
  <c r="G105" i="7"/>
  <c r="I105" i="7" s="1"/>
  <c r="G106" i="7"/>
  <c r="I106" i="7" s="1"/>
  <c r="G107" i="7"/>
  <c r="Q107" i="7" s="1"/>
  <c r="G108" i="7"/>
  <c r="Q108" i="7" s="1"/>
  <c r="G109" i="7"/>
  <c r="I109" i="7" s="1"/>
  <c r="G110" i="7"/>
  <c r="I110" i="7" s="1"/>
  <c r="G111" i="7"/>
  <c r="Q111" i="7" s="1"/>
  <c r="G112" i="7"/>
  <c r="Q112" i="7" s="1"/>
  <c r="G113" i="7"/>
  <c r="I113" i="7" s="1"/>
  <c r="G131" i="7"/>
  <c r="I131" i="7" s="1"/>
  <c r="G132" i="7"/>
  <c r="I132" i="7" s="1"/>
  <c r="G133" i="7"/>
  <c r="Q133" i="7" s="1"/>
  <c r="G134" i="7"/>
  <c r="I134" i="7" s="1"/>
  <c r="G135" i="7"/>
  <c r="Q135" i="7" s="1"/>
  <c r="G136" i="7"/>
  <c r="I136" i="7" s="1"/>
  <c r="G137" i="7"/>
  <c r="G138" i="7"/>
  <c r="I138" i="7" s="1"/>
  <c r="G139" i="7"/>
  <c r="Q139" i="7" s="1"/>
  <c r="G140" i="7"/>
  <c r="I140" i="7" s="1"/>
  <c r="G141" i="7"/>
  <c r="Q141" i="7" s="1"/>
  <c r="G94" i="7"/>
  <c r="I94" i="7" s="1"/>
  <c r="G93" i="7"/>
  <c r="I93" i="7" s="1"/>
  <c r="Q85" i="7"/>
  <c r="G85" i="7"/>
  <c r="I85" i="7" s="1"/>
  <c r="I119" i="7" l="1"/>
  <c r="I117" i="7"/>
  <c r="Q114" i="7"/>
  <c r="Q126" i="7"/>
  <c r="I130" i="7"/>
  <c r="I125" i="7"/>
  <c r="I139" i="7"/>
  <c r="I129" i="7"/>
  <c r="I124" i="7"/>
  <c r="I122" i="7"/>
  <c r="I120" i="7"/>
  <c r="I116" i="7"/>
  <c r="Q115" i="7"/>
  <c r="I115" i="7"/>
  <c r="Q110" i="7"/>
  <c r="Q106" i="7"/>
  <c r="Q136" i="7"/>
  <c r="Q131" i="7"/>
  <c r="Q98" i="7"/>
  <c r="I141" i="7"/>
  <c r="I133" i="7"/>
  <c r="I112" i="7"/>
  <c r="I108" i="7"/>
  <c r="I104" i="7"/>
  <c r="I102" i="7"/>
  <c r="I100" i="7"/>
  <c r="I96" i="7"/>
  <c r="Q93" i="7"/>
  <c r="Q113" i="7"/>
  <c r="Q109" i="7"/>
  <c r="Q105" i="7"/>
  <c r="Q97" i="7"/>
  <c r="Q137" i="7"/>
  <c r="Q134" i="7"/>
  <c r="Q103" i="7"/>
  <c r="Q101" i="7"/>
  <c r="I135" i="7"/>
  <c r="Q94" i="7"/>
  <c r="Q138" i="7"/>
  <c r="Q132" i="7"/>
  <c r="I137" i="7"/>
  <c r="I111" i="7"/>
  <c r="I107" i="7"/>
  <c r="I103" i="7"/>
  <c r="I99" i="7"/>
  <c r="I95" i="7"/>
  <c r="G91" i="7" l="1"/>
  <c r="G90" i="7"/>
  <c r="G89" i="7"/>
  <c r="Q89" i="7" s="1"/>
  <c r="G88" i="7"/>
  <c r="I89" i="7" l="1"/>
  <c r="Q90" i="7"/>
  <c r="I90" i="7"/>
  <c r="Q91" i="7"/>
  <c r="Q88" i="7"/>
  <c r="I91" i="7"/>
  <c r="I88" i="7"/>
  <c r="E61" i="7" l="1"/>
  <c r="E17" i="7"/>
  <c r="E73" i="7"/>
  <c r="E74" i="7" s="1"/>
  <c r="G86" i="7"/>
  <c r="Q86" i="7" s="1"/>
  <c r="G87" i="7"/>
  <c r="Q87" i="7" s="1"/>
  <c r="G92" i="7"/>
  <c r="Q92" i="7" s="1"/>
  <c r="I86" i="7" l="1"/>
  <c r="I87" i="7"/>
  <c r="I92" i="7"/>
  <c r="G66" i="7" l="1"/>
  <c r="I66" i="7" s="1"/>
  <c r="Q66" i="7" l="1"/>
  <c r="Q7" i="7" l="1"/>
  <c r="Q8" i="7"/>
  <c r="Q9" i="7"/>
  <c r="Q10" i="7"/>
  <c r="Q11" i="7"/>
  <c r="Q12" i="7"/>
  <c r="Q13" i="7"/>
  <c r="Q81" i="7"/>
  <c r="Q82" i="7"/>
  <c r="Q83" i="7"/>
  <c r="Q84" i="7"/>
  <c r="Q14" i="7"/>
  <c r="Q15" i="7"/>
  <c r="G70" i="7"/>
  <c r="G69" i="7"/>
  <c r="G64" i="7"/>
  <c r="I64" i="7" s="1"/>
  <c r="G65" i="7"/>
  <c r="G67" i="7"/>
  <c r="I67" i="7" s="1"/>
  <c r="G63" i="7"/>
  <c r="G20" i="7"/>
  <c r="I20" i="7" s="1"/>
  <c r="G22" i="7"/>
  <c r="I22" i="7" s="1"/>
  <c r="G24" i="7"/>
  <c r="I24" i="7" s="1"/>
  <c r="G25" i="7"/>
  <c r="Q25" i="7" s="1"/>
  <c r="G27" i="7"/>
  <c r="I27" i="7" s="1"/>
  <c r="G28" i="7"/>
  <c r="I28" i="7" s="1"/>
  <c r="G30" i="7"/>
  <c r="I30" i="7" s="1"/>
  <c r="G31" i="7"/>
  <c r="I31" i="7" s="1"/>
  <c r="G33" i="7"/>
  <c r="Q33" i="7" s="1"/>
  <c r="G34" i="7"/>
  <c r="I34" i="7" s="1"/>
  <c r="G36" i="7"/>
  <c r="I36" i="7" s="1"/>
  <c r="G37" i="7"/>
  <c r="Q37" i="7" s="1"/>
  <c r="G38" i="7"/>
  <c r="I38" i="7" s="1"/>
  <c r="G39" i="7"/>
  <c r="I39" i="7" s="1"/>
  <c r="G40" i="7"/>
  <c r="I40" i="7" s="1"/>
  <c r="Q41" i="7"/>
  <c r="G42" i="7"/>
  <c r="I42" i="7" s="1"/>
  <c r="G43" i="7"/>
  <c r="I43" i="7" s="1"/>
  <c r="G45" i="7"/>
  <c r="Q45" i="7" s="1"/>
  <c r="G46" i="7"/>
  <c r="I46" i="7" s="1"/>
  <c r="G49" i="7"/>
  <c r="I49" i="7" s="1"/>
  <c r="G50" i="7"/>
  <c r="I50" i="7" s="1"/>
  <c r="G51" i="7"/>
  <c r="Q51" i="7" s="1"/>
  <c r="G52" i="7"/>
  <c r="I52" i="7" s="1"/>
  <c r="G53" i="7"/>
  <c r="Q53" i="7" s="1"/>
  <c r="G54" i="7"/>
  <c r="I54" i="7" s="1"/>
  <c r="G55" i="7"/>
  <c r="Q55" i="7" s="1"/>
  <c r="G56" i="7"/>
  <c r="Q56" i="7" s="1"/>
  <c r="G57" i="7"/>
  <c r="Q57" i="7" s="1"/>
  <c r="G58" i="7"/>
  <c r="I58" i="7" s="1"/>
  <c r="G59" i="7"/>
  <c r="Q59" i="7" s="1"/>
  <c r="G19" i="7"/>
  <c r="G7" i="7"/>
  <c r="G9" i="7"/>
  <c r="I9" i="7" s="1"/>
  <c r="G10" i="7"/>
  <c r="I10" i="7" s="1"/>
  <c r="G11" i="7"/>
  <c r="I11" i="7" s="1"/>
  <c r="I12" i="7"/>
  <c r="G13" i="7"/>
  <c r="I13" i="7" s="1"/>
  <c r="I79" i="7"/>
  <c r="G81" i="7"/>
  <c r="I81" i="7" s="1"/>
  <c r="G82" i="7"/>
  <c r="I82" i="7" s="1"/>
  <c r="G83" i="7"/>
  <c r="I83" i="7" s="1"/>
  <c r="G84" i="7"/>
  <c r="I84" i="7" s="1"/>
  <c r="G15" i="7"/>
  <c r="I15" i="7" s="1"/>
  <c r="Q65" i="7" l="1"/>
  <c r="I65" i="7"/>
  <c r="G73" i="7"/>
  <c r="I7" i="7"/>
  <c r="G68" i="7"/>
  <c r="I45" i="7"/>
  <c r="I37" i="7"/>
  <c r="I33" i="7"/>
  <c r="I25" i="7"/>
  <c r="I51" i="7"/>
  <c r="I57" i="7"/>
  <c r="I53" i="7"/>
  <c r="Q44" i="7"/>
  <c r="Q40" i="7"/>
  <c r="Q36" i="7"/>
  <c r="Q28" i="7"/>
  <c r="Q24" i="7"/>
  <c r="Q20" i="7"/>
  <c r="Q58" i="7"/>
  <c r="Q54" i="7"/>
  <c r="Q50" i="7"/>
  <c r="I56" i="7"/>
  <c r="Q47" i="7"/>
  <c r="Q43" i="7"/>
  <c r="Q39" i="7"/>
  <c r="Q31" i="7"/>
  <c r="Q27" i="7"/>
  <c r="Q49" i="7"/>
  <c r="I59" i="7"/>
  <c r="I55" i="7"/>
  <c r="Q46" i="7"/>
  <c r="Q42" i="7"/>
  <c r="Q38" i="7"/>
  <c r="Q34" i="7"/>
  <c r="Q30" i="7"/>
  <c r="Q22" i="7"/>
  <c r="Q52" i="7"/>
  <c r="B17" i="4" l="1"/>
  <c r="B20" i="4" s="1"/>
  <c r="C16" i="4"/>
  <c r="C15" i="4"/>
  <c r="C17" i="4" l="1"/>
  <c r="D6" i="4"/>
  <c r="G6" i="4" s="1"/>
  <c r="E6" i="4" l="1"/>
  <c r="F6" i="4"/>
  <c r="Q70" i="7" l="1"/>
  <c r="Q69" i="7"/>
  <c r="Q67" i="7"/>
  <c r="Q64" i="7"/>
  <c r="Q17" i="7"/>
  <c r="Q73" i="7" l="1"/>
  <c r="I70" i="7"/>
  <c r="I63" i="7"/>
  <c r="I69" i="7"/>
  <c r="Q63" i="7"/>
  <c r="Q68" i="7" s="1"/>
  <c r="I68" i="7" l="1"/>
  <c r="I73" i="7"/>
  <c r="F15" i="4" l="1"/>
  <c r="F18" i="4" s="1"/>
  <c r="D9" i="4"/>
  <c r="D8" i="4"/>
  <c r="D7" i="4"/>
  <c r="F35" i="7" l="1"/>
  <c r="G35" i="7" s="1"/>
  <c r="F23" i="7"/>
  <c r="G23" i="7" s="1"/>
  <c r="F32" i="7"/>
  <c r="G32" i="7" s="1"/>
  <c r="F29" i="7"/>
  <c r="G29" i="7" s="1"/>
  <c r="F18" i="7"/>
  <c r="G18" i="7" s="1"/>
  <c r="F26" i="7"/>
  <c r="G26" i="7" s="1"/>
  <c r="F21" i="7"/>
  <c r="G21" i="7" s="1"/>
  <c r="F14" i="7"/>
  <c r="G14" i="7" s="1"/>
  <c r="I14" i="7" s="1"/>
  <c r="G8" i="4"/>
  <c r="F8" i="4"/>
  <c r="E8" i="4"/>
  <c r="G7" i="4"/>
  <c r="F7" i="4"/>
  <c r="E7" i="4"/>
  <c r="F6" i="7"/>
  <c r="G6" i="7" s="1"/>
  <c r="F8" i="7"/>
  <c r="G8" i="7" s="1"/>
  <c r="I8" i="7" s="1"/>
  <c r="G9" i="4"/>
  <c r="F9" i="4"/>
  <c r="E9" i="4"/>
  <c r="G17" i="7" l="1"/>
  <c r="I6" i="7"/>
  <c r="I17" i="7" s="1"/>
  <c r="Q18" i="7"/>
  <c r="G61" i="7"/>
  <c r="E146" i="7" s="1"/>
  <c r="Q29" i="7"/>
  <c r="I29" i="7"/>
  <c r="Q21" i="7"/>
  <c r="I21" i="7"/>
  <c r="I32" i="7"/>
  <c r="Q32" i="7"/>
  <c r="I26" i="7"/>
  <c r="Q26" i="7"/>
  <c r="I23" i="7"/>
  <c r="Q23" i="7"/>
  <c r="I35" i="7"/>
  <c r="Q35" i="7"/>
  <c r="F19" i="4"/>
  <c r="I19" i="7"/>
  <c r="Q19" i="7"/>
  <c r="I18" i="7"/>
  <c r="B21" i="4" l="1"/>
  <c r="B23" i="4" s="1"/>
  <c r="I61" i="7"/>
  <c r="Q61" i="7"/>
  <c r="G74" i="7" l="1"/>
  <c r="I74" i="7"/>
  <c r="Q74" i="7"/>
  <c r="E147" i="7" l="1"/>
  <c r="J126" i="7" s="1"/>
  <c r="K126" i="7" s="1"/>
  <c r="L126" i="7" s="1"/>
  <c r="M126" i="7" s="1"/>
  <c r="O126" i="7" s="1"/>
  <c r="I76" i="7"/>
  <c r="I77" i="7" s="1"/>
  <c r="J123" i="7"/>
  <c r="K123" i="7" s="1"/>
  <c r="L123" i="7" s="1"/>
  <c r="M123" i="7" s="1"/>
  <c r="O123" i="7" s="1"/>
  <c r="J121" i="7"/>
  <c r="K121" i="7" s="1"/>
  <c r="L121" i="7" s="1"/>
  <c r="M121" i="7" s="1"/>
  <c r="O121" i="7" s="1"/>
  <c r="J118" i="7"/>
  <c r="K118" i="7" s="1"/>
  <c r="L118" i="7" s="1"/>
  <c r="M118" i="7" s="1"/>
  <c r="O118" i="7" s="1"/>
  <c r="J128" i="7"/>
  <c r="K128" i="7" s="1"/>
  <c r="L128" i="7" s="1"/>
  <c r="M128" i="7" s="1"/>
  <c r="O128" i="7" s="1"/>
  <c r="J130" i="7"/>
  <c r="K130" i="7" s="1"/>
  <c r="L130" i="7" s="1"/>
  <c r="M130" i="7" s="1"/>
  <c r="O130" i="7" s="1"/>
  <c r="J129" i="7"/>
  <c r="K129" i="7" s="1"/>
  <c r="L129" i="7" s="1"/>
  <c r="M129" i="7" s="1"/>
  <c r="O129" i="7" s="1"/>
  <c r="J116" i="7"/>
  <c r="K116" i="7" s="1"/>
  <c r="L116" i="7" s="1"/>
  <c r="M116" i="7" s="1"/>
  <c r="O116" i="7" s="1"/>
  <c r="J110" i="7"/>
  <c r="K110" i="7" s="1"/>
  <c r="L110" i="7" s="1"/>
  <c r="M110" i="7" s="1"/>
  <c r="O110" i="7" s="1"/>
  <c r="J109" i="7"/>
  <c r="K109" i="7" s="1"/>
  <c r="L109" i="7" s="1"/>
  <c r="M109" i="7" s="1"/>
  <c r="O109" i="7" s="1"/>
  <c r="J140" i="7"/>
  <c r="K140" i="7" s="1"/>
  <c r="L140" i="7" s="1"/>
  <c r="M140" i="7" s="1"/>
  <c r="O140" i="7" s="1"/>
  <c r="J132" i="7"/>
  <c r="K132" i="7" s="1"/>
  <c r="L132" i="7" s="1"/>
  <c r="M132" i="7" s="1"/>
  <c r="O132" i="7" s="1"/>
  <c r="J94" i="7"/>
  <c r="K94" i="7" s="1"/>
  <c r="L94" i="7" s="1"/>
  <c r="M94" i="7" s="1"/>
  <c r="O94" i="7" s="1"/>
  <c r="J98" i="7"/>
  <c r="K98" i="7" s="1"/>
  <c r="L98" i="7" s="1"/>
  <c r="M98" i="7" s="1"/>
  <c r="O98" i="7" s="1"/>
  <c r="J85" i="7"/>
  <c r="K85" i="7" s="1"/>
  <c r="L85" i="7" s="1"/>
  <c r="M85" i="7" s="1"/>
  <c r="O85" i="7" s="1"/>
  <c r="J131" i="7"/>
  <c r="K131" i="7" s="1"/>
  <c r="L131" i="7" s="1"/>
  <c r="M131" i="7" s="1"/>
  <c r="O131" i="7" s="1"/>
  <c r="J139" i="7"/>
  <c r="K139" i="7" s="1"/>
  <c r="L139" i="7" s="1"/>
  <c r="M139" i="7" s="1"/>
  <c r="O139" i="7" s="1"/>
  <c r="J93" i="7"/>
  <c r="K93" i="7" s="1"/>
  <c r="L93" i="7" s="1"/>
  <c r="M93" i="7" s="1"/>
  <c r="O93" i="7" s="1"/>
  <c r="J135" i="7"/>
  <c r="K135" i="7" s="1"/>
  <c r="L135" i="7" s="1"/>
  <c r="M135" i="7" s="1"/>
  <c r="O135" i="7" s="1"/>
  <c r="J103" i="7"/>
  <c r="K103" i="7" s="1"/>
  <c r="L103" i="7" s="1"/>
  <c r="M103" i="7" s="1"/>
  <c r="O103" i="7" s="1"/>
  <c r="J102" i="7"/>
  <c r="K102" i="7" s="1"/>
  <c r="L102" i="7" s="1"/>
  <c r="M102" i="7" s="1"/>
  <c r="O102" i="7" s="1"/>
  <c r="J104" i="7"/>
  <c r="K104" i="7" s="1"/>
  <c r="L104" i="7" s="1"/>
  <c r="M104" i="7" s="1"/>
  <c r="O104" i="7" s="1"/>
  <c r="J99" i="7"/>
  <c r="K99" i="7" s="1"/>
  <c r="L99" i="7" s="1"/>
  <c r="M99" i="7" s="1"/>
  <c r="O99" i="7" s="1"/>
  <c r="J108" i="7"/>
  <c r="K108" i="7" s="1"/>
  <c r="L108" i="7" s="1"/>
  <c r="M108" i="7" s="1"/>
  <c r="O108" i="7" s="1"/>
  <c r="J141" i="7"/>
  <c r="K141" i="7" s="1"/>
  <c r="L141" i="7" s="1"/>
  <c r="M141" i="7" s="1"/>
  <c r="O141" i="7" s="1"/>
  <c r="J91" i="7"/>
  <c r="K91" i="7" s="1"/>
  <c r="L91" i="7" s="1"/>
  <c r="M91" i="7" s="1"/>
  <c r="O91" i="7" s="1"/>
  <c r="J88" i="7"/>
  <c r="K88" i="7" s="1"/>
  <c r="L88" i="7" s="1"/>
  <c r="M88" i="7" s="1"/>
  <c r="O88" i="7" s="1"/>
  <c r="P88" i="7" s="1"/>
  <c r="J67" i="7"/>
  <c r="K67" i="7" s="1"/>
  <c r="L67" i="7" s="1"/>
  <c r="M67" i="7" s="1"/>
  <c r="J87" i="7"/>
  <c r="K87" i="7" s="1"/>
  <c r="L87" i="7" s="1"/>
  <c r="M87" i="7" s="1"/>
  <c r="O87" i="7" s="1"/>
  <c r="J66" i="7"/>
  <c r="K66" i="7" s="1"/>
  <c r="L66" i="7" s="1"/>
  <c r="M66" i="7" s="1"/>
  <c r="O66" i="7" s="1"/>
  <c r="J53" i="7"/>
  <c r="K53" i="7" s="1"/>
  <c r="L53" i="7" s="1"/>
  <c r="M53" i="7" s="1"/>
  <c r="O53" i="7" s="1"/>
  <c r="J57" i="7"/>
  <c r="K57" i="7" s="1"/>
  <c r="L57" i="7" s="1"/>
  <c r="M57" i="7" s="1"/>
  <c r="O57" i="7" s="1"/>
  <c r="J59" i="7"/>
  <c r="K59" i="7" s="1"/>
  <c r="L59" i="7" s="1"/>
  <c r="M59" i="7" s="1"/>
  <c r="O59" i="7" s="1"/>
  <c r="J50" i="7"/>
  <c r="K50" i="7" s="1"/>
  <c r="L50" i="7" s="1"/>
  <c r="M50" i="7" s="1"/>
  <c r="O50" i="7" s="1"/>
  <c r="J23" i="7"/>
  <c r="K23" i="7" s="1"/>
  <c r="L23" i="7" s="1"/>
  <c r="M23" i="7" s="1"/>
  <c r="O23" i="7" s="1"/>
  <c r="J27" i="7"/>
  <c r="K27" i="7" s="1"/>
  <c r="L27" i="7" s="1"/>
  <c r="M27" i="7" s="1"/>
  <c r="O27" i="7" s="1"/>
  <c r="J39" i="7"/>
  <c r="K39" i="7" s="1"/>
  <c r="L39" i="7" s="1"/>
  <c r="M39" i="7" s="1"/>
  <c r="O39" i="7" s="1"/>
  <c r="J43" i="7"/>
  <c r="K43" i="7" s="1"/>
  <c r="L43" i="7" s="1"/>
  <c r="M43" i="7" s="1"/>
  <c r="O43" i="7" s="1"/>
  <c r="J24" i="7"/>
  <c r="K24" i="7" s="1"/>
  <c r="L24" i="7" s="1"/>
  <c r="M24" i="7" s="1"/>
  <c r="O24" i="7" s="1"/>
  <c r="J28" i="7"/>
  <c r="K28" i="7" s="1"/>
  <c r="L28" i="7" s="1"/>
  <c r="M28" i="7" s="1"/>
  <c r="O28" i="7" s="1"/>
  <c r="J40" i="7"/>
  <c r="K40" i="7" s="1"/>
  <c r="L40" i="7" s="1"/>
  <c r="M40" i="7" s="1"/>
  <c r="O40" i="7" s="1"/>
  <c r="J29" i="7"/>
  <c r="K29" i="7" s="1"/>
  <c r="L29" i="7" s="1"/>
  <c r="M29" i="7" s="1"/>
  <c r="O29" i="7" s="1"/>
  <c r="J33" i="7"/>
  <c r="K33" i="7" s="1"/>
  <c r="L33" i="7" s="1"/>
  <c r="M33" i="7" s="1"/>
  <c r="O33" i="7" s="1"/>
  <c r="J45" i="7"/>
  <c r="K45" i="7" s="1"/>
  <c r="L45" i="7" s="1"/>
  <c r="M45" i="7" s="1"/>
  <c r="O45" i="7" s="1"/>
  <c r="J22" i="7"/>
  <c r="K22" i="7" s="1"/>
  <c r="L22" i="7" s="1"/>
  <c r="M22" i="7" s="1"/>
  <c r="O22" i="7" s="1"/>
  <c r="J34" i="7"/>
  <c r="K34" i="7" s="1"/>
  <c r="L34" i="7" s="1"/>
  <c r="M34" i="7" s="1"/>
  <c r="O34" i="7" s="1"/>
  <c r="J38" i="7"/>
  <c r="K38" i="7" s="1"/>
  <c r="L38" i="7" s="1"/>
  <c r="M38" i="7" s="1"/>
  <c r="O38" i="7" s="1"/>
  <c r="J7" i="7"/>
  <c r="K7" i="7" s="1"/>
  <c r="L7" i="7" s="1"/>
  <c r="M7" i="7" s="1"/>
  <c r="O7" i="7" s="1"/>
  <c r="J11" i="7"/>
  <c r="K11" i="7" s="1"/>
  <c r="L11" i="7" s="1"/>
  <c r="M11" i="7" s="1"/>
  <c r="O11" i="7" s="1"/>
  <c r="J9" i="7"/>
  <c r="K9" i="7" s="1"/>
  <c r="L9" i="7" s="1"/>
  <c r="M9" i="7" s="1"/>
  <c r="O9" i="7" s="1"/>
  <c r="J13" i="7"/>
  <c r="K13" i="7" s="1"/>
  <c r="L13" i="7" s="1"/>
  <c r="M13" i="7" s="1"/>
  <c r="O13" i="7" s="1"/>
  <c r="J8" i="7"/>
  <c r="K8" i="7" s="1"/>
  <c r="L8" i="7" s="1"/>
  <c r="M8" i="7" s="1"/>
  <c r="O8" i="7" s="1"/>
  <c r="J12" i="7"/>
  <c r="K12" i="7" s="1"/>
  <c r="L12" i="7" s="1"/>
  <c r="M12" i="7" s="1"/>
  <c r="O12" i="7" s="1"/>
  <c r="J82" i="7"/>
  <c r="K82" i="7" s="1"/>
  <c r="L82" i="7" s="1"/>
  <c r="M82" i="7" s="1"/>
  <c r="O82" i="7" s="1"/>
  <c r="J15" i="7"/>
  <c r="K15" i="7" s="1"/>
  <c r="L15" i="7" s="1"/>
  <c r="M15" i="7" s="1"/>
  <c r="O15" i="7" s="1"/>
  <c r="J6" i="7"/>
  <c r="J49" i="7" l="1"/>
  <c r="K49" i="7" s="1"/>
  <c r="L49" i="7" s="1"/>
  <c r="M49" i="7" s="1"/>
  <c r="O49" i="7" s="1"/>
  <c r="J14" i="7"/>
  <c r="K14" i="7" s="1"/>
  <c r="L14" i="7" s="1"/>
  <c r="M14" i="7" s="1"/>
  <c r="O14" i="7" s="1"/>
  <c r="J83" i="7"/>
  <c r="K83" i="7" s="1"/>
  <c r="L83" i="7" s="1"/>
  <c r="M83" i="7" s="1"/>
  <c r="O83" i="7" s="1"/>
  <c r="T83" i="7" s="1"/>
  <c r="U83" i="7" s="1"/>
  <c r="J84" i="7"/>
  <c r="K84" i="7" s="1"/>
  <c r="L84" i="7" s="1"/>
  <c r="M84" i="7" s="1"/>
  <c r="O84" i="7" s="1"/>
  <c r="T84" i="7" s="1"/>
  <c r="U84" i="7" s="1"/>
  <c r="J46" i="7"/>
  <c r="K46" i="7" s="1"/>
  <c r="L46" i="7" s="1"/>
  <c r="M46" i="7" s="1"/>
  <c r="O46" i="7" s="1"/>
  <c r="J30" i="7"/>
  <c r="K30" i="7" s="1"/>
  <c r="L30" i="7" s="1"/>
  <c r="M30" i="7" s="1"/>
  <c r="O30" i="7" s="1"/>
  <c r="T30" i="7" s="1"/>
  <c r="U30" i="7" s="1"/>
  <c r="J25" i="7"/>
  <c r="K25" i="7" s="1"/>
  <c r="L25" i="7" s="1"/>
  <c r="M25" i="7" s="1"/>
  <c r="O25" i="7" s="1"/>
  <c r="T25" i="7" s="1"/>
  <c r="U25" i="7" s="1"/>
  <c r="J36" i="7"/>
  <c r="K36" i="7" s="1"/>
  <c r="L36" i="7" s="1"/>
  <c r="M36" i="7" s="1"/>
  <c r="O36" i="7" s="1"/>
  <c r="P36" i="7" s="1"/>
  <c r="R36" i="7" s="1"/>
  <c r="S36" i="7" s="1"/>
  <c r="J20" i="7"/>
  <c r="K20" i="7" s="1"/>
  <c r="L20" i="7" s="1"/>
  <c r="M20" i="7" s="1"/>
  <c r="O20" i="7" s="1"/>
  <c r="J35" i="7"/>
  <c r="K35" i="7" s="1"/>
  <c r="L35" i="7" s="1"/>
  <c r="M35" i="7" s="1"/>
  <c r="O35" i="7" s="1"/>
  <c r="T35" i="7" s="1"/>
  <c r="U35" i="7" s="1"/>
  <c r="J52" i="7"/>
  <c r="K52" i="7" s="1"/>
  <c r="L52" i="7" s="1"/>
  <c r="M52" i="7" s="1"/>
  <c r="O52" i="7" s="1"/>
  <c r="P52" i="7" s="1"/>
  <c r="R52" i="7" s="1"/>
  <c r="S52" i="7" s="1"/>
  <c r="J55" i="7"/>
  <c r="K55" i="7" s="1"/>
  <c r="L55" i="7" s="1"/>
  <c r="M55" i="7" s="1"/>
  <c r="O55" i="7" s="1"/>
  <c r="P55" i="7" s="1"/>
  <c r="R55" i="7" s="1"/>
  <c r="S55" i="7" s="1"/>
  <c r="J54" i="7"/>
  <c r="K54" i="7" s="1"/>
  <c r="L54" i="7" s="1"/>
  <c r="M54" i="7" s="1"/>
  <c r="O54" i="7" s="1"/>
  <c r="J92" i="7"/>
  <c r="K92" i="7" s="1"/>
  <c r="L92" i="7" s="1"/>
  <c r="M92" i="7" s="1"/>
  <c r="O92" i="7" s="1"/>
  <c r="P92" i="7" s="1"/>
  <c r="R92" i="7" s="1"/>
  <c r="S92" i="7" s="1"/>
  <c r="J89" i="7"/>
  <c r="K89" i="7" s="1"/>
  <c r="L89" i="7" s="1"/>
  <c r="M89" i="7" s="1"/>
  <c r="O89" i="7" s="1"/>
  <c r="T89" i="7" s="1"/>
  <c r="U89" i="7" s="1"/>
  <c r="J95" i="7"/>
  <c r="K95" i="7" s="1"/>
  <c r="L95" i="7" s="1"/>
  <c r="M95" i="7" s="1"/>
  <c r="O95" i="7" s="1"/>
  <c r="P95" i="7" s="1"/>
  <c r="R95" i="7" s="1"/>
  <c r="S95" i="7" s="1"/>
  <c r="J133" i="7"/>
  <c r="K133" i="7" s="1"/>
  <c r="L133" i="7" s="1"/>
  <c r="M133" i="7" s="1"/>
  <c r="O133" i="7" s="1"/>
  <c r="J112" i="7"/>
  <c r="K112" i="7" s="1"/>
  <c r="L112" i="7" s="1"/>
  <c r="M112" i="7" s="1"/>
  <c r="O112" i="7" s="1"/>
  <c r="J111" i="7"/>
  <c r="K111" i="7" s="1"/>
  <c r="L111" i="7" s="1"/>
  <c r="M111" i="7" s="1"/>
  <c r="O111" i="7" s="1"/>
  <c r="T111" i="7" s="1"/>
  <c r="U111" i="7" s="1"/>
  <c r="J97" i="7"/>
  <c r="K97" i="7" s="1"/>
  <c r="L97" i="7" s="1"/>
  <c r="M97" i="7" s="1"/>
  <c r="O97" i="7" s="1"/>
  <c r="P97" i="7" s="1"/>
  <c r="R97" i="7" s="1"/>
  <c r="S97" i="7" s="1"/>
  <c r="J136" i="7"/>
  <c r="K136" i="7" s="1"/>
  <c r="L136" i="7" s="1"/>
  <c r="M136" i="7" s="1"/>
  <c r="O136" i="7" s="1"/>
  <c r="J105" i="7"/>
  <c r="K105" i="7" s="1"/>
  <c r="L105" i="7" s="1"/>
  <c r="M105" i="7" s="1"/>
  <c r="O105" i="7" s="1"/>
  <c r="J138" i="7"/>
  <c r="K138" i="7" s="1"/>
  <c r="L138" i="7" s="1"/>
  <c r="M138" i="7" s="1"/>
  <c r="O138" i="7" s="1"/>
  <c r="P138" i="7" s="1"/>
  <c r="R138" i="7" s="1"/>
  <c r="S138" i="7" s="1"/>
  <c r="J124" i="7"/>
  <c r="K124" i="7" s="1"/>
  <c r="L124" i="7" s="1"/>
  <c r="M124" i="7" s="1"/>
  <c r="O124" i="7" s="1"/>
  <c r="P124" i="7" s="1"/>
  <c r="R124" i="7" s="1"/>
  <c r="S124" i="7" s="1"/>
  <c r="J120" i="7"/>
  <c r="K120" i="7" s="1"/>
  <c r="L120" i="7" s="1"/>
  <c r="M120" i="7" s="1"/>
  <c r="O120" i="7" s="1"/>
  <c r="P120" i="7" s="1"/>
  <c r="R120" i="7" s="1"/>
  <c r="S120" i="7" s="1"/>
  <c r="J117" i="7"/>
  <c r="K117" i="7" s="1"/>
  <c r="L117" i="7" s="1"/>
  <c r="M117" i="7" s="1"/>
  <c r="O117" i="7" s="1"/>
  <c r="J119" i="7"/>
  <c r="K119" i="7" s="1"/>
  <c r="L119" i="7" s="1"/>
  <c r="M119" i="7" s="1"/>
  <c r="O119" i="7" s="1"/>
  <c r="T119" i="7" s="1"/>
  <c r="U119" i="7" s="1"/>
  <c r="J127" i="7"/>
  <c r="K127" i="7" s="1"/>
  <c r="L127" i="7" s="1"/>
  <c r="M127" i="7" s="1"/>
  <c r="O127" i="7" s="1"/>
  <c r="T127" i="7" s="1"/>
  <c r="U127" i="7" s="1"/>
  <c r="J125" i="7"/>
  <c r="K125" i="7" s="1"/>
  <c r="L125" i="7" s="1"/>
  <c r="M125" i="7" s="1"/>
  <c r="O125" i="7" s="1"/>
  <c r="P125" i="7" s="1"/>
  <c r="R125" i="7" s="1"/>
  <c r="S125" i="7" s="1"/>
  <c r="J10" i="7"/>
  <c r="K10" i="7" s="1"/>
  <c r="L10" i="7" s="1"/>
  <c r="M10" i="7" s="1"/>
  <c r="O10" i="7" s="1"/>
  <c r="T10" i="7" s="1"/>
  <c r="U10" i="7" s="1"/>
  <c r="J81" i="7"/>
  <c r="K81" i="7" s="1"/>
  <c r="L81" i="7" s="1"/>
  <c r="M81" i="7" s="1"/>
  <c r="O81" i="7" s="1"/>
  <c r="P81" i="7" s="1"/>
  <c r="R81" i="7" s="1"/>
  <c r="S81" i="7" s="1"/>
  <c r="J79" i="7"/>
  <c r="K79" i="7" s="1"/>
  <c r="L79" i="7" s="1"/>
  <c r="M79" i="7" s="1"/>
  <c r="O79" i="7" s="1"/>
  <c r="J80" i="7"/>
  <c r="K80" i="7" s="1"/>
  <c r="L80" i="7" s="1"/>
  <c r="M80" i="7" s="1"/>
  <c r="O80" i="7" s="1"/>
  <c r="J42" i="7"/>
  <c r="K42" i="7" s="1"/>
  <c r="L42" i="7" s="1"/>
  <c r="M42" i="7" s="1"/>
  <c r="O42" i="7" s="1"/>
  <c r="J26" i="7"/>
  <c r="K26" i="7" s="1"/>
  <c r="L26" i="7" s="1"/>
  <c r="M26" i="7" s="1"/>
  <c r="O26" i="7" s="1"/>
  <c r="P26" i="7" s="1"/>
  <c r="R26" i="7" s="1"/>
  <c r="S26" i="7" s="1"/>
  <c r="J37" i="7"/>
  <c r="K37" i="7" s="1"/>
  <c r="L37" i="7" s="1"/>
  <c r="M37" i="7" s="1"/>
  <c r="O37" i="7" s="1"/>
  <c r="P37" i="7" s="1"/>
  <c r="R37" i="7" s="1"/>
  <c r="S37" i="7" s="1"/>
  <c r="J21" i="7"/>
  <c r="K21" i="7" s="1"/>
  <c r="L21" i="7" s="1"/>
  <c r="M21" i="7" s="1"/>
  <c r="O21" i="7" s="1"/>
  <c r="P21" i="7" s="1"/>
  <c r="R21" i="7" s="1"/>
  <c r="S21" i="7" s="1"/>
  <c r="J32" i="7"/>
  <c r="K32" i="7" s="1"/>
  <c r="L32" i="7" s="1"/>
  <c r="M32" i="7" s="1"/>
  <c r="O32" i="7" s="1"/>
  <c r="J31" i="7"/>
  <c r="K31" i="7" s="1"/>
  <c r="L31" i="7" s="1"/>
  <c r="M31" i="7" s="1"/>
  <c r="O31" i="7" s="1"/>
  <c r="T31" i="7" s="1"/>
  <c r="U31" i="7" s="1"/>
  <c r="J51" i="7"/>
  <c r="K51" i="7" s="1"/>
  <c r="L51" i="7" s="1"/>
  <c r="M51" i="7" s="1"/>
  <c r="O51" i="7" s="1"/>
  <c r="P51" i="7" s="1"/>
  <c r="R51" i="7" s="1"/>
  <c r="S51" i="7" s="1"/>
  <c r="J58" i="7"/>
  <c r="K58" i="7" s="1"/>
  <c r="L58" i="7" s="1"/>
  <c r="M58" i="7" s="1"/>
  <c r="O58" i="7" s="1"/>
  <c r="P58" i="7" s="1"/>
  <c r="R58" i="7" s="1"/>
  <c r="S58" i="7" s="1"/>
  <c r="J56" i="7"/>
  <c r="K56" i="7" s="1"/>
  <c r="L56" i="7" s="1"/>
  <c r="M56" i="7" s="1"/>
  <c r="O56" i="7" s="1"/>
  <c r="J86" i="7"/>
  <c r="K86" i="7" s="1"/>
  <c r="L86" i="7" s="1"/>
  <c r="M86" i="7" s="1"/>
  <c r="O86" i="7" s="1"/>
  <c r="P86" i="7" s="1"/>
  <c r="R86" i="7" s="1"/>
  <c r="S86" i="7" s="1"/>
  <c r="J90" i="7"/>
  <c r="K90" i="7" s="1"/>
  <c r="L90" i="7" s="1"/>
  <c r="M90" i="7" s="1"/>
  <c r="O90" i="7" s="1"/>
  <c r="P90" i="7" s="1"/>
  <c r="R90" i="7" s="1"/>
  <c r="S90" i="7" s="1"/>
  <c r="J100" i="7"/>
  <c r="K100" i="7" s="1"/>
  <c r="L100" i="7" s="1"/>
  <c r="M100" i="7" s="1"/>
  <c r="O100" i="7" s="1"/>
  <c r="P100" i="7" s="1"/>
  <c r="R100" i="7" s="1"/>
  <c r="S100" i="7" s="1"/>
  <c r="J96" i="7"/>
  <c r="K96" i="7" s="1"/>
  <c r="L96" i="7" s="1"/>
  <c r="M96" i="7" s="1"/>
  <c r="O96" i="7" s="1"/>
  <c r="J137" i="7"/>
  <c r="K137" i="7" s="1"/>
  <c r="L137" i="7" s="1"/>
  <c r="M137" i="7" s="1"/>
  <c r="O137" i="7" s="1"/>
  <c r="T137" i="7" s="1"/>
  <c r="U137" i="7" s="1"/>
  <c r="J107" i="7"/>
  <c r="K107" i="7" s="1"/>
  <c r="L107" i="7" s="1"/>
  <c r="M107" i="7" s="1"/>
  <c r="O107" i="7" s="1"/>
  <c r="P107" i="7" s="1"/>
  <c r="R107" i="7" s="1"/>
  <c r="S107" i="7" s="1"/>
  <c r="J113" i="7"/>
  <c r="K113" i="7" s="1"/>
  <c r="L113" i="7" s="1"/>
  <c r="M113" i="7" s="1"/>
  <c r="O113" i="7" s="1"/>
  <c r="T113" i="7" s="1"/>
  <c r="U113" i="7" s="1"/>
  <c r="J101" i="7"/>
  <c r="K101" i="7" s="1"/>
  <c r="L101" i="7" s="1"/>
  <c r="M101" i="7" s="1"/>
  <c r="O101" i="7" s="1"/>
  <c r="P101" i="7" s="1"/>
  <c r="R101" i="7" s="1"/>
  <c r="S101" i="7" s="1"/>
  <c r="J106" i="7"/>
  <c r="K106" i="7" s="1"/>
  <c r="L106" i="7" s="1"/>
  <c r="M106" i="7" s="1"/>
  <c r="O106" i="7" s="1"/>
  <c r="P106" i="7" s="1"/>
  <c r="R106" i="7" s="1"/>
  <c r="S106" i="7" s="1"/>
  <c r="J134" i="7"/>
  <c r="K134" i="7" s="1"/>
  <c r="L134" i="7" s="1"/>
  <c r="M134" i="7" s="1"/>
  <c r="O134" i="7" s="1"/>
  <c r="P134" i="7" s="1"/>
  <c r="R134" i="7" s="1"/>
  <c r="S134" i="7" s="1"/>
  <c r="J115" i="7"/>
  <c r="K115" i="7" s="1"/>
  <c r="L115" i="7" s="1"/>
  <c r="M115" i="7" s="1"/>
  <c r="O115" i="7" s="1"/>
  <c r="P115" i="7" s="1"/>
  <c r="R115" i="7" s="1"/>
  <c r="S115" i="7" s="1"/>
  <c r="J122" i="7"/>
  <c r="K122" i="7" s="1"/>
  <c r="L122" i="7" s="1"/>
  <c r="M122" i="7" s="1"/>
  <c r="O122" i="7" s="1"/>
  <c r="P122" i="7" s="1"/>
  <c r="R122" i="7" s="1"/>
  <c r="S122" i="7" s="1"/>
  <c r="J114" i="7"/>
  <c r="K114" i="7" s="1"/>
  <c r="L114" i="7" s="1"/>
  <c r="M114" i="7" s="1"/>
  <c r="O114" i="7" s="1"/>
  <c r="T114" i="7" s="1"/>
  <c r="U114" i="7" s="1"/>
  <c r="J65" i="7"/>
  <c r="K65" i="7" s="1"/>
  <c r="L65" i="7" s="1"/>
  <c r="M65" i="7" s="1"/>
  <c r="O65" i="7" s="1"/>
  <c r="P65" i="7" s="1"/>
  <c r="R65" i="7" s="1"/>
  <c r="S65" i="7" s="1"/>
  <c r="J64" i="7"/>
  <c r="J17" i="7"/>
  <c r="T115" i="7"/>
  <c r="U115" i="7" s="1"/>
  <c r="P114" i="7"/>
  <c r="R114" i="7" s="1"/>
  <c r="S114" i="7" s="1"/>
  <c r="P116" i="7"/>
  <c r="R116" i="7" s="1"/>
  <c r="S116" i="7" s="1"/>
  <c r="T116" i="7"/>
  <c r="U116" i="7" s="1"/>
  <c r="P130" i="7"/>
  <c r="R130" i="7" s="1"/>
  <c r="S130" i="7" s="1"/>
  <c r="T130" i="7"/>
  <c r="U130" i="7" s="1"/>
  <c r="P123" i="7"/>
  <c r="R123" i="7" s="1"/>
  <c r="S123" i="7" s="1"/>
  <c r="T123" i="7"/>
  <c r="U123" i="7" s="1"/>
  <c r="P129" i="7"/>
  <c r="R129" i="7" s="1"/>
  <c r="S129" i="7" s="1"/>
  <c r="T129" i="7"/>
  <c r="U129" i="7" s="1"/>
  <c r="P128" i="7"/>
  <c r="R128" i="7" s="1"/>
  <c r="S128" i="7" s="1"/>
  <c r="T128" i="7"/>
  <c r="U128" i="7" s="1"/>
  <c r="P121" i="7"/>
  <c r="R121" i="7" s="1"/>
  <c r="S121" i="7" s="1"/>
  <c r="T121" i="7"/>
  <c r="U121" i="7" s="1"/>
  <c r="P126" i="7"/>
  <c r="R126" i="7" s="1"/>
  <c r="S126" i="7" s="1"/>
  <c r="T126" i="7"/>
  <c r="U126" i="7" s="1"/>
  <c r="P118" i="7"/>
  <c r="R118" i="7" s="1"/>
  <c r="S118" i="7" s="1"/>
  <c r="T118" i="7"/>
  <c r="U118" i="7" s="1"/>
  <c r="T120" i="7"/>
  <c r="U120" i="7" s="1"/>
  <c r="P117" i="7"/>
  <c r="R117" i="7" s="1"/>
  <c r="S117" i="7" s="1"/>
  <c r="T117" i="7"/>
  <c r="U117" i="7" s="1"/>
  <c r="P119" i="7"/>
  <c r="R119" i="7" s="1"/>
  <c r="S119" i="7" s="1"/>
  <c r="T112" i="7"/>
  <c r="U112" i="7" s="1"/>
  <c r="P112" i="7"/>
  <c r="R112" i="7" s="1"/>
  <c r="S112" i="7" s="1"/>
  <c r="T136" i="7"/>
  <c r="U136" i="7" s="1"/>
  <c r="P136" i="7"/>
  <c r="R136" i="7" s="1"/>
  <c r="S136" i="7" s="1"/>
  <c r="T96" i="7"/>
  <c r="U96" i="7" s="1"/>
  <c r="P96" i="7"/>
  <c r="R96" i="7" s="1"/>
  <c r="S96" i="7" s="1"/>
  <c r="P137" i="7"/>
  <c r="R137" i="7" s="1"/>
  <c r="S137" i="7" s="1"/>
  <c r="P113" i="7"/>
  <c r="R113" i="7" s="1"/>
  <c r="S113" i="7" s="1"/>
  <c r="T101" i="7"/>
  <c r="U101" i="7" s="1"/>
  <c r="T106" i="7"/>
  <c r="U106" i="7" s="1"/>
  <c r="P111" i="7"/>
  <c r="R111" i="7" s="1"/>
  <c r="S111" i="7" s="1"/>
  <c r="T138" i="7"/>
  <c r="U138" i="7" s="1"/>
  <c r="P108" i="7"/>
  <c r="R108" i="7" s="1"/>
  <c r="S108" i="7" s="1"/>
  <c r="T108" i="7"/>
  <c r="U108" i="7" s="1"/>
  <c r="P104" i="7"/>
  <c r="R104" i="7" s="1"/>
  <c r="S104" i="7" s="1"/>
  <c r="T104" i="7"/>
  <c r="U104" i="7" s="1"/>
  <c r="P103" i="7"/>
  <c r="R103" i="7" s="1"/>
  <c r="S103" i="7" s="1"/>
  <c r="T103" i="7"/>
  <c r="U103" i="7" s="1"/>
  <c r="P93" i="7"/>
  <c r="R93" i="7" s="1"/>
  <c r="S93" i="7" s="1"/>
  <c r="T93" i="7"/>
  <c r="U93" i="7" s="1"/>
  <c r="P131" i="7"/>
  <c r="R131" i="7" s="1"/>
  <c r="S131" i="7" s="1"/>
  <c r="T131" i="7"/>
  <c r="U131" i="7" s="1"/>
  <c r="P98" i="7"/>
  <c r="R98" i="7" s="1"/>
  <c r="S98" i="7" s="1"/>
  <c r="T98" i="7"/>
  <c r="U98" i="7" s="1"/>
  <c r="P132" i="7"/>
  <c r="R132" i="7" s="1"/>
  <c r="S132" i="7" s="1"/>
  <c r="T132" i="7"/>
  <c r="U132" i="7" s="1"/>
  <c r="T109" i="7"/>
  <c r="U109" i="7" s="1"/>
  <c r="P109" i="7"/>
  <c r="R109" i="7" s="1"/>
  <c r="S109" i="7" s="1"/>
  <c r="P133" i="7"/>
  <c r="R133" i="7" s="1"/>
  <c r="S133" i="7" s="1"/>
  <c r="T133" i="7"/>
  <c r="U133" i="7" s="1"/>
  <c r="T105" i="7"/>
  <c r="U105" i="7" s="1"/>
  <c r="P105" i="7"/>
  <c r="R105" i="7" s="1"/>
  <c r="S105" i="7" s="1"/>
  <c r="P141" i="7"/>
  <c r="R141" i="7" s="1"/>
  <c r="S141" i="7" s="1"/>
  <c r="T141" i="7"/>
  <c r="U141" i="7" s="1"/>
  <c r="P99" i="7"/>
  <c r="R99" i="7" s="1"/>
  <c r="S99" i="7" s="1"/>
  <c r="T99" i="7"/>
  <c r="U99" i="7" s="1"/>
  <c r="P102" i="7"/>
  <c r="R102" i="7" s="1"/>
  <c r="S102" i="7" s="1"/>
  <c r="T102" i="7"/>
  <c r="U102" i="7" s="1"/>
  <c r="P135" i="7"/>
  <c r="R135" i="7" s="1"/>
  <c r="S135" i="7" s="1"/>
  <c r="T135" i="7"/>
  <c r="U135" i="7" s="1"/>
  <c r="P139" i="7"/>
  <c r="R139" i="7" s="1"/>
  <c r="S139" i="7" s="1"/>
  <c r="T139" i="7"/>
  <c r="U139" i="7" s="1"/>
  <c r="T85" i="7"/>
  <c r="U85" i="7" s="1"/>
  <c r="P85" i="7"/>
  <c r="R85" i="7" s="1"/>
  <c r="S85" i="7" s="1"/>
  <c r="P94" i="7"/>
  <c r="R94" i="7" s="1"/>
  <c r="S94" i="7" s="1"/>
  <c r="T94" i="7"/>
  <c r="U94" i="7" s="1"/>
  <c r="P140" i="7"/>
  <c r="R140" i="7" s="1"/>
  <c r="S140" i="7" s="1"/>
  <c r="T140" i="7"/>
  <c r="U140" i="7" s="1"/>
  <c r="P110" i="7"/>
  <c r="R110" i="7" s="1"/>
  <c r="S110" i="7" s="1"/>
  <c r="T110" i="7"/>
  <c r="U110" i="7" s="1"/>
  <c r="P89" i="7"/>
  <c r="R89" i="7" s="1"/>
  <c r="S89" i="7" s="1"/>
  <c r="T88" i="7"/>
  <c r="U88" i="7" s="1"/>
  <c r="R88" i="7"/>
  <c r="S88" i="7" s="1"/>
  <c r="T91" i="7"/>
  <c r="U91" i="7" s="1"/>
  <c r="P91" i="7"/>
  <c r="R91" i="7" s="1"/>
  <c r="S91" i="7" s="1"/>
  <c r="T86" i="7"/>
  <c r="U86" i="7" s="1"/>
  <c r="T92" i="7"/>
  <c r="U92" i="7" s="1"/>
  <c r="T87" i="7"/>
  <c r="U87" i="7" s="1"/>
  <c r="P87" i="7"/>
  <c r="R87" i="7" s="1"/>
  <c r="S87" i="7" s="1"/>
  <c r="P66" i="7"/>
  <c r="R66" i="7" s="1"/>
  <c r="S66" i="7" s="1"/>
  <c r="T66" i="7"/>
  <c r="U66" i="7" s="1"/>
  <c r="P45" i="7"/>
  <c r="T45" i="7"/>
  <c r="U45" i="7" s="1"/>
  <c r="P24" i="7"/>
  <c r="R24" i="7" s="1"/>
  <c r="S24" i="7" s="1"/>
  <c r="T24" i="7"/>
  <c r="U24" i="7" s="1"/>
  <c r="T23" i="7"/>
  <c r="U23" i="7" s="1"/>
  <c r="P23" i="7"/>
  <c r="R23" i="7" s="1"/>
  <c r="S23" i="7" s="1"/>
  <c r="P53" i="7"/>
  <c r="R53" i="7" s="1"/>
  <c r="S53" i="7" s="1"/>
  <c r="T53" i="7"/>
  <c r="U53" i="7" s="1"/>
  <c r="T46" i="7"/>
  <c r="U46" i="7" s="1"/>
  <c r="P46" i="7"/>
  <c r="R46" i="7" s="1"/>
  <c r="S46" i="7" s="1"/>
  <c r="P30" i="7"/>
  <c r="R30" i="7" s="1"/>
  <c r="S30" i="7" s="1"/>
  <c r="T41" i="7"/>
  <c r="U41" i="7" s="1"/>
  <c r="P25" i="7"/>
  <c r="R25" i="7" s="1"/>
  <c r="S25" i="7" s="1"/>
  <c r="P20" i="7"/>
  <c r="R20" i="7" s="1"/>
  <c r="S20" i="7" s="1"/>
  <c r="T20" i="7"/>
  <c r="U20" i="7" s="1"/>
  <c r="P35" i="7"/>
  <c r="R35" i="7" s="1"/>
  <c r="S35" i="7" s="1"/>
  <c r="T52" i="7"/>
  <c r="U52" i="7" s="1"/>
  <c r="T54" i="7"/>
  <c r="U54" i="7" s="1"/>
  <c r="P54" i="7"/>
  <c r="R54" i="7" s="1"/>
  <c r="S54" i="7" s="1"/>
  <c r="P29" i="7"/>
  <c r="R29" i="7" s="1"/>
  <c r="S29" i="7" s="1"/>
  <c r="T29" i="7"/>
  <c r="U29" i="7" s="1"/>
  <c r="P39" i="7"/>
  <c r="T39" i="7"/>
  <c r="U39" i="7" s="1"/>
  <c r="P59" i="7"/>
  <c r="R59" i="7" s="1"/>
  <c r="S59" i="7" s="1"/>
  <c r="T59" i="7"/>
  <c r="U59" i="7" s="1"/>
  <c r="T49" i="7"/>
  <c r="U49" i="7" s="1"/>
  <c r="P49" i="7"/>
  <c r="R49" i="7" s="1"/>
  <c r="S49" i="7" s="1"/>
  <c r="P42" i="7"/>
  <c r="T42" i="7"/>
  <c r="U42" i="7" s="1"/>
  <c r="T26" i="7"/>
  <c r="U26" i="7" s="1"/>
  <c r="T21" i="7"/>
  <c r="U21" i="7" s="1"/>
  <c r="P32" i="7"/>
  <c r="R32" i="7" s="1"/>
  <c r="S32" i="7" s="1"/>
  <c r="T32" i="7"/>
  <c r="U32" i="7" s="1"/>
  <c r="T47" i="7"/>
  <c r="U47" i="7" s="1"/>
  <c r="P31" i="7"/>
  <c r="R31" i="7" s="1"/>
  <c r="S31" i="7" s="1"/>
  <c r="T58" i="7"/>
  <c r="U58" i="7" s="1"/>
  <c r="P34" i="7"/>
  <c r="R34" i="7" s="1"/>
  <c r="S34" i="7" s="1"/>
  <c r="T34" i="7"/>
  <c r="U34" i="7" s="1"/>
  <c r="P40" i="7"/>
  <c r="R40" i="7" s="1"/>
  <c r="S40" i="7" s="1"/>
  <c r="T40" i="7"/>
  <c r="U40" i="7" s="1"/>
  <c r="T38" i="7"/>
  <c r="U38" i="7" s="1"/>
  <c r="P38" i="7"/>
  <c r="R38" i="7" s="1"/>
  <c r="S38" i="7" s="1"/>
  <c r="P22" i="7"/>
  <c r="R22" i="7" s="1"/>
  <c r="S22" i="7" s="1"/>
  <c r="T22" i="7"/>
  <c r="U22" i="7" s="1"/>
  <c r="P33" i="7"/>
  <c r="R33" i="7" s="1"/>
  <c r="S33" i="7" s="1"/>
  <c r="T33" i="7"/>
  <c r="U33" i="7" s="1"/>
  <c r="T44" i="7"/>
  <c r="U44" i="7" s="1"/>
  <c r="P28" i="7"/>
  <c r="R28" i="7" s="1"/>
  <c r="S28" i="7" s="1"/>
  <c r="T28" i="7"/>
  <c r="U28" i="7" s="1"/>
  <c r="P43" i="7"/>
  <c r="R43" i="7" s="1"/>
  <c r="S43" i="7" s="1"/>
  <c r="T43" i="7"/>
  <c r="U43" i="7" s="1"/>
  <c r="T27" i="7"/>
  <c r="U27" i="7" s="1"/>
  <c r="P27" i="7"/>
  <c r="R27" i="7" s="1"/>
  <c r="S27" i="7" s="1"/>
  <c r="T50" i="7"/>
  <c r="U50" i="7" s="1"/>
  <c r="P50" i="7"/>
  <c r="R50" i="7" s="1"/>
  <c r="S50" i="7" s="1"/>
  <c r="P57" i="7"/>
  <c r="R57" i="7" s="1"/>
  <c r="S57" i="7" s="1"/>
  <c r="T57" i="7"/>
  <c r="U57" i="7" s="1"/>
  <c r="T56" i="7"/>
  <c r="U56" i="7" s="1"/>
  <c r="P56" i="7"/>
  <c r="R56" i="7" s="1"/>
  <c r="S56" i="7" s="1"/>
  <c r="T82" i="7"/>
  <c r="U82" i="7" s="1"/>
  <c r="P82" i="7"/>
  <c r="R82" i="7" s="1"/>
  <c r="S82" i="7" s="1"/>
  <c r="T81" i="7"/>
  <c r="U81" i="7" s="1"/>
  <c r="P83" i="7"/>
  <c r="R83" i="7" s="1"/>
  <c r="S83" i="7" s="1"/>
  <c r="T9" i="7"/>
  <c r="U9" i="7" s="1"/>
  <c r="P9" i="7"/>
  <c r="R9" i="7" s="1"/>
  <c r="S9" i="7" s="1"/>
  <c r="P80" i="7"/>
  <c r="R80" i="7" s="1"/>
  <c r="S80" i="7" s="1"/>
  <c r="T80" i="7"/>
  <c r="U80" i="7" s="1"/>
  <c r="P15" i="7"/>
  <c r="R15" i="7" s="1"/>
  <c r="S15" i="7" s="1"/>
  <c r="T15" i="7"/>
  <c r="U15" i="7" s="1"/>
  <c r="P10" i="7"/>
  <c r="R10" i="7" s="1"/>
  <c r="S10" i="7" s="1"/>
  <c r="P12" i="7"/>
  <c r="R12" i="7" s="1"/>
  <c r="S12" i="7" s="1"/>
  <c r="T12" i="7"/>
  <c r="U12" i="7" s="1"/>
  <c r="P11" i="7"/>
  <c r="R11" i="7" s="1"/>
  <c r="S11" i="7" s="1"/>
  <c r="T11" i="7"/>
  <c r="U11" i="7" s="1"/>
  <c r="P14" i="7"/>
  <c r="R14" i="7" s="1"/>
  <c r="S14" i="7" s="1"/>
  <c r="T14" i="7"/>
  <c r="U14" i="7" s="1"/>
  <c r="P13" i="7"/>
  <c r="R13" i="7" s="1"/>
  <c r="S13" i="7" s="1"/>
  <c r="T13" i="7"/>
  <c r="U13" i="7" s="1"/>
  <c r="P8" i="7"/>
  <c r="R8" i="7" s="1"/>
  <c r="S8" i="7" s="1"/>
  <c r="T8" i="7"/>
  <c r="U8" i="7" s="1"/>
  <c r="P7" i="7"/>
  <c r="R7" i="7" s="1"/>
  <c r="S7" i="7" s="1"/>
  <c r="T7" i="7"/>
  <c r="U7" i="7" s="1"/>
  <c r="K64" i="7"/>
  <c r="L64" i="7" s="1"/>
  <c r="M64" i="7" s="1"/>
  <c r="O64" i="7" s="1"/>
  <c r="J63" i="7"/>
  <c r="J19" i="7"/>
  <c r="K19" i="7" s="1"/>
  <c r="L19" i="7" s="1"/>
  <c r="J70" i="7"/>
  <c r="K70" i="7" s="1"/>
  <c r="L70" i="7" s="1"/>
  <c r="M70" i="7" s="1"/>
  <c r="O70" i="7" s="1"/>
  <c r="J18" i="7"/>
  <c r="J69" i="7"/>
  <c r="K69" i="7" s="1"/>
  <c r="L69" i="7" s="1"/>
  <c r="M69" i="7" s="1"/>
  <c r="O69" i="7" s="1"/>
  <c r="T107" i="7" l="1"/>
  <c r="U107" i="7" s="1"/>
  <c r="T122" i="7"/>
  <c r="U122" i="7" s="1"/>
  <c r="P84" i="7"/>
  <c r="R84" i="7" s="1"/>
  <c r="S84" i="7" s="1"/>
  <c r="T134" i="7"/>
  <c r="U134" i="7" s="1"/>
  <c r="T100" i="7"/>
  <c r="U100" i="7" s="1"/>
  <c r="T125" i="7"/>
  <c r="U125" i="7" s="1"/>
  <c r="T51" i="7"/>
  <c r="U51" i="7" s="1"/>
  <c r="T90" i="7"/>
  <c r="U90" i="7" s="1"/>
  <c r="T124" i="7"/>
  <c r="U124" i="7" s="1"/>
  <c r="T65" i="7"/>
  <c r="U65" i="7" s="1"/>
  <c r="P127" i="7"/>
  <c r="R127" i="7" s="1"/>
  <c r="S127" i="7" s="1"/>
  <c r="T55" i="7"/>
  <c r="U55" i="7" s="1"/>
  <c r="T36" i="7"/>
  <c r="U36" i="7" s="1"/>
  <c r="T37" i="7"/>
  <c r="U37" i="7" s="1"/>
  <c r="T97" i="7"/>
  <c r="U97" i="7" s="1"/>
  <c r="T95" i="7"/>
  <c r="U95" i="7" s="1"/>
  <c r="K63" i="7"/>
  <c r="L63" i="7" s="1"/>
  <c r="M63" i="7" s="1"/>
  <c r="O63" i="7" s="1"/>
  <c r="J68" i="7"/>
  <c r="T79" i="7"/>
  <c r="U79" i="7" s="1"/>
  <c r="P79" i="7"/>
  <c r="R79" i="7" s="1"/>
  <c r="S79" i="7" s="1"/>
  <c r="R45" i="7"/>
  <c r="S45" i="7" s="1"/>
  <c r="P47" i="7"/>
  <c r="R47" i="7" s="1"/>
  <c r="S47" i="7" s="1"/>
  <c r="R42" i="7"/>
  <c r="S42" i="7" s="1"/>
  <c r="P44" i="7"/>
  <c r="R44" i="7" s="1"/>
  <c r="S44" i="7" s="1"/>
  <c r="R39" i="7"/>
  <c r="S39" i="7" s="1"/>
  <c r="P41" i="7"/>
  <c r="R41" i="7" s="1"/>
  <c r="S41" i="7" s="1"/>
  <c r="O67" i="7"/>
  <c r="M19" i="7"/>
  <c r="O19" i="7" s="1"/>
  <c r="T70" i="7"/>
  <c r="U70" i="7" s="1"/>
  <c r="P70" i="7"/>
  <c r="R70" i="7" s="1"/>
  <c r="S70" i="7" s="1"/>
  <c r="T64" i="7"/>
  <c r="U64" i="7" s="1"/>
  <c r="P64" i="7"/>
  <c r="R64" i="7" s="1"/>
  <c r="S64" i="7" s="1"/>
  <c r="T69" i="7"/>
  <c r="U69" i="7" s="1"/>
  <c r="P69" i="7"/>
  <c r="R69" i="7" s="1"/>
  <c r="K6" i="7"/>
  <c r="L6" i="7" s="1"/>
  <c r="M6" i="7" s="1"/>
  <c r="O6" i="7" s="1"/>
  <c r="J61" i="7"/>
  <c r="K18" i="7"/>
  <c r="L18" i="7" s="1"/>
  <c r="M18" i="7" s="1"/>
  <c r="O18" i="7" s="1"/>
  <c r="J73" i="7"/>
  <c r="J74" i="7" l="1"/>
  <c r="S69" i="7"/>
  <c r="S73" i="7" s="1"/>
  <c r="R73" i="7"/>
  <c r="T67" i="7"/>
  <c r="U67" i="7" s="1"/>
  <c r="P67" i="7"/>
  <c r="R67" i="7" s="1"/>
  <c r="S67" i="7" s="1"/>
  <c r="P19" i="7"/>
  <c r="R19" i="7" s="1"/>
  <c r="S19" i="7" s="1"/>
  <c r="T19" i="7"/>
  <c r="U19" i="7" s="1"/>
  <c r="U73" i="7"/>
  <c r="T73" i="7"/>
  <c r="T63" i="7"/>
  <c r="U63" i="7" s="1"/>
  <c r="P63" i="7"/>
  <c r="R63" i="7" s="1"/>
  <c r="P18" i="7"/>
  <c r="R18" i="7" s="1"/>
  <c r="T18" i="7"/>
  <c r="T6" i="7"/>
  <c r="U6" i="7" s="1"/>
  <c r="U17" i="7" s="1"/>
  <c r="P6" i="7"/>
  <c r="R6" i="7" s="1"/>
  <c r="U18" i="7" l="1"/>
  <c r="U61" i="7" s="1"/>
  <c r="T61" i="7"/>
  <c r="S18" i="7"/>
  <c r="S61" i="7" s="1"/>
  <c r="R61" i="7"/>
  <c r="U68" i="7"/>
  <c r="T68" i="7"/>
  <c r="T17" i="7"/>
  <c r="S6" i="7"/>
  <c r="S17" i="7" s="1"/>
  <c r="R17" i="7"/>
  <c r="R68" i="7"/>
  <c r="S63" i="7"/>
  <c r="S68" i="7" s="1"/>
  <c r="S74" i="7" l="1"/>
  <c r="B25" i="4" s="1"/>
  <c r="B26" i="4" s="1"/>
  <c r="U74" i="7"/>
  <c r="B28" i="4" s="1"/>
  <c r="B29" i="4" s="1"/>
  <c r="C29" i="4" s="1"/>
  <c r="T74" i="7"/>
  <c r="R74" i="7"/>
</calcChain>
</file>

<file path=xl/comments1.xml><?xml version="1.0" encoding="utf-8"?>
<comments xmlns="http://schemas.openxmlformats.org/spreadsheetml/2006/main">
  <authors>
    <author>Logan Davis</author>
  </authors>
  <commentList>
    <comment ref="D41" authorId="0" shapeId="0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Used alternative rate calc, monthly minimum is 4.33 times the regular pickup rate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Used alternative rate calc, monthly minimum is 4.33 times the regular pickup rate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Used alternative rate calc, monthly minimum is 4.33 times the regular pickup rate</t>
        </r>
      </text>
    </comment>
    <comment ref="H67" authorId="0" shapeId="0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Used meeks weights equal to one unit of msw</t>
        </r>
      </text>
    </comment>
  </commentList>
</comments>
</file>

<file path=xl/sharedStrings.xml><?xml version="1.0" encoding="utf-8"?>
<sst xmlns="http://schemas.openxmlformats.org/spreadsheetml/2006/main" count="297" uniqueCount="195">
  <si>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</si>
  <si>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</si>
  <si>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</si>
  <si>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</si>
  <si>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</si>
  <si>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</si>
  <si>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</si>
  <si>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</si>
  <si>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>Increase</t>
  </si>
  <si>
    <t>Disposal fee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</si>
  <si>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</si>
  <si>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</si>
  <si>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</si>
  <si>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</si>
  <si>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</si>
  <si>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</si>
  <si>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</si>
  <si>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</si>
  <si>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</si>
  <si>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</si>
  <si>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</si>
  <si>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</si>
  <si>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</si>
  <si>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</si>
  <si>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</si>
  <si>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</si>
  <si>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</si>
  <si>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</si>
  <si>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</si>
  <si>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</si>
  <si>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</si>
  <si>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</si>
  <si>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</si>
  <si>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</si>
  <si>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</si>
  <si>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</si>
  <si>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No Current Customers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</si>
  <si>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</si>
  <si>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</si>
  <si>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</si>
  <si>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</si>
  <si>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</si>
  <si>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</si>
  <si>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</si>
  <si>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>Tariff Rate Increase</t>
  </si>
  <si>
    <t>Company Increased Revenue</t>
  </si>
  <si>
    <t xml:space="preserve">Twice Weekly Pickup </t>
  </si>
  <si>
    <t>1 unit</t>
  </si>
  <si>
    <t>2 units</t>
  </si>
  <si>
    <t>3 units</t>
  </si>
  <si>
    <t>n/a</t>
  </si>
  <si>
    <t>Revenue from Company Rates</t>
  </si>
  <si>
    <t>Revenue from Revised Rates</t>
  </si>
  <si>
    <t>4 units</t>
  </si>
  <si>
    <t>Some County Disposal Fees</t>
  </si>
  <si>
    <t>Current Rate</t>
  </si>
  <si>
    <t>New Rate</t>
  </si>
  <si>
    <t>Staff Revenue Increase</t>
  </si>
  <si>
    <t>Rounding Factor</t>
  </si>
  <si>
    <t>Disposal Fee Increases</t>
  </si>
  <si>
    <t>Based on previous rate case (including disposal fee filing)</t>
  </si>
  <si>
    <t>disposal tons</t>
  </si>
  <si>
    <t>Commission's own motion or Company request</t>
  </si>
  <si>
    <t>order templates</t>
  </si>
  <si>
    <t>Order required granting exemption from work paper filing requirements WAC 480-07-520 (4)</t>
  </si>
  <si>
    <t>Order language:</t>
  </si>
  <si>
    <t>fees are set by the county and are expenses of the company…</t>
  </si>
  <si>
    <t>no significant changes since the last rate case i.e. customer counts, tonnage, collection methods</t>
  </si>
  <si>
    <t>company's financial information supports the increase</t>
  </si>
  <si>
    <t>Staff's conclusion is rate increase is fair, just, and reasonable</t>
  </si>
  <si>
    <t>Customer count/price out</t>
  </si>
  <si>
    <t>Allocation of regulated and non-regulated</t>
  </si>
  <si>
    <t>Tariff complies with tariff requirements</t>
  </si>
  <si>
    <t>Other language changes  or new rates</t>
  </si>
  <si>
    <t>Based on Meeks weights, or allowed company alternative (used in last rate case)</t>
  </si>
  <si>
    <t>container size or service offering not on Meeks list</t>
  </si>
  <si>
    <t>Tariff Changes</t>
  </si>
  <si>
    <t>only weight based rates are changed</t>
  </si>
  <si>
    <t xml:space="preserve">Item No. </t>
  </si>
  <si>
    <t>Use applicable disposal fee description for agenda</t>
  </si>
  <si>
    <t>Pullman Disposal</t>
  </si>
  <si>
    <t>Note: Include bad debt if it was included in Lurito model</t>
  </si>
  <si>
    <t>6 cans weekly</t>
  </si>
  <si>
    <t>1 can weekly</t>
  </si>
  <si>
    <t>2 cans weekly</t>
  </si>
  <si>
    <t>3 cans weekly</t>
  </si>
  <si>
    <t>4 cans weekly</t>
  </si>
  <si>
    <t>5 cans weekly</t>
  </si>
  <si>
    <t>Mini-can weekly</t>
  </si>
  <si>
    <t>Micro-can weekly</t>
  </si>
  <si>
    <t>1.0 Yd. pu</t>
  </si>
  <si>
    <t>1.0 Yd. rent</t>
  </si>
  <si>
    <t>1.5 Yd. rent</t>
  </si>
  <si>
    <t>1.5 Yd. pu</t>
  </si>
  <si>
    <t>2.0 Yd. rent</t>
  </si>
  <si>
    <t>2.0 Yd, pu</t>
  </si>
  <si>
    <t>3.0 Yd. rent</t>
  </si>
  <si>
    <t>3.0 Yd. pu</t>
  </si>
  <si>
    <t>4.0 Yd. rent</t>
  </si>
  <si>
    <t>4.0 Yd. pu</t>
  </si>
  <si>
    <t>6.0 Yd. rent</t>
  </si>
  <si>
    <t>6.0 Yd. pu</t>
  </si>
  <si>
    <t>8.0 Yd. rent</t>
  </si>
  <si>
    <t>8.0 Yd. pu</t>
  </si>
  <si>
    <t>change in tariff</t>
  </si>
  <si>
    <t>1.0 Yd. Special Pickup</t>
  </si>
  <si>
    <t>2.0 Yd. Special Pickup</t>
  </si>
  <si>
    <t>3.0 Yd. Special Pickup</t>
  </si>
  <si>
    <t>4.0 Yd. Special Pickup</t>
  </si>
  <si>
    <t>6.0 Yd. Special Pickup</t>
  </si>
  <si>
    <t>8.0 Yd. Special Pickup</t>
  </si>
  <si>
    <t>1.0 to 8.0 Yd. Delivery Charge</t>
  </si>
  <si>
    <t>Commercial - Temporary Service</t>
  </si>
  <si>
    <t>Multifamily and Commercial - Permanent Service</t>
  </si>
  <si>
    <t>105/240</t>
  </si>
  <si>
    <t>33/42</t>
  </si>
  <si>
    <t>Rent Per Calendar Day</t>
  </si>
  <si>
    <t>32 Gal Toter Pickup</t>
  </si>
  <si>
    <t>32 Gal Toter Special Pickup</t>
  </si>
  <si>
    <t>32 Gal Toter Minimum per Month</t>
  </si>
  <si>
    <t>64 Gal Toter Pickup</t>
  </si>
  <si>
    <t>64 Gal Toter Special Pickup</t>
  </si>
  <si>
    <t>64 Gal Toter Minimum per Month</t>
  </si>
  <si>
    <t>96 Gal Toter Pickup</t>
  </si>
  <si>
    <t>96Gal Toter Special Pickup</t>
  </si>
  <si>
    <t>96 Gal Toter Minimum per Month</t>
  </si>
  <si>
    <t>26/30</t>
  </si>
  <si>
    <t>Oversized/Overweight Cans</t>
  </si>
  <si>
    <t>Additional Units</t>
  </si>
  <si>
    <t>Mini-can Special Pickup</t>
  </si>
  <si>
    <t>1 Can Special Pickup</t>
  </si>
  <si>
    <t>3 Cans Special Pickup</t>
  </si>
  <si>
    <t>2 Cans Special Pickup</t>
  </si>
  <si>
    <t>4 Cans Speical Pickup</t>
  </si>
  <si>
    <t>5 Cans Special Pickup</t>
  </si>
  <si>
    <t>6 Cans Special Pickup</t>
  </si>
  <si>
    <t>Micro-can Special Pickup</t>
  </si>
  <si>
    <t>25/29</t>
  </si>
  <si>
    <t>Prepaid Extra Bag</t>
  </si>
  <si>
    <t>33/43</t>
  </si>
  <si>
    <t>100/240</t>
  </si>
  <si>
    <t>26/30/46</t>
  </si>
  <si>
    <t>Bad Debts</t>
  </si>
  <si>
    <t>Extra 64 Gal Cart</t>
  </si>
  <si>
    <t>Extra 96 Gal Cart</t>
  </si>
  <si>
    <t>Loose/Bulky Yards</t>
  </si>
  <si>
    <t>1.5 Yd. Special Pickup</t>
  </si>
  <si>
    <t>Once per Month "On Call"</t>
  </si>
  <si>
    <t>Disposal Fee</t>
  </si>
  <si>
    <t xml:space="preserve">on call monthly, </t>
  </si>
  <si>
    <t>1 yd monthly rent - heavy</t>
  </si>
  <si>
    <t>1 yd pu - heavy</t>
  </si>
  <si>
    <t>1 yd special pu - heavy</t>
  </si>
  <si>
    <t>1.5 yd monthly rent - heavy</t>
  </si>
  <si>
    <t>1.5 yd pu - heavy</t>
  </si>
  <si>
    <t>1.5 yd special pu - heavy</t>
  </si>
  <si>
    <t>2 yd monthly rent - heavy</t>
  </si>
  <si>
    <t>2 yd pu - heavy</t>
  </si>
  <si>
    <t>2 yd special pu - heavy</t>
  </si>
  <si>
    <t>3 yd monthly rent - heavy</t>
  </si>
  <si>
    <t>3 yd pu - heavy</t>
  </si>
  <si>
    <t>3 yd special pu - heavy</t>
  </si>
  <si>
    <t>4 yd monthly rent - heavy</t>
  </si>
  <si>
    <t>4 yd pu - heavy</t>
  </si>
  <si>
    <t>4 yd special pu - heavy</t>
  </si>
  <si>
    <t>6 yd monthly rent - heavy</t>
  </si>
  <si>
    <t>6 yd pu - heavy</t>
  </si>
  <si>
    <t>6 yd special pu - heavy</t>
  </si>
  <si>
    <t>8 yd montlhly rent - heavy</t>
  </si>
  <si>
    <t>8 yd pu - heavy</t>
  </si>
  <si>
    <t>8 yd special pu - heavy</t>
  </si>
  <si>
    <t>1 yd pu customer owned</t>
  </si>
  <si>
    <t>1.5 yd pu customer owned</t>
  </si>
  <si>
    <t>2 yd customer owned</t>
  </si>
  <si>
    <t>47a</t>
  </si>
  <si>
    <t>2 yd schedule pu</t>
  </si>
  <si>
    <t>2 yd special pu</t>
  </si>
  <si>
    <t>3 yd schedule pu</t>
  </si>
  <si>
    <t>3 yd special pu</t>
  </si>
  <si>
    <t>4 yd schedule pu</t>
  </si>
  <si>
    <t>4 yd special pu</t>
  </si>
  <si>
    <t>6 yd schedule pu</t>
  </si>
  <si>
    <t>6 yd special pu</t>
  </si>
  <si>
    <t>Heavy Containers - Permanent</t>
  </si>
  <si>
    <t>Initial delivery - all sizes - heavy</t>
  </si>
  <si>
    <t>Daily rent - all sizes - heavy</t>
  </si>
  <si>
    <t>Heavy Containers - Temporary</t>
  </si>
  <si>
    <t>Compacted Material</t>
  </si>
  <si>
    <t>Cust-Owned</t>
  </si>
  <si>
    <t>Commericial</t>
  </si>
  <si>
    <t>32 gal pu customer owned</t>
  </si>
  <si>
    <t>1.0 Yd. rent - TEMP</t>
  </si>
  <si>
    <t>1.0 Yd. pu - TEMP</t>
  </si>
  <si>
    <t>1.5 Yd. rent - TEMP</t>
  </si>
  <si>
    <t>1.5 Yd. pu - 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</si>
</sst>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.000_);_(* \(#,##0.000\);_(* &quot;-&quot;??_);_(@_)"/>
    <numFmt numFmtId="167" formatCode="_(* #,##0_);_(* \(#,##0\);_(* &quot;-&quot;??_);_(@_)"/>
    <numFmt numFmtId="168" formatCode="_(* #,##0.000000_);_(* \(#,##0.000000\);_(* &quot;-&quot;??_);_(@_)"/>
    <numFmt numFmtId="169" formatCode="0.000000"/>
    <numFmt numFmtId="170" formatCode="General_)"/>
    <numFmt numFmtId="171" formatCode="0.0%"/>
    <numFmt numFmtId="172" formatCode="0.000%"/>
    <numFmt numFmtId="173" formatCode="0.0000%"/>
    <numFmt numFmtId="174" formatCode="_(* #,##0.00000_);_(* \(#,##0.00000\);_(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SWISS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41" fontId="3" fillId="0" borderId="0"/>
    <xf numFmtId="0" fontId="11" fillId="10" borderId="0" applyNumberFormat="0" applyBorder="0" applyAlignment="0" applyProtection="0"/>
    <xf numFmtId="3" fontId="3" fillId="0" borderId="0"/>
    <xf numFmtId="0" fontId="12" fillId="11" borderId="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3" fillId="0" borderId="0"/>
    <xf numFmtId="0" fontId="14" fillId="0" borderId="0"/>
    <xf numFmtId="0" fontId="14" fillId="0" borderId="0"/>
    <xf numFmtId="0" fontId="15" fillId="12" borderId="1" applyAlignment="0">
      <alignment horizontal="right"/>
      <protection locked="0"/>
    </xf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6" fillId="13" borderId="0">
      <alignment horizontal="right"/>
      <protection locked="0"/>
    </xf>
    <xf numFmtId="2" fontId="16" fillId="13" borderId="0">
      <alignment horizontal="right"/>
      <protection locked="0"/>
    </xf>
    <xf numFmtId="0" fontId="17" fillId="1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3" fontId="23" fillId="15" borderId="0">
      <protection locked="0"/>
    </xf>
    <xf numFmtId="4" fontId="23" fillId="15" borderId="0">
      <protection locked="0"/>
    </xf>
    <xf numFmtId="0" fontId="24" fillId="0" borderId="10" applyNumberFormat="0" applyFill="0" applyAlignment="0" applyProtection="0"/>
    <xf numFmtId="0" fontId="25" fillId="4" borderId="0" applyNumberFormat="0" applyBorder="0" applyAlignment="0" applyProtection="0"/>
    <xf numFmtId="43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26" fillId="0" borderId="0"/>
    <xf numFmtId="0" fontId="27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16" borderId="11" applyNumberFormat="0" applyFont="0" applyAlignment="0" applyProtection="0"/>
    <xf numFmtId="171" fontId="28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17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29" fillId="0" borderId="0" applyNumberFormat="0" applyFont="0" applyFill="0" applyBorder="0" applyAlignment="0" applyProtection="0">
      <alignment horizontal="left"/>
    </xf>
    <xf numFmtId="0" fontId="30" fillId="0" borderId="5">
      <alignment horizontal="center"/>
    </xf>
    <xf numFmtId="0" fontId="13" fillId="0" borderId="0">
      <alignment vertical="top"/>
    </xf>
    <xf numFmtId="0" fontId="13" fillId="0" borderId="0" applyNumberFormat="0" applyBorder="0" applyAlignment="0"/>
    <xf numFmtId="0" fontId="31" fillId="0" borderId="12" applyNumberFormat="0" applyFill="0" applyAlignment="0" applyProtection="0"/>
  </cellStyleXfs>
  <cellXfs count="133">
    <xf numFmtId="0" fontId="0" fillId="0" borderId="0" xfId="0"/>
    <xf numFmtId="0" fontId="0" fillId="0" borderId="1" xfId="0" applyFill="1" applyBorder="1" applyAlignment="1">
      <alignment horizontal="center" wrapText="1"/>
    </xf>
    <xf numFmtId="0" fontId="4" fillId="0" borderId="0" xfId="4" applyFont="1" applyFill="1" applyBorder="1" applyAlignment="1">
      <alignment horizontal="left"/>
    </xf>
    <xf numFmtId="43" fontId="0" fillId="0" borderId="0" xfId="0" applyNumberFormat="1" applyFill="1" applyBorder="1"/>
    <xf numFmtId="43" fontId="0" fillId="0" borderId="0" xfId="1" applyFont="1" applyFill="1" applyBorder="1"/>
    <xf numFmtId="0" fontId="0" fillId="0" borderId="0" xfId="0"/>
    <xf numFmtId="0" fontId="3" fillId="0" borderId="0" xfId="4" applyFont="1" applyFill="1" applyBorder="1" applyAlignment="1">
      <alignment horizontal="left"/>
    </xf>
    <xf numFmtId="3" fontId="0" fillId="0" borderId="0" xfId="0" applyNumberFormat="1" applyFill="1" applyBorder="1"/>
    <xf numFmtId="43" fontId="0" fillId="0" borderId="0" xfId="1" applyFont="1" applyFill="1" applyBorder="1" applyAlignment="1">
      <alignment horizontal="center" wrapText="1"/>
    </xf>
    <xf numFmtId="167" fontId="0" fillId="0" borderId="0" xfId="1" applyNumberFormat="1" applyFont="1" applyFill="1" applyBorder="1"/>
    <xf numFmtId="167" fontId="0" fillId="0" borderId="0" xfId="1" applyNumberFormat="1" applyFont="1" applyFill="1"/>
    <xf numFmtId="0" fontId="0" fillId="0" borderId="0" xfId="0" applyFill="1"/>
    <xf numFmtId="3" fontId="0" fillId="0" borderId="1" xfId="0" applyNumberFormat="1" applyFill="1" applyBorder="1"/>
    <xf numFmtId="43" fontId="0" fillId="0" borderId="1" xfId="1" applyFont="1" applyFill="1" applyBorder="1"/>
    <xf numFmtId="43" fontId="0" fillId="0" borderId="1" xfId="0" applyNumberFormat="1" applyFill="1" applyBorder="1"/>
    <xf numFmtId="43" fontId="0" fillId="0" borderId="1" xfId="1" applyFont="1" applyFill="1" applyBorder="1" applyAlignment="1">
      <alignment horizontal="center" wrapText="1"/>
    </xf>
    <xf numFmtId="0" fontId="3" fillId="0" borderId="3" xfId="4" applyFont="1" applyFill="1" applyBorder="1" applyAlignment="1">
      <alignment horizontal="left"/>
    </xf>
    <xf numFmtId="43" fontId="0" fillId="0" borderId="3" xfId="0" applyNumberFormat="1" applyFill="1" applyBorder="1"/>
    <xf numFmtId="0" fontId="3" fillId="0" borderId="1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left"/>
    </xf>
    <xf numFmtId="3" fontId="5" fillId="0" borderId="0" xfId="0" applyNumberFormat="1" applyFont="1" applyFill="1" applyBorder="1"/>
    <xf numFmtId="44" fontId="0" fillId="0" borderId="3" xfId="1" applyNumberFormat="1" applyFont="1" applyFill="1" applyBorder="1"/>
    <xf numFmtId="44" fontId="0" fillId="0" borderId="0" xfId="1" applyNumberFormat="1" applyFont="1" applyFill="1" applyBorder="1"/>
    <xf numFmtId="44" fontId="0" fillId="0" borderId="1" xfId="1" applyNumberFormat="1" applyFont="1" applyFill="1" applyBorder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164" fontId="5" fillId="0" borderId="0" xfId="0" applyNumberFormat="1" applyFont="1" applyFill="1" applyBorder="1"/>
    <xf numFmtId="3" fontId="5" fillId="0" borderId="1" xfId="0" applyNumberFormat="1" applyFont="1" applyFill="1" applyBorder="1"/>
    <xf numFmtId="44" fontId="0" fillId="0" borderId="0" xfId="2" applyNumberFormat="1" applyFont="1" applyFill="1" applyBorder="1"/>
    <xf numFmtId="44" fontId="0" fillId="0" borderId="1" xfId="2" applyNumberFormat="1" applyFont="1" applyFill="1" applyBorder="1"/>
    <xf numFmtId="167" fontId="0" fillId="0" borderId="3" xfId="0" applyNumberFormat="1" applyFill="1" applyBorder="1"/>
    <xf numFmtId="167" fontId="0" fillId="0" borderId="0" xfId="0" applyNumberFormat="1" applyFill="1" applyBorder="1"/>
    <xf numFmtId="167" fontId="0" fillId="0" borderId="1" xfId="0" applyNumberFormat="1" applyFill="1" applyBorder="1"/>
    <xf numFmtId="167" fontId="5" fillId="0" borderId="0" xfId="0" applyNumberFormat="1" applyFont="1" applyFill="1" applyBorder="1"/>
    <xf numFmtId="167" fontId="5" fillId="0" borderId="1" xfId="0" applyNumberFormat="1" applyFont="1" applyFill="1" applyBorder="1"/>
    <xf numFmtId="43" fontId="5" fillId="0" borderId="2" xfId="1" applyFont="1" applyFill="1" applyBorder="1" applyAlignment="1">
      <alignment wrapText="1"/>
    </xf>
    <xf numFmtId="0" fontId="6" fillId="0" borderId="2" xfId="4" applyFont="1" applyFill="1" applyBorder="1" applyAlignment="1">
      <alignment horizontal="left"/>
    </xf>
    <xf numFmtId="0" fontId="0" fillId="0" borderId="2" xfId="0" applyFill="1" applyBorder="1" applyAlignment="1">
      <alignment vertical="center" textRotation="90"/>
    </xf>
    <xf numFmtId="0" fontId="6" fillId="0" borderId="2" xfId="4" applyFont="1" applyFill="1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6" fillId="0" borderId="0" xfId="4" applyFont="1" applyFill="1" applyBorder="1" applyAlignment="1">
      <alignment horizontal="center" vertical="center"/>
    </xf>
    <xf numFmtId="164" fontId="0" fillId="0" borderId="3" xfId="1" applyNumberFormat="1" applyFont="1" applyFill="1" applyBorder="1"/>
    <xf numFmtId="164" fontId="5" fillId="0" borderId="1" xfId="0" applyNumberFormat="1" applyFont="1" applyFill="1" applyBorder="1"/>
    <xf numFmtId="164" fontId="0" fillId="0" borderId="0" xfId="1" applyNumberFormat="1" applyFont="1" applyFill="1"/>
    <xf numFmtId="44" fontId="0" fillId="0" borderId="0" xfId="1" applyNumberFormat="1" applyFont="1" applyFill="1" applyBorder="1" applyAlignment="1">
      <alignment horizontal="center" wrapText="1"/>
    </xf>
    <xf numFmtId="44" fontId="5" fillId="0" borderId="2" xfId="1" applyNumberFormat="1" applyFont="1" applyFill="1" applyBorder="1" applyAlignment="1">
      <alignment horizontal="center" wrapText="1"/>
    </xf>
    <xf numFmtId="0" fontId="6" fillId="0" borderId="4" xfId="4" applyFont="1" applyFill="1" applyBorder="1" applyAlignment="1">
      <alignment horizontal="left"/>
    </xf>
    <xf numFmtId="164" fontId="0" fillId="0" borderId="0" xfId="2" applyNumberFormat="1" applyFont="1" applyFill="1" applyBorder="1"/>
    <xf numFmtId="164" fontId="0" fillId="0" borderId="0" xfId="0" applyNumberFormat="1" applyFill="1" applyBorder="1"/>
    <xf numFmtId="0" fontId="0" fillId="0" borderId="1" xfId="0" applyFill="1" applyBorder="1" applyAlignment="1">
      <alignment horizontal="center"/>
    </xf>
    <xf numFmtId="164" fontId="5" fillId="0" borderId="2" xfId="0" applyNumberFormat="1" applyFont="1" applyFill="1" applyBorder="1"/>
    <xf numFmtId="164" fontId="0" fillId="0" borderId="1" xfId="0" applyNumberFormat="1" applyFill="1" applyBorder="1"/>
    <xf numFmtId="164" fontId="5" fillId="0" borderId="2" xfId="1" applyNumberFormat="1" applyFont="1" applyFill="1" applyBorder="1" applyAlignment="1">
      <alignment horizontal="center" wrapText="1"/>
    </xf>
    <xf numFmtId="164" fontId="5" fillId="0" borderId="4" xfId="0" applyNumberFormat="1" applyFont="1" applyFill="1" applyBorder="1"/>
    <xf numFmtId="0" fontId="7" fillId="0" borderId="0" xfId="0" applyFont="1" applyBorder="1"/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textRotation="90"/>
    </xf>
    <xf numFmtId="3" fontId="0" fillId="0" borderId="0" xfId="1" applyNumberFormat="1" applyFont="1" applyFill="1" applyAlignment="1">
      <alignment horizontal="center"/>
    </xf>
    <xf numFmtId="0" fontId="5" fillId="0" borderId="0" xfId="0" applyFont="1" applyFill="1"/>
    <xf numFmtId="0" fontId="34" fillId="0" borderId="0" xfId="0" applyFont="1" applyFill="1"/>
    <xf numFmtId="0" fontId="2" fillId="0" borderId="0" xfId="0" applyFont="1" applyFill="1" applyBorder="1"/>
    <xf numFmtId="168" fontId="2" fillId="0" borderId="0" xfId="1" applyNumberFormat="1" applyFont="1" applyFill="1" applyBorder="1"/>
    <xf numFmtId="0" fontId="0" fillId="0" borderId="1" xfId="0" applyFill="1" applyBorder="1" applyAlignment="1">
      <alignment wrapText="1"/>
    </xf>
    <xf numFmtId="0" fontId="0" fillId="0" borderId="0" xfId="0" applyFill="1" applyAlignment="1">
      <alignment horizontal="right"/>
    </xf>
    <xf numFmtId="10" fontId="0" fillId="0" borderId="0" xfId="3" applyNumberFormat="1" applyFont="1" applyFill="1"/>
    <xf numFmtId="43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 applyAlignment="1">
      <alignment wrapText="1"/>
    </xf>
    <xf numFmtId="43" fontId="0" fillId="0" borderId="0" xfId="1" applyFont="1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43" fontId="5" fillId="0" borderId="2" xfId="1" applyFont="1" applyFill="1" applyBorder="1" applyAlignment="1">
      <alignment horizontal="center" wrapText="1"/>
    </xf>
    <xf numFmtId="167" fontId="5" fillId="0" borderId="2" xfId="0" applyNumberFormat="1" applyFont="1" applyFill="1" applyBorder="1"/>
    <xf numFmtId="3" fontId="5" fillId="0" borderId="4" xfId="0" applyNumberFormat="1" applyFont="1" applyFill="1" applyBorder="1"/>
    <xf numFmtId="0" fontId="0" fillId="0" borderId="4" xfId="0" applyFill="1" applyBorder="1"/>
    <xf numFmtId="2" fontId="0" fillId="0" borderId="4" xfId="0" applyNumberFormat="1" applyFill="1" applyBorder="1"/>
    <xf numFmtId="0" fontId="0" fillId="0" borderId="0" xfId="0" applyFill="1" applyBorder="1" applyAlignment="1">
      <alignment horizontal="right"/>
    </xf>
    <xf numFmtId="44" fontId="0" fillId="0" borderId="0" xfId="2" applyFont="1" applyFill="1" applyBorder="1"/>
    <xf numFmtId="167" fontId="0" fillId="0" borderId="0" xfId="0" applyNumberFormat="1" applyFill="1"/>
    <xf numFmtId="0" fontId="0" fillId="0" borderId="0" xfId="0" applyFill="1" applyBorder="1"/>
    <xf numFmtId="10" fontId="0" fillId="0" borderId="0" xfId="3" applyNumberFormat="1" applyFont="1" applyFill="1" applyBorder="1"/>
    <xf numFmtId="0" fontId="0" fillId="0" borderId="0" xfId="0" applyFill="1" applyBorder="1" applyAlignment="1">
      <alignment horizontal="right" wrapText="1"/>
    </xf>
    <xf numFmtId="0" fontId="0" fillId="0" borderId="0" xfId="0" applyFill="1" applyBorder="1" applyAlignment="1">
      <alignment horizontal="center" wrapText="1"/>
    </xf>
    <xf numFmtId="44" fontId="0" fillId="0" borderId="0" xfId="0" applyNumberFormat="1" applyFill="1" applyBorder="1"/>
    <xf numFmtId="165" fontId="0" fillId="0" borderId="0" xfId="2" applyNumberFormat="1" applyFont="1" applyFill="1" applyBorder="1"/>
    <xf numFmtId="0" fontId="0" fillId="0" borderId="0" xfId="0" applyFill="1" applyBorder="1" applyAlignment="1">
      <alignment vertical="center" textRotation="90"/>
    </xf>
    <xf numFmtId="0" fontId="0" fillId="0" borderId="1" xfId="0" applyFill="1" applyBorder="1" applyAlignment="1">
      <alignment vertical="center" textRotation="90"/>
    </xf>
    <xf numFmtId="167" fontId="5" fillId="0" borderId="2" xfId="1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164" fontId="5" fillId="0" borderId="2" xfId="1" applyNumberFormat="1" applyFont="1" applyFill="1" applyBorder="1"/>
    <xf numFmtId="0" fontId="0" fillId="0" borderId="1" xfId="0" applyFill="1" applyBorder="1"/>
    <xf numFmtId="0" fontId="6" fillId="0" borderId="1" xfId="4" applyFont="1" applyFill="1" applyBorder="1" applyAlignment="1">
      <alignment horizontal="left"/>
    </xf>
    <xf numFmtId="0" fontId="35" fillId="0" borderId="0" xfId="4" applyFont="1" applyFill="1" applyBorder="1" applyAlignment="1">
      <alignment horizontal="left"/>
    </xf>
    <xf numFmtId="0" fontId="0" fillId="0" borderId="0" xfId="2" applyNumberFormat="1" applyFont="1" applyFill="1" applyBorder="1"/>
    <xf numFmtId="172" fontId="0" fillId="0" borderId="0" xfId="3" applyNumberFormat="1" applyFont="1" applyFill="1"/>
    <xf numFmtId="173" fontId="0" fillId="0" borderId="0" xfId="3" applyNumberFormat="1" applyFont="1" applyFill="1"/>
    <xf numFmtId="174" fontId="0" fillId="0" borderId="0" xfId="1" applyNumberFormat="1" applyFont="1" applyFill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3" fontId="0" fillId="0" borderId="0" xfId="1" applyFont="1" applyFill="1"/>
    <xf numFmtId="0" fontId="0" fillId="0" borderId="0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textRotation="90"/>
    </xf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3" fontId="0" fillId="0" borderId="3" xfId="0" applyNumberFormat="1" applyFill="1" applyBorder="1"/>
    <xf numFmtId="0" fontId="0" fillId="0" borderId="2" xfId="0" applyFill="1" applyBorder="1" applyAlignment="1">
      <alignment horizontal="center"/>
    </xf>
    <xf numFmtId="44" fontId="0" fillId="0" borderId="1" xfId="1" applyNumberFormat="1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3" fillId="0" borderId="0" xfId="4" applyFill="1" applyAlignment="1">
      <alignment horizontal="left"/>
    </xf>
    <xf numFmtId="0" fontId="0" fillId="0" borderId="0" xfId="0" applyFill="1" applyBorder="1" applyAlignment="1">
      <alignment horizontal="left"/>
    </xf>
    <xf numFmtId="166" fontId="0" fillId="0" borderId="0" xfId="0" applyNumberFormat="1" applyFill="1" applyBorder="1"/>
    <xf numFmtId="0" fontId="0" fillId="0" borderId="0" xfId="0" applyFont="1" applyFill="1"/>
    <xf numFmtId="43" fontId="0" fillId="0" borderId="0" xfId="1" applyFont="1" applyFill="1" applyAlignment="1">
      <alignment horizontal="center"/>
    </xf>
    <xf numFmtId="0" fontId="5" fillId="0" borderId="1" xfId="0" applyFont="1" applyFill="1" applyBorder="1"/>
    <xf numFmtId="0" fontId="0" fillId="0" borderId="0" xfId="0" applyFill="1" applyBorder="1" applyAlignment="1"/>
    <xf numFmtId="44" fontId="0" fillId="0" borderId="0" xfId="2" applyFont="1" applyFill="1"/>
    <xf numFmtId="165" fontId="0" fillId="0" borderId="0" xfId="2" applyNumberFormat="1" applyFont="1" applyFill="1"/>
    <xf numFmtId="169" fontId="0" fillId="0" borderId="0" xfId="0" applyNumberFormat="1" applyFill="1"/>
    <xf numFmtId="44" fontId="0" fillId="0" borderId="1" xfId="2" applyFont="1" applyFill="1" applyBorder="1"/>
    <xf numFmtId="165" fontId="0" fillId="0" borderId="1" xfId="2" applyNumberFormat="1" applyFont="1" applyFill="1" applyBorder="1"/>
    <xf numFmtId="44" fontId="0" fillId="0" borderId="0" xfId="0" applyNumberFormat="1" applyFill="1"/>
    <xf numFmtId="43" fontId="0" fillId="0" borderId="1" xfId="1" applyNumberFormat="1" applyFont="1" applyFill="1" applyBorder="1"/>
    <xf numFmtId="44" fontId="5" fillId="0" borderId="0" xfId="0" applyNumberFormat="1" applyFont="1" applyFill="1"/>
    <xf numFmtId="0" fontId="5" fillId="0" borderId="1" xfId="0" applyFont="1" applyFill="1" applyBorder="1" applyAlignment="1">
      <alignment horizontal="left"/>
    </xf>
    <xf numFmtId="44" fontId="5" fillId="0" borderId="1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 textRotation="90"/>
    </xf>
    <xf numFmtId="0" fontId="5" fillId="0" borderId="13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textRotation="90"/>
    </xf>
  </cellXfs>
  <cellStyles count="129">
    <cellStyle name="20% - Accent1 2" xfId="7"/>
    <cellStyle name="20% - Accent4 2" xfId="8"/>
    <cellStyle name="40% - Accent1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Accent1 2" xfId="18"/>
    <cellStyle name="Accent2 2" xfId="19"/>
    <cellStyle name="Accent3 2" xfId="20"/>
    <cellStyle name="Accent6 2" xfId="21"/>
    <cellStyle name="Accounting" xfId="22"/>
    <cellStyle name="Bad 2" xfId="23"/>
    <cellStyle name="Budget" xfId="24"/>
    <cellStyle name="Calculation 2" xfId="25"/>
    <cellStyle name="Comma" xfId="1" builtinId="3"/>
    <cellStyle name="Comma 10" xfId="26"/>
    <cellStyle name="Comma 11" xfId="27"/>
    <cellStyle name="Comma 12" xfId="28"/>
    <cellStyle name="Comma 13" xfId="29"/>
    <cellStyle name="Comma 14" xfId="30"/>
    <cellStyle name="Comma 15" xfId="31"/>
    <cellStyle name="Comma 16" xfId="32"/>
    <cellStyle name="Comma 17" xfId="33"/>
    <cellStyle name="Comma 2" xfId="5"/>
    <cellStyle name="Comma 2 2" xfId="34"/>
    <cellStyle name="Comma 2 3" xfId="35"/>
    <cellStyle name="Comma 3" xfId="36"/>
    <cellStyle name="Comma 3 2" xfId="37"/>
    <cellStyle name="Comma 3 2 2" xfId="38"/>
    <cellStyle name="Comma 3 3" xfId="39"/>
    <cellStyle name="Comma 4" xfId="40"/>
    <cellStyle name="Comma 4 2" xfId="41"/>
    <cellStyle name="Comma 4 3" xfId="42"/>
    <cellStyle name="Comma 4 4" xfId="43"/>
    <cellStyle name="Comma 4 5" xfId="44"/>
    <cellStyle name="Comma 5" xfId="45"/>
    <cellStyle name="Comma 6" xfId="46"/>
    <cellStyle name="Comma 7" xfId="47"/>
    <cellStyle name="Comma 8" xfId="48"/>
    <cellStyle name="Comma 9" xfId="49"/>
    <cellStyle name="Comma(2)" xfId="50"/>
    <cellStyle name="Comma0 - Style2" xfId="51"/>
    <cellStyle name="Comma1 - Style1" xfId="52"/>
    <cellStyle name="Comments" xfId="53"/>
    <cellStyle name="Currency" xfId="2" builtinId="4"/>
    <cellStyle name="Currency 2" xfId="6"/>
    <cellStyle name="Currency 2 2" xfId="54"/>
    <cellStyle name="Currency 3" xfId="55"/>
    <cellStyle name="Currency 4" xfId="56"/>
    <cellStyle name="Currency 5" xfId="57"/>
    <cellStyle name="Currency 6" xfId="58"/>
    <cellStyle name="Currency 7" xfId="59"/>
    <cellStyle name="Currency 9" xfId="60"/>
    <cellStyle name="Data Enter" xfId="61"/>
    <cellStyle name="FactSheet" xfId="62"/>
    <cellStyle name="Good 2" xfId="63"/>
    <cellStyle name="Heading 1 2" xfId="64"/>
    <cellStyle name="Heading 2 2" xfId="65"/>
    <cellStyle name="Heading 3 2" xfId="66"/>
    <cellStyle name="Hyperlink 2" xfId="67"/>
    <cellStyle name="Hyperlink 3" xfId="68"/>
    <cellStyle name="input(0)" xfId="69"/>
    <cellStyle name="Input(2)" xfId="70"/>
    <cellStyle name="Linked Cell 2" xfId="71"/>
    <cellStyle name="Neutral 2" xfId="72"/>
    <cellStyle name="New_normal" xfId="73"/>
    <cellStyle name="Normal" xfId="0" builtinId="0"/>
    <cellStyle name="Normal - Style1" xfId="74"/>
    <cellStyle name="Normal - Style2" xfId="75"/>
    <cellStyle name="Normal - Style3" xfId="76"/>
    <cellStyle name="Normal - Style4" xfId="77"/>
    <cellStyle name="Normal - Style5" xfId="78"/>
    <cellStyle name="Normal 10" xfId="79"/>
    <cellStyle name="Normal 10 2" xfId="80"/>
    <cellStyle name="Normal 11" xfId="81"/>
    <cellStyle name="Normal 12" xfId="82"/>
    <cellStyle name="Normal 13" xfId="83"/>
    <cellStyle name="Normal 14" xfId="84"/>
    <cellStyle name="Normal 15" xfId="85"/>
    <cellStyle name="Normal 16" xfId="86"/>
    <cellStyle name="Normal 17" xfId="87"/>
    <cellStyle name="Normal 18" xfId="88"/>
    <cellStyle name="Normal 19" xfId="89"/>
    <cellStyle name="Normal 2" xfId="90"/>
    <cellStyle name="Normal 2 2" xfId="91"/>
    <cellStyle name="Normal 2 2 2" xfId="92"/>
    <cellStyle name="Normal 2 2 3" xfId="93"/>
    <cellStyle name="Normal 2 2_IS210PL" xfId="94"/>
    <cellStyle name="Normal 2 3" xfId="95"/>
    <cellStyle name="Normal 2 3 2" xfId="96"/>
    <cellStyle name="Normal 2 3 3" xfId="97"/>
    <cellStyle name="Normal 2 4" xfId="98"/>
    <cellStyle name="Normal 2 5" xfId="99"/>
    <cellStyle name="Normal 2_2180 Payroll Schedule 8-22-2011" xfId="100"/>
    <cellStyle name="Normal 20" xfId="101"/>
    <cellStyle name="Normal 3" xfId="102"/>
    <cellStyle name="Normal 3 2" xfId="103"/>
    <cellStyle name="Normal 3_2149 Depr 9-30-12" xfId="104"/>
    <cellStyle name="Normal 4" xfId="105"/>
    <cellStyle name="Normal 5" xfId="106"/>
    <cellStyle name="Normal 5 2" xfId="107"/>
    <cellStyle name="Normal 5_2183 UTC Depreciation 3 31 2012 Heather 6-6-2012" xfId="108"/>
    <cellStyle name="Normal 6" xfId="109"/>
    <cellStyle name="Normal 7" xfId="110"/>
    <cellStyle name="Normal 8" xfId="111"/>
    <cellStyle name="Normal 9" xfId="112"/>
    <cellStyle name="Normal_Price out" xfId="4"/>
    <cellStyle name="Note 2" xfId="113"/>
    <cellStyle name="Notes" xfId="114"/>
    <cellStyle name="Percent" xfId="3" builtinId="5"/>
    <cellStyle name="Percent 2" xfId="115"/>
    <cellStyle name="Percent 2 2" xfId="116"/>
    <cellStyle name="Percent 3" xfId="117"/>
    <cellStyle name="Percent 4" xfId="118"/>
    <cellStyle name="Percent 4 2" xfId="119"/>
    <cellStyle name="Percent 7" xfId="120"/>
    <cellStyle name="Percent(1)" xfId="121"/>
    <cellStyle name="Percent(2)" xfId="122"/>
    <cellStyle name="PRM" xfId="123"/>
    <cellStyle name="PSChar" xfId="124"/>
    <cellStyle name="PSHeading" xfId="125"/>
    <cellStyle name="Style 1" xfId="126"/>
    <cellStyle name="STYLE1" xfId="127"/>
    <cellStyle name="Total 2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CNX%20Stuff\Excel\Financials\Excel%20Financials\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zoomScaleNormal="100" workbookViewId="0">
      <selection activeCell="K27" sqref="K27"/>
    </sheetView>
  </sheetViews>
  <sheetFormatPr defaultRowHeight="14.4"/>
  <sheetData>
    <row r="2" spans="1:3">
      <c r="A2" s="56" t="s">
        <v>59</v>
      </c>
    </row>
    <row r="4" spans="1:3">
      <c r="B4" t="s">
        <v>60</v>
      </c>
    </row>
    <row r="5" spans="1:3">
      <c r="C5" t="s">
        <v>70</v>
      </c>
    </row>
    <row r="6" spans="1:3">
      <c r="C6" t="s">
        <v>61</v>
      </c>
    </row>
    <row r="7" spans="1:3" s="5" customFormat="1">
      <c r="C7" s="5" t="s">
        <v>71</v>
      </c>
    </row>
    <row r="8" spans="1:3" s="5" customFormat="1"/>
    <row r="9" spans="1:3" s="5" customFormat="1">
      <c r="B9" s="5" t="s">
        <v>74</v>
      </c>
    </row>
    <row r="10" spans="1:3" s="5" customFormat="1">
      <c r="C10" s="5" t="s">
        <v>75</v>
      </c>
    </row>
    <row r="11" spans="1:3" s="5" customFormat="1"/>
    <row r="12" spans="1:3">
      <c r="B12" t="s">
        <v>76</v>
      </c>
    </row>
    <row r="13" spans="1:3" s="5" customFormat="1">
      <c r="C13" s="5" t="s">
        <v>72</v>
      </c>
    </row>
    <row r="14" spans="1:3" s="5" customFormat="1">
      <c r="C14" s="5" t="s">
        <v>77</v>
      </c>
    </row>
    <row r="15" spans="1:3">
      <c r="C15" t="s">
        <v>73</v>
      </c>
    </row>
    <row r="17" spans="2:3">
      <c r="B17" t="s">
        <v>64</v>
      </c>
    </row>
    <row r="18" spans="2:3">
      <c r="C18" t="s">
        <v>62</v>
      </c>
    </row>
    <row r="19" spans="2:3">
      <c r="C19" t="s">
        <v>63</v>
      </c>
    </row>
    <row r="21" spans="2:3">
      <c r="B21" t="s">
        <v>65</v>
      </c>
    </row>
    <row r="22" spans="2:3">
      <c r="C22" t="s">
        <v>67</v>
      </c>
    </row>
    <row r="23" spans="2:3">
      <c r="C23" t="s">
        <v>66</v>
      </c>
    </row>
    <row r="24" spans="2:3">
      <c r="C24" t="s">
        <v>68</v>
      </c>
    </row>
    <row r="25" spans="2:3">
      <c r="C25" t="s">
        <v>69</v>
      </c>
    </row>
    <row r="27" spans="2:3">
      <c r="B27" t="s">
        <v>79</v>
      </c>
    </row>
  </sheetData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7" zoomScaleNormal="100" workbookViewId="0">
      <selection activeCell="C22" sqref="C22"/>
    </sheetView>
  </sheetViews>
  <sheetFormatPr defaultRowHeight="14.4"/>
  <cols>
    <col min="1" max="1" width="37" style="11" customWidth="1"/>
    <col min="2" max="2" width="12.109375" style="11" customWidth="1"/>
    <col min="3" max="3" width="9.33203125" style="11" bestFit="1" customWidth="1"/>
    <col min="4" max="4" width="6.6640625" style="11" customWidth="1"/>
    <col min="5" max="5" width="10.88671875" style="11" customWidth="1"/>
    <col min="6" max="6" width="9" style="11" bestFit="1" customWidth="1"/>
    <col min="7" max="16384" width="8.88671875" style="11"/>
  </cols>
  <sheetData>
    <row r="1" spans="1:9">
      <c r="A1" s="61" t="s">
        <v>80</v>
      </c>
    </row>
    <row r="2" spans="1:9">
      <c r="A2" s="61" t="s">
        <v>9</v>
      </c>
    </row>
    <row r="3" spans="1:9">
      <c r="A3" s="61"/>
    </row>
    <row r="4" spans="1:9">
      <c r="A4" s="61"/>
      <c r="D4" s="127" t="s">
        <v>18</v>
      </c>
      <c r="E4" s="127"/>
      <c r="F4" s="127"/>
      <c r="G4" s="127"/>
    </row>
    <row r="5" spans="1:9">
      <c r="D5" s="51" t="s">
        <v>47</v>
      </c>
      <c r="E5" s="51" t="s">
        <v>48</v>
      </c>
      <c r="F5" s="51" t="s">
        <v>49</v>
      </c>
      <c r="G5" s="51" t="s">
        <v>53</v>
      </c>
    </row>
    <row r="6" spans="1:9">
      <c r="A6" s="113" t="s">
        <v>46</v>
      </c>
      <c r="D6" s="114">
        <f>52*2/12</f>
        <v>8.6666666666666661</v>
      </c>
      <c r="E6" s="114">
        <f>D6*2</f>
        <v>17.333333333333332</v>
      </c>
      <c r="F6" s="114">
        <f>D6*3</f>
        <v>26</v>
      </c>
      <c r="G6" s="114">
        <f>D6*4</f>
        <v>34.666666666666664</v>
      </c>
    </row>
    <row r="7" spans="1:9">
      <c r="A7" s="11" t="s">
        <v>21</v>
      </c>
      <c r="D7" s="114">
        <f>52/12</f>
        <v>4.333333333333333</v>
      </c>
      <c r="E7" s="114">
        <f t="shared" ref="E7:E9" si="0">D7*2</f>
        <v>8.6666666666666661</v>
      </c>
      <c r="F7" s="114">
        <f t="shared" ref="F7:F9" si="1">D7*3</f>
        <v>13</v>
      </c>
      <c r="G7" s="114">
        <f t="shared" ref="G7:G9" si="2">D7*4</f>
        <v>17.333333333333332</v>
      </c>
    </row>
    <row r="8" spans="1:9">
      <c r="A8" s="11" t="s">
        <v>23</v>
      </c>
      <c r="D8" s="114">
        <f>26/12</f>
        <v>2.1666666666666665</v>
      </c>
      <c r="E8" s="114">
        <f t="shared" si="0"/>
        <v>4.333333333333333</v>
      </c>
      <c r="F8" s="114">
        <f t="shared" si="1"/>
        <v>6.5</v>
      </c>
      <c r="G8" s="114">
        <f t="shared" si="2"/>
        <v>8.6666666666666661</v>
      </c>
    </row>
    <row r="9" spans="1:9">
      <c r="A9" s="11" t="s">
        <v>22</v>
      </c>
      <c r="D9" s="114">
        <f>12/12</f>
        <v>1</v>
      </c>
      <c r="E9" s="114">
        <f t="shared" si="0"/>
        <v>2</v>
      </c>
      <c r="F9" s="114">
        <f t="shared" si="1"/>
        <v>3</v>
      </c>
      <c r="G9" s="114">
        <f t="shared" si="2"/>
        <v>4</v>
      </c>
    </row>
    <row r="11" spans="1:9">
      <c r="A11" s="11" t="s">
        <v>19</v>
      </c>
      <c r="B11" s="60">
        <v>2000</v>
      </c>
    </row>
    <row r="12" spans="1:9">
      <c r="A12" s="11" t="s">
        <v>20</v>
      </c>
      <c r="B12" s="104" t="s">
        <v>50</v>
      </c>
    </row>
    <row r="14" spans="1:9">
      <c r="A14" s="115" t="s">
        <v>54</v>
      </c>
      <c r="B14" s="51" t="s">
        <v>6</v>
      </c>
      <c r="C14" s="92" t="s">
        <v>7</v>
      </c>
      <c r="E14" s="115" t="s">
        <v>26</v>
      </c>
      <c r="F14" s="92"/>
      <c r="I14" s="116"/>
    </row>
    <row r="15" spans="1:9">
      <c r="A15" s="11" t="s">
        <v>55</v>
      </c>
      <c r="B15" s="117">
        <v>110</v>
      </c>
      <c r="C15" s="118">
        <f>B15/2000</f>
        <v>5.5E-2</v>
      </c>
      <c r="E15" s="11" t="s">
        <v>27</v>
      </c>
      <c r="F15" s="119">
        <f>0.015</f>
        <v>1.4999999999999999E-2</v>
      </c>
      <c r="I15" s="81"/>
    </row>
    <row r="16" spans="1:9">
      <c r="A16" s="11" t="s">
        <v>56</v>
      </c>
      <c r="B16" s="120">
        <v>114</v>
      </c>
      <c r="C16" s="121">
        <f>B16/2000</f>
        <v>5.7000000000000002E-2</v>
      </c>
      <c r="E16" s="11" t="s">
        <v>142</v>
      </c>
      <c r="F16" s="11">
        <v>1.15E-3</v>
      </c>
    </row>
    <row r="17" spans="1:6">
      <c r="A17" s="11" t="s">
        <v>8</v>
      </c>
      <c r="B17" s="117">
        <f>B16-B15</f>
        <v>4</v>
      </c>
      <c r="C17" s="118">
        <f>C16-C15</f>
        <v>2.0000000000000018E-3</v>
      </c>
      <c r="E17" s="11" t="s">
        <v>28</v>
      </c>
      <c r="F17" s="92">
        <v>5.1000000000000004E-3</v>
      </c>
    </row>
    <row r="18" spans="1:6">
      <c r="E18" s="11" t="s">
        <v>16</v>
      </c>
      <c r="F18" s="119">
        <f>SUM(F15:F17)</f>
        <v>2.1249999999999998E-2</v>
      </c>
    </row>
    <row r="19" spans="1:6">
      <c r="E19" s="11" t="s">
        <v>29</v>
      </c>
      <c r="F19" s="119">
        <f>1-F18</f>
        <v>0.97875000000000001</v>
      </c>
    </row>
    <row r="20" spans="1:6">
      <c r="A20" s="11" t="s">
        <v>4</v>
      </c>
      <c r="B20" s="122">
        <f>B17</f>
        <v>4</v>
      </c>
      <c r="C20" s="122"/>
    </row>
    <row r="21" spans="1:6">
      <c r="A21" s="11" t="s">
        <v>25</v>
      </c>
      <c r="B21" s="122">
        <f>B20/F19</f>
        <v>4.0868454661558111</v>
      </c>
      <c r="E21" s="11" t="s">
        <v>81</v>
      </c>
    </row>
    <row r="22" spans="1:6">
      <c r="A22" s="11" t="s">
        <v>24</v>
      </c>
      <c r="B22" s="123">
        <f>+'Staff Calcs '!E144</f>
        <v>12306.58</v>
      </c>
      <c r="C22" s="62"/>
    </row>
    <row r="23" spans="1:6">
      <c r="A23" s="61" t="s">
        <v>30</v>
      </c>
      <c r="B23" s="124">
        <f>B21*B22</f>
        <v>50295.090676883781</v>
      </c>
    </row>
    <row r="25" spans="1:6">
      <c r="A25" s="11" t="s">
        <v>51</v>
      </c>
      <c r="B25" s="120">
        <f>+'Staff Calcs '!S74</f>
        <v>50338.718399999998</v>
      </c>
    </row>
    <row r="26" spans="1:6">
      <c r="A26" s="111" t="s">
        <v>12</v>
      </c>
      <c r="B26" s="122">
        <f>B25-B23</f>
        <v>43.627723116216657</v>
      </c>
    </row>
    <row r="27" spans="1:6">
      <c r="E27" s="125" t="s">
        <v>58</v>
      </c>
      <c r="F27" s="92"/>
    </row>
    <row r="28" spans="1:6">
      <c r="A28" s="61" t="s">
        <v>52</v>
      </c>
      <c r="B28" s="126">
        <f>'Staff Calcs '!U74</f>
        <v>50338.718399999998</v>
      </c>
      <c r="E28" s="11">
        <v>0.01</v>
      </c>
    </row>
    <row r="29" spans="1:6">
      <c r="A29" s="111" t="s">
        <v>12</v>
      </c>
      <c r="B29" s="122">
        <f>B28-B23</f>
        <v>43.627723116216657</v>
      </c>
      <c r="C29" s="67">
        <f>B29/B23</f>
        <v>8.6743502256510447E-4</v>
      </c>
    </row>
  </sheetData>
  <mergeCells count="1">
    <mergeCell ref="D4:G4"/>
  </mergeCells>
  <pageMargins left="0.28000000000000003" right="0.52" top="0.75" bottom="0.75" header="0.3" footer="0.3"/>
  <pageSetup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58"/>
  <sheetViews>
    <sheetView tabSelected="1" zoomScaleNormal="100" workbookViewId="0">
      <pane xSplit="4" ySplit="5" topLeftCell="K57" activePane="bottomRight" state="frozen"/>
      <selection pane="topRight" activeCell="D1" sqref="D1"/>
      <selection pane="bottomLeft" activeCell="A6" sqref="A6"/>
      <selection pane="bottomRight" activeCell="Q7" sqref="Q7"/>
    </sheetView>
  </sheetViews>
  <sheetFormatPr defaultColWidth="8.88671875" defaultRowHeight="14.4"/>
  <cols>
    <col min="1" max="1" width="4.5546875" style="11" bestFit="1" customWidth="1"/>
    <col min="2" max="2" width="7.33203125" style="104" customWidth="1"/>
    <col min="3" max="3" width="8.5546875" style="104" bestFit="1" customWidth="1"/>
    <col min="4" max="4" width="27" style="11" bestFit="1" customWidth="1"/>
    <col min="5" max="5" width="14.109375" style="11" customWidth="1"/>
    <col min="6" max="6" width="10.33203125" style="11" customWidth="1"/>
    <col min="7" max="7" width="10.109375" style="11" customWidth="1"/>
    <col min="8" max="8" width="13.44140625" style="11" bestFit="1" customWidth="1"/>
    <col min="9" max="9" width="15.6640625" style="11" bestFit="1" customWidth="1"/>
    <col min="10" max="10" width="14.109375" style="11" bestFit="1" customWidth="1"/>
    <col min="11" max="11" width="11.33203125" style="11" customWidth="1"/>
    <col min="12" max="12" width="12.109375" style="11" customWidth="1"/>
    <col min="13" max="13" width="9.109375" style="11" customWidth="1"/>
    <col min="14" max="15" width="10.33203125" style="11" customWidth="1"/>
    <col min="16" max="16" width="10.5546875" style="11" customWidth="1"/>
    <col min="17" max="18" width="11.5546875" style="11" bestFit="1" customWidth="1"/>
    <col min="19" max="19" width="10.6640625" style="11" bestFit="1" customWidth="1"/>
    <col min="20" max="20" width="11.5546875" style="11" bestFit="1" customWidth="1"/>
    <col min="21" max="21" width="8.88671875" style="11" bestFit="1" customWidth="1"/>
    <col min="22" max="16384" width="8.88671875" style="11"/>
  </cols>
  <sheetData>
    <row r="1" spans="1:21">
      <c r="D1" s="61" t="s">
        <v>80</v>
      </c>
      <c r="K1" s="63"/>
      <c r="L1" s="64"/>
      <c r="M1" s="64"/>
      <c r="O1" s="66"/>
    </row>
    <row r="2" spans="1:21" ht="15" thickBot="1">
      <c r="D2" s="61" t="s">
        <v>148</v>
      </c>
      <c r="K2" s="63"/>
      <c r="L2" s="64"/>
      <c r="M2" s="64"/>
      <c r="N2" s="96"/>
      <c r="R2" s="98"/>
    </row>
    <row r="3" spans="1:21">
      <c r="D3" s="61"/>
      <c r="K3" s="63"/>
      <c r="L3" s="64"/>
      <c r="M3" s="64"/>
      <c r="N3" s="97"/>
      <c r="O3" s="129" t="s">
        <v>104</v>
      </c>
    </row>
    <row r="4" spans="1:21" ht="15" thickBot="1">
      <c r="K4" s="63"/>
      <c r="L4" s="63"/>
      <c r="M4" s="63"/>
      <c r="O4" s="130"/>
    </row>
    <row r="5" spans="1:21" ht="43.2">
      <c r="A5" s="92"/>
      <c r="B5" s="1" t="s">
        <v>78</v>
      </c>
      <c r="C5" s="1" t="s">
        <v>15</v>
      </c>
      <c r="D5" s="105" t="s">
        <v>17</v>
      </c>
      <c r="E5" s="65" t="s">
        <v>43</v>
      </c>
      <c r="F5" s="1" t="s">
        <v>0</v>
      </c>
      <c r="G5" s="1" t="s">
        <v>1</v>
      </c>
      <c r="H5" s="1" t="s">
        <v>10</v>
      </c>
      <c r="I5" s="1" t="s">
        <v>34</v>
      </c>
      <c r="J5" s="1" t="s">
        <v>35</v>
      </c>
      <c r="K5" s="1" t="s">
        <v>8</v>
      </c>
      <c r="L5" s="1" t="s">
        <v>2</v>
      </c>
      <c r="M5" s="1" t="s">
        <v>44</v>
      </c>
      <c r="N5" s="1" t="s">
        <v>40</v>
      </c>
      <c r="O5" s="1" t="s">
        <v>37</v>
      </c>
      <c r="P5" s="1" t="s">
        <v>38</v>
      </c>
      <c r="Q5" s="1" t="s">
        <v>41</v>
      </c>
      <c r="R5" s="1" t="s">
        <v>39</v>
      </c>
      <c r="S5" s="1" t="s">
        <v>45</v>
      </c>
      <c r="T5" s="1" t="s">
        <v>42</v>
      </c>
      <c r="U5" s="1" t="s">
        <v>57</v>
      </c>
    </row>
    <row r="6" spans="1:21" ht="14.4" customHeight="1">
      <c r="A6" s="131" t="s">
        <v>13</v>
      </c>
      <c r="B6" s="57">
        <v>100</v>
      </c>
      <c r="C6" s="57" t="s">
        <v>137</v>
      </c>
      <c r="D6" s="6" t="s">
        <v>88</v>
      </c>
      <c r="E6" s="7">
        <v>23</v>
      </c>
      <c r="F6" s="4">
        <f>References!$D$7</f>
        <v>4.333333333333333</v>
      </c>
      <c r="G6" s="32">
        <f>E6*F6*12</f>
        <v>1196</v>
      </c>
      <c r="H6" s="3">
        <v>20</v>
      </c>
      <c r="I6" s="3">
        <f>G6*H6</f>
        <v>23920</v>
      </c>
      <c r="J6" s="8">
        <f t="shared" ref="J6:J15" si="0">$E$147*I6</f>
        <v>14182.531784970037</v>
      </c>
      <c r="K6" s="23">
        <f>References!$C$17*J6</f>
        <v>28.365063569940098</v>
      </c>
      <c r="L6" s="29">
        <f>K6/References!$F$19</f>
        <v>28.980907862007761</v>
      </c>
      <c r="M6" s="29">
        <f>L6/G6*F6</f>
        <v>0.10500328935510057</v>
      </c>
      <c r="N6" s="23">
        <v>11</v>
      </c>
      <c r="O6" s="29">
        <f>MROUND(N6+M6,References!$E$28)</f>
        <v>11.11</v>
      </c>
      <c r="P6" s="23">
        <f>O6</f>
        <v>11.11</v>
      </c>
      <c r="Q6" s="25">
        <f>E6*N6*12</f>
        <v>3036</v>
      </c>
      <c r="R6" s="25">
        <f>E6*P6*12</f>
        <v>3066.3599999999997</v>
      </c>
      <c r="S6" s="25">
        <f>R6-Q6</f>
        <v>30.359999999999673</v>
      </c>
      <c r="T6" s="25">
        <f>E6*O6*12</f>
        <v>3066.3599999999997</v>
      </c>
      <c r="U6" s="50">
        <f>T6-Q6</f>
        <v>30.359999999999673</v>
      </c>
    </row>
    <row r="7" spans="1:21" ht="14.4" customHeight="1">
      <c r="A7" s="128"/>
      <c r="B7" s="57">
        <v>100</v>
      </c>
      <c r="C7" s="57" t="s">
        <v>137</v>
      </c>
      <c r="D7" s="6" t="s">
        <v>129</v>
      </c>
      <c r="E7" s="7">
        <v>1</v>
      </c>
      <c r="F7" s="4">
        <v>1</v>
      </c>
      <c r="G7" s="32">
        <f t="shared" ref="G7:G15" si="1">E7*F7*12</f>
        <v>12</v>
      </c>
      <c r="H7" s="3">
        <v>20</v>
      </c>
      <c r="I7" s="3">
        <f>G7*H7</f>
        <v>240</v>
      </c>
      <c r="J7" s="8">
        <f t="shared" si="0"/>
        <v>142.29965001642177</v>
      </c>
      <c r="K7" s="23">
        <f>References!$C$17*J7</f>
        <v>0.28459930003284378</v>
      </c>
      <c r="L7" s="29">
        <f>K7/References!$F$19</f>
        <v>0.29077833975258621</v>
      </c>
      <c r="M7" s="29">
        <f>L7/G7*F7</f>
        <v>2.4231528312715519E-2</v>
      </c>
      <c r="N7" s="23">
        <v>6.06</v>
      </c>
      <c r="O7" s="29">
        <f>MROUND(N7+M7,References!$E$28)</f>
        <v>6.08</v>
      </c>
      <c r="P7" s="23">
        <f t="shared" ref="P7:P15" si="2">O7</f>
        <v>6.08</v>
      </c>
      <c r="Q7" s="25">
        <f t="shared" ref="Q7:Q15" si="3">E7*N7*12</f>
        <v>72.72</v>
      </c>
      <c r="R7" s="25">
        <f t="shared" ref="R7:R15" si="4">E7*P7*12</f>
        <v>72.960000000000008</v>
      </c>
      <c r="S7" s="25">
        <f t="shared" ref="S7:S15" si="5">R7-Q7</f>
        <v>0.24000000000000909</v>
      </c>
      <c r="T7" s="25">
        <f t="shared" ref="T7:T15" si="6">E7*O7*12</f>
        <v>72.960000000000008</v>
      </c>
      <c r="U7" s="50">
        <f t="shared" ref="U7:U15" si="7">T7-Q7</f>
        <v>0.24000000000000909</v>
      </c>
    </row>
    <row r="8" spans="1:21" ht="15" customHeight="1">
      <c r="A8" s="128"/>
      <c r="B8" s="57">
        <v>100</v>
      </c>
      <c r="C8" s="57" t="s">
        <v>137</v>
      </c>
      <c r="D8" s="6" t="s">
        <v>83</v>
      </c>
      <c r="E8" s="7">
        <v>2910</v>
      </c>
      <c r="F8" s="4">
        <f>References!$D$7</f>
        <v>4.333333333333333</v>
      </c>
      <c r="G8" s="32">
        <f t="shared" si="1"/>
        <v>151320</v>
      </c>
      <c r="H8" s="3">
        <v>34</v>
      </c>
      <c r="I8" s="3">
        <f t="shared" ref="I8:I15" si="8">G8*H8</f>
        <v>5144880</v>
      </c>
      <c r="J8" s="8">
        <f t="shared" si="0"/>
        <v>3050477.5974020334</v>
      </c>
      <c r="K8" s="23">
        <f>References!$C$17*J8</f>
        <v>6100.9551948040726</v>
      </c>
      <c r="L8" s="29">
        <f>K8/References!$F$19</f>
        <v>6233.4152692761918</v>
      </c>
      <c r="M8" s="29">
        <f t="shared" ref="M8:M15" si="9">L8/G8*F8</f>
        <v>0.17850559190367102</v>
      </c>
      <c r="N8" s="23">
        <v>14.25</v>
      </c>
      <c r="O8" s="29">
        <f>MROUND(N8+M8,References!$E$28)</f>
        <v>14.43</v>
      </c>
      <c r="P8" s="23">
        <f t="shared" si="2"/>
        <v>14.43</v>
      </c>
      <c r="Q8" s="25">
        <f t="shared" si="3"/>
        <v>497610</v>
      </c>
      <c r="R8" s="25">
        <f t="shared" si="4"/>
        <v>503895.6</v>
      </c>
      <c r="S8" s="25">
        <f t="shared" si="5"/>
        <v>6285.5999999999767</v>
      </c>
      <c r="T8" s="25">
        <f t="shared" si="6"/>
        <v>503895.6</v>
      </c>
      <c r="U8" s="50">
        <f t="shared" si="7"/>
        <v>6285.5999999999767</v>
      </c>
    </row>
    <row r="9" spans="1:21" ht="15" customHeight="1">
      <c r="A9" s="128"/>
      <c r="B9" s="57">
        <v>100</v>
      </c>
      <c r="C9" s="57" t="s">
        <v>137</v>
      </c>
      <c r="D9" s="6" t="s">
        <v>130</v>
      </c>
      <c r="E9" s="7">
        <v>1</v>
      </c>
      <c r="F9" s="4">
        <v>1</v>
      </c>
      <c r="G9" s="32">
        <f t="shared" si="1"/>
        <v>12</v>
      </c>
      <c r="H9" s="3">
        <v>34</v>
      </c>
      <c r="I9" s="3">
        <f t="shared" si="8"/>
        <v>408</v>
      </c>
      <c r="J9" s="8">
        <f t="shared" si="0"/>
        <v>241.90940502791702</v>
      </c>
      <c r="K9" s="23">
        <f>References!$C$17*J9</f>
        <v>0.48381881005583449</v>
      </c>
      <c r="L9" s="29">
        <f>K9/References!$F$19</f>
        <v>0.49432317757939664</v>
      </c>
      <c r="M9" s="29">
        <f t="shared" si="9"/>
        <v>4.1193598131616389E-2</v>
      </c>
      <c r="N9" s="23">
        <v>6.81</v>
      </c>
      <c r="O9" s="29">
        <f>MROUND(N9+M9,References!$E$28)</f>
        <v>6.8500000000000005</v>
      </c>
      <c r="P9" s="23">
        <f t="shared" si="2"/>
        <v>6.8500000000000005</v>
      </c>
      <c r="Q9" s="25">
        <f t="shared" si="3"/>
        <v>81.72</v>
      </c>
      <c r="R9" s="25">
        <f t="shared" si="4"/>
        <v>82.2</v>
      </c>
      <c r="S9" s="25">
        <f t="shared" si="5"/>
        <v>0.48000000000000398</v>
      </c>
      <c r="T9" s="25">
        <f t="shared" si="6"/>
        <v>82.2</v>
      </c>
      <c r="U9" s="50">
        <f t="shared" si="7"/>
        <v>0.48000000000000398</v>
      </c>
    </row>
    <row r="10" spans="1:21">
      <c r="A10" s="128"/>
      <c r="B10" s="57">
        <v>100</v>
      </c>
      <c r="C10" s="57" t="s">
        <v>137</v>
      </c>
      <c r="D10" s="6" t="s">
        <v>84</v>
      </c>
      <c r="E10" s="7">
        <v>1946</v>
      </c>
      <c r="F10" s="4">
        <v>4.33</v>
      </c>
      <c r="G10" s="32">
        <f t="shared" si="1"/>
        <v>101114.16</v>
      </c>
      <c r="H10" s="3">
        <v>51</v>
      </c>
      <c r="I10" s="3">
        <f t="shared" si="8"/>
        <v>5156822.16</v>
      </c>
      <c r="J10" s="8">
        <f t="shared" si="0"/>
        <v>3057558.2856872007</v>
      </c>
      <c r="K10" s="23">
        <f>References!$C$17*J10</f>
        <v>6115.1165713744067</v>
      </c>
      <c r="L10" s="29">
        <f>K10/References!$F$19</f>
        <v>6247.8841086839402</v>
      </c>
      <c r="M10" s="29">
        <f t="shared" si="9"/>
        <v>0.2675524198648484</v>
      </c>
      <c r="N10" s="23">
        <v>20.95</v>
      </c>
      <c r="O10" s="29">
        <f>MROUND(N10+M10,References!$E$28)</f>
        <v>21.22</v>
      </c>
      <c r="P10" s="23">
        <f t="shared" si="2"/>
        <v>21.22</v>
      </c>
      <c r="Q10" s="25">
        <f t="shared" si="3"/>
        <v>489224.39999999997</v>
      </c>
      <c r="R10" s="25">
        <f t="shared" si="4"/>
        <v>495529.43999999994</v>
      </c>
      <c r="S10" s="25">
        <f t="shared" si="5"/>
        <v>6305.039999999979</v>
      </c>
      <c r="T10" s="25">
        <f t="shared" si="6"/>
        <v>495529.43999999994</v>
      </c>
      <c r="U10" s="50">
        <f t="shared" si="7"/>
        <v>6305.039999999979</v>
      </c>
    </row>
    <row r="11" spans="1:21">
      <c r="A11" s="128"/>
      <c r="B11" s="57">
        <v>100</v>
      </c>
      <c r="C11" s="57" t="s">
        <v>137</v>
      </c>
      <c r="D11" s="6" t="s">
        <v>132</v>
      </c>
      <c r="E11" s="7">
        <v>1</v>
      </c>
      <c r="F11" s="4">
        <v>1</v>
      </c>
      <c r="G11" s="32">
        <f t="shared" si="1"/>
        <v>12</v>
      </c>
      <c r="H11" s="3">
        <v>51</v>
      </c>
      <c r="I11" s="3">
        <f t="shared" si="8"/>
        <v>612</v>
      </c>
      <c r="J11" s="8">
        <f t="shared" si="0"/>
        <v>362.86410754187551</v>
      </c>
      <c r="K11" s="23">
        <f>References!$C$17*J11</f>
        <v>0.72572821508375163</v>
      </c>
      <c r="L11" s="29">
        <f>K11/References!$F$19</f>
        <v>0.74148476636909488</v>
      </c>
      <c r="M11" s="29">
        <f t="shared" si="9"/>
        <v>6.1790397197424574E-2</v>
      </c>
      <c r="N11" s="23">
        <v>8.36</v>
      </c>
      <c r="O11" s="29">
        <f>MROUND(N11+M11,References!$E$28)</f>
        <v>8.42</v>
      </c>
      <c r="P11" s="23">
        <f t="shared" si="2"/>
        <v>8.42</v>
      </c>
      <c r="Q11" s="25">
        <f t="shared" si="3"/>
        <v>100.32</v>
      </c>
      <c r="R11" s="25">
        <f t="shared" si="4"/>
        <v>101.03999999999999</v>
      </c>
      <c r="S11" s="25">
        <f t="shared" si="5"/>
        <v>0.71999999999999886</v>
      </c>
      <c r="T11" s="25">
        <f t="shared" si="6"/>
        <v>101.03999999999999</v>
      </c>
      <c r="U11" s="50">
        <f t="shared" si="7"/>
        <v>0.71999999999999886</v>
      </c>
    </row>
    <row r="12" spans="1:21">
      <c r="A12" s="128"/>
      <c r="B12" s="57">
        <v>100</v>
      </c>
      <c r="C12" s="57" t="s">
        <v>137</v>
      </c>
      <c r="D12" s="6" t="s">
        <v>85</v>
      </c>
      <c r="E12" s="7">
        <v>348</v>
      </c>
      <c r="F12" s="4">
        <v>4.33</v>
      </c>
      <c r="G12" s="32">
        <f>E12*F12*12</f>
        <v>18082.079999999998</v>
      </c>
      <c r="H12" s="3">
        <v>77</v>
      </c>
      <c r="I12" s="3">
        <f t="shared" si="8"/>
        <v>1392320.16</v>
      </c>
      <c r="J12" s="8">
        <f t="shared" si="0"/>
        <v>825527.79782836814</v>
      </c>
      <c r="K12" s="23">
        <f>References!$C$17*J12</f>
        <v>1651.0555956567378</v>
      </c>
      <c r="L12" s="29">
        <f>K12/References!$F$19</f>
        <v>1686.90226887023</v>
      </c>
      <c r="M12" s="29">
        <f t="shared" si="9"/>
        <v>0.40395169273712411</v>
      </c>
      <c r="N12" s="23">
        <v>28.25</v>
      </c>
      <c r="O12" s="29">
        <f>MROUND(N12+M12,References!$E$28)</f>
        <v>28.650000000000002</v>
      </c>
      <c r="P12" s="23">
        <f t="shared" si="2"/>
        <v>28.650000000000002</v>
      </c>
      <c r="Q12" s="25">
        <f t="shared" si="3"/>
        <v>117972</v>
      </c>
      <c r="R12" s="25">
        <f t="shared" si="4"/>
        <v>119642.40000000001</v>
      </c>
      <c r="S12" s="25">
        <f t="shared" si="5"/>
        <v>1670.4000000000087</v>
      </c>
      <c r="T12" s="25">
        <f t="shared" si="6"/>
        <v>119642.40000000001</v>
      </c>
      <c r="U12" s="50">
        <f t="shared" si="7"/>
        <v>1670.4000000000087</v>
      </c>
    </row>
    <row r="13" spans="1:21">
      <c r="A13" s="128"/>
      <c r="B13" s="57">
        <v>100</v>
      </c>
      <c r="C13" s="57" t="s">
        <v>137</v>
      </c>
      <c r="D13" s="6" t="s">
        <v>131</v>
      </c>
      <c r="E13" s="7">
        <v>1</v>
      </c>
      <c r="F13" s="4">
        <v>1</v>
      </c>
      <c r="G13" s="32">
        <f t="shared" si="1"/>
        <v>12</v>
      </c>
      <c r="H13" s="3">
        <v>77</v>
      </c>
      <c r="I13" s="3">
        <f t="shared" si="8"/>
        <v>924</v>
      </c>
      <c r="J13" s="8">
        <f t="shared" si="0"/>
        <v>547.85365256322382</v>
      </c>
      <c r="K13" s="23">
        <f>References!$C$17*J13</f>
        <v>1.0957073051264485</v>
      </c>
      <c r="L13" s="29">
        <f>K13/References!$F$19</f>
        <v>1.1194966080474571</v>
      </c>
      <c r="M13" s="29">
        <f t="shared" si="9"/>
        <v>9.3291384003954758E-2</v>
      </c>
      <c r="N13" s="23">
        <v>10.039999999999999</v>
      </c>
      <c r="O13" s="29">
        <f>MROUND(N13+M13,References!$E$28)</f>
        <v>10.130000000000001</v>
      </c>
      <c r="P13" s="23">
        <f t="shared" si="2"/>
        <v>10.130000000000001</v>
      </c>
      <c r="Q13" s="25">
        <f t="shared" si="3"/>
        <v>120.47999999999999</v>
      </c>
      <c r="R13" s="25">
        <f t="shared" si="4"/>
        <v>121.56</v>
      </c>
      <c r="S13" s="25">
        <f t="shared" si="5"/>
        <v>1.0800000000000125</v>
      </c>
      <c r="T13" s="25">
        <f t="shared" si="6"/>
        <v>121.56</v>
      </c>
      <c r="U13" s="50">
        <f t="shared" si="7"/>
        <v>1.0800000000000125</v>
      </c>
    </row>
    <row r="14" spans="1:21">
      <c r="A14" s="128"/>
      <c r="B14" s="57">
        <v>100</v>
      </c>
      <c r="C14" s="57" t="s">
        <v>137</v>
      </c>
      <c r="D14" s="6" t="s">
        <v>89</v>
      </c>
      <c r="E14" s="7">
        <v>496</v>
      </c>
      <c r="F14" s="4">
        <f>References!$D$7</f>
        <v>4.333333333333333</v>
      </c>
      <c r="G14" s="32">
        <f t="shared" si="1"/>
        <v>25791.999999999996</v>
      </c>
      <c r="H14" s="3">
        <v>20</v>
      </c>
      <c r="I14" s="3">
        <f t="shared" si="8"/>
        <v>515839.99999999994</v>
      </c>
      <c r="J14" s="8">
        <f t="shared" si="0"/>
        <v>305849.38110196247</v>
      </c>
      <c r="K14" s="23">
        <f>References!$C$17*J14</f>
        <v>611.69876220392553</v>
      </c>
      <c r="L14" s="29">
        <f>K14/References!$F$19</f>
        <v>624.97957824155867</v>
      </c>
      <c r="M14" s="29">
        <f t="shared" si="9"/>
        <v>0.10500328935510059</v>
      </c>
      <c r="N14" s="23">
        <v>8.85</v>
      </c>
      <c r="O14" s="29">
        <f>MROUND(N14+M14,References!$E$28)</f>
        <v>8.9600000000000009</v>
      </c>
      <c r="P14" s="23">
        <f t="shared" si="2"/>
        <v>8.9600000000000009</v>
      </c>
      <c r="Q14" s="25">
        <f t="shared" si="3"/>
        <v>52675.199999999997</v>
      </c>
      <c r="R14" s="25">
        <f t="shared" si="4"/>
        <v>53329.920000000013</v>
      </c>
      <c r="S14" s="25">
        <f t="shared" si="5"/>
        <v>654.72000000001572</v>
      </c>
      <c r="T14" s="25">
        <f t="shared" si="6"/>
        <v>53329.920000000013</v>
      </c>
      <c r="U14" s="50">
        <f t="shared" si="7"/>
        <v>654.72000000001572</v>
      </c>
    </row>
    <row r="15" spans="1:21">
      <c r="A15" s="128"/>
      <c r="B15" s="57">
        <v>100</v>
      </c>
      <c r="C15" s="57" t="s">
        <v>137</v>
      </c>
      <c r="D15" s="6" t="s">
        <v>136</v>
      </c>
      <c r="E15" s="7">
        <v>1</v>
      </c>
      <c r="F15" s="4">
        <v>1</v>
      </c>
      <c r="G15" s="32">
        <f t="shared" si="1"/>
        <v>12</v>
      </c>
      <c r="H15" s="3">
        <v>20</v>
      </c>
      <c r="I15" s="3">
        <f t="shared" si="8"/>
        <v>240</v>
      </c>
      <c r="J15" s="8">
        <f t="shared" si="0"/>
        <v>142.29965001642177</v>
      </c>
      <c r="K15" s="23">
        <f>References!$C$17*J15</f>
        <v>0.28459930003284378</v>
      </c>
      <c r="L15" s="29">
        <f>K15/References!$F$19</f>
        <v>0.29077833975258621</v>
      </c>
      <c r="M15" s="29">
        <f t="shared" si="9"/>
        <v>2.4231528312715519E-2</v>
      </c>
      <c r="N15" s="23">
        <v>5.56</v>
      </c>
      <c r="O15" s="29">
        <f>MROUND(N15+M15,References!$E$28)</f>
        <v>5.58</v>
      </c>
      <c r="P15" s="23">
        <f t="shared" si="2"/>
        <v>5.58</v>
      </c>
      <c r="Q15" s="25">
        <f t="shared" si="3"/>
        <v>66.72</v>
      </c>
      <c r="R15" s="25">
        <f t="shared" si="4"/>
        <v>66.960000000000008</v>
      </c>
      <c r="S15" s="25">
        <f t="shared" si="5"/>
        <v>0.24000000000000909</v>
      </c>
      <c r="T15" s="25">
        <f t="shared" si="6"/>
        <v>66.960000000000008</v>
      </c>
      <c r="U15" s="50">
        <f t="shared" si="7"/>
        <v>0.24000000000000909</v>
      </c>
    </row>
    <row r="16" spans="1:21">
      <c r="A16" s="132"/>
      <c r="B16" s="58"/>
      <c r="C16" s="58"/>
      <c r="D16" s="18"/>
      <c r="E16" s="12"/>
      <c r="F16" s="13"/>
      <c r="G16" s="33"/>
      <c r="H16" s="14"/>
      <c r="I16" s="14"/>
      <c r="J16" s="15"/>
      <c r="K16" s="24"/>
      <c r="L16" s="30"/>
      <c r="M16" s="30"/>
      <c r="N16" s="24"/>
      <c r="O16" s="30"/>
      <c r="P16" s="24"/>
      <c r="Q16" s="26"/>
      <c r="R16" s="26"/>
      <c r="S16" s="26"/>
      <c r="T16" s="26"/>
      <c r="U16" s="53"/>
    </row>
    <row r="17" spans="1:21">
      <c r="A17" s="88"/>
      <c r="B17" s="103"/>
      <c r="C17" s="57"/>
      <c r="D17" s="20" t="s">
        <v>16</v>
      </c>
      <c r="E17" s="21">
        <f>SUM(E6:E15)</f>
        <v>5728</v>
      </c>
      <c r="F17" s="13"/>
      <c r="G17" s="34">
        <f>SUM(G6:G15)</f>
        <v>297564.24</v>
      </c>
      <c r="H17" s="3"/>
      <c r="I17" s="28">
        <f>SUM(I6:I15)</f>
        <v>12236206.32</v>
      </c>
      <c r="J17" s="28">
        <f>SUM(J6:J15)</f>
        <v>7255032.8202697001</v>
      </c>
      <c r="K17" s="13"/>
      <c r="L17" s="13"/>
      <c r="M17" s="13"/>
      <c r="N17" s="4"/>
      <c r="O17" s="13"/>
      <c r="P17" s="4"/>
      <c r="Q17" s="27">
        <f>SUM(Q6:Q15)</f>
        <v>1160959.5599999996</v>
      </c>
      <c r="R17" s="27">
        <f>SUM(R6:R15)</f>
        <v>1175908.44</v>
      </c>
      <c r="S17" s="27">
        <f>SUM(S6:S15)</f>
        <v>14948.879999999977</v>
      </c>
      <c r="T17" s="27">
        <f>SUM(T6:T15)</f>
        <v>1175908.44</v>
      </c>
      <c r="U17" s="44">
        <f>SUM(U6:U15)</f>
        <v>14948.879999999977</v>
      </c>
    </row>
    <row r="18" spans="1:21" ht="14.4" customHeight="1">
      <c r="A18" s="131" t="s">
        <v>113</v>
      </c>
      <c r="B18" s="57" t="s">
        <v>114</v>
      </c>
      <c r="C18" s="99" t="s">
        <v>115</v>
      </c>
      <c r="D18" s="16" t="s">
        <v>91</v>
      </c>
      <c r="E18" s="106">
        <v>169</v>
      </c>
      <c r="F18" s="4">
        <f>References!D9</f>
        <v>1</v>
      </c>
      <c r="G18" s="31">
        <f>E18*F18*12</f>
        <v>2028</v>
      </c>
      <c r="H18" s="17">
        <v>0</v>
      </c>
      <c r="I18" s="3">
        <f t="shared" ref="I18:I19" si="10">G18*H18</f>
        <v>0</v>
      </c>
      <c r="J18" s="8">
        <f t="shared" ref="J18:J40" si="11">$E$147*I18</f>
        <v>0</v>
      </c>
      <c r="K18" s="23">
        <f>References!$C$17*J18</f>
        <v>0</v>
      </c>
      <c r="L18" s="29">
        <f>K18/References!$F$19</f>
        <v>0</v>
      </c>
      <c r="M18" s="29">
        <f t="shared" ref="M18" si="12">L18/G18*F18</f>
        <v>0</v>
      </c>
      <c r="N18" s="22">
        <v>4.55</v>
      </c>
      <c r="O18" s="29">
        <f>MROUND(N18+M18,References!$E$28)</f>
        <v>4.55</v>
      </c>
      <c r="P18" s="22">
        <f>O18</f>
        <v>4.55</v>
      </c>
      <c r="Q18" s="43">
        <f>G18*N18</f>
        <v>9227.4</v>
      </c>
      <c r="R18" s="43">
        <f>G18*P18</f>
        <v>9227.4</v>
      </c>
      <c r="S18" s="43">
        <f t="shared" ref="S18:S19" si="13">R18-Q18</f>
        <v>0</v>
      </c>
      <c r="T18" s="43">
        <f>G18*O18</f>
        <v>9227.4</v>
      </c>
      <c r="U18" s="50">
        <f t="shared" ref="U18:U19" si="14">T18-Q18</f>
        <v>0</v>
      </c>
    </row>
    <row r="19" spans="1:21">
      <c r="A19" s="128"/>
      <c r="B19" s="57" t="s">
        <v>114</v>
      </c>
      <c r="C19" s="57" t="s">
        <v>115</v>
      </c>
      <c r="D19" s="6" t="s">
        <v>90</v>
      </c>
      <c r="E19" s="7">
        <v>197</v>
      </c>
      <c r="F19" s="4">
        <v>4.33</v>
      </c>
      <c r="G19" s="32">
        <f t="shared" ref="G19:G59" si="15">E19*F19*12</f>
        <v>10236.119999999999</v>
      </c>
      <c r="H19" s="3">
        <v>175</v>
      </c>
      <c r="I19" s="3">
        <f t="shared" si="10"/>
        <v>1791320.9999999998</v>
      </c>
      <c r="J19" s="8">
        <f t="shared" si="11"/>
        <v>1062101.4640294444</v>
      </c>
      <c r="K19" s="23">
        <f>References!$C$17*J19</f>
        <v>2124.2029280588908</v>
      </c>
      <c r="L19" s="29">
        <f>K19/References!$F$19</f>
        <v>2170.322276433094</v>
      </c>
      <c r="M19" s="29">
        <f>L19/G19</f>
        <v>0.21202587273626083</v>
      </c>
      <c r="N19" s="23">
        <v>13.15</v>
      </c>
      <c r="O19" s="29">
        <f>MROUND(N19+M19,References!$E$28)</f>
        <v>13.36</v>
      </c>
      <c r="P19" s="23">
        <f>O19</f>
        <v>13.36</v>
      </c>
      <c r="Q19" s="25">
        <f>G19*N19</f>
        <v>134604.978</v>
      </c>
      <c r="R19" s="25">
        <f>G19*P19</f>
        <v>136754.56319999998</v>
      </c>
      <c r="S19" s="25">
        <f t="shared" si="13"/>
        <v>2149.5851999999722</v>
      </c>
      <c r="T19" s="25">
        <f>G19*O19</f>
        <v>136754.56319999998</v>
      </c>
      <c r="U19" s="50">
        <f t="shared" si="14"/>
        <v>2149.5851999999722</v>
      </c>
    </row>
    <row r="20" spans="1:21">
      <c r="A20" s="128"/>
      <c r="B20" s="57" t="s">
        <v>114</v>
      </c>
      <c r="C20" s="57" t="s">
        <v>115</v>
      </c>
      <c r="D20" s="6" t="s">
        <v>105</v>
      </c>
      <c r="E20" s="7">
        <v>1</v>
      </c>
      <c r="F20" s="4">
        <v>1</v>
      </c>
      <c r="G20" s="32">
        <f t="shared" si="15"/>
        <v>12</v>
      </c>
      <c r="H20" s="3">
        <v>175</v>
      </c>
      <c r="I20" s="3">
        <f t="shared" ref="I20:I46" si="16">G20*H20</f>
        <v>2100</v>
      </c>
      <c r="J20" s="8">
        <f t="shared" si="11"/>
        <v>1245.1219376436904</v>
      </c>
      <c r="K20" s="23">
        <f>References!$C$17*J20</f>
        <v>2.490243875287383</v>
      </c>
      <c r="L20" s="29">
        <f>K20/References!$F$19</f>
        <v>2.5443104728351296</v>
      </c>
      <c r="M20" s="29">
        <f t="shared" ref="M20:M46" si="17">L20/G20</f>
        <v>0.21202587273626081</v>
      </c>
      <c r="N20" s="23">
        <v>17.25</v>
      </c>
      <c r="O20" s="29">
        <f>MROUND(N20+M20,References!$E$28)</f>
        <v>17.46</v>
      </c>
      <c r="P20" s="23">
        <f t="shared" ref="P20:P59" si="18">O20</f>
        <v>17.46</v>
      </c>
      <c r="Q20" s="25">
        <f t="shared" ref="Q20:Q47" si="19">G20*N20</f>
        <v>207</v>
      </c>
      <c r="R20" s="25">
        <f t="shared" ref="R20:R47" si="20">G20*P20</f>
        <v>209.52</v>
      </c>
      <c r="S20" s="25">
        <f t="shared" ref="S20:S47" si="21">R20-Q20</f>
        <v>2.5200000000000102</v>
      </c>
      <c r="T20" s="25">
        <f t="shared" ref="T20:T47" si="22">G20*O20</f>
        <v>209.52</v>
      </c>
      <c r="U20" s="50">
        <f t="shared" ref="U20:U47" si="23">T20-Q20</f>
        <v>2.5200000000000102</v>
      </c>
    </row>
    <row r="21" spans="1:21">
      <c r="A21" s="128"/>
      <c r="B21" s="57" t="s">
        <v>114</v>
      </c>
      <c r="C21" s="57" t="s">
        <v>115</v>
      </c>
      <c r="D21" s="6" t="s">
        <v>92</v>
      </c>
      <c r="E21" s="7">
        <v>22</v>
      </c>
      <c r="F21" s="4">
        <f>References!D9</f>
        <v>1</v>
      </c>
      <c r="G21" s="32">
        <f t="shared" si="15"/>
        <v>264</v>
      </c>
      <c r="H21" s="3">
        <v>0</v>
      </c>
      <c r="I21" s="3">
        <f t="shared" si="16"/>
        <v>0</v>
      </c>
      <c r="J21" s="8">
        <f t="shared" si="11"/>
        <v>0</v>
      </c>
      <c r="K21" s="23">
        <f>References!$C$17*J21</f>
        <v>0</v>
      </c>
      <c r="L21" s="29">
        <f>K21/References!$F$19</f>
        <v>0</v>
      </c>
      <c r="M21" s="29">
        <f t="shared" si="17"/>
        <v>0</v>
      </c>
      <c r="N21" s="23">
        <v>5.2</v>
      </c>
      <c r="O21" s="29">
        <f>MROUND(N21+M21,References!$E$28)</f>
        <v>5.2</v>
      </c>
      <c r="P21" s="23">
        <f t="shared" si="18"/>
        <v>5.2</v>
      </c>
      <c r="Q21" s="25">
        <f t="shared" si="19"/>
        <v>1372.8</v>
      </c>
      <c r="R21" s="25">
        <f t="shared" si="20"/>
        <v>1372.8</v>
      </c>
      <c r="S21" s="25">
        <f t="shared" si="21"/>
        <v>0</v>
      </c>
      <c r="T21" s="25">
        <f t="shared" si="22"/>
        <v>1372.8</v>
      </c>
      <c r="U21" s="50">
        <f t="shared" si="23"/>
        <v>0</v>
      </c>
    </row>
    <row r="22" spans="1:21">
      <c r="A22" s="128"/>
      <c r="B22" s="57" t="s">
        <v>114</v>
      </c>
      <c r="C22" s="57" t="s">
        <v>115</v>
      </c>
      <c r="D22" s="6" t="s">
        <v>93</v>
      </c>
      <c r="E22" s="7">
        <v>31</v>
      </c>
      <c r="F22" s="4">
        <v>4.33</v>
      </c>
      <c r="G22" s="32">
        <f t="shared" si="15"/>
        <v>1610.7599999999998</v>
      </c>
      <c r="H22" s="3">
        <v>250</v>
      </c>
      <c r="I22" s="3">
        <f t="shared" si="16"/>
        <v>402689.99999999994</v>
      </c>
      <c r="J22" s="8">
        <f t="shared" si="11"/>
        <v>238761.02527130363</v>
      </c>
      <c r="K22" s="23">
        <f>References!$C$17*J22</f>
        <v>477.5220505426077</v>
      </c>
      <c r="L22" s="29">
        <f>K22/References!$F$19</f>
        <v>487.88970681237055</v>
      </c>
      <c r="M22" s="29">
        <f t="shared" si="17"/>
        <v>0.302894103908944</v>
      </c>
      <c r="N22" s="23">
        <v>18.25</v>
      </c>
      <c r="O22" s="29">
        <f>MROUND(N22+M22,References!$E$28)</f>
        <v>18.55</v>
      </c>
      <c r="P22" s="23">
        <f t="shared" si="18"/>
        <v>18.55</v>
      </c>
      <c r="Q22" s="25">
        <f t="shared" si="19"/>
        <v>29396.369999999995</v>
      </c>
      <c r="R22" s="25">
        <f t="shared" si="20"/>
        <v>29879.597999999998</v>
      </c>
      <c r="S22" s="25">
        <f t="shared" si="21"/>
        <v>483.22800000000279</v>
      </c>
      <c r="T22" s="25">
        <f t="shared" si="22"/>
        <v>29879.597999999998</v>
      </c>
      <c r="U22" s="50">
        <f t="shared" si="23"/>
        <v>483.22800000000279</v>
      </c>
    </row>
    <row r="23" spans="1:21">
      <c r="A23" s="128"/>
      <c r="B23" s="57" t="s">
        <v>114</v>
      </c>
      <c r="C23" s="57" t="s">
        <v>115</v>
      </c>
      <c r="D23" s="6" t="s">
        <v>94</v>
      </c>
      <c r="E23" s="7">
        <v>117</v>
      </c>
      <c r="F23" s="4">
        <f>References!D9</f>
        <v>1</v>
      </c>
      <c r="G23" s="32">
        <f t="shared" si="15"/>
        <v>1404</v>
      </c>
      <c r="H23" s="3">
        <v>0</v>
      </c>
      <c r="I23" s="3">
        <f t="shared" si="16"/>
        <v>0</v>
      </c>
      <c r="J23" s="8">
        <f t="shared" si="11"/>
        <v>0</v>
      </c>
      <c r="K23" s="23">
        <f>References!$C$17*J23</f>
        <v>0</v>
      </c>
      <c r="L23" s="29">
        <f>K23/References!$F$19</f>
        <v>0</v>
      </c>
      <c r="M23" s="29">
        <f t="shared" si="17"/>
        <v>0</v>
      </c>
      <c r="N23" s="23">
        <v>6.2</v>
      </c>
      <c r="O23" s="29">
        <f>MROUND(N23+M23,References!$E$28)</f>
        <v>6.2</v>
      </c>
      <c r="P23" s="23">
        <f t="shared" si="18"/>
        <v>6.2</v>
      </c>
      <c r="Q23" s="25">
        <f t="shared" si="19"/>
        <v>8704.8000000000011</v>
      </c>
      <c r="R23" s="25">
        <f t="shared" si="20"/>
        <v>8704.8000000000011</v>
      </c>
      <c r="S23" s="25">
        <f t="shared" si="21"/>
        <v>0</v>
      </c>
      <c r="T23" s="25">
        <f t="shared" si="22"/>
        <v>8704.8000000000011</v>
      </c>
      <c r="U23" s="50">
        <f t="shared" si="23"/>
        <v>0</v>
      </c>
    </row>
    <row r="24" spans="1:21">
      <c r="A24" s="128"/>
      <c r="B24" s="57" t="s">
        <v>114</v>
      </c>
      <c r="C24" s="57" t="s">
        <v>115</v>
      </c>
      <c r="D24" s="6" t="s">
        <v>95</v>
      </c>
      <c r="E24" s="7">
        <v>169</v>
      </c>
      <c r="F24" s="4">
        <v>4.33</v>
      </c>
      <c r="G24" s="32">
        <f t="shared" si="15"/>
        <v>8781.24</v>
      </c>
      <c r="H24" s="3">
        <v>324</v>
      </c>
      <c r="I24" s="3">
        <f t="shared" si="16"/>
        <v>2845121.76</v>
      </c>
      <c r="J24" s="8">
        <f t="shared" si="11"/>
        <v>1686915.9612587746</v>
      </c>
      <c r="K24" s="23">
        <f>References!$C$17*J24</f>
        <v>3373.8319225175524</v>
      </c>
      <c r="L24" s="29">
        <f>K24/References!$F$19</f>
        <v>3447.0824240281504</v>
      </c>
      <c r="M24" s="29">
        <f t="shared" si="17"/>
        <v>0.39255075866599143</v>
      </c>
      <c r="N24" s="23">
        <v>23.65</v>
      </c>
      <c r="O24" s="29">
        <f>MROUND(N24+M24,References!$E$28)</f>
        <v>24.04</v>
      </c>
      <c r="P24" s="23">
        <f t="shared" si="18"/>
        <v>24.04</v>
      </c>
      <c r="Q24" s="25">
        <f t="shared" si="19"/>
        <v>207676.32599999997</v>
      </c>
      <c r="R24" s="25">
        <f t="shared" si="20"/>
        <v>211101.00959999999</v>
      </c>
      <c r="S24" s="25">
        <f t="shared" si="21"/>
        <v>3424.6836000000185</v>
      </c>
      <c r="T24" s="25">
        <f t="shared" si="22"/>
        <v>211101.00959999999</v>
      </c>
      <c r="U24" s="50">
        <f t="shared" si="23"/>
        <v>3424.6836000000185</v>
      </c>
    </row>
    <row r="25" spans="1:21">
      <c r="A25" s="128"/>
      <c r="B25" s="57" t="s">
        <v>114</v>
      </c>
      <c r="C25" s="57" t="s">
        <v>115</v>
      </c>
      <c r="D25" s="6" t="s">
        <v>106</v>
      </c>
      <c r="E25" s="7">
        <v>7</v>
      </c>
      <c r="F25" s="4">
        <v>1</v>
      </c>
      <c r="G25" s="32">
        <f t="shared" si="15"/>
        <v>84</v>
      </c>
      <c r="H25" s="3">
        <v>324</v>
      </c>
      <c r="I25" s="3">
        <f t="shared" si="16"/>
        <v>27216</v>
      </c>
      <c r="J25" s="8">
        <f t="shared" si="11"/>
        <v>16136.780311862229</v>
      </c>
      <c r="K25" s="23">
        <f>References!$C$17*J25</f>
        <v>32.273560623724485</v>
      </c>
      <c r="L25" s="29">
        <f>K25/References!$F$19</f>
        <v>32.974263727943281</v>
      </c>
      <c r="M25" s="29">
        <f t="shared" si="17"/>
        <v>0.39255075866599143</v>
      </c>
      <c r="N25" s="23">
        <v>27.35</v>
      </c>
      <c r="O25" s="29">
        <f>MROUND(N25+M25,References!$E$28)</f>
        <v>27.740000000000002</v>
      </c>
      <c r="P25" s="23">
        <f t="shared" si="18"/>
        <v>27.740000000000002</v>
      </c>
      <c r="Q25" s="25">
        <f t="shared" si="19"/>
        <v>2297.4</v>
      </c>
      <c r="R25" s="25">
        <f t="shared" si="20"/>
        <v>2330.1600000000003</v>
      </c>
      <c r="S25" s="25">
        <f t="shared" si="21"/>
        <v>32.760000000000218</v>
      </c>
      <c r="T25" s="25">
        <f t="shared" si="22"/>
        <v>2330.1600000000003</v>
      </c>
      <c r="U25" s="50">
        <f t="shared" si="23"/>
        <v>32.760000000000218</v>
      </c>
    </row>
    <row r="26" spans="1:21">
      <c r="A26" s="128"/>
      <c r="B26" s="57" t="s">
        <v>114</v>
      </c>
      <c r="C26" s="57" t="s">
        <v>115</v>
      </c>
      <c r="D26" s="6" t="s">
        <v>96</v>
      </c>
      <c r="E26" s="7">
        <v>73</v>
      </c>
      <c r="F26" s="4">
        <f>References!D9</f>
        <v>1</v>
      </c>
      <c r="G26" s="32">
        <f t="shared" si="15"/>
        <v>876</v>
      </c>
      <c r="H26" s="3">
        <v>0</v>
      </c>
      <c r="I26" s="3">
        <f t="shared" si="16"/>
        <v>0</v>
      </c>
      <c r="J26" s="8">
        <f t="shared" si="11"/>
        <v>0</v>
      </c>
      <c r="K26" s="23">
        <f>References!$C$17*J26</f>
        <v>0</v>
      </c>
      <c r="L26" s="29">
        <f>K26/References!$F$19</f>
        <v>0</v>
      </c>
      <c r="M26" s="29">
        <f t="shared" si="17"/>
        <v>0</v>
      </c>
      <c r="N26" s="23">
        <v>7.3</v>
      </c>
      <c r="O26" s="29">
        <f>MROUND(N26+M26,References!$E$28)</f>
        <v>7.3</v>
      </c>
      <c r="P26" s="23">
        <f t="shared" si="18"/>
        <v>7.3</v>
      </c>
      <c r="Q26" s="25">
        <f t="shared" si="19"/>
        <v>6394.8</v>
      </c>
      <c r="R26" s="25">
        <f t="shared" si="20"/>
        <v>6394.8</v>
      </c>
      <c r="S26" s="25">
        <f t="shared" si="21"/>
        <v>0</v>
      </c>
      <c r="T26" s="25">
        <f t="shared" si="22"/>
        <v>6394.8</v>
      </c>
      <c r="U26" s="50">
        <f t="shared" si="23"/>
        <v>0</v>
      </c>
    </row>
    <row r="27" spans="1:21">
      <c r="A27" s="128"/>
      <c r="B27" s="57" t="s">
        <v>114</v>
      </c>
      <c r="C27" s="57" t="s">
        <v>115</v>
      </c>
      <c r="D27" s="6" t="s">
        <v>97</v>
      </c>
      <c r="E27" s="7">
        <v>87</v>
      </c>
      <c r="F27" s="4">
        <v>4.33</v>
      </c>
      <c r="G27" s="32">
        <f t="shared" si="15"/>
        <v>4520.5199999999995</v>
      </c>
      <c r="H27" s="3">
        <v>473</v>
      </c>
      <c r="I27" s="3">
        <f t="shared" si="16"/>
        <v>2138205.96</v>
      </c>
      <c r="J27" s="8">
        <f t="shared" si="11"/>
        <v>1267774.8323792797</v>
      </c>
      <c r="K27" s="23">
        <f>References!$C$17*J27</f>
        <v>2535.5496647585614</v>
      </c>
      <c r="L27" s="29">
        <f>K27/References!$F$19</f>
        <v>2590.5999129078532</v>
      </c>
      <c r="M27" s="29">
        <f t="shared" si="17"/>
        <v>0.57307564459572202</v>
      </c>
      <c r="N27" s="23">
        <v>33.299999999999997</v>
      </c>
      <c r="O27" s="29">
        <f>MROUND(N27+M27,References!$E$28)</f>
        <v>33.869999999999997</v>
      </c>
      <c r="P27" s="23">
        <f t="shared" si="18"/>
        <v>33.869999999999997</v>
      </c>
      <c r="Q27" s="25">
        <f t="shared" si="19"/>
        <v>150533.31599999996</v>
      </c>
      <c r="R27" s="25">
        <f t="shared" si="20"/>
        <v>153110.01239999998</v>
      </c>
      <c r="S27" s="25">
        <f t="shared" si="21"/>
        <v>2576.6964000000153</v>
      </c>
      <c r="T27" s="25">
        <f t="shared" si="22"/>
        <v>153110.01239999998</v>
      </c>
      <c r="U27" s="50">
        <f t="shared" si="23"/>
        <v>2576.6964000000153</v>
      </c>
    </row>
    <row r="28" spans="1:21">
      <c r="A28" s="128"/>
      <c r="B28" s="57" t="s">
        <v>114</v>
      </c>
      <c r="C28" s="57" t="s">
        <v>115</v>
      </c>
      <c r="D28" s="6" t="s">
        <v>107</v>
      </c>
      <c r="E28" s="7">
        <v>3</v>
      </c>
      <c r="F28" s="4">
        <v>1</v>
      </c>
      <c r="G28" s="32">
        <f t="shared" si="15"/>
        <v>36</v>
      </c>
      <c r="H28" s="3">
        <v>473</v>
      </c>
      <c r="I28" s="3">
        <f t="shared" si="16"/>
        <v>17028</v>
      </c>
      <c r="J28" s="8">
        <f t="shared" si="11"/>
        <v>10096.160168665125</v>
      </c>
      <c r="K28" s="23">
        <f>References!$C$17*J28</f>
        <v>20.192320337330269</v>
      </c>
      <c r="L28" s="29">
        <f>K28/References!$F$19</f>
        <v>20.630723205445996</v>
      </c>
      <c r="M28" s="29">
        <f t="shared" si="17"/>
        <v>0.57307564459572213</v>
      </c>
      <c r="N28" s="23">
        <v>36.65</v>
      </c>
      <c r="O28" s="29">
        <f>MROUND(N28+M28,References!$E$28)</f>
        <v>37.22</v>
      </c>
      <c r="P28" s="23">
        <f t="shared" si="18"/>
        <v>37.22</v>
      </c>
      <c r="Q28" s="25">
        <f t="shared" si="19"/>
        <v>1319.3999999999999</v>
      </c>
      <c r="R28" s="25">
        <f t="shared" si="20"/>
        <v>1339.92</v>
      </c>
      <c r="S28" s="25">
        <f t="shared" si="21"/>
        <v>20.520000000000209</v>
      </c>
      <c r="T28" s="25">
        <f t="shared" si="22"/>
        <v>1339.92</v>
      </c>
      <c r="U28" s="50">
        <f t="shared" si="23"/>
        <v>20.520000000000209</v>
      </c>
    </row>
    <row r="29" spans="1:21">
      <c r="A29" s="128"/>
      <c r="B29" s="57" t="s">
        <v>114</v>
      </c>
      <c r="C29" s="57" t="s">
        <v>115</v>
      </c>
      <c r="D29" s="6" t="s">
        <v>98</v>
      </c>
      <c r="E29" s="7">
        <v>82</v>
      </c>
      <c r="F29" s="4">
        <f>References!D9</f>
        <v>1</v>
      </c>
      <c r="G29" s="32">
        <f t="shared" si="15"/>
        <v>984</v>
      </c>
      <c r="H29" s="3">
        <v>0</v>
      </c>
      <c r="I29" s="3">
        <f t="shared" si="16"/>
        <v>0</v>
      </c>
      <c r="J29" s="8">
        <f t="shared" si="11"/>
        <v>0</v>
      </c>
      <c r="K29" s="23">
        <f>References!$C$17*J29</f>
        <v>0</v>
      </c>
      <c r="L29" s="29">
        <f>K29/References!$F$19</f>
        <v>0</v>
      </c>
      <c r="M29" s="29">
        <f t="shared" si="17"/>
        <v>0</v>
      </c>
      <c r="N29" s="23">
        <v>8</v>
      </c>
      <c r="O29" s="29">
        <f>MROUND(N29+M29,References!$E$28)</f>
        <v>8</v>
      </c>
      <c r="P29" s="23">
        <f t="shared" si="18"/>
        <v>8</v>
      </c>
      <c r="Q29" s="25">
        <f t="shared" si="19"/>
        <v>7872</v>
      </c>
      <c r="R29" s="25">
        <f t="shared" si="20"/>
        <v>7872</v>
      </c>
      <c r="S29" s="25">
        <f t="shared" si="21"/>
        <v>0</v>
      </c>
      <c r="T29" s="25">
        <f t="shared" si="22"/>
        <v>7872</v>
      </c>
      <c r="U29" s="50">
        <f t="shared" si="23"/>
        <v>0</v>
      </c>
    </row>
    <row r="30" spans="1:21">
      <c r="A30" s="128"/>
      <c r="B30" s="57" t="s">
        <v>114</v>
      </c>
      <c r="C30" s="57" t="s">
        <v>115</v>
      </c>
      <c r="D30" s="6" t="s">
        <v>99</v>
      </c>
      <c r="E30" s="7">
        <v>106</v>
      </c>
      <c r="F30" s="4">
        <v>4.33</v>
      </c>
      <c r="G30" s="32">
        <f t="shared" si="15"/>
        <v>5507.76</v>
      </c>
      <c r="H30" s="3">
        <v>613</v>
      </c>
      <c r="I30" s="3">
        <f t="shared" si="16"/>
        <v>3376256.8800000004</v>
      </c>
      <c r="J30" s="8">
        <f t="shared" si="11"/>
        <v>2001834.0516230674</v>
      </c>
      <c r="K30" s="23">
        <f>References!$C$17*J30</f>
        <v>4003.6681032461383</v>
      </c>
      <c r="L30" s="29">
        <f>K30/References!$F$19</f>
        <v>4090.593208936029</v>
      </c>
      <c r="M30" s="29">
        <f t="shared" si="17"/>
        <v>0.74269634278473073</v>
      </c>
      <c r="N30" s="23">
        <v>43.05</v>
      </c>
      <c r="O30" s="29">
        <f>MROUND(N30+M30,References!$E$28)</f>
        <v>43.79</v>
      </c>
      <c r="P30" s="23">
        <f t="shared" si="18"/>
        <v>43.79</v>
      </c>
      <c r="Q30" s="25">
        <f t="shared" si="19"/>
        <v>237109.068</v>
      </c>
      <c r="R30" s="25">
        <f t="shared" si="20"/>
        <v>241184.81040000002</v>
      </c>
      <c r="S30" s="25">
        <f t="shared" si="21"/>
        <v>4075.7424000000174</v>
      </c>
      <c r="T30" s="25">
        <f t="shared" si="22"/>
        <v>241184.81040000002</v>
      </c>
      <c r="U30" s="50">
        <f t="shared" si="23"/>
        <v>4075.7424000000174</v>
      </c>
    </row>
    <row r="31" spans="1:21">
      <c r="A31" s="128"/>
      <c r="B31" s="57" t="s">
        <v>114</v>
      </c>
      <c r="C31" s="57" t="s">
        <v>115</v>
      </c>
      <c r="D31" s="6" t="s">
        <v>108</v>
      </c>
      <c r="E31" s="7">
        <v>3</v>
      </c>
      <c r="F31" s="4">
        <v>1</v>
      </c>
      <c r="G31" s="32">
        <f t="shared" si="15"/>
        <v>36</v>
      </c>
      <c r="H31" s="3">
        <v>613</v>
      </c>
      <c r="I31" s="3">
        <f t="shared" si="16"/>
        <v>22068</v>
      </c>
      <c r="J31" s="8">
        <f t="shared" si="11"/>
        <v>13084.452819009981</v>
      </c>
      <c r="K31" s="23">
        <f>References!$C$17*J31</f>
        <v>26.168905638019986</v>
      </c>
      <c r="L31" s="29">
        <f>K31/References!$F$19</f>
        <v>26.737068340250303</v>
      </c>
      <c r="M31" s="29">
        <f t="shared" si="17"/>
        <v>0.74269634278473062</v>
      </c>
      <c r="N31" s="23">
        <v>45.95</v>
      </c>
      <c r="O31" s="29">
        <f>MROUND(N31+M31,References!$E$28)</f>
        <v>46.69</v>
      </c>
      <c r="P31" s="23">
        <f t="shared" si="18"/>
        <v>46.69</v>
      </c>
      <c r="Q31" s="25">
        <f t="shared" si="19"/>
        <v>1654.2</v>
      </c>
      <c r="R31" s="25">
        <f t="shared" si="20"/>
        <v>1680.84</v>
      </c>
      <c r="S31" s="25">
        <f t="shared" si="21"/>
        <v>26.639999999999873</v>
      </c>
      <c r="T31" s="25">
        <f t="shared" si="22"/>
        <v>1680.84</v>
      </c>
      <c r="U31" s="50">
        <f t="shared" si="23"/>
        <v>26.639999999999873</v>
      </c>
    </row>
    <row r="32" spans="1:21">
      <c r="A32" s="128"/>
      <c r="B32" s="57" t="s">
        <v>114</v>
      </c>
      <c r="C32" s="57" t="s">
        <v>115</v>
      </c>
      <c r="D32" s="6" t="s">
        <v>100</v>
      </c>
      <c r="E32" s="7">
        <v>147</v>
      </c>
      <c r="F32" s="4">
        <f>References!D9</f>
        <v>1</v>
      </c>
      <c r="G32" s="32">
        <f t="shared" si="15"/>
        <v>1764</v>
      </c>
      <c r="H32" s="3">
        <v>0</v>
      </c>
      <c r="I32" s="3">
        <f t="shared" si="16"/>
        <v>0</v>
      </c>
      <c r="J32" s="8">
        <f t="shared" si="11"/>
        <v>0</v>
      </c>
      <c r="K32" s="23">
        <f>References!$C$17*J32</f>
        <v>0</v>
      </c>
      <c r="L32" s="29">
        <f>K32/References!$F$19</f>
        <v>0</v>
      </c>
      <c r="M32" s="29">
        <f t="shared" si="17"/>
        <v>0</v>
      </c>
      <c r="N32" s="23">
        <v>12.3</v>
      </c>
      <c r="O32" s="29">
        <f>MROUND(N32+M32,References!$E$28)</f>
        <v>12.3</v>
      </c>
      <c r="P32" s="23">
        <f t="shared" si="18"/>
        <v>12.3</v>
      </c>
      <c r="Q32" s="25">
        <f t="shared" si="19"/>
        <v>21697.200000000001</v>
      </c>
      <c r="R32" s="25">
        <f t="shared" si="20"/>
        <v>21697.200000000001</v>
      </c>
      <c r="S32" s="25">
        <f t="shared" si="21"/>
        <v>0</v>
      </c>
      <c r="T32" s="25">
        <f t="shared" si="22"/>
        <v>21697.200000000001</v>
      </c>
      <c r="U32" s="50">
        <f t="shared" si="23"/>
        <v>0</v>
      </c>
    </row>
    <row r="33" spans="1:21">
      <c r="A33" s="128"/>
      <c r="B33" s="57" t="s">
        <v>114</v>
      </c>
      <c r="C33" s="57" t="s">
        <v>115</v>
      </c>
      <c r="D33" s="6" t="s">
        <v>101</v>
      </c>
      <c r="E33" s="7">
        <v>214</v>
      </c>
      <c r="F33" s="4">
        <v>4.33</v>
      </c>
      <c r="G33" s="32">
        <f t="shared" si="15"/>
        <v>11119.44</v>
      </c>
      <c r="H33" s="3">
        <v>840</v>
      </c>
      <c r="I33" s="3">
        <f t="shared" si="16"/>
        <v>9340329.5999999996</v>
      </c>
      <c r="J33" s="8">
        <f t="shared" si="11"/>
        <v>5538023.4713251032</v>
      </c>
      <c r="K33" s="23">
        <f>References!$C$17*J33</f>
        <v>11076.046942650217</v>
      </c>
      <c r="L33" s="29">
        <f>K33/References!$F$19</f>
        <v>11316.523057624743</v>
      </c>
      <c r="M33" s="29">
        <f t="shared" si="17"/>
        <v>1.017724189134052</v>
      </c>
      <c r="N33" s="23">
        <v>61.1</v>
      </c>
      <c r="O33" s="29">
        <f>MROUND(N33+M33,References!$E$28)</f>
        <v>62.120000000000005</v>
      </c>
      <c r="P33" s="23">
        <f t="shared" si="18"/>
        <v>62.120000000000005</v>
      </c>
      <c r="Q33" s="25">
        <f t="shared" si="19"/>
        <v>679397.7840000001</v>
      </c>
      <c r="R33" s="25">
        <f t="shared" si="20"/>
        <v>690739.61280000012</v>
      </c>
      <c r="S33" s="25">
        <f t="shared" si="21"/>
        <v>11341.828800000018</v>
      </c>
      <c r="T33" s="25">
        <f t="shared" si="22"/>
        <v>690739.61280000012</v>
      </c>
      <c r="U33" s="50">
        <f t="shared" si="23"/>
        <v>11341.828800000018</v>
      </c>
    </row>
    <row r="34" spans="1:21">
      <c r="A34" s="128"/>
      <c r="B34" s="57" t="s">
        <v>114</v>
      </c>
      <c r="C34" s="57" t="s">
        <v>115</v>
      </c>
      <c r="D34" s="6" t="s">
        <v>109</v>
      </c>
      <c r="E34" s="7">
        <v>14</v>
      </c>
      <c r="F34" s="4">
        <v>1</v>
      </c>
      <c r="G34" s="32">
        <f t="shared" si="15"/>
        <v>168</v>
      </c>
      <c r="H34" s="3">
        <v>840</v>
      </c>
      <c r="I34" s="3">
        <f t="shared" si="16"/>
        <v>141120</v>
      </c>
      <c r="J34" s="8">
        <f t="shared" si="11"/>
        <v>83672.194209655994</v>
      </c>
      <c r="K34" s="23">
        <f>References!$C$17*J34</f>
        <v>167.34438841931214</v>
      </c>
      <c r="L34" s="29">
        <f>K34/References!$F$19</f>
        <v>170.97766377452069</v>
      </c>
      <c r="M34" s="29">
        <f t="shared" si="17"/>
        <v>1.0177241891340518</v>
      </c>
      <c r="N34" s="23">
        <v>63.35</v>
      </c>
      <c r="O34" s="29">
        <f>MROUND(N34+M34,References!$E$28)</f>
        <v>64.37</v>
      </c>
      <c r="P34" s="23">
        <f t="shared" si="18"/>
        <v>64.37</v>
      </c>
      <c r="Q34" s="25">
        <f t="shared" si="19"/>
        <v>10642.800000000001</v>
      </c>
      <c r="R34" s="25">
        <f t="shared" si="20"/>
        <v>10814.16</v>
      </c>
      <c r="S34" s="25">
        <f t="shared" si="21"/>
        <v>171.35999999999876</v>
      </c>
      <c r="T34" s="25">
        <f t="shared" si="22"/>
        <v>10814.16</v>
      </c>
      <c r="U34" s="50">
        <f t="shared" si="23"/>
        <v>171.35999999999876</v>
      </c>
    </row>
    <row r="35" spans="1:21">
      <c r="A35" s="128"/>
      <c r="B35" s="57" t="s">
        <v>114</v>
      </c>
      <c r="C35" s="57" t="s">
        <v>139</v>
      </c>
      <c r="D35" s="6" t="s">
        <v>102</v>
      </c>
      <c r="E35" s="7">
        <v>79</v>
      </c>
      <c r="F35" s="4">
        <f>References!D9</f>
        <v>1</v>
      </c>
      <c r="G35" s="32">
        <f t="shared" si="15"/>
        <v>948</v>
      </c>
      <c r="H35" s="3">
        <v>0</v>
      </c>
      <c r="I35" s="3">
        <f t="shared" si="16"/>
        <v>0</v>
      </c>
      <c r="J35" s="8">
        <f t="shared" si="11"/>
        <v>0</v>
      </c>
      <c r="K35" s="23">
        <f>References!$C$17*J35</f>
        <v>0</v>
      </c>
      <c r="L35" s="29">
        <f>K35/References!$F$19</f>
        <v>0</v>
      </c>
      <c r="M35" s="29">
        <f t="shared" si="17"/>
        <v>0</v>
      </c>
      <c r="N35" s="23">
        <v>14.6</v>
      </c>
      <c r="O35" s="29">
        <f>MROUND(N35+M35,References!$E$28)</f>
        <v>14.6</v>
      </c>
      <c r="P35" s="23">
        <f t="shared" si="18"/>
        <v>14.6</v>
      </c>
      <c r="Q35" s="25">
        <f t="shared" si="19"/>
        <v>13840.8</v>
      </c>
      <c r="R35" s="25">
        <f t="shared" si="20"/>
        <v>13840.8</v>
      </c>
      <c r="S35" s="25">
        <f t="shared" si="21"/>
        <v>0</v>
      </c>
      <c r="T35" s="25">
        <f t="shared" si="22"/>
        <v>13840.8</v>
      </c>
      <c r="U35" s="50">
        <f t="shared" si="23"/>
        <v>0</v>
      </c>
    </row>
    <row r="36" spans="1:21">
      <c r="A36" s="128"/>
      <c r="B36" s="57" t="s">
        <v>114</v>
      </c>
      <c r="C36" s="57" t="s">
        <v>139</v>
      </c>
      <c r="D36" s="6" t="s">
        <v>103</v>
      </c>
      <c r="E36" s="7">
        <v>115</v>
      </c>
      <c r="F36" s="4">
        <v>4.33</v>
      </c>
      <c r="G36" s="32">
        <f t="shared" si="15"/>
        <v>5975.4</v>
      </c>
      <c r="H36" s="3">
        <v>980</v>
      </c>
      <c r="I36" s="3">
        <f t="shared" si="16"/>
        <v>5855892</v>
      </c>
      <c r="J36" s="8">
        <f t="shared" si="11"/>
        <v>3472047.4255581838</v>
      </c>
      <c r="K36" s="23">
        <f>References!$C$17*J36</f>
        <v>6944.0948511163742</v>
      </c>
      <c r="L36" s="29">
        <f>K36/References!$F$19</f>
        <v>7094.8606397102167</v>
      </c>
      <c r="M36" s="29">
        <f t="shared" si="17"/>
        <v>1.1873448873230608</v>
      </c>
      <c r="N36" s="23">
        <v>80</v>
      </c>
      <c r="O36" s="29">
        <f>MROUND(N36+M36,References!$E$28)</f>
        <v>81.19</v>
      </c>
      <c r="P36" s="23">
        <f t="shared" si="18"/>
        <v>81.19</v>
      </c>
      <c r="Q36" s="25">
        <f t="shared" si="19"/>
        <v>478032</v>
      </c>
      <c r="R36" s="25">
        <f t="shared" si="20"/>
        <v>485142.72599999997</v>
      </c>
      <c r="S36" s="25">
        <f t="shared" si="21"/>
        <v>7110.725999999966</v>
      </c>
      <c r="T36" s="25">
        <f t="shared" si="22"/>
        <v>485142.72599999997</v>
      </c>
      <c r="U36" s="50">
        <f t="shared" si="23"/>
        <v>7110.725999999966</v>
      </c>
    </row>
    <row r="37" spans="1:21">
      <c r="A37" s="128"/>
      <c r="B37" s="57" t="s">
        <v>114</v>
      </c>
      <c r="C37" s="57" t="s">
        <v>139</v>
      </c>
      <c r="D37" s="6" t="s">
        <v>110</v>
      </c>
      <c r="E37" s="7">
        <v>14</v>
      </c>
      <c r="F37" s="4">
        <v>1</v>
      </c>
      <c r="G37" s="32">
        <f t="shared" si="15"/>
        <v>168</v>
      </c>
      <c r="H37" s="3">
        <v>980</v>
      </c>
      <c r="I37" s="3">
        <f t="shared" si="16"/>
        <v>164640</v>
      </c>
      <c r="J37" s="8">
        <f t="shared" si="11"/>
        <v>97617.559911265329</v>
      </c>
      <c r="K37" s="23">
        <f>References!$C$17*J37</f>
        <v>195.23511982253083</v>
      </c>
      <c r="L37" s="29">
        <f>K37/References!$F$19</f>
        <v>199.47394107027415</v>
      </c>
      <c r="M37" s="29">
        <f t="shared" si="17"/>
        <v>1.1873448873230603</v>
      </c>
      <c r="N37" s="23">
        <v>81.849999999999994</v>
      </c>
      <c r="O37" s="29">
        <f>MROUND(N37+M37,References!$E$28)</f>
        <v>83.04</v>
      </c>
      <c r="P37" s="23">
        <f t="shared" si="18"/>
        <v>83.04</v>
      </c>
      <c r="Q37" s="25">
        <f t="shared" si="19"/>
        <v>13750.8</v>
      </c>
      <c r="R37" s="25">
        <f t="shared" si="20"/>
        <v>13950.720000000001</v>
      </c>
      <c r="S37" s="25">
        <f t="shared" si="21"/>
        <v>199.92000000000189</v>
      </c>
      <c r="T37" s="25">
        <f t="shared" si="22"/>
        <v>13950.720000000001</v>
      </c>
      <c r="U37" s="50">
        <f t="shared" si="23"/>
        <v>199.92000000000189</v>
      </c>
    </row>
    <row r="38" spans="1:21">
      <c r="A38" s="128"/>
      <c r="B38" s="57" t="s">
        <v>114</v>
      </c>
      <c r="C38" s="57" t="s">
        <v>115</v>
      </c>
      <c r="D38" s="6" t="s">
        <v>111</v>
      </c>
      <c r="E38" s="7">
        <v>1</v>
      </c>
      <c r="F38" s="4">
        <v>1</v>
      </c>
      <c r="G38" s="32">
        <f t="shared" si="15"/>
        <v>12</v>
      </c>
      <c r="H38" s="3">
        <v>0</v>
      </c>
      <c r="I38" s="3">
        <f t="shared" si="16"/>
        <v>0</v>
      </c>
      <c r="J38" s="8">
        <f t="shared" si="11"/>
        <v>0</v>
      </c>
      <c r="K38" s="23">
        <f>References!$C$17*J38</f>
        <v>0</v>
      </c>
      <c r="L38" s="29">
        <f>K38/References!$F$19</f>
        <v>0</v>
      </c>
      <c r="M38" s="29">
        <f t="shared" si="17"/>
        <v>0</v>
      </c>
      <c r="N38" s="23">
        <v>5.25</v>
      </c>
      <c r="O38" s="29">
        <f>MROUND(N38+M38,References!$E$28)</f>
        <v>5.25</v>
      </c>
      <c r="P38" s="23">
        <f t="shared" si="18"/>
        <v>5.25</v>
      </c>
      <c r="Q38" s="25">
        <f t="shared" si="19"/>
        <v>63</v>
      </c>
      <c r="R38" s="25">
        <f t="shared" si="20"/>
        <v>63</v>
      </c>
      <c r="S38" s="25">
        <f t="shared" si="21"/>
        <v>0</v>
      </c>
      <c r="T38" s="25">
        <f t="shared" si="22"/>
        <v>63</v>
      </c>
      <c r="U38" s="50">
        <f t="shared" si="23"/>
        <v>0</v>
      </c>
    </row>
    <row r="39" spans="1:21">
      <c r="A39" s="128"/>
      <c r="B39" s="57">
        <v>240</v>
      </c>
      <c r="C39" s="57">
        <v>43</v>
      </c>
      <c r="D39" s="6" t="s">
        <v>117</v>
      </c>
      <c r="E39" s="7">
        <v>747</v>
      </c>
      <c r="F39" s="4">
        <v>4.33</v>
      </c>
      <c r="G39" s="32">
        <f t="shared" si="15"/>
        <v>38814.120000000003</v>
      </c>
      <c r="H39" s="3">
        <v>34</v>
      </c>
      <c r="I39" s="3">
        <f t="shared" si="16"/>
        <v>1319680.08</v>
      </c>
      <c r="J39" s="8">
        <f t="shared" si="11"/>
        <v>782458.38965684792</v>
      </c>
      <c r="K39" s="23">
        <f>References!$C$17*J39</f>
        <v>1564.9167793136971</v>
      </c>
      <c r="L39" s="29">
        <f>K39/References!$F$19</f>
        <v>1598.8932611123341</v>
      </c>
      <c r="M39" s="29">
        <f t="shared" si="17"/>
        <v>4.1193598131616382E-2</v>
      </c>
      <c r="N39" s="23">
        <v>3.3</v>
      </c>
      <c r="O39" s="29">
        <f>MROUND(N39+M39,References!$E$28)</f>
        <v>3.34</v>
      </c>
      <c r="P39" s="23">
        <f t="shared" si="18"/>
        <v>3.34</v>
      </c>
      <c r="Q39" s="25">
        <f t="shared" si="19"/>
        <v>128086.59600000001</v>
      </c>
      <c r="R39" s="25">
        <f t="shared" si="20"/>
        <v>129639.1608</v>
      </c>
      <c r="S39" s="25">
        <f t="shared" si="21"/>
        <v>1552.5647999999928</v>
      </c>
      <c r="T39" s="25">
        <f t="shared" si="22"/>
        <v>129639.1608</v>
      </c>
      <c r="U39" s="50">
        <f t="shared" si="23"/>
        <v>1552.5647999999928</v>
      </c>
    </row>
    <row r="40" spans="1:21">
      <c r="A40" s="128"/>
      <c r="B40" s="57">
        <v>240</v>
      </c>
      <c r="C40" s="57">
        <v>43</v>
      </c>
      <c r="D40" s="6" t="s">
        <v>118</v>
      </c>
      <c r="E40" s="7">
        <v>1</v>
      </c>
      <c r="F40" s="4">
        <v>1</v>
      </c>
      <c r="G40" s="32">
        <f t="shared" si="15"/>
        <v>12</v>
      </c>
      <c r="H40" s="3">
        <v>34</v>
      </c>
      <c r="I40" s="3">
        <f t="shared" si="16"/>
        <v>408</v>
      </c>
      <c r="J40" s="8">
        <f t="shared" si="11"/>
        <v>241.90940502791702</v>
      </c>
      <c r="K40" s="23">
        <f>References!$C$17*J40</f>
        <v>0.48381881005583449</v>
      </c>
      <c r="L40" s="29">
        <f>K40/References!$F$19</f>
        <v>0.49432317757939664</v>
      </c>
      <c r="M40" s="29">
        <f t="shared" si="17"/>
        <v>4.1193598131616389E-2</v>
      </c>
      <c r="N40" s="23">
        <v>6.81</v>
      </c>
      <c r="O40" s="29">
        <f>MROUND(N40+M40,References!$E$28)</f>
        <v>6.8500000000000005</v>
      </c>
      <c r="P40" s="23">
        <f t="shared" si="18"/>
        <v>6.8500000000000005</v>
      </c>
      <c r="Q40" s="25">
        <f t="shared" si="19"/>
        <v>81.72</v>
      </c>
      <c r="R40" s="25">
        <f t="shared" si="20"/>
        <v>82.2</v>
      </c>
      <c r="S40" s="25">
        <f t="shared" si="21"/>
        <v>0.48000000000000398</v>
      </c>
      <c r="T40" s="25">
        <f t="shared" si="22"/>
        <v>82.2</v>
      </c>
      <c r="U40" s="50">
        <f t="shared" si="23"/>
        <v>0.48000000000000398</v>
      </c>
    </row>
    <row r="41" spans="1:21">
      <c r="A41" s="128"/>
      <c r="B41" s="57">
        <v>240</v>
      </c>
      <c r="C41" s="57">
        <v>43</v>
      </c>
      <c r="D41" s="6" t="s">
        <v>119</v>
      </c>
      <c r="E41" s="7"/>
      <c r="F41" s="4"/>
      <c r="G41" s="32"/>
      <c r="H41" s="3"/>
      <c r="I41" s="3"/>
      <c r="J41" s="8"/>
      <c r="K41" s="23"/>
      <c r="L41" s="29"/>
      <c r="M41" s="29"/>
      <c r="N41" s="23">
        <v>14.29</v>
      </c>
      <c r="O41" s="23">
        <f>+O39*4.33</f>
        <v>14.462199999999999</v>
      </c>
      <c r="P41" s="23">
        <f>+P39*4.33</f>
        <v>14.462199999999999</v>
      </c>
      <c r="Q41" s="25">
        <f t="shared" si="19"/>
        <v>0</v>
      </c>
      <c r="R41" s="25">
        <f t="shared" si="20"/>
        <v>0</v>
      </c>
      <c r="S41" s="25">
        <f t="shared" si="21"/>
        <v>0</v>
      </c>
      <c r="T41" s="25">
        <f t="shared" si="22"/>
        <v>0</v>
      </c>
      <c r="U41" s="50">
        <f t="shared" si="23"/>
        <v>0</v>
      </c>
    </row>
    <row r="42" spans="1:21">
      <c r="A42" s="128"/>
      <c r="B42" s="57">
        <v>240</v>
      </c>
      <c r="C42" s="57">
        <v>43</v>
      </c>
      <c r="D42" s="6" t="s">
        <v>120</v>
      </c>
      <c r="E42" s="7">
        <v>165</v>
      </c>
      <c r="F42" s="4">
        <v>4.33</v>
      </c>
      <c r="G42" s="32">
        <f t="shared" si="15"/>
        <v>8573.4000000000015</v>
      </c>
      <c r="H42" s="3">
        <v>47</v>
      </c>
      <c r="I42" s="3">
        <f t="shared" si="16"/>
        <v>402949.80000000005</v>
      </c>
      <c r="J42" s="8">
        <f>$E$147*I42</f>
        <v>238915.06464244649</v>
      </c>
      <c r="K42" s="23">
        <f>References!$C$17*J42</f>
        <v>477.83012928489342</v>
      </c>
      <c r="L42" s="29">
        <f>K42/References!$F$19</f>
        <v>488.20447436515292</v>
      </c>
      <c r="M42" s="29">
        <f t="shared" si="17"/>
        <v>5.6944091534881475E-2</v>
      </c>
      <c r="N42" s="23">
        <v>4.8499999999999996</v>
      </c>
      <c r="O42" s="29">
        <f>MROUND(N42+M42,References!$E$28)</f>
        <v>4.91</v>
      </c>
      <c r="P42" s="23">
        <f t="shared" si="18"/>
        <v>4.91</v>
      </c>
      <c r="Q42" s="25">
        <f t="shared" si="19"/>
        <v>41580.990000000005</v>
      </c>
      <c r="R42" s="25">
        <f t="shared" si="20"/>
        <v>42095.394000000008</v>
      </c>
      <c r="S42" s="25">
        <f t="shared" si="21"/>
        <v>514.40400000000227</v>
      </c>
      <c r="T42" s="25">
        <f t="shared" si="22"/>
        <v>42095.394000000008</v>
      </c>
      <c r="U42" s="50">
        <f t="shared" si="23"/>
        <v>514.40400000000227</v>
      </c>
    </row>
    <row r="43" spans="1:21">
      <c r="A43" s="128"/>
      <c r="B43" s="57">
        <v>240</v>
      </c>
      <c r="C43" s="57">
        <v>43</v>
      </c>
      <c r="D43" s="6" t="s">
        <v>121</v>
      </c>
      <c r="E43" s="7">
        <v>1</v>
      </c>
      <c r="F43" s="4">
        <v>1</v>
      </c>
      <c r="G43" s="32">
        <f t="shared" si="15"/>
        <v>12</v>
      </c>
      <c r="H43" s="3">
        <v>47</v>
      </c>
      <c r="I43" s="3">
        <f t="shared" si="16"/>
        <v>564</v>
      </c>
      <c r="J43" s="8">
        <f>$E$147*I43</f>
        <v>334.40417753859117</v>
      </c>
      <c r="K43" s="23">
        <f>References!$C$17*J43</f>
        <v>0.66880835507718295</v>
      </c>
      <c r="L43" s="29">
        <f>K43/References!$F$19</f>
        <v>0.6833290984185777</v>
      </c>
      <c r="M43" s="29">
        <f t="shared" si="17"/>
        <v>5.6944091534881475E-2</v>
      </c>
      <c r="N43" s="23">
        <v>8.36</v>
      </c>
      <c r="O43" s="29">
        <f>MROUND(N43+M43,References!$E$28)</f>
        <v>8.42</v>
      </c>
      <c r="P43" s="23">
        <f t="shared" si="18"/>
        <v>8.42</v>
      </c>
      <c r="Q43" s="25">
        <f t="shared" si="19"/>
        <v>100.32</v>
      </c>
      <c r="R43" s="25">
        <f t="shared" si="20"/>
        <v>101.03999999999999</v>
      </c>
      <c r="S43" s="25">
        <f t="shared" si="21"/>
        <v>0.71999999999999886</v>
      </c>
      <c r="T43" s="25">
        <f t="shared" si="22"/>
        <v>101.03999999999999</v>
      </c>
      <c r="U43" s="50">
        <f t="shared" si="23"/>
        <v>0.71999999999999886</v>
      </c>
    </row>
    <row r="44" spans="1:21">
      <c r="A44" s="128"/>
      <c r="B44" s="57">
        <v>240</v>
      </c>
      <c r="C44" s="57">
        <v>43</v>
      </c>
      <c r="D44" s="6" t="s">
        <v>122</v>
      </c>
      <c r="E44" s="7"/>
      <c r="F44" s="4"/>
      <c r="G44" s="32"/>
      <c r="H44" s="3"/>
      <c r="I44" s="3"/>
      <c r="J44" s="8"/>
      <c r="K44" s="23"/>
      <c r="L44" s="29"/>
      <c r="M44" s="29"/>
      <c r="N44" s="23">
        <v>21</v>
      </c>
      <c r="O44" s="23">
        <f>+O42*4.33</f>
        <v>21.260300000000001</v>
      </c>
      <c r="P44" s="23">
        <f>+P42*4.33</f>
        <v>21.260300000000001</v>
      </c>
      <c r="Q44" s="25">
        <f t="shared" si="19"/>
        <v>0</v>
      </c>
      <c r="R44" s="25">
        <f t="shared" si="20"/>
        <v>0</v>
      </c>
      <c r="S44" s="25">
        <f t="shared" si="21"/>
        <v>0</v>
      </c>
      <c r="T44" s="25">
        <f t="shared" si="22"/>
        <v>0</v>
      </c>
      <c r="U44" s="50">
        <f t="shared" si="23"/>
        <v>0</v>
      </c>
    </row>
    <row r="45" spans="1:21">
      <c r="A45" s="128"/>
      <c r="B45" s="57">
        <v>240</v>
      </c>
      <c r="C45" s="57">
        <v>43</v>
      </c>
      <c r="D45" s="6" t="s">
        <v>123</v>
      </c>
      <c r="E45" s="7">
        <v>48</v>
      </c>
      <c r="F45" s="4">
        <v>4.33</v>
      </c>
      <c r="G45" s="32">
        <f t="shared" si="15"/>
        <v>2494.08</v>
      </c>
      <c r="H45" s="3">
        <v>68</v>
      </c>
      <c r="I45" s="3">
        <f t="shared" si="16"/>
        <v>169597.44</v>
      </c>
      <c r="J45" s="8">
        <f>$E$147*I45</f>
        <v>100556.90148200454</v>
      </c>
      <c r="K45" s="23">
        <f>References!$C$17*J45</f>
        <v>201.11380296400927</v>
      </c>
      <c r="L45" s="29">
        <f>K45/References!$F$19</f>
        <v>205.48025845620359</v>
      </c>
      <c r="M45" s="29">
        <f t="shared" si="17"/>
        <v>8.2387196263232779E-2</v>
      </c>
      <c r="N45" s="23">
        <v>6.5</v>
      </c>
      <c r="O45" s="29">
        <f>MROUND(N45+M45,References!$E$28)</f>
        <v>6.58</v>
      </c>
      <c r="P45" s="23">
        <f t="shared" si="18"/>
        <v>6.58</v>
      </c>
      <c r="Q45" s="25">
        <f t="shared" si="19"/>
        <v>16211.52</v>
      </c>
      <c r="R45" s="25">
        <f t="shared" si="20"/>
        <v>16411.046399999999</v>
      </c>
      <c r="S45" s="25">
        <f t="shared" si="21"/>
        <v>199.52639999999883</v>
      </c>
      <c r="T45" s="25">
        <f t="shared" si="22"/>
        <v>16411.046399999999</v>
      </c>
      <c r="U45" s="50">
        <f t="shared" si="23"/>
        <v>199.52639999999883</v>
      </c>
    </row>
    <row r="46" spans="1:21">
      <c r="A46" s="128"/>
      <c r="B46" s="57">
        <v>240</v>
      </c>
      <c r="C46" s="57">
        <v>43</v>
      </c>
      <c r="D46" s="6" t="s">
        <v>124</v>
      </c>
      <c r="E46" s="7">
        <v>1</v>
      </c>
      <c r="F46" s="4">
        <v>1</v>
      </c>
      <c r="G46" s="32">
        <f t="shared" si="15"/>
        <v>12</v>
      </c>
      <c r="H46" s="3">
        <v>68</v>
      </c>
      <c r="I46" s="3">
        <f t="shared" si="16"/>
        <v>816</v>
      </c>
      <c r="J46" s="8">
        <f>$E$147*I46</f>
        <v>483.81881005583404</v>
      </c>
      <c r="K46" s="23">
        <f>References!$C$17*J46</f>
        <v>0.96763762011166898</v>
      </c>
      <c r="L46" s="29">
        <f>K46/References!$F$19</f>
        <v>0.98864635515879329</v>
      </c>
      <c r="M46" s="29">
        <f t="shared" si="17"/>
        <v>8.2387196263232779E-2</v>
      </c>
      <c r="N46" s="23">
        <v>10.039999999999999</v>
      </c>
      <c r="O46" s="29">
        <f>MROUND(N46+M46,References!$E$28)</f>
        <v>10.120000000000001</v>
      </c>
      <c r="P46" s="23">
        <f t="shared" si="18"/>
        <v>10.120000000000001</v>
      </c>
      <c r="Q46" s="25">
        <f t="shared" si="19"/>
        <v>120.47999999999999</v>
      </c>
      <c r="R46" s="25">
        <f t="shared" si="20"/>
        <v>121.44000000000001</v>
      </c>
      <c r="S46" s="25">
        <f t="shared" si="21"/>
        <v>0.96000000000002217</v>
      </c>
      <c r="T46" s="25">
        <f t="shared" si="22"/>
        <v>121.44000000000001</v>
      </c>
      <c r="U46" s="50">
        <f t="shared" si="23"/>
        <v>0.96000000000002217</v>
      </c>
    </row>
    <row r="47" spans="1:21">
      <c r="A47" s="128"/>
      <c r="B47" s="57">
        <v>240</v>
      </c>
      <c r="C47" s="57">
        <v>43</v>
      </c>
      <c r="D47" s="6" t="s">
        <v>125</v>
      </c>
      <c r="E47" s="7"/>
      <c r="F47" s="4"/>
      <c r="G47" s="32"/>
      <c r="H47" s="3"/>
      <c r="I47" s="3"/>
      <c r="J47" s="8"/>
      <c r="K47" s="23"/>
      <c r="L47" s="29"/>
      <c r="M47" s="29"/>
      <c r="N47" s="23">
        <v>28.15</v>
      </c>
      <c r="O47" s="23">
        <f>+O45*4.33</f>
        <v>28.491400000000002</v>
      </c>
      <c r="P47" s="23">
        <f>+P45*4.33</f>
        <v>28.491400000000002</v>
      </c>
      <c r="Q47" s="25">
        <f t="shared" si="19"/>
        <v>0</v>
      </c>
      <c r="R47" s="25">
        <f t="shared" si="20"/>
        <v>0</v>
      </c>
      <c r="S47" s="25">
        <f t="shared" si="21"/>
        <v>0</v>
      </c>
      <c r="T47" s="25">
        <f t="shared" si="22"/>
        <v>0</v>
      </c>
      <c r="U47" s="50">
        <f t="shared" si="23"/>
        <v>0</v>
      </c>
    </row>
    <row r="48" spans="1:21">
      <c r="A48" s="128"/>
      <c r="B48" s="57"/>
      <c r="C48" s="57"/>
      <c r="D48" s="6"/>
      <c r="E48" s="7"/>
      <c r="F48" s="4"/>
      <c r="G48" s="32"/>
      <c r="H48" s="3"/>
      <c r="I48" s="3"/>
      <c r="J48" s="8"/>
      <c r="K48" s="23"/>
      <c r="L48" s="29"/>
      <c r="M48" s="29"/>
      <c r="N48" s="23"/>
      <c r="O48" s="29"/>
      <c r="P48" s="23"/>
      <c r="Q48" s="25"/>
      <c r="R48" s="25"/>
      <c r="S48" s="25"/>
      <c r="T48" s="25"/>
      <c r="U48" s="50"/>
    </row>
    <row r="49" spans="1:21" ht="14.4" customHeight="1">
      <c r="A49" s="128" t="s">
        <v>112</v>
      </c>
      <c r="B49" s="57">
        <v>240</v>
      </c>
      <c r="C49" s="57">
        <v>42</v>
      </c>
      <c r="D49" s="6" t="s">
        <v>94</v>
      </c>
      <c r="E49" s="7">
        <v>3</v>
      </c>
      <c r="F49" s="4">
        <v>1</v>
      </c>
      <c r="G49" s="32">
        <f t="shared" si="15"/>
        <v>36</v>
      </c>
      <c r="H49" s="3">
        <v>0</v>
      </c>
      <c r="I49" s="3">
        <f t="shared" ref="I49:I50" si="24">G49*H49</f>
        <v>0</v>
      </c>
      <c r="J49" s="8">
        <f t="shared" ref="J49:J59" si="25">$E$147*I49</f>
        <v>0</v>
      </c>
      <c r="K49" s="23">
        <f>References!$C$17*J49</f>
        <v>0</v>
      </c>
      <c r="L49" s="29">
        <f>K49/References!$F$19</f>
        <v>0</v>
      </c>
      <c r="M49" s="29">
        <f t="shared" ref="M49:M50" si="26">L49/G49</f>
        <v>0</v>
      </c>
      <c r="N49" s="23">
        <v>6.3</v>
      </c>
      <c r="O49" s="29">
        <f>MROUND(N49+M49,References!$E$28)</f>
        <v>6.3</v>
      </c>
      <c r="P49" s="23">
        <f t="shared" si="18"/>
        <v>6.3</v>
      </c>
      <c r="Q49" s="25">
        <f t="shared" ref="Q49" si="27">G49*N49</f>
        <v>226.79999999999998</v>
      </c>
      <c r="R49" s="25">
        <f t="shared" ref="R49" si="28">G49*P49</f>
        <v>226.79999999999998</v>
      </c>
      <c r="S49" s="25">
        <f t="shared" ref="S49" si="29">R49-Q49</f>
        <v>0</v>
      </c>
      <c r="T49" s="25">
        <f t="shared" ref="T49" si="30">G49*O49</f>
        <v>226.79999999999998</v>
      </c>
      <c r="U49" s="50">
        <f t="shared" ref="U49" si="31">T49-Q49</f>
        <v>0</v>
      </c>
    </row>
    <row r="50" spans="1:21">
      <c r="A50" s="128"/>
      <c r="B50" s="57">
        <v>240</v>
      </c>
      <c r="C50" s="57">
        <v>42</v>
      </c>
      <c r="D50" s="6" t="s">
        <v>95</v>
      </c>
      <c r="E50" s="7">
        <v>6</v>
      </c>
      <c r="F50" s="4">
        <v>1</v>
      </c>
      <c r="G50" s="32">
        <f t="shared" si="15"/>
        <v>72</v>
      </c>
      <c r="H50" s="3">
        <v>324</v>
      </c>
      <c r="I50" s="3">
        <f t="shared" si="24"/>
        <v>23328</v>
      </c>
      <c r="J50" s="8">
        <f t="shared" si="25"/>
        <v>13831.525981596196</v>
      </c>
      <c r="K50" s="23">
        <f>References!$C$17*J50</f>
        <v>27.663051963192416</v>
      </c>
      <c r="L50" s="29">
        <f>K50/References!$F$19</f>
        <v>28.263654623951382</v>
      </c>
      <c r="M50" s="29">
        <f t="shared" si="26"/>
        <v>0.39255075866599143</v>
      </c>
      <c r="N50" s="23">
        <v>27.35</v>
      </c>
      <c r="O50" s="29">
        <f>MROUND(N50+M50,References!$E$28)</f>
        <v>27.740000000000002</v>
      </c>
      <c r="P50" s="23">
        <f t="shared" si="18"/>
        <v>27.740000000000002</v>
      </c>
      <c r="Q50" s="25">
        <f t="shared" ref="Q50:Q59" si="32">G50*N50</f>
        <v>1969.2</v>
      </c>
      <c r="R50" s="25">
        <f t="shared" ref="R50:R59" si="33">G50*P50</f>
        <v>1997.2800000000002</v>
      </c>
      <c r="S50" s="25">
        <f t="shared" ref="S50:S59" si="34">R50-Q50</f>
        <v>28.080000000000155</v>
      </c>
      <c r="T50" s="25">
        <f t="shared" ref="T50:T59" si="35">G50*O50</f>
        <v>1997.2800000000002</v>
      </c>
      <c r="U50" s="50">
        <f t="shared" ref="U50:U59" si="36">T50-Q50</f>
        <v>28.080000000000155</v>
      </c>
    </row>
    <row r="51" spans="1:21">
      <c r="A51" s="128"/>
      <c r="B51" s="57">
        <v>240</v>
      </c>
      <c r="C51" s="57">
        <v>42</v>
      </c>
      <c r="D51" s="6" t="s">
        <v>96</v>
      </c>
      <c r="E51" s="7">
        <v>2</v>
      </c>
      <c r="F51" s="4">
        <v>1</v>
      </c>
      <c r="G51" s="32">
        <f t="shared" si="15"/>
        <v>24</v>
      </c>
      <c r="H51" s="3">
        <v>0</v>
      </c>
      <c r="I51" s="3">
        <f t="shared" ref="I51:I53" si="37">G51*H51</f>
        <v>0</v>
      </c>
      <c r="J51" s="8">
        <f t="shared" si="25"/>
        <v>0</v>
      </c>
      <c r="K51" s="23">
        <f>References!$C$17*J51</f>
        <v>0</v>
      </c>
      <c r="L51" s="29">
        <f>K51/References!$F$19</f>
        <v>0</v>
      </c>
      <c r="M51" s="29">
        <f t="shared" ref="M51:M53" si="38">L51/G51</f>
        <v>0</v>
      </c>
      <c r="N51" s="23">
        <v>7.45</v>
      </c>
      <c r="O51" s="29">
        <f>MROUND(N51+M51,References!$E$28)</f>
        <v>7.45</v>
      </c>
      <c r="P51" s="23">
        <f t="shared" si="18"/>
        <v>7.45</v>
      </c>
      <c r="Q51" s="25">
        <f t="shared" si="32"/>
        <v>178.8</v>
      </c>
      <c r="R51" s="25">
        <f t="shared" si="33"/>
        <v>178.8</v>
      </c>
      <c r="S51" s="25">
        <f t="shared" si="34"/>
        <v>0</v>
      </c>
      <c r="T51" s="25">
        <f t="shared" si="35"/>
        <v>178.8</v>
      </c>
      <c r="U51" s="50">
        <f t="shared" si="36"/>
        <v>0</v>
      </c>
    </row>
    <row r="52" spans="1:21">
      <c r="A52" s="128"/>
      <c r="B52" s="57">
        <v>240</v>
      </c>
      <c r="C52" s="57">
        <v>42</v>
      </c>
      <c r="D52" s="6" t="s">
        <v>97</v>
      </c>
      <c r="E52" s="7">
        <v>1</v>
      </c>
      <c r="F52" s="4">
        <v>1</v>
      </c>
      <c r="G52" s="32">
        <f t="shared" si="15"/>
        <v>12</v>
      </c>
      <c r="H52" s="3">
        <v>473</v>
      </c>
      <c r="I52" s="3">
        <f t="shared" si="37"/>
        <v>5676</v>
      </c>
      <c r="J52" s="8">
        <f t="shared" si="25"/>
        <v>3365.3867228883751</v>
      </c>
      <c r="K52" s="23">
        <f>References!$C$17*J52</f>
        <v>6.7307734457767561</v>
      </c>
      <c r="L52" s="29">
        <f>K52/References!$F$19</f>
        <v>6.8769077351486647</v>
      </c>
      <c r="M52" s="29">
        <f t="shared" si="38"/>
        <v>0.57307564459572202</v>
      </c>
      <c r="N52" s="23">
        <v>36.65</v>
      </c>
      <c r="O52" s="29">
        <f>MROUND(N52+M52,References!$E$28)</f>
        <v>37.22</v>
      </c>
      <c r="P52" s="23">
        <f t="shared" si="18"/>
        <v>37.22</v>
      </c>
      <c r="Q52" s="25">
        <f t="shared" si="32"/>
        <v>439.79999999999995</v>
      </c>
      <c r="R52" s="25">
        <f t="shared" si="33"/>
        <v>446.64</v>
      </c>
      <c r="S52" s="25">
        <f t="shared" si="34"/>
        <v>6.8400000000000318</v>
      </c>
      <c r="T52" s="25">
        <f t="shared" si="35"/>
        <v>446.64</v>
      </c>
      <c r="U52" s="50">
        <f t="shared" si="36"/>
        <v>6.8400000000000318</v>
      </c>
    </row>
    <row r="53" spans="1:21">
      <c r="A53" s="128"/>
      <c r="B53" s="57">
        <v>240</v>
      </c>
      <c r="C53" s="57">
        <v>42</v>
      </c>
      <c r="D53" s="6" t="s">
        <v>98</v>
      </c>
      <c r="E53" s="7">
        <v>6</v>
      </c>
      <c r="F53" s="4">
        <v>1</v>
      </c>
      <c r="G53" s="32">
        <f t="shared" si="15"/>
        <v>72</v>
      </c>
      <c r="H53" s="3">
        <v>0</v>
      </c>
      <c r="I53" s="3">
        <f t="shared" si="37"/>
        <v>0</v>
      </c>
      <c r="J53" s="8">
        <f t="shared" si="25"/>
        <v>0</v>
      </c>
      <c r="K53" s="23">
        <f>References!$C$17*J53</f>
        <v>0</v>
      </c>
      <c r="L53" s="29">
        <f>K53/References!$F$19</f>
        <v>0</v>
      </c>
      <c r="M53" s="29">
        <f t="shared" si="38"/>
        <v>0</v>
      </c>
      <c r="N53" s="23">
        <v>8.1</v>
      </c>
      <c r="O53" s="29">
        <f>MROUND(N53+M53,References!$E$28)</f>
        <v>8.1</v>
      </c>
      <c r="P53" s="23">
        <f t="shared" si="18"/>
        <v>8.1</v>
      </c>
      <c r="Q53" s="25">
        <f t="shared" si="32"/>
        <v>583.19999999999993</v>
      </c>
      <c r="R53" s="25">
        <f t="shared" si="33"/>
        <v>583.19999999999993</v>
      </c>
      <c r="S53" s="25">
        <f t="shared" si="34"/>
        <v>0</v>
      </c>
      <c r="T53" s="25">
        <f t="shared" si="35"/>
        <v>583.19999999999993</v>
      </c>
      <c r="U53" s="50">
        <f t="shared" si="36"/>
        <v>0</v>
      </c>
    </row>
    <row r="54" spans="1:21">
      <c r="A54" s="128"/>
      <c r="B54" s="57">
        <v>240</v>
      </c>
      <c r="C54" s="57">
        <v>42</v>
      </c>
      <c r="D54" s="6" t="s">
        <v>99</v>
      </c>
      <c r="E54" s="7">
        <v>5</v>
      </c>
      <c r="F54" s="4">
        <v>1</v>
      </c>
      <c r="G54" s="32">
        <f t="shared" si="15"/>
        <v>60</v>
      </c>
      <c r="H54" s="3">
        <v>613</v>
      </c>
      <c r="I54" s="3">
        <f t="shared" ref="I54:I59" si="39">G54*H54</f>
        <v>36780</v>
      </c>
      <c r="J54" s="8">
        <f t="shared" si="25"/>
        <v>21807.421365016635</v>
      </c>
      <c r="K54" s="23">
        <f>References!$C$17*J54</f>
        <v>43.61484273003331</v>
      </c>
      <c r="L54" s="29">
        <f>K54/References!$F$19</f>
        <v>44.561780567083844</v>
      </c>
      <c r="M54" s="29">
        <f t="shared" ref="M54:M59" si="40">L54/G54</f>
        <v>0.74269634278473073</v>
      </c>
      <c r="N54" s="23">
        <v>45.95</v>
      </c>
      <c r="O54" s="29">
        <f>MROUND(N54+M54,References!$E$28)</f>
        <v>46.69</v>
      </c>
      <c r="P54" s="23">
        <f t="shared" si="18"/>
        <v>46.69</v>
      </c>
      <c r="Q54" s="25">
        <f t="shared" si="32"/>
        <v>2757</v>
      </c>
      <c r="R54" s="25">
        <f t="shared" si="33"/>
        <v>2801.3999999999996</v>
      </c>
      <c r="S54" s="25">
        <f t="shared" si="34"/>
        <v>44.399999999999636</v>
      </c>
      <c r="T54" s="25">
        <f t="shared" si="35"/>
        <v>2801.3999999999996</v>
      </c>
      <c r="U54" s="50">
        <f t="shared" si="36"/>
        <v>44.399999999999636</v>
      </c>
    </row>
    <row r="55" spans="1:21">
      <c r="A55" s="128"/>
      <c r="B55" s="57">
        <v>240</v>
      </c>
      <c r="C55" s="57">
        <v>42</v>
      </c>
      <c r="D55" s="6" t="s">
        <v>100</v>
      </c>
      <c r="E55" s="7">
        <v>4</v>
      </c>
      <c r="F55" s="4">
        <v>1</v>
      </c>
      <c r="G55" s="32">
        <f t="shared" si="15"/>
        <v>48</v>
      </c>
      <c r="H55" s="3">
        <v>0</v>
      </c>
      <c r="I55" s="3">
        <f t="shared" si="39"/>
        <v>0</v>
      </c>
      <c r="J55" s="8">
        <f t="shared" si="25"/>
        <v>0</v>
      </c>
      <c r="K55" s="23">
        <f>References!$C$17*J55</f>
        <v>0</v>
      </c>
      <c r="L55" s="29">
        <f>K55/References!$F$19</f>
        <v>0</v>
      </c>
      <c r="M55" s="29">
        <f t="shared" si="40"/>
        <v>0</v>
      </c>
      <c r="N55" s="23">
        <v>12.5</v>
      </c>
      <c r="O55" s="29">
        <f>MROUND(N55+M55,References!$E$28)</f>
        <v>12.5</v>
      </c>
      <c r="P55" s="23">
        <f t="shared" si="18"/>
        <v>12.5</v>
      </c>
      <c r="Q55" s="25">
        <f t="shared" si="32"/>
        <v>600</v>
      </c>
      <c r="R55" s="25">
        <f t="shared" si="33"/>
        <v>600</v>
      </c>
      <c r="S55" s="25">
        <f t="shared" si="34"/>
        <v>0</v>
      </c>
      <c r="T55" s="25">
        <f t="shared" si="35"/>
        <v>600</v>
      </c>
      <c r="U55" s="50">
        <f t="shared" si="36"/>
        <v>0</v>
      </c>
    </row>
    <row r="56" spans="1:21">
      <c r="A56" s="128"/>
      <c r="B56" s="57">
        <v>240</v>
      </c>
      <c r="C56" s="57">
        <v>42</v>
      </c>
      <c r="D56" s="6" t="s">
        <v>101</v>
      </c>
      <c r="E56" s="7">
        <v>7</v>
      </c>
      <c r="F56" s="4">
        <v>1</v>
      </c>
      <c r="G56" s="32">
        <f t="shared" si="15"/>
        <v>84</v>
      </c>
      <c r="H56" s="3">
        <v>840</v>
      </c>
      <c r="I56" s="3">
        <f t="shared" si="39"/>
        <v>70560</v>
      </c>
      <c r="J56" s="8">
        <f t="shared" si="25"/>
        <v>41836.097104827997</v>
      </c>
      <c r="K56" s="23">
        <f>References!$C$17*J56</f>
        <v>83.67219420965607</v>
      </c>
      <c r="L56" s="29">
        <f>K56/References!$F$19</f>
        <v>85.488831887260346</v>
      </c>
      <c r="M56" s="29">
        <f t="shared" si="40"/>
        <v>1.0177241891340518</v>
      </c>
      <c r="N56" s="23">
        <v>63.35</v>
      </c>
      <c r="O56" s="29">
        <f>MROUND(N56+M56,References!$E$28)</f>
        <v>64.37</v>
      </c>
      <c r="P56" s="23">
        <f t="shared" si="18"/>
        <v>64.37</v>
      </c>
      <c r="Q56" s="25">
        <f t="shared" si="32"/>
        <v>5321.4000000000005</v>
      </c>
      <c r="R56" s="25">
        <f t="shared" si="33"/>
        <v>5407.08</v>
      </c>
      <c r="S56" s="25">
        <f t="shared" si="34"/>
        <v>85.679999999999382</v>
      </c>
      <c r="T56" s="25">
        <f t="shared" si="35"/>
        <v>5407.08</v>
      </c>
      <c r="U56" s="50">
        <f t="shared" si="36"/>
        <v>85.679999999999382</v>
      </c>
    </row>
    <row r="57" spans="1:21">
      <c r="A57" s="128"/>
      <c r="B57" s="57">
        <v>240</v>
      </c>
      <c r="C57" s="57">
        <v>42</v>
      </c>
      <c r="D57" s="6" t="s">
        <v>102</v>
      </c>
      <c r="E57" s="7">
        <v>4</v>
      </c>
      <c r="F57" s="4">
        <v>1</v>
      </c>
      <c r="G57" s="32">
        <f t="shared" si="15"/>
        <v>48</v>
      </c>
      <c r="H57" s="3">
        <v>0</v>
      </c>
      <c r="I57" s="3">
        <f t="shared" si="39"/>
        <v>0</v>
      </c>
      <c r="J57" s="8">
        <f t="shared" si="25"/>
        <v>0</v>
      </c>
      <c r="K57" s="23">
        <f>References!$C$17*J57</f>
        <v>0</v>
      </c>
      <c r="L57" s="29">
        <f>K57/References!$F$19</f>
        <v>0</v>
      </c>
      <c r="M57" s="29">
        <f t="shared" si="40"/>
        <v>0</v>
      </c>
      <c r="N57" s="23">
        <v>14.8</v>
      </c>
      <c r="O57" s="29">
        <f>MROUND(N57+M57,References!$E$28)</f>
        <v>14.8</v>
      </c>
      <c r="P57" s="23">
        <f t="shared" si="18"/>
        <v>14.8</v>
      </c>
      <c r="Q57" s="25">
        <f t="shared" si="32"/>
        <v>710.40000000000009</v>
      </c>
      <c r="R57" s="25">
        <f t="shared" si="33"/>
        <v>710.40000000000009</v>
      </c>
      <c r="S57" s="25">
        <f t="shared" si="34"/>
        <v>0</v>
      </c>
      <c r="T57" s="25">
        <f t="shared" si="35"/>
        <v>710.40000000000009</v>
      </c>
      <c r="U57" s="50">
        <f t="shared" si="36"/>
        <v>0</v>
      </c>
    </row>
    <row r="58" spans="1:21">
      <c r="A58" s="128"/>
      <c r="B58" s="57">
        <v>240</v>
      </c>
      <c r="C58" s="57">
        <v>42</v>
      </c>
      <c r="D58" s="6" t="s">
        <v>103</v>
      </c>
      <c r="E58" s="7">
        <v>21</v>
      </c>
      <c r="F58" s="4">
        <v>1</v>
      </c>
      <c r="G58" s="32">
        <f t="shared" si="15"/>
        <v>252</v>
      </c>
      <c r="H58" s="3">
        <v>980</v>
      </c>
      <c r="I58" s="3">
        <f t="shared" si="39"/>
        <v>246960</v>
      </c>
      <c r="J58" s="8">
        <f t="shared" si="25"/>
        <v>146426.33986689799</v>
      </c>
      <c r="K58" s="23">
        <f>References!$C$17*J58</f>
        <v>292.85267973379626</v>
      </c>
      <c r="L58" s="29">
        <f>K58/References!$F$19</f>
        <v>299.21091160541124</v>
      </c>
      <c r="M58" s="29">
        <f t="shared" si="40"/>
        <v>1.1873448873230605</v>
      </c>
      <c r="N58" s="23">
        <v>81.849999999999994</v>
      </c>
      <c r="O58" s="29">
        <f>MROUND(N58+M58,References!$E$28)</f>
        <v>83.04</v>
      </c>
      <c r="P58" s="23">
        <f t="shared" si="18"/>
        <v>83.04</v>
      </c>
      <c r="Q58" s="25">
        <f t="shared" si="32"/>
        <v>20626.199999999997</v>
      </c>
      <c r="R58" s="25">
        <f t="shared" si="33"/>
        <v>20926.080000000002</v>
      </c>
      <c r="S58" s="25">
        <f t="shared" si="34"/>
        <v>299.88000000000466</v>
      </c>
      <c r="T58" s="25">
        <f t="shared" si="35"/>
        <v>20926.080000000002</v>
      </c>
      <c r="U58" s="50">
        <f t="shared" si="36"/>
        <v>299.88000000000466</v>
      </c>
    </row>
    <row r="59" spans="1:21">
      <c r="A59" s="128"/>
      <c r="B59" s="57">
        <v>240</v>
      </c>
      <c r="C59" s="57">
        <v>42</v>
      </c>
      <c r="D59" s="6" t="s">
        <v>111</v>
      </c>
      <c r="E59" s="7">
        <v>12</v>
      </c>
      <c r="F59" s="4">
        <v>1</v>
      </c>
      <c r="G59" s="32">
        <f t="shared" si="15"/>
        <v>144</v>
      </c>
      <c r="H59" s="3">
        <v>0</v>
      </c>
      <c r="I59" s="3">
        <f t="shared" si="39"/>
        <v>0</v>
      </c>
      <c r="J59" s="8">
        <f t="shared" si="25"/>
        <v>0</v>
      </c>
      <c r="K59" s="23">
        <f>References!$C$17*J59</f>
        <v>0</v>
      </c>
      <c r="L59" s="29">
        <f>K59/References!$F$19</f>
        <v>0</v>
      </c>
      <c r="M59" s="29">
        <f t="shared" si="40"/>
        <v>0</v>
      </c>
      <c r="N59" s="23">
        <v>14.85</v>
      </c>
      <c r="O59" s="29">
        <f>MROUND(N59+M59,References!$E$28)</f>
        <v>14.85</v>
      </c>
      <c r="P59" s="23">
        <f t="shared" si="18"/>
        <v>14.85</v>
      </c>
      <c r="Q59" s="25">
        <f t="shared" si="32"/>
        <v>2138.4</v>
      </c>
      <c r="R59" s="25">
        <f t="shared" si="33"/>
        <v>2138.4</v>
      </c>
      <c r="S59" s="25">
        <f t="shared" si="34"/>
        <v>0</v>
      </c>
      <c r="T59" s="25">
        <f t="shared" si="35"/>
        <v>2138.4</v>
      </c>
      <c r="U59" s="50">
        <f t="shared" si="36"/>
        <v>0</v>
      </c>
    </row>
    <row r="60" spans="1:21">
      <c r="A60" s="132"/>
      <c r="B60" s="51"/>
      <c r="C60" s="51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</row>
    <row r="61" spans="1:21">
      <c r="A61" s="88"/>
      <c r="B61" s="103"/>
      <c r="C61" s="51"/>
      <c r="D61" s="93" t="s">
        <v>16</v>
      </c>
      <c r="E61" s="28">
        <f>SUM(E18:E59)</f>
        <v>2685</v>
      </c>
      <c r="F61" s="13"/>
      <c r="G61" s="35">
        <f>SUM(G18:G59)</f>
        <v>107304.84000000001</v>
      </c>
      <c r="H61" s="14"/>
      <c r="I61" s="28">
        <f>SUM(I18:I59)</f>
        <v>28401308.520000003</v>
      </c>
      <c r="J61" s="28">
        <f>SUM(J18:J59)</f>
        <v>16839567.760018408</v>
      </c>
      <c r="K61" s="13"/>
      <c r="L61" s="13"/>
      <c r="M61" s="13"/>
      <c r="N61" s="13"/>
      <c r="O61" s="13"/>
      <c r="P61" s="13"/>
      <c r="Q61" s="44">
        <f>SUM(Q18:Q59)</f>
        <v>2237527.068</v>
      </c>
      <c r="R61" s="44">
        <f t="shared" ref="R61:T61" si="41">SUM(R18:R59)</f>
        <v>2271876.8135999995</v>
      </c>
      <c r="S61" s="44">
        <f t="shared" si="41"/>
        <v>34349.745600000017</v>
      </c>
      <c r="T61" s="44">
        <f t="shared" si="41"/>
        <v>2271876.8135999995</v>
      </c>
      <c r="U61" s="44">
        <f>SUM(U18:U59)</f>
        <v>34349.745600000017</v>
      </c>
    </row>
    <row r="62" spans="1:21" ht="24" customHeight="1">
      <c r="A62" s="38"/>
      <c r="B62" s="59"/>
      <c r="C62" s="107"/>
      <c r="D62" s="39" t="s">
        <v>31</v>
      </c>
      <c r="H62" s="66"/>
      <c r="I62" s="67"/>
      <c r="J62" s="68"/>
      <c r="Q62" s="69"/>
      <c r="R62" s="69"/>
      <c r="S62" s="69"/>
      <c r="T62" s="69"/>
    </row>
    <row r="63" spans="1:21" ht="14.4" customHeight="1">
      <c r="A63" s="131" t="s">
        <v>13</v>
      </c>
      <c r="B63" s="57" t="s">
        <v>140</v>
      </c>
      <c r="C63" s="57" t="s">
        <v>141</v>
      </c>
      <c r="D63" s="6" t="s">
        <v>138</v>
      </c>
      <c r="E63" s="7">
        <v>3</v>
      </c>
      <c r="F63" s="4">
        <v>1</v>
      </c>
      <c r="G63" s="32">
        <f t="shared" ref="G63:G67" si="42">E63*F63*12</f>
        <v>36</v>
      </c>
      <c r="H63" s="3">
        <v>34</v>
      </c>
      <c r="I63" s="3">
        <f t="shared" ref="I63" si="43">G63*H63</f>
        <v>1224</v>
      </c>
      <c r="J63" s="8">
        <f>$E$147*I63</f>
        <v>725.72821508375102</v>
      </c>
      <c r="K63" s="23">
        <f>References!$C$17*J63</f>
        <v>1.4514564301675033</v>
      </c>
      <c r="L63" s="23">
        <f>K63/References!$F$19</f>
        <v>1.4829695327381898</v>
      </c>
      <c r="M63" s="29">
        <f t="shared" ref="M63:M64" si="44">L63/G63</f>
        <v>4.1193598131616382E-2</v>
      </c>
      <c r="N63" s="23">
        <v>5.05</v>
      </c>
      <c r="O63" s="29">
        <f>MROUND(N63+M63,References!$E$28)</f>
        <v>5.09</v>
      </c>
      <c r="P63" s="23">
        <f>O63</f>
        <v>5.09</v>
      </c>
      <c r="Q63" s="25">
        <f>N63*G63</f>
        <v>181.79999999999998</v>
      </c>
      <c r="R63" s="25">
        <f>P63*G63</f>
        <v>183.24</v>
      </c>
      <c r="S63" s="25">
        <f>R63-Q63</f>
        <v>1.4400000000000261</v>
      </c>
      <c r="T63" s="45">
        <f>O63*G63</f>
        <v>183.24</v>
      </c>
      <c r="U63" s="50">
        <f t="shared" ref="U63:U67" si="45">T63-Q63</f>
        <v>1.4400000000000261</v>
      </c>
    </row>
    <row r="64" spans="1:21">
      <c r="A64" s="128"/>
      <c r="B64" s="57">
        <v>100</v>
      </c>
      <c r="C64" s="57" t="s">
        <v>126</v>
      </c>
      <c r="D64" s="6" t="s">
        <v>143</v>
      </c>
      <c r="E64" s="70">
        <v>7</v>
      </c>
      <c r="F64" s="71">
        <v>1</v>
      </c>
      <c r="G64" s="32">
        <f t="shared" si="42"/>
        <v>84</v>
      </c>
      <c r="H64" s="8">
        <v>47</v>
      </c>
      <c r="I64" s="3">
        <f>G64*H64</f>
        <v>3948</v>
      </c>
      <c r="J64" s="8">
        <f>$E$147*I64</f>
        <v>2340.8292427701381</v>
      </c>
      <c r="K64" s="23">
        <f>References!$C$17*J64</f>
        <v>4.6816584855402805</v>
      </c>
      <c r="L64" s="23">
        <f>K64/References!$F$19</f>
        <v>4.7833036889300438</v>
      </c>
      <c r="M64" s="29">
        <f t="shared" si="44"/>
        <v>5.6944091534881475E-2</v>
      </c>
      <c r="N64" s="46">
        <v>4.5999999999999996</v>
      </c>
      <c r="O64" s="29">
        <f>MROUND(N64+M64,References!$E$28)</f>
        <v>4.66</v>
      </c>
      <c r="P64" s="23">
        <f t="shared" ref="P64:P67" si="46">O64</f>
        <v>4.66</v>
      </c>
      <c r="Q64" s="25">
        <f t="shared" ref="Q64:Q67" si="47">N64*G64</f>
        <v>386.4</v>
      </c>
      <c r="R64" s="25">
        <f t="shared" ref="R64:R67" si="48">P64*G64</f>
        <v>391.44</v>
      </c>
      <c r="S64" s="25">
        <f t="shared" ref="S64:S67" si="49">R64-Q64</f>
        <v>5.0400000000000205</v>
      </c>
      <c r="T64" s="45">
        <f>O64*G64</f>
        <v>391.44</v>
      </c>
      <c r="U64" s="50">
        <f t="shared" si="45"/>
        <v>5.0400000000000205</v>
      </c>
    </row>
    <row r="65" spans="1:35" ht="18" customHeight="1">
      <c r="A65" s="128"/>
      <c r="B65" s="57">
        <v>100</v>
      </c>
      <c r="C65" s="57" t="s">
        <v>126</v>
      </c>
      <c r="D65" s="6" t="s">
        <v>144</v>
      </c>
      <c r="E65" s="70">
        <v>29</v>
      </c>
      <c r="F65" s="71">
        <v>1</v>
      </c>
      <c r="G65" s="32">
        <f t="shared" si="42"/>
        <v>348</v>
      </c>
      <c r="H65" s="8">
        <v>68</v>
      </c>
      <c r="I65" s="3">
        <f>G65*H65</f>
        <v>23664</v>
      </c>
      <c r="J65" s="8">
        <f>$E$147*I65</f>
        <v>14030.745491619187</v>
      </c>
      <c r="K65" s="23">
        <f>References!$C$17*J65</f>
        <v>28.0614909832384</v>
      </c>
      <c r="L65" s="23">
        <f>K65/References!$F$19</f>
        <v>28.670744299605005</v>
      </c>
      <c r="M65" s="29">
        <f t="shared" ref="M65" si="50">L65/G65</f>
        <v>8.2387196263232779E-2</v>
      </c>
      <c r="N65" s="46">
        <v>6.8</v>
      </c>
      <c r="O65" s="29">
        <f>MROUND(N65+M65,References!$E$28)</f>
        <v>6.88</v>
      </c>
      <c r="P65" s="23">
        <f t="shared" ref="P65" si="51">O65</f>
        <v>6.88</v>
      </c>
      <c r="Q65" s="25">
        <f t="shared" ref="Q65" si="52">N65*G65</f>
        <v>2366.4</v>
      </c>
      <c r="R65" s="25">
        <f t="shared" ref="R65" si="53">P65*G65</f>
        <v>2394.2399999999998</v>
      </c>
      <c r="S65" s="25">
        <f t="shared" ref="S65" si="54">R65-Q65</f>
        <v>27.839999999999691</v>
      </c>
      <c r="T65" s="45">
        <f t="shared" ref="T65" si="55">O65*G65</f>
        <v>2394.2399999999998</v>
      </c>
      <c r="U65" s="50">
        <f t="shared" ref="U65" si="56">T65-Q65</f>
        <v>27.839999999999691</v>
      </c>
    </row>
    <row r="66" spans="1:35">
      <c r="A66" s="128"/>
      <c r="B66" s="57">
        <v>150</v>
      </c>
      <c r="C66" s="57">
        <v>35</v>
      </c>
      <c r="D66" s="6" t="s">
        <v>145</v>
      </c>
      <c r="E66" s="70">
        <v>305</v>
      </c>
      <c r="F66" s="71">
        <v>1</v>
      </c>
      <c r="G66" s="32">
        <f t="shared" ref="G66" si="57">E66*F66*12</f>
        <v>3660</v>
      </c>
      <c r="H66" s="3">
        <v>125</v>
      </c>
      <c r="I66" s="3">
        <f t="shared" ref="I66" si="58">G66*H66</f>
        <v>457500</v>
      </c>
      <c r="J66" s="8">
        <f>$E$147*I66</f>
        <v>271258.70784380398</v>
      </c>
      <c r="K66" s="23">
        <f>References!$C$17*J66</f>
        <v>542.51741568760838</v>
      </c>
      <c r="L66" s="23">
        <f>K66/References!$F$19</f>
        <v>554.29621015336738</v>
      </c>
      <c r="M66" s="29">
        <f t="shared" ref="M66" si="59">L66/G66</f>
        <v>0.15144705195447197</v>
      </c>
      <c r="N66" s="46">
        <v>21.4</v>
      </c>
      <c r="O66" s="29">
        <f>MROUND(N66+M66,References!$E$28)</f>
        <v>21.55</v>
      </c>
      <c r="P66" s="23">
        <f t="shared" ref="P66" si="60">O66</f>
        <v>21.55</v>
      </c>
      <c r="Q66" s="25">
        <f t="shared" ref="Q66" si="61">N66*G66</f>
        <v>78324</v>
      </c>
      <c r="R66" s="25">
        <f t="shared" ref="R66" si="62">P66*G66</f>
        <v>78873</v>
      </c>
      <c r="S66" s="25">
        <f t="shared" ref="S66" si="63">R66-Q66</f>
        <v>549</v>
      </c>
      <c r="T66" s="45">
        <f t="shared" ref="T66" si="64">O66*G66</f>
        <v>78873</v>
      </c>
      <c r="U66" s="50">
        <f t="shared" ref="U66" si="65">T66-Q66</f>
        <v>549</v>
      </c>
    </row>
    <row r="67" spans="1:35" ht="14.4" customHeight="1">
      <c r="A67" s="132"/>
      <c r="B67" s="58">
        <v>55</v>
      </c>
      <c r="C67" s="58">
        <v>20</v>
      </c>
      <c r="D67" s="18" t="s">
        <v>127</v>
      </c>
      <c r="E67" s="65">
        <v>677</v>
      </c>
      <c r="F67" s="72">
        <v>1</v>
      </c>
      <c r="G67" s="33">
        <f t="shared" si="42"/>
        <v>8124</v>
      </c>
      <c r="H67" s="15">
        <v>34</v>
      </c>
      <c r="I67" s="14">
        <f>G67*H67</f>
        <v>276216</v>
      </c>
      <c r="J67" s="15">
        <f>$E$147*I67</f>
        <v>163772.66720389982</v>
      </c>
      <c r="K67" s="23">
        <f>References!$C$17*J67</f>
        <v>327.54533440779994</v>
      </c>
      <c r="L67" s="24">
        <f>K67/References!$F$19</f>
        <v>334.65679122125152</v>
      </c>
      <c r="M67" s="30">
        <f>L67/G67</f>
        <v>4.1193598131616389E-2</v>
      </c>
      <c r="N67" s="108">
        <v>3.4</v>
      </c>
      <c r="O67" s="29">
        <f>MROUND(N67+M67,References!$E$28)</f>
        <v>3.44</v>
      </c>
      <c r="P67" s="24">
        <f t="shared" si="46"/>
        <v>3.44</v>
      </c>
      <c r="Q67" s="26">
        <f t="shared" si="47"/>
        <v>27621.599999999999</v>
      </c>
      <c r="R67" s="26">
        <f t="shared" si="48"/>
        <v>27946.560000000001</v>
      </c>
      <c r="S67" s="26">
        <f t="shared" si="49"/>
        <v>324.96000000000276</v>
      </c>
      <c r="T67" s="26">
        <f>O67*G67</f>
        <v>27946.560000000001</v>
      </c>
      <c r="U67" s="50">
        <f t="shared" si="45"/>
        <v>324.96000000000276</v>
      </c>
    </row>
    <row r="68" spans="1:35">
      <c r="A68" s="38"/>
      <c r="B68" s="59"/>
      <c r="C68" s="100"/>
      <c r="D68" s="37" t="s">
        <v>16</v>
      </c>
      <c r="E68" s="89">
        <f>SUM(E63:E67)</f>
        <v>1021</v>
      </c>
      <c r="F68" s="90"/>
      <c r="G68" s="89">
        <f>SUM(G63:G67)</f>
        <v>12252</v>
      </c>
      <c r="H68" s="73"/>
      <c r="I68" s="73">
        <f>SUM(I63:I67)</f>
        <v>762552</v>
      </c>
      <c r="J68" s="73">
        <f>SUM(J63:J67)</f>
        <v>452128.67799717688</v>
      </c>
      <c r="K68" s="36"/>
      <c r="L68" s="47"/>
      <c r="M68" s="47"/>
      <c r="N68" s="47"/>
      <c r="O68" s="47"/>
      <c r="P68" s="47"/>
      <c r="Q68" s="91">
        <f>SUM(Q63:Q67)</f>
        <v>108880.20000000001</v>
      </c>
      <c r="R68" s="54">
        <f>SUM(R63:R67)</f>
        <v>109788.48</v>
      </c>
      <c r="S68" s="54">
        <f>SUM(S63:S67)</f>
        <v>908.28000000000247</v>
      </c>
      <c r="T68" s="54">
        <f>SUM(T63:T67)</f>
        <v>109788.48</v>
      </c>
      <c r="U68" s="54">
        <f>SUM(U63:U67)</f>
        <v>908.28000000000247</v>
      </c>
    </row>
    <row r="69" spans="1:35" ht="20.399999999999999" customHeight="1">
      <c r="A69" s="131" t="s">
        <v>14</v>
      </c>
      <c r="B69" s="57">
        <v>245</v>
      </c>
      <c r="C69" s="57">
        <v>46</v>
      </c>
      <c r="D69" s="6" t="s">
        <v>128</v>
      </c>
      <c r="E69" s="7">
        <v>17</v>
      </c>
      <c r="F69" s="4">
        <v>4.33</v>
      </c>
      <c r="G69" s="32">
        <f>E69*F69*12</f>
        <v>883.31999999999994</v>
      </c>
      <c r="H69" s="3">
        <v>34</v>
      </c>
      <c r="I69" s="3">
        <f>G69*H69</f>
        <v>30032.879999999997</v>
      </c>
      <c r="J69" s="8">
        <f>$E$147*I69</f>
        <v>17806.951304104969</v>
      </c>
      <c r="K69" s="23">
        <f>References!$C$17*J69</f>
        <v>35.613902608209969</v>
      </c>
      <c r="L69" s="23">
        <f>K69/References!$F$19</f>
        <v>36.387129101619379</v>
      </c>
      <c r="M69" s="29">
        <f>L69/G69</f>
        <v>4.1193598131616382E-2</v>
      </c>
      <c r="N69" s="23">
        <v>3.85</v>
      </c>
      <c r="O69" s="29">
        <f>MROUND(N69+M69,References!$E$28)</f>
        <v>3.89</v>
      </c>
      <c r="P69" s="23">
        <f>O69</f>
        <v>3.89</v>
      </c>
      <c r="Q69" s="25">
        <f>N69*G69</f>
        <v>3400.7819999999997</v>
      </c>
      <c r="R69" s="25">
        <f>P69*G69</f>
        <v>3436.1147999999998</v>
      </c>
      <c r="S69" s="25">
        <f>R69-Q69</f>
        <v>35.332800000000134</v>
      </c>
      <c r="T69" s="45">
        <f>O69*G69</f>
        <v>3436.1147999999998</v>
      </c>
      <c r="U69" s="50">
        <f>T69-Q69</f>
        <v>35.332800000000134</v>
      </c>
    </row>
    <row r="70" spans="1:35" s="81" customFormat="1">
      <c r="A70" s="128"/>
      <c r="B70" s="57">
        <v>240</v>
      </c>
      <c r="C70" s="57">
        <v>46</v>
      </c>
      <c r="D70" s="6" t="s">
        <v>138</v>
      </c>
      <c r="E70" s="7">
        <v>201</v>
      </c>
      <c r="F70" s="4">
        <v>1</v>
      </c>
      <c r="G70" s="32">
        <f>E70*F70*12</f>
        <v>2412</v>
      </c>
      <c r="H70" s="3">
        <v>34</v>
      </c>
      <c r="I70" s="3">
        <f>G70*H70</f>
        <v>82008</v>
      </c>
      <c r="J70" s="8">
        <f>$E$147*I70</f>
        <v>48623.79041061132</v>
      </c>
      <c r="K70" s="23">
        <f>References!$C$17*J70</f>
        <v>97.247580821222726</v>
      </c>
      <c r="L70" s="23">
        <f>K70/References!$F$19</f>
        <v>99.358958693458717</v>
      </c>
      <c r="M70" s="29">
        <f>L70/G70</f>
        <v>4.1193598131616382E-2</v>
      </c>
      <c r="N70" s="23">
        <v>5.05</v>
      </c>
      <c r="O70" s="29">
        <f>MROUND(N70+M70,References!$E$28)</f>
        <v>5.09</v>
      </c>
      <c r="P70" s="23">
        <f t="shared" ref="P70" si="66">O70</f>
        <v>5.09</v>
      </c>
      <c r="Q70" s="25">
        <f>N70*G70</f>
        <v>12180.6</v>
      </c>
      <c r="R70" s="25">
        <f>P70*G70</f>
        <v>12277.08</v>
      </c>
      <c r="S70" s="25">
        <f>R70-Q70</f>
        <v>96.479999999999563</v>
      </c>
      <c r="T70" s="25">
        <f>O70*G70</f>
        <v>12277.08</v>
      </c>
      <c r="U70" s="50">
        <f>T70-Q70</f>
        <v>96.479999999999563</v>
      </c>
    </row>
    <row r="71" spans="1:35" s="81" customFormat="1">
      <c r="A71" s="128"/>
      <c r="B71" s="57"/>
      <c r="C71" s="57"/>
      <c r="D71" s="6"/>
      <c r="E71" s="7"/>
      <c r="F71" s="4"/>
      <c r="G71" s="32"/>
      <c r="H71" s="3"/>
      <c r="I71" s="3"/>
      <c r="J71" s="8"/>
      <c r="K71" s="23"/>
      <c r="L71" s="23"/>
      <c r="M71" s="29"/>
      <c r="N71" s="23"/>
      <c r="O71" s="29"/>
      <c r="P71" s="23"/>
      <c r="Q71" s="25"/>
      <c r="R71" s="25"/>
      <c r="S71" s="25"/>
      <c r="T71" s="25"/>
      <c r="U71" s="50"/>
    </row>
    <row r="72" spans="1:35">
      <c r="A72" s="132"/>
      <c r="B72" s="51"/>
    </row>
    <row r="73" spans="1:35">
      <c r="A73" s="88"/>
      <c r="B73" s="103"/>
      <c r="C73" s="107"/>
      <c r="D73" s="37" t="s">
        <v>16</v>
      </c>
      <c r="E73" s="74">
        <f>SUM(E69:E70)</f>
        <v>218</v>
      </c>
      <c r="F73" s="40"/>
      <c r="G73" s="74">
        <f>SUM(G69:G70)</f>
        <v>3295.3199999999997</v>
      </c>
      <c r="H73" s="41"/>
      <c r="I73" s="74">
        <f>SUM(I69:I70)</f>
        <v>112040.88</v>
      </c>
      <c r="J73" s="74">
        <f>SUM(J69:J70)</f>
        <v>66430.741714716292</v>
      </c>
      <c r="K73" s="40"/>
      <c r="L73" s="41"/>
      <c r="M73" s="41"/>
      <c r="N73" s="41"/>
      <c r="O73" s="41"/>
      <c r="P73" s="41"/>
      <c r="Q73" s="52">
        <f>SUM(Q69:Q70)</f>
        <v>15581.382</v>
      </c>
      <c r="R73" s="52">
        <f>SUM(R69:R70)</f>
        <v>15713.194799999999</v>
      </c>
      <c r="S73" s="52">
        <f>SUM(S69:S70)</f>
        <v>131.8127999999997</v>
      </c>
      <c r="T73" s="52">
        <f>SUM(T69:T70)</f>
        <v>15713.194799999999</v>
      </c>
      <c r="U73" s="52">
        <f>SUM(U69:U70)</f>
        <v>131.8127999999997</v>
      </c>
    </row>
    <row r="74" spans="1:35" ht="26.4" customHeight="1" thickBot="1">
      <c r="A74" s="76"/>
      <c r="B74" s="109"/>
      <c r="C74" s="109"/>
      <c r="D74" s="48" t="s">
        <v>3</v>
      </c>
      <c r="E74" s="75">
        <f>E73+E68+E61+E17</f>
        <v>9652</v>
      </c>
      <c r="F74" s="76"/>
      <c r="G74" s="75">
        <f>G73+G68+G61+G17</f>
        <v>420416.4</v>
      </c>
      <c r="H74" s="76"/>
      <c r="I74" s="75">
        <f>I73+I68+I61+I17</f>
        <v>41512107.719999999</v>
      </c>
      <c r="J74" s="75">
        <f>J73+J68+J61+J17</f>
        <v>24613160</v>
      </c>
      <c r="K74" s="77"/>
      <c r="L74" s="77"/>
      <c r="M74" s="77"/>
      <c r="N74" s="76"/>
      <c r="O74" s="76"/>
      <c r="P74" s="76"/>
      <c r="Q74" s="55">
        <f>Q73+Q68+Q61+Q17</f>
        <v>3522948.2099999995</v>
      </c>
      <c r="R74" s="55">
        <f>R73+R68+R61+R17</f>
        <v>3573286.9283999996</v>
      </c>
      <c r="S74" s="55">
        <f>S73+S68+S61+S17</f>
        <v>50338.718399999998</v>
      </c>
      <c r="T74" s="55">
        <f>T73+T68+T61+T17</f>
        <v>3573286.9283999996</v>
      </c>
      <c r="U74" s="55">
        <f>U73+U68+U61+U17</f>
        <v>50338.718399999998</v>
      </c>
    </row>
    <row r="75" spans="1:35" ht="26.4" customHeight="1" thickTop="1">
      <c r="I75" s="11">
        <v>41128984</v>
      </c>
      <c r="J75" s="68"/>
      <c r="T75" s="69"/>
    </row>
    <row r="76" spans="1:35" ht="14.4" customHeight="1">
      <c r="A76" s="87"/>
      <c r="D76" s="42" t="s">
        <v>36</v>
      </c>
      <c r="H76" s="66"/>
      <c r="I76" s="101">
        <f>+I74-I75</f>
        <v>383123.71999999881</v>
      </c>
      <c r="J76" s="68"/>
    </row>
    <row r="77" spans="1:35">
      <c r="A77" s="87"/>
      <c r="D77" s="42" t="s">
        <v>149</v>
      </c>
      <c r="H77" s="66"/>
      <c r="I77" s="67">
        <f>+I76/I75</f>
        <v>9.315175886669089E-3</v>
      </c>
      <c r="J77" s="68"/>
    </row>
    <row r="78" spans="1:35">
      <c r="B78" s="102"/>
      <c r="C78" s="57"/>
      <c r="D78" s="94"/>
      <c r="E78" s="70"/>
      <c r="F78" s="71"/>
      <c r="G78" s="3"/>
      <c r="H78" s="8"/>
      <c r="I78" s="8"/>
      <c r="J78" s="8"/>
      <c r="K78" s="23"/>
      <c r="L78" s="23"/>
      <c r="M78" s="23"/>
      <c r="N78" s="46"/>
      <c r="O78" s="23"/>
      <c r="P78" s="46"/>
      <c r="Q78" s="9"/>
      <c r="R78" s="9"/>
      <c r="S78" s="9"/>
      <c r="T78" s="9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</row>
    <row r="79" spans="1:35">
      <c r="A79" s="128" t="s">
        <v>13</v>
      </c>
      <c r="B79" s="57">
        <v>100</v>
      </c>
      <c r="C79" s="57" t="s">
        <v>137</v>
      </c>
      <c r="D79" s="6" t="s">
        <v>86</v>
      </c>
      <c r="E79" s="7">
        <v>1</v>
      </c>
      <c r="F79" s="4">
        <v>4.33</v>
      </c>
      <c r="G79" s="32">
        <f>E79*F79*12</f>
        <v>51.96</v>
      </c>
      <c r="H79" s="3">
        <v>97</v>
      </c>
      <c r="I79" s="3">
        <f t="shared" ref="I79:I84" si="67">G79*H79</f>
        <v>5040.12</v>
      </c>
      <c r="J79" s="8">
        <f t="shared" ref="J79:J94" si="68">$E$147*I79</f>
        <v>2988.3638001698655</v>
      </c>
      <c r="K79" s="23">
        <f>References!$C$17*J79</f>
        <v>5.9767276003397365</v>
      </c>
      <c r="L79" s="29">
        <f>K79/References!$F$19</f>
        <v>6.1064905239741876</v>
      </c>
      <c r="M79" s="95">
        <f t="shared" ref="M79:M84" si="69">L79/G79*F79</f>
        <v>0.5088742103311823</v>
      </c>
      <c r="N79" s="23">
        <v>34.35</v>
      </c>
      <c r="O79" s="29">
        <f>MROUND(N79+M79,References!$E$28)</f>
        <v>34.86</v>
      </c>
      <c r="P79" s="23">
        <f t="shared" ref="P79:P84" si="70">O79</f>
        <v>34.86</v>
      </c>
      <c r="Q79" s="25">
        <f>E79*N79*12</f>
        <v>412.20000000000005</v>
      </c>
      <c r="R79" s="25">
        <f t="shared" ref="R79:R84" si="71">E79*P79*12</f>
        <v>418.32</v>
      </c>
      <c r="S79" s="25">
        <f t="shared" ref="S79:S84" si="72">R79-Q79</f>
        <v>6.1199999999999477</v>
      </c>
      <c r="T79" s="25">
        <f t="shared" ref="T79:T84" si="73">E79*O79*12</f>
        <v>418.32</v>
      </c>
      <c r="U79" s="50">
        <f t="shared" ref="U79:U84" si="74">T79-Q79</f>
        <v>6.1199999999999477</v>
      </c>
    </row>
    <row r="80" spans="1:35">
      <c r="A80" s="128"/>
      <c r="B80" s="57">
        <v>100</v>
      </c>
      <c r="C80" s="57" t="s">
        <v>137</v>
      </c>
      <c r="D80" s="6" t="s">
        <v>133</v>
      </c>
      <c r="E80" s="7">
        <v>1</v>
      </c>
      <c r="F80" s="4">
        <v>1</v>
      </c>
      <c r="G80" s="32">
        <f>E80*F80*12</f>
        <v>12</v>
      </c>
      <c r="H80" s="3">
        <v>97</v>
      </c>
      <c r="I80" s="3">
        <f>G80*H80</f>
        <v>1164</v>
      </c>
      <c r="J80" s="8">
        <f t="shared" si="68"/>
        <v>690.15330257964558</v>
      </c>
      <c r="K80" s="23">
        <f>References!$C$17*J80</f>
        <v>1.3803066051592925</v>
      </c>
      <c r="L80" s="29">
        <f>K80/References!$F$19</f>
        <v>1.4102749478000434</v>
      </c>
      <c r="M80" s="29">
        <f t="shared" si="69"/>
        <v>0.11752291231667028</v>
      </c>
      <c r="N80" s="23">
        <v>11.45</v>
      </c>
      <c r="O80" s="29">
        <f>MROUND(N80+M80,References!$E$28)</f>
        <v>11.57</v>
      </c>
      <c r="P80" s="23">
        <f t="shared" si="70"/>
        <v>11.57</v>
      </c>
      <c r="Q80" s="25">
        <f>E80*N80*12</f>
        <v>137.39999999999998</v>
      </c>
      <c r="R80" s="25">
        <f t="shared" si="71"/>
        <v>138.84</v>
      </c>
      <c r="S80" s="25">
        <f t="shared" si="72"/>
        <v>1.4400000000000261</v>
      </c>
      <c r="T80" s="25">
        <f t="shared" si="73"/>
        <v>138.84</v>
      </c>
      <c r="U80" s="50">
        <f t="shared" si="74"/>
        <v>1.4400000000000261</v>
      </c>
    </row>
    <row r="81" spans="1:21">
      <c r="A81" s="128"/>
      <c r="B81" s="57">
        <v>100</v>
      </c>
      <c r="C81" s="57" t="s">
        <v>137</v>
      </c>
      <c r="D81" s="6" t="s">
        <v>87</v>
      </c>
      <c r="E81" s="7">
        <v>1</v>
      </c>
      <c r="F81" s="4">
        <v>4.33</v>
      </c>
      <c r="G81" s="32">
        <f t="shared" ref="G81:G84" si="75">E81*F81*12</f>
        <v>51.96</v>
      </c>
      <c r="H81" s="3">
        <v>117</v>
      </c>
      <c r="I81" s="3">
        <f t="shared" si="67"/>
        <v>6079.32</v>
      </c>
      <c r="J81" s="8">
        <f t="shared" si="68"/>
        <v>3604.5212847409716</v>
      </c>
      <c r="K81" s="23">
        <f>References!$C$17*J81</f>
        <v>7.2090425694819498</v>
      </c>
      <c r="L81" s="29">
        <f>K81/References!$F$19</f>
        <v>7.3655607351028864</v>
      </c>
      <c r="M81" s="29">
        <f t="shared" si="69"/>
        <v>0.61379672792524054</v>
      </c>
      <c r="N81" s="23">
        <v>41.05</v>
      </c>
      <c r="O81" s="29">
        <f>MROUND(N81+M81,References!$E$28)</f>
        <v>41.660000000000004</v>
      </c>
      <c r="P81" s="23">
        <f t="shared" si="70"/>
        <v>41.660000000000004</v>
      </c>
      <c r="Q81" s="25">
        <f t="shared" ref="Q81:Q84" si="76">E81*N81*12</f>
        <v>492.59999999999997</v>
      </c>
      <c r="R81" s="25">
        <f t="shared" si="71"/>
        <v>499.92000000000007</v>
      </c>
      <c r="S81" s="25">
        <f t="shared" si="72"/>
        <v>7.3200000000001069</v>
      </c>
      <c r="T81" s="25">
        <f t="shared" si="73"/>
        <v>499.92000000000007</v>
      </c>
      <c r="U81" s="50">
        <f t="shared" si="74"/>
        <v>7.3200000000001069</v>
      </c>
    </row>
    <row r="82" spans="1:21">
      <c r="A82" s="128"/>
      <c r="B82" s="57">
        <v>100</v>
      </c>
      <c r="C82" s="57" t="s">
        <v>137</v>
      </c>
      <c r="D82" s="6" t="s">
        <v>134</v>
      </c>
      <c r="E82" s="7">
        <v>1</v>
      </c>
      <c r="F82" s="4">
        <v>1</v>
      </c>
      <c r="G82" s="32">
        <f t="shared" si="75"/>
        <v>12</v>
      </c>
      <c r="H82" s="3">
        <v>117</v>
      </c>
      <c r="I82" s="3">
        <f t="shared" si="67"/>
        <v>1404</v>
      </c>
      <c r="J82" s="8">
        <f t="shared" si="68"/>
        <v>832.45295259606735</v>
      </c>
      <c r="K82" s="23">
        <f>References!$C$17*J82</f>
        <v>1.6649059051921362</v>
      </c>
      <c r="L82" s="29">
        <f>K82/References!$F$19</f>
        <v>1.7010532875526296</v>
      </c>
      <c r="M82" s="29">
        <f t="shared" si="69"/>
        <v>0.1417544406293858</v>
      </c>
      <c r="N82" s="23">
        <v>13</v>
      </c>
      <c r="O82" s="29">
        <f>MROUND(N82+M82,References!$E$28)</f>
        <v>13.14</v>
      </c>
      <c r="P82" s="23">
        <f t="shared" si="70"/>
        <v>13.14</v>
      </c>
      <c r="Q82" s="25">
        <f t="shared" si="76"/>
        <v>156</v>
      </c>
      <c r="R82" s="25">
        <f t="shared" si="71"/>
        <v>157.68</v>
      </c>
      <c r="S82" s="25">
        <f t="shared" si="72"/>
        <v>1.6800000000000068</v>
      </c>
      <c r="T82" s="25">
        <f t="shared" si="73"/>
        <v>157.68</v>
      </c>
      <c r="U82" s="50">
        <f t="shared" si="74"/>
        <v>1.6800000000000068</v>
      </c>
    </row>
    <row r="83" spans="1:21">
      <c r="A83" s="128"/>
      <c r="B83" s="57">
        <v>100</v>
      </c>
      <c r="C83" s="57" t="s">
        <v>137</v>
      </c>
      <c r="D83" s="6" t="s">
        <v>82</v>
      </c>
      <c r="E83" s="7">
        <v>1</v>
      </c>
      <c r="F83" s="4">
        <v>4.33</v>
      </c>
      <c r="G83" s="32">
        <f t="shared" si="75"/>
        <v>51.96</v>
      </c>
      <c r="H83" s="3">
        <v>137</v>
      </c>
      <c r="I83" s="3">
        <f t="shared" si="67"/>
        <v>7118.52</v>
      </c>
      <c r="J83" s="8">
        <f t="shared" si="68"/>
        <v>4220.6787693120777</v>
      </c>
      <c r="K83" s="23">
        <f>References!$C$17*J83</f>
        <v>8.4413575386241622</v>
      </c>
      <c r="L83" s="29">
        <f>K83/References!$F$19</f>
        <v>8.6246309462315836</v>
      </c>
      <c r="M83" s="29">
        <f t="shared" si="69"/>
        <v>0.71871924551929867</v>
      </c>
      <c r="N83" s="23">
        <v>47.75</v>
      </c>
      <c r="O83" s="29">
        <f>MROUND(N83+M83,References!$E$28)</f>
        <v>48.47</v>
      </c>
      <c r="P83" s="23">
        <f t="shared" si="70"/>
        <v>48.47</v>
      </c>
      <c r="Q83" s="25">
        <f t="shared" si="76"/>
        <v>573</v>
      </c>
      <c r="R83" s="25">
        <f t="shared" si="71"/>
        <v>581.64</v>
      </c>
      <c r="S83" s="25">
        <f t="shared" si="72"/>
        <v>8.6399999999999864</v>
      </c>
      <c r="T83" s="25">
        <f t="shared" si="73"/>
        <v>581.64</v>
      </c>
      <c r="U83" s="50">
        <f t="shared" si="74"/>
        <v>8.6399999999999864</v>
      </c>
    </row>
    <row r="84" spans="1:21">
      <c r="A84" s="128"/>
      <c r="B84" s="57">
        <v>100</v>
      </c>
      <c r="C84" s="57" t="s">
        <v>137</v>
      </c>
      <c r="D84" s="6" t="s">
        <v>135</v>
      </c>
      <c r="E84" s="7">
        <v>1</v>
      </c>
      <c r="F84" s="4">
        <v>1</v>
      </c>
      <c r="G84" s="32">
        <f t="shared" si="75"/>
        <v>12</v>
      </c>
      <c r="H84" s="3">
        <v>137</v>
      </c>
      <c r="I84" s="3">
        <f t="shared" si="67"/>
        <v>1644</v>
      </c>
      <c r="J84" s="8">
        <f t="shared" si="68"/>
        <v>974.75260261248911</v>
      </c>
      <c r="K84" s="23">
        <f>References!$C$17*J84</f>
        <v>1.9495052052249799</v>
      </c>
      <c r="L84" s="29">
        <f>K84/References!$F$19</f>
        <v>1.9918316273052157</v>
      </c>
      <c r="M84" s="29">
        <f t="shared" si="69"/>
        <v>0.1659859689421013</v>
      </c>
      <c r="N84" s="23">
        <v>14.55</v>
      </c>
      <c r="O84" s="29">
        <f>MROUND(N84+M84,References!$E$28)</f>
        <v>14.72</v>
      </c>
      <c r="P84" s="23">
        <f t="shared" si="70"/>
        <v>14.72</v>
      </c>
      <c r="Q84" s="25">
        <f t="shared" si="76"/>
        <v>174.60000000000002</v>
      </c>
      <c r="R84" s="25">
        <f t="shared" si="71"/>
        <v>176.64000000000001</v>
      </c>
      <c r="S84" s="25">
        <f t="shared" si="72"/>
        <v>2.039999999999992</v>
      </c>
      <c r="T84" s="25">
        <f t="shared" si="73"/>
        <v>176.64000000000001</v>
      </c>
      <c r="U84" s="50">
        <f t="shared" si="74"/>
        <v>2.039999999999992</v>
      </c>
    </row>
    <row r="85" spans="1:21">
      <c r="A85" s="128"/>
      <c r="B85" s="57">
        <v>100</v>
      </c>
      <c r="C85" s="104" t="s">
        <v>126</v>
      </c>
      <c r="D85" s="6" t="s">
        <v>147</v>
      </c>
      <c r="E85" s="7">
        <v>1</v>
      </c>
      <c r="F85" s="4">
        <v>1</v>
      </c>
      <c r="G85" s="32">
        <f t="shared" ref="G85" si="77">E85*F85*12</f>
        <v>12</v>
      </c>
      <c r="H85" s="3">
        <v>34</v>
      </c>
      <c r="I85" s="3">
        <f t="shared" ref="I85" si="78">G85*H85</f>
        <v>408</v>
      </c>
      <c r="J85" s="8">
        <f t="shared" si="68"/>
        <v>241.90940502791702</v>
      </c>
      <c r="K85" s="23">
        <f>References!$C$17*J85</f>
        <v>0.48381881005583449</v>
      </c>
      <c r="L85" s="29">
        <f>K85/References!$F$19</f>
        <v>0.49432317757939664</v>
      </c>
      <c r="M85" s="29">
        <f t="shared" ref="M85" si="79">L85/G85*F85</f>
        <v>4.1193598131616389E-2</v>
      </c>
      <c r="N85" s="23">
        <v>7.75</v>
      </c>
      <c r="O85" s="29">
        <f>MROUND(N85+M85,References!$E$28)</f>
        <v>7.79</v>
      </c>
      <c r="P85" s="23">
        <f t="shared" ref="P85" si="80">O85</f>
        <v>7.79</v>
      </c>
      <c r="Q85" s="25">
        <f t="shared" ref="Q85" si="81">E85*N85*12</f>
        <v>93</v>
      </c>
      <c r="R85" s="25">
        <f t="shared" ref="R85" si="82">E85*P85*12</f>
        <v>93.48</v>
      </c>
      <c r="S85" s="25">
        <f t="shared" ref="S85" si="83">R85-Q85</f>
        <v>0.48000000000000398</v>
      </c>
      <c r="T85" s="25">
        <f t="shared" ref="T85" si="84">E85*O85*12</f>
        <v>93.48</v>
      </c>
      <c r="U85" s="50">
        <f t="shared" ref="U85" si="85">T85-Q85</f>
        <v>0.48000000000000398</v>
      </c>
    </row>
    <row r="86" spans="1:21">
      <c r="A86" s="128"/>
      <c r="B86" s="57">
        <v>100</v>
      </c>
      <c r="C86" s="57" t="s">
        <v>126</v>
      </c>
      <c r="D86" s="6" t="s">
        <v>128</v>
      </c>
      <c r="E86" s="70">
        <v>1</v>
      </c>
      <c r="F86" s="71">
        <v>1</v>
      </c>
      <c r="G86" s="32">
        <f t="shared" ref="G86" si="86">E86*F86*12</f>
        <v>12</v>
      </c>
      <c r="H86" s="3">
        <v>34</v>
      </c>
      <c r="I86" s="3">
        <f t="shared" ref="I86" si="87">G86*H86</f>
        <v>408</v>
      </c>
      <c r="J86" s="8">
        <f t="shared" si="68"/>
        <v>241.90940502791702</v>
      </c>
      <c r="K86" s="23">
        <f>References!$C$17*J86</f>
        <v>0.48381881005583449</v>
      </c>
      <c r="L86" s="23">
        <f>K86/References!$F$19</f>
        <v>0.49432317757939664</v>
      </c>
      <c r="M86" s="29">
        <f t="shared" ref="M86" si="88">L86/G86</f>
        <v>4.1193598131616389E-2</v>
      </c>
      <c r="N86" s="46">
        <v>3.85</v>
      </c>
      <c r="O86" s="29">
        <f>MROUND(N86+M86,References!$E$28)</f>
        <v>3.89</v>
      </c>
      <c r="P86" s="23">
        <f t="shared" ref="P86" si="89">O86</f>
        <v>3.89</v>
      </c>
      <c r="Q86" s="25">
        <f t="shared" ref="Q86" si="90">N86*G86</f>
        <v>46.2</v>
      </c>
      <c r="R86" s="25">
        <f t="shared" ref="R86" si="91">P86*G86</f>
        <v>46.68</v>
      </c>
      <c r="S86" s="25">
        <f t="shared" ref="S86" si="92">R86-Q86</f>
        <v>0.47999999999999687</v>
      </c>
      <c r="T86" s="45">
        <f>O86*G86</f>
        <v>46.68</v>
      </c>
      <c r="U86" s="50">
        <f t="shared" ref="U86" si="93">T86-Q86</f>
        <v>0.47999999999999687</v>
      </c>
    </row>
    <row r="87" spans="1:21">
      <c r="A87" s="128" t="s">
        <v>189</v>
      </c>
      <c r="B87" s="57">
        <v>240</v>
      </c>
      <c r="C87" s="57">
        <v>42</v>
      </c>
      <c r="D87" s="6" t="s">
        <v>116</v>
      </c>
      <c r="E87" s="7">
        <v>1</v>
      </c>
      <c r="F87" s="4">
        <v>1</v>
      </c>
      <c r="G87" s="32">
        <f t="shared" ref="G87:G91" si="94">E87*F87*12</f>
        <v>12</v>
      </c>
      <c r="H87" s="3">
        <v>0</v>
      </c>
      <c r="I87" s="3">
        <f t="shared" ref="I87:I91" si="95">G87*H87</f>
        <v>0</v>
      </c>
      <c r="J87" s="8">
        <f t="shared" si="68"/>
        <v>0</v>
      </c>
      <c r="K87" s="23">
        <f>References!$C$17*J87</f>
        <v>0</v>
      </c>
      <c r="L87" s="29">
        <f>K87/References!$F$19</f>
        <v>0</v>
      </c>
      <c r="M87" s="29">
        <f t="shared" ref="M87:M91" si="96">L87/G87</f>
        <v>0</v>
      </c>
      <c r="N87" s="23">
        <v>1.25</v>
      </c>
      <c r="O87" s="29">
        <f>MROUND(N87+M87,References!$E$28)</f>
        <v>1.25</v>
      </c>
      <c r="P87" s="23">
        <f t="shared" ref="P87:P91" si="97">O87</f>
        <v>1.25</v>
      </c>
      <c r="Q87" s="25">
        <f t="shared" ref="Q87:Q91" si="98">G87*N87</f>
        <v>15</v>
      </c>
      <c r="R87" s="25">
        <f t="shared" ref="R87:R91" si="99">G87*P87</f>
        <v>15</v>
      </c>
      <c r="S87" s="25">
        <f t="shared" ref="S87:S91" si="100">R87-Q87</f>
        <v>0</v>
      </c>
      <c r="T87" s="25">
        <f t="shared" ref="T87:T91" si="101">G87*O87</f>
        <v>15</v>
      </c>
      <c r="U87" s="50">
        <f t="shared" ref="U87:U91" si="102">T87-Q87</f>
        <v>0</v>
      </c>
    </row>
    <row r="88" spans="1:21">
      <c r="A88" s="128"/>
      <c r="B88" s="57">
        <v>240</v>
      </c>
      <c r="C88" s="57">
        <v>42</v>
      </c>
      <c r="D88" s="6" t="s">
        <v>191</v>
      </c>
      <c r="E88" s="7">
        <v>1</v>
      </c>
      <c r="F88" s="4">
        <v>1</v>
      </c>
      <c r="G88" s="32">
        <f t="shared" si="94"/>
        <v>12</v>
      </c>
      <c r="H88" s="3">
        <v>0</v>
      </c>
      <c r="I88" s="3">
        <f t="shared" si="95"/>
        <v>0</v>
      </c>
      <c r="J88" s="8">
        <f t="shared" si="68"/>
        <v>0</v>
      </c>
      <c r="K88" s="23">
        <f>References!$C$17*J88</f>
        <v>0</v>
      </c>
      <c r="L88" s="29">
        <f>K88/References!$F$19</f>
        <v>0</v>
      </c>
      <c r="M88" s="29">
        <f t="shared" si="96"/>
        <v>0</v>
      </c>
      <c r="N88" s="23">
        <v>4.59</v>
      </c>
      <c r="O88" s="29">
        <f>MROUND(N88+M88,References!$E$28)</f>
        <v>4.59</v>
      </c>
      <c r="P88" s="23">
        <f t="shared" si="97"/>
        <v>4.59</v>
      </c>
      <c r="Q88" s="25">
        <f t="shared" si="98"/>
        <v>55.08</v>
      </c>
      <c r="R88" s="25">
        <f t="shared" si="99"/>
        <v>55.08</v>
      </c>
      <c r="S88" s="25">
        <f t="shared" si="100"/>
        <v>0</v>
      </c>
      <c r="T88" s="25">
        <f t="shared" si="101"/>
        <v>55.08</v>
      </c>
      <c r="U88" s="50">
        <f t="shared" si="102"/>
        <v>0</v>
      </c>
    </row>
    <row r="89" spans="1:21">
      <c r="A89" s="128"/>
      <c r="B89" s="57">
        <v>240</v>
      </c>
      <c r="C89" s="57">
        <v>42</v>
      </c>
      <c r="D89" s="6" t="s">
        <v>192</v>
      </c>
      <c r="E89" s="7">
        <v>1</v>
      </c>
      <c r="F89" s="4">
        <v>4.33</v>
      </c>
      <c r="G89" s="32">
        <f t="shared" si="94"/>
        <v>51.96</v>
      </c>
      <c r="H89" s="3">
        <v>175</v>
      </c>
      <c r="I89" s="3">
        <f t="shared" si="95"/>
        <v>9093</v>
      </c>
      <c r="J89" s="8">
        <f t="shared" si="68"/>
        <v>5391.3779899971796</v>
      </c>
      <c r="K89" s="23">
        <f>References!$C$17*J89</f>
        <v>10.782755979994368</v>
      </c>
      <c r="L89" s="29">
        <f>K89/References!$F$19</f>
        <v>11.01686434737611</v>
      </c>
      <c r="M89" s="29">
        <f t="shared" si="96"/>
        <v>0.21202587273626078</v>
      </c>
      <c r="N89" s="23">
        <v>17.25</v>
      </c>
      <c r="O89" s="29">
        <f>MROUND(N89+M89,References!$E$28)</f>
        <v>17.46</v>
      </c>
      <c r="P89" s="23">
        <f t="shared" si="97"/>
        <v>17.46</v>
      </c>
      <c r="Q89" s="25">
        <f t="shared" si="98"/>
        <v>896.31000000000006</v>
      </c>
      <c r="R89" s="25">
        <f t="shared" si="99"/>
        <v>907.22160000000008</v>
      </c>
      <c r="S89" s="25">
        <f t="shared" si="100"/>
        <v>10.911600000000021</v>
      </c>
      <c r="T89" s="25">
        <f t="shared" si="101"/>
        <v>907.22160000000008</v>
      </c>
      <c r="U89" s="50">
        <f t="shared" si="102"/>
        <v>10.911600000000021</v>
      </c>
    </row>
    <row r="90" spans="1:21">
      <c r="A90" s="128"/>
      <c r="B90" s="57">
        <v>240</v>
      </c>
      <c r="C90" s="57">
        <v>42</v>
      </c>
      <c r="D90" s="6" t="s">
        <v>193</v>
      </c>
      <c r="E90" s="7">
        <v>1</v>
      </c>
      <c r="F90" s="4">
        <v>1</v>
      </c>
      <c r="G90" s="32">
        <f t="shared" si="94"/>
        <v>12</v>
      </c>
      <c r="H90" s="3">
        <v>0</v>
      </c>
      <c r="I90" s="3">
        <f t="shared" si="95"/>
        <v>0</v>
      </c>
      <c r="J90" s="8">
        <f t="shared" si="68"/>
        <v>0</v>
      </c>
      <c r="K90" s="23">
        <f>References!$C$17*J90</f>
        <v>0</v>
      </c>
      <c r="L90" s="29">
        <f>K90/References!$F$19</f>
        <v>0</v>
      </c>
      <c r="M90" s="29">
        <f t="shared" si="96"/>
        <v>0</v>
      </c>
      <c r="N90" s="23">
        <v>5.23</v>
      </c>
      <c r="O90" s="29">
        <f>MROUND(N90+M90,References!$E$28)</f>
        <v>5.23</v>
      </c>
      <c r="P90" s="23">
        <f t="shared" si="97"/>
        <v>5.23</v>
      </c>
      <c r="Q90" s="25">
        <f t="shared" si="98"/>
        <v>62.760000000000005</v>
      </c>
      <c r="R90" s="25">
        <f t="shared" si="99"/>
        <v>62.760000000000005</v>
      </c>
      <c r="S90" s="25">
        <f t="shared" si="100"/>
        <v>0</v>
      </c>
      <c r="T90" s="25">
        <f t="shared" si="101"/>
        <v>62.760000000000005</v>
      </c>
      <c r="U90" s="50">
        <f t="shared" si="102"/>
        <v>0</v>
      </c>
    </row>
    <row r="91" spans="1:21">
      <c r="A91" s="128"/>
      <c r="B91" s="57">
        <v>240</v>
      </c>
      <c r="C91" s="57">
        <v>42</v>
      </c>
      <c r="D91" s="6" t="s">
        <v>194</v>
      </c>
      <c r="E91" s="7">
        <v>1</v>
      </c>
      <c r="F91" s="4">
        <v>4.33</v>
      </c>
      <c r="G91" s="32">
        <f t="shared" si="94"/>
        <v>51.96</v>
      </c>
      <c r="H91" s="3">
        <v>250</v>
      </c>
      <c r="I91" s="3">
        <f t="shared" si="95"/>
        <v>12990</v>
      </c>
      <c r="J91" s="8">
        <f t="shared" si="68"/>
        <v>7701.9685571388281</v>
      </c>
      <c r="K91" s="23">
        <f>References!$C$17*J91</f>
        <v>15.403937114277669</v>
      </c>
      <c r="L91" s="29">
        <f>K91/References!$F$19</f>
        <v>15.73837763910873</v>
      </c>
      <c r="M91" s="29">
        <f t="shared" si="96"/>
        <v>0.302894103908944</v>
      </c>
      <c r="N91" s="23">
        <v>22.55</v>
      </c>
      <c r="O91" s="29">
        <f>MROUND(N91+M91,References!$E$28)</f>
        <v>22.85</v>
      </c>
      <c r="P91" s="23">
        <f t="shared" si="97"/>
        <v>22.85</v>
      </c>
      <c r="Q91" s="25">
        <f t="shared" si="98"/>
        <v>1171.6980000000001</v>
      </c>
      <c r="R91" s="25">
        <f t="shared" si="99"/>
        <v>1187.2860000000001</v>
      </c>
      <c r="S91" s="25">
        <f t="shared" si="100"/>
        <v>15.587999999999965</v>
      </c>
      <c r="T91" s="25">
        <f t="shared" si="101"/>
        <v>1187.2860000000001</v>
      </c>
      <c r="U91" s="50">
        <f t="shared" si="102"/>
        <v>15.587999999999965</v>
      </c>
    </row>
    <row r="92" spans="1:21">
      <c r="A92" s="128"/>
      <c r="B92" s="57" t="s">
        <v>114</v>
      </c>
      <c r="C92" s="57" t="s">
        <v>115</v>
      </c>
      <c r="D92" s="6" t="s">
        <v>146</v>
      </c>
      <c r="E92" s="7">
        <v>1</v>
      </c>
      <c r="F92" s="4">
        <v>1</v>
      </c>
      <c r="G92" s="32">
        <f>E92*F92*12</f>
        <v>12</v>
      </c>
      <c r="H92" s="3">
        <v>250</v>
      </c>
      <c r="I92" s="3">
        <f>G92*H92</f>
        <v>3000</v>
      </c>
      <c r="J92" s="8">
        <f t="shared" si="68"/>
        <v>1778.7456252052721</v>
      </c>
      <c r="K92" s="23">
        <f>References!$C$17*J92</f>
        <v>3.5574912504105471</v>
      </c>
      <c r="L92" s="29">
        <f>K92/References!$F$19</f>
        <v>3.634729246907328</v>
      </c>
      <c r="M92" s="29">
        <f>L92/G92</f>
        <v>0.302894103908944</v>
      </c>
      <c r="N92" s="23">
        <v>22.55</v>
      </c>
      <c r="O92" s="29">
        <f>MROUND(N92+M92,References!$E$28)</f>
        <v>22.85</v>
      </c>
      <c r="P92" s="23">
        <f>O92</f>
        <v>22.85</v>
      </c>
      <c r="Q92" s="25">
        <f>G92*N92</f>
        <v>270.60000000000002</v>
      </c>
      <c r="R92" s="25">
        <f>G92*P92</f>
        <v>274.20000000000005</v>
      </c>
      <c r="S92" s="25">
        <f>R92-Q92</f>
        <v>3.6000000000000227</v>
      </c>
      <c r="T92" s="25">
        <f>G92*O92</f>
        <v>274.20000000000005</v>
      </c>
      <c r="U92" s="50">
        <f>T92-Q92</f>
        <v>3.6000000000000227</v>
      </c>
    </row>
    <row r="93" spans="1:21" ht="14.4" customHeight="1">
      <c r="A93" s="128" t="s">
        <v>183</v>
      </c>
      <c r="B93" s="57">
        <v>241</v>
      </c>
      <c r="C93" s="57">
        <v>44</v>
      </c>
      <c r="D93" s="110" t="s">
        <v>150</v>
      </c>
      <c r="E93" s="7">
        <v>1</v>
      </c>
      <c r="F93" s="4">
        <v>1</v>
      </c>
      <c r="G93" s="32">
        <f t="shared" ref="G93:G94" si="103">E93*F93*12</f>
        <v>12</v>
      </c>
      <c r="H93" s="3"/>
      <c r="I93" s="3">
        <f t="shared" ref="I93:I94" si="104">G93*H93</f>
        <v>0</v>
      </c>
      <c r="J93" s="8">
        <f t="shared" si="68"/>
        <v>0</v>
      </c>
      <c r="K93" s="23">
        <f>References!$C$17*J93</f>
        <v>0</v>
      </c>
      <c r="L93" s="29">
        <f>K93/References!$F$19</f>
        <v>0</v>
      </c>
      <c r="M93" s="29">
        <f t="shared" ref="M93:M94" si="105">L93/G93</f>
        <v>0</v>
      </c>
      <c r="N93" s="46">
        <v>4.55</v>
      </c>
      <c r="O93" s="29">
        <f>MROUND(N93+M93,References!$E$28)</f>
        <v>4.55</v>
      </c>
      <c r="P93" s="23">
        <f t="shared" ref="P93:P94" si="106">O93</f>
        <v>4.55</v>
      </c>
      <c r="Q93" s="25">
        <f t="shared" ref="Q93:Q94" si="107">G93*N93</f>
        <v>54.599999999999994</v>
      </c>
      <c r="R93" s="25">
        <f t="shared" ref="R93:R94" si="108">G93*P93</f>
        <v>54.599999999999994</v>
      </c>
      <c r="S93" s="25">
        <f t="shared" ref="S93:S94" si="109">R93-Q93</f>
        <v>0</v>
      </c>
      <c r="T93" s="25">
        <f t="shared" ref="T93:T94" si="110">G93*O93</f>
        <v>54.599999999999994</v>
      </c>
      <c r="U93" s="50">
        <f t="shared" ref="U93:U94" si="111">T93-Q93</f>
        <v>0</v>
      </c>
    </row>
    <row r="94" spans="1:21">
      <c r="A94" s="128"/>
      <c r="B94" s="57">
        <v>241</v>
      </c>
      <c r="C94" s="57">
        <v>44</v>
      </c>
      <c r="D94" s="110" t="s">
        <v>151</v>
      </c>
      <c r="E94" s="7">
        <v>1</v>
      </c>
      <c r="F94" s="4">
        <v>2.17</v>
      </c>
      <c r="G94" s="32">
        <f t="shared" si="103"/>
        <v>26.04</v>
      </c>
      <c r="H94" s="3">
        <v>175</v>
      </c>
      <c r="I94" s="3">
        <f t="shared" si="104"/>
        <v>4557</v>
      </c>
      <c r="J94" s="8">
        <f t="shared" si="68"/>
        <v>2701.9146046868082</v>
      </c>
      <c r="K94" s="23">
        <f>References!$C$17*J94</f>
        <v>5.4038292093736215</v>
      </c>
      <c r="L94" s="29">
        <f>K94/References!$F$19</f>
        <v>5.5211537260522316</v>
      </c>
      <c r="M94" s="29">
        <f t="shared" si="105"/>
        <v>0.21202587273626083</v>
      </c>
      <c r="N94" s="46">
        <v>15.69</v>
      </c>
      <c r="O94" s="29">
        <f>MROUND(N94+M94,References!$E$28)</f>
        <v>15.9</v>
      </c>
      <c r="P94" s="23">
        <f t="shared" si="106"/>
        <v>15.9</v>
      </c>
      <c r="Q94" s="25">
        <f t="shared" si="107"/>
        <v>408.56759999999997</v>
      </c>
      <c r="R94" s="25">
        <f t="shared" si="108"/>
        <v>414.036</v>
      </c>
      <c r="S94" s="25">
        <f t="shared" si="109"/>
        <v>5.468400000000031</v>
      </c>
      <c r="T94" s="25">
        <f t="shared" si="110"/>
        <v>414.036</v>
      </c>
      <c r="U94" s="50">
        <f t="shared" si="111"/>
        <v>5.468400000000031</v>
      </c>
    </row>
    <row r="95" spans="1:21">
      <c r="A95" s="128"/>
      <c r="B95" s="57">
        <v>241</v>
      </c>
      <c r="C95" s="57">
        <v>44</v>
      </c>
      <c r="D95" s="110" t="s">
        <v>152</v>
      </c>
      <c r="E95" s="7">
        <v>1</v>
      </c>
      <c r="F95" s="4">
        <v>1</v>
      </c>
      <c r="G95" s="32">
        <f t="shared" ref="G95:G141" si="112">E95*F95*12</f>
        <v>12</v>
      </c>
      <c r="H95" s="3">
        <v>175</v>
      </c>
      <c r="I95" s="3">
        <f t="shared" ref="I95:I141" si="113">G95*H95</f>
        <v>2100</v>
      </c>
      <c r="J95" s="8">
        <f t="shared" ref="J95:J141" si="114">$E$147*I95</f>
        <v>1245.1219376436904</v>
      </c>
      <c r="K95" s="23">
        <f>References!$C$17*J95</f>
        <v>2.490243875287383</v>
      </c>
      <c r="L95" s="29">
        <f>K95/References!$F$19</f>
        <v>2.5443104728351296</v>
      </c>
      <c r="M95" s="29">
        <f t="shared" ref="M95:M141" si="115">L95/G95</f>
        <v>0.21202587273626081</v>
      </c>
      <c r="N95" s="46">
        <v>20.57</v>
      </c>
      <c r="O95" s="29">
        <f>MROUND(N95+M95,References!$E$28)</f>
        <v>20.78</v>
      </c>
      <c r="P95" s="23">
        <f t="shared" ref="P95:P141" si="116">O95</f>
        <v>20.78</v>
      </c>
      <c r="Q95" s="25">
        <f t="shared" ref="Q95:Q141" si="117">G95*N95</f>
        <v>246.84</v>
      </c>
      <c r="R95" s="25">
        <f t="shared" ref="R95:R141" si="118">G95*P95</f>
        <v>249.36</v>
      </c>
      <c r="S95" s="25">
        <f t="shared" ref="S95:S141" si="119">R95-Q95</f>
        <v>2.5200000000000102</v>
      </c>
      <c r="T95" s="25">
        <f t="shared" ref="T95:T141" si="120">G95*O95</f>
        <v>249.36</v>
      </c>
      <c r="U95" s="50">
        <f t="shared" ref="U95:U141" si="121">T95-Q95</f>
        <v>2.5200000000000102</v>
      </c>
    </row>
    <row r="96" spans="1:21">
      <c r="A96" s="128"/>
      <c r="B96" s="57">
        <v>241</v>
      </c>
      <c r="C96" s="57">
        <v>44</v>
      </c>
      <c r="D96" s="110" t="s">
        <v>153</v>
      </c>
      <c r="E96" s="7">
        <v>1</v>
      </c>
      <c r="F96" s="4">
        <v>1</v>
      </c>
      <c r="G96" s="32">
        <f t="shared" si="112"/>
        <v>12</v>
      </c>
      <c r="H96" s="3"/>
      <c r="I96" s="3">
        <f t="shared" si="113"/>
        <v>0</v>
      </c>
      <c r="J96" s="8">
        <f t="shared" si="114"/>
        <v>0</v>
      </c>
      <c r="K96" s="23">
        <f>References!$C$17*J96</f>
        <v>0</v>
      </c>
      <c r="L96" s="29">
        <f>K96/References!$F$19</f>
        <v>0</v>
      </c>
      <c r="M96" s="29">
        <f t="shared" si="115"/>
        <v>0</v>
      </c>
      <c r="N96" s="46">
        <v>5.2</v>
      </c>
      <c r="O96" s="29">
        <f>MROUND(N96+M96,References!$E$28)</f>
        <v>5.2</v>
      </c>
      <c r="P96" s="23">
        <f t="shared" si="116"/>
        <v>5.2</v>
      </c>
      <c r="Q96" s="25">
        <f t="shared" si="117"/>
        <v>62.400000000000006</v>
      </c>
      <c r="R96" s="25">
        <f t="shared" si="118"/>
        <v>62.400000000000006</v>
      </c>
      <c r="S96" s="25">
        <f t="shared" si="119"/>
        <v>0</v>
      </c>
      <c r="T96" s="25">
        <f t="shared" si="120"/>
        <v>62.400000000000006</v>
      </c>
      <c r="U96" s="50">
        <f t="shared" si="121"/>
        <v>0</v>
      </c>
    </row>
    <row r="97" spans="1:21">
      <c r="A97" s="128"/>
      <c r="B97" s="57">
        <v>241</v>
      </c>
      <c r="C97" s="57">
        <v>44</v>
      </c>
      <c r="D97" s="110" t="s">
        <v>154</v>
      </c>
      <c r="E97" s="7">
        <v>1</v>
      </c>
      <c r="F97" s="4">
        <v>2.17</v>
      </c>
      <c r="G97" s="32">
        <f t="shared" si="112"/>
        <v>26.04</v>
      </c>
      <c r="H97" s="3">
        <v>250</v>
      </c>
      <c r="I97" s="3">
        <f t="shared" si="113"/>
        <v>6510</v>
      </c>
      <c r="J97" s="8">
        <f t="shared" si="114"/>
        <v>3859.8780066954405</v>
      </c>
      <c r="K97" s="23">
        <f>References!$C$17*J97</f>
        <v>7.7197560133908878</v>
      </c>
      <c r="L97" s="29">
        <f>K97/References!$F$19</f>
        <v>7.8873624657889021</v>
      </c>
      <c r="M97" s="29">
        <f t="shared" si="115"/>
        <v>0.302894103908944</v>
      </c>
      <c r="N97" s="46">
        <v>21.75</v>
      </c>
      <c r="O97" s="29">
        <f>MROUND(N97+M97,References!$E$28)</f>
        <v>22.05</v>
      </c>
      <c r="P97" s="23">
        <f t="shared" si="116"/>
        <v>22.05</v>
      </c>
      <c r="Q97" s="25">
        <f t="shared" si="117"/>
        <v>566.37</v>
      </c>
      <c r="R97" s="25">
        <f t="shared" si="118"/>
        <v>574.18200000000002</v>
      </c>
      <c r="S97" s="25">
        <f t="shared" si="119"/>
        <v>7.8120000000000118</v>
      </c>
      <c r="T97" s="25">
        <f t="shared" si="120"/>
        <v>574.18200000000002</v>
      </c>
      <c r="U97" s="50">
        <f t="shared" si="121"/>
        <v>7.8120000000000118</v>
      </c>
    </row>
    <row r="98" spans="1:21">
      <c r="A98" s="128"/>
      <c r="B98" s="57">
        <v>241</v>
      </c>
      <c r="C98" s="57">
        <v>44</v>
      </c>
      <c r="D98" s="110" t="s">
        <v>155</v>
      </c>
      <c r="E98" s="7">
        <v>1</v>
      </c>
      <c r="F98" s="4">
        <v>1</v>
      </c>
      <c r="G98" s="32">
        <f t="shared" si="112"/>
        <v>12</v>
      </c>
      <c r="H98" s="3">
        <v>250</v>
      </c>
      <c r="I98" s="3">
        <f t="shared" si="113"/>
        <v>3000</v>
      </c>
      <c r="J98" s="8">
        <f t="shared" si="114"/>
        <v>1778.7456252052721</v>
      </c>
      <c r="K98" s="23">
        <f>References!$C$17*J98</f>
        <v>3.5574912504105471</v>
      </c>
      <c r="L98" s="29">
        <f>K98/References!$F$19</f>
        <v>3.634729246907328</v>
      </c>
      <c r="M98" s="29">
        <f t="shared" si="115"/>
        <v>0.302894103908944</v>
      </c>
      <c r="N98" s="46">
        <v>26.92</v>
      </c>
      <c r="O98" s="29">
        <f>MROUND(N98+M98,References!$E$28)</f>
        <v>27.22</v>
      </c>
      <c r="P98" s="23">
        <f t="shared" si="116"/>
        <v>27.22</v>
      </c>
      <c r="Q98" s="25">
        <f t="shared" si="117"/>
        <v>323.04000000000002</v>
      </c>
      <c r="R98" s="25">
        <f t="shared" si="118"/>
        <v>326.64</v>
      </c>
      <c r="S98" s="25">
        <f t="shared" si="119"/>
        <v>3.5999999999999659</v>
      </c>
      <c r="T98" s="25">
        <f t="shared" si="120"/>
        <v>326.64</v>
      </c>
      <c r="U98" s="50">
        <f t="shared" si="121"/>
        <v>3.5999999999999659</v>
      </c>
    </row>
    <row r="99" spans="1:21">
      <c r="A99" s="128"/>
      <c r="B99" s="57">
        <v>241</v>
      </c>
      <c r="C99" s="57">
        <v>44</v>
      </c>
      <c r="D99" s="110" t="s">
        <v>156</v>
      </c>
      <c r="E99" s="7">
        <v>1</v>
      </c>
      <c r="F99" s="4">
        <v>1</v>
      </c>
      <c r="G99" s="32">
        <f t="shared" si="112"/>
        <v>12</v>
      </c>
      <c r="H99" s="3"/>
      <c r="I99" s="3">
        <f t="shared" si="113"/>
        <v>0</v>
      </c>
      <c r="J99" s="8">
        <f t="shared" si="114"/>
        <v>0</v>
      </c>
      <c r="K99" s="23">
        <f>References!$C$17*J99</f>
        <v>0</v>
      </c>
      <c r="L99" s="29">
        <f>K99/References!$F$19</f>
        <v>0</v>
      </c>
      <c r="M99" s="29">
        <f t="shared" si="115"/>
        <v>0</v>
      </c>
      <c r="N99" s="46">
        <v>6.2</v>
      </c>
      <c r="O99" s="29">
        <f>MROUND(N99+M99,References!$E$28)</f>
        <v>6.2</v>
      </c>
      <c r="P99" s="23">
        <f t="shared" si="116"/>
        <v>6.2</v>
      </c>
      <c r="Q99" s="25">
        <f t="shared" si="117"/>
        <v>74.400000000000006</v>
      </c>
      <c r="R99" s="25">
        <f t="shared" si="118"/>
        <v>74.400000000000006</v>
      </c>
      <c r="S99" s="25">
        <f t="shared" si="119"/>
        <v>0</v>
      </c>
      <c r="T99" s="25">
        <f t="shared" si="120"/>
        <v>74.400000000000006</v>
      </c>
      <c r="U99" s="50">
        <f t="shared" si="121"/>
        <v>0</v>
      </c>
    </row>
    <row r="100" spans="1:21">
      <c r="A100" s="128"/>
      <c r="B100" s="57">
        <v>241</v>
      </c>
      <c r="C100" s="57">
        <v>44</v>
      </c>
      <c r="D100" s="110" t="s">
        <v>157</v>
      </c>
      <c r="E100" s="7">
        <v>1</v>
      </c>
      <c r="F100" s="4">
        <v>2.17</v>
      </c>
      <c r="G100" s="32">
        <f t="shared" si="112"/>
        <v>26.04</v>
      </c>
      <c r="H100" s="3">
        <v>324</v>
      </c>
      <c r="I100" s="3">
        <f t="shared" si="113"/>
        <v>8436.9599999999991</v>
      </c>
      <c r="J100" s="8">
        <f t="shared" si="114"/>
        <v>5002.4018966772901</v>
      </c>
      <c r="K100" s="23">
        <f>References!$C$17*J100</f>
        <v>10.00480379335459</v>
      </c>
      <c r="L100" s="29">
        <f>K100/References!$F$19</f>
        <v>10.222021755662416</v>
      </c>
      <c r="M100" s="29">
        <f t="shared" si="115"/>
        <v>0.39255075866599143</v>
      </c>
      <c r="N100" s="46">
        <v>28.22</v>
      </c>
      <c r="O100" s="29">
        <f>MROUND(N100+M100,References!$E$28)</f>
        <v>28.61</v>
      </c>
      <c r="P100" s="23">
        <f t="shared" si="116"/>
        <v>28.61</v>
      </c>
      <c r="Q100" s="25">
        <f t="shared" si="117"/>
        <v>734.84879999999998</v>
      </c>
      <c r="R100" s="25">
        <f t="shared" si="118"/>
        <v>745.00439999999992</v>
      </c>
      <c r="S100" s="25">
        <f t="shared" si="119"/>
        <v>10.155599999999936</v>
      </c>
      <c r="T100" s="25">
        <f t="shared" si="120"/>
        <v>745.00439999999992</v>
      </c>
      <c r="U100" s="50">
        <f t="shared" si="121"/>
        <v>10.155599999999936</v>
      </c>
    </row>
    <row r="101" spans="1:21">
      <c r="A101" s="128"/>
      <c r="B101" s="57">
        <v>241</v>
      </c>
      <c r="C101" s="57">
        <v>44</v>
      </c>
      <c r="D101" s="110" t="s">
        <v>158</v>
      </c>
      <c r="E101" s="7">
        <v>1</v>
      </c>
      <c r="F101" s="4">
        <v>1</v>
      </c>
      <c r="G101" s="32">
        <f t="shared" si="112"/>
        <v>12</v>
      </c>
      <c r="H101" s="3">
        <v>324</v>
      </c>
      <c r="I101" s="3">
        <f t="shared" si="113"/>
        <v>3888</v>
      </c>
      <c r="J101" s="8">
        <f t="shared" si="114"/>
        <v>2305.2543302660329</v>
      </c>
      <c r="K101" s="23">
        <f>References!$C$17*J101</f>
        <v>4.6105086605320702</v>
      </c>
      <c r="L101" s="29">
        <f>K101/References!$F$19</f>
        <v>4.7106091039918976</v>
      </c>
      <c r="M101" s="29">
        <f t="shared" si="115"/>
        <v>0.39255075866599148</v>
      </c>
      <c r="N101" s="46">
        <v>32.6</v>
      </c>
      <c r="O101" s="29">
        <f>MROUND(N101+M101,References!$E$28)</f>
        <v>32.99</v>
      </c>
      <c r="P101" s="23">
        <f t="shared" si="116"/>
        <v>32.99</v>
      </c>
      <c r="Q101" s="25">
        <f t="shared" si="117"/>
        <v>391.20000000000005</v>
      </c>
      <c r="R101" s="25">
        <f t="shared" si="118"/>
        <v>395.88</v>
      </c>
      <c r="S101" s="25">
        <f t="shared" si="119"/>
        <v>4.67999999999995</v>
      </c>
      <c r="T101" s="25">
        <f t="shared" si="120"/>
        <v>395.88</v>
      </c>
      <c r="U101" s="50">
        <f t="shared" si="121"/>
        <v>4.67999999999995</v>
      </c>
    </row>
    <row r="102" spans="1:21">
      <c r="A102" s="128"/>
      <c r="B102" s="57">
        <v>241</v>
      </c>
      <c r="C102" s="57">
        <v>44</v>
      </c>
      <c r="D102" s="110" t="s">
        <v>159</v>
      </c>
      <c r="E102" s="7">
        <v>1</v>
      </c>
      <c r="F102" s="4">
        <v>1</v>
      </c>
      <c r="G102" s="32">
        <f t="shared" si="112"/>
        <v>12</v>
      </c>
      <c r="H102" s="3"/>
      <c r="I102" s="3">
        <f t="shared" si="113"/>
        <v>0</v>
      </c>
      <c r="J102" s="8">
        <f t="shared" si="114"/>
        <v>0</v>
      </c>
      <c r="K102" s="23">
        <f>References!$C$17*J102</f>
        <v>0</v>
      </c>
      <c r="L102" s="29">
        <f>K102/References!$F$19</f>
        <v>0</v>
      </c>
      <c r="M102" s="29">
        <f t="shared" si="115"/>
        <v>0</v>
      </c>
      <c r="N102" s="46">
        <v>7.3</v>
      </c>
      <c r="O102" s="29">
        <f>MROUND(N102+M102,References!$E$28)</f>
        <v>7.3</v>
      </c>
      <c r="P102" s="23">
        <f t="shared" si="116"/>
        <v>7.3</v>
      </c>
      <c r="Q102" s="25">
        <f t="shared" si="117"/>
        <v>87.6</v>
      </c>
      <c r="R102" s="25">
        <f t="shared" si="118"/>
        <v>87.6</v>
      </c>
      <c r="S102" s="25">
        <f t="shared" si="119"/>
        <v>0</v>
      </c>
      <c r="T102" s="25">
        <f t="shared" si="120"/>
        <v>87.6</v>
      </c>
      <c r="U102" s="50">
        <f t="shared" si="121"/>
        <v>0</v>
      </c>
    </row>
    <row r="103" spans="1:21">
      <c r="A103" s="128"/>
      <c r="B103" s="57">
        <v>241</v>
      </c>
      <c r="C103" s="57">
        <v>44</v>
      </c>
      <c r="D103" s="110" t="s">
        <v>160</v>
      </c>
      <c r="E103" s="7">
        <v>1</v>
      </c>
      <c r="F103" s="4">
        <v>2.17</v>
      </c>
      <c r="G103" s="32">
        <f t="shared" si="112"/>
        <v>26.04</v>
      </c>
      <c r="H103" s="3">
        <v>473</v>
      </c>
      <c r="I103" s="3">
        <f t="shared" si="113"/>
        <v>12316.92</v>
      </c>
      <c r="J103" s="8">
        <f t="shared" si="114"/>
        <v>7302.8891886677739</v>
      </c>
      <c r="K103" s="23">
        <f>References!$C$17*J103</f>
        <v>14.605778377335561</v>
      </c>
      <c r="L103" s="29">
        <f>K103/References!$F$19</f>
        <v>14.922889785272604</v>
      </c>
      <c r="M103" s="29">
        <f t="shared" si="115"/>
        <v>0.57307564459572213</v>
      </c>
      <c r="N103" s="46">
        <v>39.68</v>
      </c>
      <c r="O103" s="29">
        <f>MROUND(N103+M103,References!$E$28)</f>
        <v>40.25</v>
      </c>
      <c r="P103" s="23">
        <f t="shared" si="116"/>
        <v>40.25</v>
      </c>
      <c r="Q103" s="25">
        <f t="shared" si="117"/>
        <v>1033.2672</v>
      </c>
      <c r="R103" s="25">
        <f t="shared" si="118"/>
        <v>1048.1099999999999</v>
      </c>
      <c r="S103" s="25">
        <f t="shared" si="119"/>
        <v>14.842799999999897</v>
      </c>
      <c r="T103" s="25">
        <f t="shared" si="120"/>
        <v>1048.1099999999999</v>
      </c>
      <c r="U103" s="50">
        <f t="shared" si="121"/>
        <v>14.842799999999897</v>
      </c>
    </row>
    <row r="104" spans="1:21">
      <c r="A104" s="128"/>
      <c r="B104" s="57">
        <v>241</v>
      </c>
      <c r="C104" s="57">
        <v>44</v>
      </c>
      <c r="D104" s="110" t="s">
        <v>161</v>
      </c>
      <c r="E104" s="7">
        <v>1</v>
      </c>
      <c r="F104" s="4">
        <v>1</v>
      </c>
      <c r="G104" s="32">
        <f t="shared" si="112"/>
        <v>12</v>
      </c>
      <c r="H104" s="3">
        <v>473</v>
      </c>
      <c r="I104" s="3">
        <f t="shared" si="113"/>
        <v>5676</v>
      </c>
      <c r="J104" s="8">
        <f t="shared" si="114"/>
        <v>3365.3867228883751</v>
      </c>
      <c r="K104" s="23">
        <f>References!$C$17*J104</f>
        <v>6.7307734457767561</v>
      </c>
      <c r="L104" s="29">
        <f>K104/References!$F$19</f>
        <v>6.8769077351486647</v>
      </c>
      <c r="M104" s="29">
        <f t="shared" si="115"/>
        <v>0.57307564459572202</v>
      </c>
      <c r="N104" s="46">
        <v>43.67</v>
      </c>
      <c r="O104" s="29">
        <f>MROUND(N104+M104,References!$E$28)</f>
        <v>44.24</v>
      </c>
      <c r="P104" s="23">
        <f t="shared" si="116"/>
        <v>44.24</v>
      </c>
      <c r="Q104" s="25">
        <f t="shared" si="117"/>
        <v>524.04</v>
      </c>
      <c r="R104" s="25">
        <f t="shared" si="118"/>
        <v>530.88</v>
      </c>
      <c r="S104" s="25">
        <f t="shared" si="119"/>
        <v>6.8400000000000318</v>
      </c>
      <c r="T104" s="25">
        <f t="shared" si="120"/>
        <v>530.88</v>
      </c>
      <c r="U104" s="50">
        <f t="shared" si="121"/>
        <v>6.8400000000000318</v>
      </c>
    </row>
    <row r="105" spans="1:21">
      <c r="A105" s="128"/>
      <c r="B105" s="57">
        <v>241</v>
      </c>
      <c r="C105" s="57">
        <v>44</v>
      </c>
      <c r="D105" s="110" t="s">
        <v>162</v>
      </c>
      <c r="E105" s="7">
        <v>1</v>
      </c>
      <c r="F105" s="4">
        <v>1</v>
      </c>
      <c r="G105" s="32">
        <f t="shared" si="112"/>
        <v>12</v>
      </c>
      <c r="H105" s="3"/>
      <c r="I105" s="3">
        <f t="shared" si="113"/>
        <v>0</v>
      </c>
      <c r="J105" s="8">
        <f t="shared" si="114"/>
        <v>0</v>
      </c>
      <c r="K105" s="23">
        <f>References!$C$17*J105</f>
        <v>0</v>
      </c>
      <c r="L105" s="29">
        <f>K105/References!$F$19</f>
        <v>0</v>
      </c>
      <c r="M105" s="29">
        <f t="shared" si="115"/>
        <v>0</v>
      </c>
      <c r="N105" s="46">
        <v>8</v>
      </c>
      <c r="O105" s="29">
        <f>MROUND(N105+M105,References!$E$28)</f>
        <v>8</v>
      </c>
      <c r="P105" s="23">
        <f t="shared" si="116"/>
        <v>8</v>
      </c>
      <c r="Q105" s="25">
        <f t="shared" si="117"/>
        <v>96</v>
      </c>
      <c r="R105" s="25">
        <f t="shared" si="118"/>
        <v>96</v>
      </c>
      <c r="S105" s="25">
        <f t="shared" si="119"/>
        <v>0</v>
      </c>
      <c r="T105" s="25">
        <f t="shared" si="120"/>
        <v>96</v>
      </c>
      <c r="U105" s="50">
        <f t="shared" si="121"/>
        <v>0</v>
      </c>
    </row>
    <row r="106" spans="1:21">
      <c r="A106" s="128"/>
      <c r="B106" s="57">
        <v>241</v>
      </c>
      <c r="C106" s="57">
        <v>44</v>
      </c>
      <c r="D106" s="110" t="s">
        <v>163</v>
      </c>
      <c r="E106" s="7">
        <v>1</v>
      </c>
      <c r="F106" s="4">
        <v>2.17</v>
      </c>
      <c r="G106" s="32">
        <f t="shared" si="112"/>
        <v>26.04</v>
      </c>
      <c r="H106" s="3">
        <v>613</v>
      </c>
      <c r="I106" s="3">
        <f t="shared" si="113"/>
        <v>15962.519999999999</v>
      </c>
      <c r="J106" s="8">
        <f t="shared" si="114"/>
        <v>9464.4208724172186</v>
      </c>
      <c r="K106" s="23">
        <f>References!$C$17*J106</f>
        <v>18.928841744834454</v>
      </c>
      <c r="L106" s="29">
        <f>K106/References!$F$19</f>
        <v>19.339812766114385</v>
      </c>
      <c r="M106" s="29">
        <f t="shared" si="115"/>
        <v>0.74269634278473062</v>
      </c>
      <c r="N106" s="46">
        <v>51.33</v>
      </c>
      <c r="O106" s="29">
        <f>MROUND(N106+M106,References!$E$28)</f>
        <v>52.07</v>
      </c>
      <c r="P106" s="23">
        <f t="shared" si="116"/>
        <v>52.07</v>
      </c>
      <c r="Q106" s="25">
        <f t="shared" si="117"/>
        <v>1336.6332</v>
      </c>
      <c r="R106" s="25">
        <f t="shared" si="118"/>
        <v>1355.9028000000001</v>
      </c>
      <c r="S106" s="25">
        <f t="shared" si="119"/>
        <v>19.269600000000082</v>
      </c>
      <c r="T106" s="25">
        <f t="shared" si="120"/>
        <v>1355.9028000000001</v>
      </c>
      <c r="U106" s="50">
        <f t="shared" si="121"/>
        <v>19.269600000000082</v>
      </c>
    </row>
    <row r="107" spans="1:21">
      <c r="A107" s="128"/>
      <c r="B107" s="57">
        <v>241</v>
      </c>
      <c r="C107" s="57">
        <v>44</v>
      </c>
      <c r="D107" s="110" t="s">
        <v>164</v>
      </c>
      <c r="E107" s="7">
        <v>1</v>
      </c>
      <c r="F107" s="4">
        <v>1</v>
      </c>
      <c r="G107" s="32">
        <f t="shared" si="112"/>
        <v>12</v>
      </c>
      <c r="H107" s="3">
        <v>613</v>
      </c>
      <c r="I107" s="3">
        <f t="shared" si="113"/>
        <v>7356</v>
      </c>
      <c r="J107" s="8">
        <f t="shared" si="114"/>
        <v>4361.484273003327</v>
      </c>
      <c r="K107" s="23">
        <f>References!$C$17*J107</f>
        <v>8.7229685460066619</v>
      </c>
      <c r="L107" s="29">
        <f>K107/References!$F$19</f>
        <v>8.9123561134167684</v>
      </c>
      <c r="M107" s="29">
        <f t="shared" si="115"/>
        <v>0.74269634278473073</v>
      </c>
      <c r="N107" s="46">
        <v>54.81</v>
      </c>
      <c r="O107" s="29">
        <f>MROUND(N107+M107,References!$E$28)</f>
        <v>55.550000000000004</v>
      </c>
      <c r="P107" s="23">
        <f t="shared" si="116"/>
        <v>55.550000000000004</v>
      </c>
      <c r="Q107" s="25">
        <f t="shared" si="117"/>
        <v>657.72</v>
      </c>
      <c r="R107" s="25">
        <f t="shared" si="118"/>
        <v>666.6</v>
      </c>
      <c r="S107" s="25">
        <f t="shared" si="119"/>
        <v>8.8799999999999955</v>
      </c>
      <c r="T107" s="25">
        <f t="shared" si="120"/>
        <v>666.6</v>
      </c>
      <c r="U107" s="50">
        <f t="shared" si="121"/>
        <v>8.8799999999999955</v>
      </c>
    </row>
    <row r="108" spans="1:21">
      <c r="A108" s="128"/>
      <c r="B108" s="57">
        <v>241</v>
      </c>
      <c r="C108" s="57">
        <v>44</v>
      </c>
      <c r="D108" s="110" t="s">
        <v>165</v>
      </c>
      <c r="E108" s="7">
        <v>1</v>
      </c>
      <c r="F108" s="4">
        <v>1</v>
      </c>
      <c r="G108" s="32">
        <f t="shared" si="112"/>
        <v>12</v>
      </c>
      <c r="H108" s="3"/>
      <c r="I108" s="3">
        <f t="shared" si="113"/>
        <v>0</v>
      </c>
      <c r="J108" s="8">
        <f t="shared" si="114"/>
        <v>0</v>
      </c>
      <c r="K108" s="23">
        <f>References!$C$17*J108</f>
        <v>0</v>
      </c>
      <c r="L108" s="29">
        <f>K108/References!$F$19</f>
        <v>0</v>
      </c>
      <c r="M108" s="29">
        <f t="shared" si="115"/>
        <v>0</v>
      </c>
      <c r="N108" s="46">
        <v>12.3</v>
      </c>
      <c r="O108" s="29">
        <f>MROUND(N108+M108,References!$E$28)</f>
        <v>12.3</v>
      </c>
      <c r="P108" s="23">
        <f t="shared" si="116"/>
        <v>12.3</v>
      </c>
      <c r="Q108" s="25">
        <f t="shared" si="117"/>
        <v>147.60000000000002</v>
      </c>
      <c r="R108" s="25">
        <f t="shared" si="118"/>
        <v>147.60000000000002</v>
      </c>
      <c r="S108" s="25">
        <f t="shared" si="119"/>
        <v>0</v>
      </c>
      <c r="T108" s="25">
        <f t="shared" si="120"/>
        <v>147.60000000000002</v>
      </c>
      <c r="U108" s="50">
        <f t="shared" si="121"/>
        <v>0</v>
      </c>
    </row>
    <row r="109" spans="1:21">
      <c r="A109" s="128"/>
      <c r="B109" s="57">
        <v>241</v>
      </c>
      <c r="C109" s="57">
        <v>44</v>
      </c>
      <c r="D109" s="110" t="s">
        <v>166</v>
      </c>
      <c r="E109" s="7">
        <v>1</v>
      </c>
      <c r="F109" s="4">
        <v>2.17</v>
      </c>
      <c r="G109" s="32">
        <f t="shared" si="112"/>
        <v>26.04</v>
      </c>
      <c r="H109" s="3">
        <v>840</v>
      </c>
      <c r="I109" s="3">
        <f t="shared" si="113"/>
        <v>21873.599999999999</v>
      </c>
      <c r="J109" s="8">
        <f t="shared" si="114"/>
        <v>12969.190102496679</v>
      </c>
      <c r="K109" s="23">
        <f>References!$C$17*J109</f>
        <v>25.938380204993383</v>
      </c>
      <c r="L109" s="29">
        <f>K109/References!$F$19</f>
        <v>26.501537885050709</v>
      </c>
      <c r="M109" s="29">
        <f t="shared" si="115"/>
        <v>1.0177241891340518</v>
      </c>
      <c r="N109" s="46">
        <v>72.83</v>
      </c>
      <c r="O109" s="29">
        <f>MROUND(N109+M109,References!$E$28)</f>
        <v>73.850000000000009</v>
      </c>
      <c r="P109" s="23">
        <f t="shared" si="116"/>
        <v>73.850000000000009</v>
      </c>
      <c r="Q109" s="25">
        <f t="shared" si="117"/>
        <v>1896.4931999999999</v>
      </c>
      <c r="R109" s="25">
        <f t="shared" si="118"/>
        <v>1923.0540000000001</v>
      </c>
      <c r="S109" s="25">
        <f t="shared" si="119"/>
        <v>26.560800000000199</v>
      </c>
      <c r="T109" s="25">
        <f t="shared" si="120"/>
        <v>1923.0540000000001</v>
      </c>
      <c r="U109" s="50">
        <f t="shared" si="121"/>
        <v>26.560800000000199</v>
      </c>
    </row>
    <row r="110" spans="1:21">
      <c r="A110" s="128"/>
      <c r="B110" s="57">
        <v>241</v>
      </c>
      <c r="C110" s="57">
        <v>44</v>
      </c>
      <c r="D110" s="110" t="s">
        <v>167</v>
      </c>
      <c r="E110" s="7">
        <v>1</v>
      </c>
      <c r="F110" s="4">
        <v>1</v>
      </c>
      <c r="G110" s="32">
        <f t="shared" si="112"/>
        <v>12</v>
      </c>
      <c r="H110" s="3">
        <v>840</v>
      </c>
      <c r="I110" s="3">
        <f t="shared" si="113"/>
        <v>10080</v>
      </c>
      <c r="J110" s="8">
        <f t="shared" si="114"/>
        <v>5976.5853006897141</v>
      </c>
      <c r="K110" s="23">
        <f>References!$C$17*J110</f>
        <v>11.953170601379439</v>
      </c>
      <c r="L110" s="29">
        <f>K110/References!$F$19</f>
        <v>12.212690269608622</v>
      </c>
      <c r="M110" s="29">
        <f t="shared" si="115"/>
        <v>1.0177241891340518</v>
      </c>
      <c r="N110" s="46">
        <v>75.569999999999993</v>
      </c>
      <c r="O110" s="29">
        <f>MROUND(N110+M110,References!$E$28)</f>
        <v>76.59</v>
      </c>
      <c r="P110" s="23">
        <f t="shared" si="116"/>
        <v>76.59</v>
      </c>
      <c r="Q110" s="25">
        <f t="shared" si="117"/>
        <v>906.83999999999992</v>
      </c>
      <c r="R110" s="25">
        <f t="shared" si="118"/>
        <v>919.08</v>
      </c>
      <c r="S110" s="25">
        <f t="shared" si="119"/>
        <v>12.240000000000123</v>
      </c>
      <c r="T110" s="25">
        <f t="shared" si="120"/>
        <v>919.08</v>
      </c>
      <c r="U110" s="50">
        <f t="shared" si="121"/>
        <v>12.240000000000123</v>
      </c>
    </row>
    <row r="111" spans="1:21">
      <c r="A111" s="128"/>
      <c r="B111" s="57">
        <v>241</v>
      </c>
      <c r="C111" s="57">
        <v>45</v>
      </c>
      <c r="D111" s="110" t="s">
        <v>168</v>
      </c>
      <c r="E111" s="7">
        <v>1</v>
      </c>
      <c r="F111" s="4">
        <v>1</v>
      </c>
      <c r="G111" s="32">
        <f t="shared" si="112"/>
        <v>12</v>
      </c>
      <c r="H111" s="3"/>
      <c r="I111" s="3">
        <f t="shared" si="113"/>
        <v>0</v>
      </c>
      <c r="J111" s="8">
        <f t="shared" si="114"/>
        <v>0</v>
      </c>
      <c r="K111" s="23">
        <f>References!$C$17*J111</f>
        <v>0</v>
      </c>
      <c r="L111" s="29">
        <f>K111/References!$F$19</f>
        <v>0</v>
      </c>
      <c r="M111" s="29">
        <f t="shared" si="115"/>
        <v>0</v>
      </c>
      <c r="N111" s="46">
        <v>14.6</v>
      </c>
      <c r="O111" s="29">
        <f>MROUND(N111+M111,References!$E$28)</f>
        <v>14.6</v>
      </c>
      <c r="P111" s="23">
        <f t="shared" si="116"/>
        <v>14.6</v>
      </c>
      <c r="Q111" s="25">
        <f t="shared" si="117"/>
        <v>175.2</v>
      </c>
      <c r="R111" s="25">
        <f t="shared" si="118"/>
        <v>175.2</v>
      </c>
      <c r="S111" s="25">
        <f t="shared" si="119"/>
        <v>0</v>
      </c>
      <c r="T111" s="25">
        <f t="shared" si="120"/>
        <v>175.2</v>
      </c>
      <c r="U111" s="50">
        <f t="shared" si="121"/>
        <v>0</v>
      </c>
    </row>
    <row r="112" spans="1:21">
      <c r="A112" s="128"/>
      <c r="B112" s="57">
        <v>241</v>
      </c>
      <c r="C112" s="57">
        <v>45</v>
      </c>
      <c r="D112" s="110" t="s">
        <v>169</v>
      </c>
      <c r="E112" s="7">
        <v>1</v>
      </c>
      <c r="F112" s="4">
        <v>2.17</v>
      </c>
      <c r="G112" s="32">
        <f t="shared" si="112"/>
        <v>26.04</v>
      </c>
      <c r="H112" s="3">
        <v>980</v>
      </c>
      <c r="I112" s="3">
        <f t="shared" si="113"/>
        <v>25519.200000000001</v>
      </c>
      <c r="J112" s="8">
        <f t="shared" si="114"/>
        <v>15130.721786246128</v>
      </c>
      <c r="K112" s="23">
        <f>References!$C$17*J112</f>
        <v>30.261443572492283</v>
      </c>
      <c r="L112" s="29">
        <f>K112/References!$F$19</f>
        <v>30.918460865892499</v>
      </c>
      <c r="M112" s="29">
        <f t="shared" si="115"/>
        <v>1.1873448873230608</v>
      </c>
      <c r="N112" s="46">
        <v>95.42</v>
      </c>
      <c r="O112" s="29">
        <f>MROUND(N112+M112,References!$E$28)</f>
        <v>96.61</v>
      </c>
      <c r="P112" s="23">
        <f t="shared" si="116"/>
        <v>96.61</v>
      </c>
      <c r="Q112" s="25">
        <f t="shared" si="117"/>
        <v>2484.7368000000001</v>
      </c>
      <c r="R112" s="25">
        <f t="shared" si="118"/>
        <v>2515.7244000000001</v>
      </c>
      <c r="S112" s="25">
        <f t="shared" si="119"/>
        <v>30.987599999999929</v>
      </c>
      <c r="T112" s="25">
        <f t="shared" si="120"/>
        <v>2515.7244000000001</v>
      </c>
      <c r="U112" s="50">
        <f t="shared" si="121"/>
        <v>30.987599999999929</v>
      </c>
    </row>
    <row r="113" spans="1:21">
      <c r="A113" s="128"/>
      <c r="B113" s="57">
        <v>241</v>
      </c>
      <c r="C113" s="57">
        <v>45</v>
      </c>
      <c r="D113" s="110" t="s">
        <v>170</v>
      </c>
      <c r="E113" s="7">
        <v>1</v>
      </c>
      <c r="F113" s="4">
        <v>1</v>
      </c>
      <c r="G113" s="32">
        <f t="shared" si="112"/>
        <v>12</v>
      </c>
      <c r="H113" s="3">
        <v>980</v>
      </c>
      <c r="I113" s="3">
        <f t="shared" si="113"/>
        <v>11760</v>
      </c>
      <c r="J113" s="8">
        <f t="shared" si="114"/>
        <v>6972.6828508046665</v>
      </c>
      <c r="K113" s="23">
        <f>References!$C$17*J113</f>
        <v>13.945365701609346</v>
      </c>
      <c r="L113" s="29">
        <f>K113/References!$F$19</f>
        <v>14.248138647876726</v>
      </c>
      <c r="M113" s="29">
        <f t="shared" si="115"/>
        <v>1.1873448873230605</v>
      </c>
      <c r="N113" s="46">
        <v>97.6</v>
      </c>
      <c r="O113" s="29">
        <f>MROUND(N113+M113,References!$E$28)</f>
        <v>98.79</v>
      </c>
      <c r="P113" s="23">
        <f t="shared" si="116"/>
        <v>98.79</v>
      </c>
      <c r="Q113" s="25">
        <f t="shared" si="117"/>
        <v>1171.1999999999998</v>
      </c>
      <c r="R113" s="25">
        <f t="shared" si="118"/>
        <v>1185.48</v>
      </c>
      <c r="S113" s="25">
        <f t="shared" si="119"/>
        <v>14.2800000000002</v>
      </c>
      <c r="T113" s="25">
        <f t="shared" si="120"/>
        <v>1185.48</v>
      </c>
      <c r="U113" s="50">
        <f t="shared" si="121"/>
        <v>14.2800000000002</v>
      </c>
    </row>
    <row r="114" spans="1:21">
      <c r="A114" s="128" t="s">
        <v>186</v>
      </c>
      <c r="B114" s="57">
        <v>241</v>
      </c>
      <c r="C114" s="57">
        <v>44</v>
      </c>
      <c r="D114" s="110" t="s">
        <v>184</v>
      </c>
      <c r="E114" s="7">
        <v>1</v>
      </c>
      <c r="F114" s="4">
        <v>1</v>
      </c>
      <c r="G114" s="32">
        <f t="shared" ref="G114:G130" si="122">E114*F114*12</f>
        <v>12</v>
      </c>
      <c r="H114" s="3"/>
      <c r="I114" s="3">
        <f t="shared" ref="I114:I130" si="123">G114*H114</f>
        <v>0</v>
      </c>
      <c r="J114" s="8">
        <f t="shared" si="114"/>
        <v>0</v>
      </c>
      <c r="K114" s="23">
        <f>References!$C$17*J114</f>
        <v>0</v>
      </c>
      <c r="L114" s="29">
        <f>K114/References!$F$19</f>
        <v>0</v>
      </c>
      <c r="M114" s="29">
        <f t="shared" ref="M114:M129" si="124">L114/G114</f>
        <v>0</v>
      </c>
      <c r="N114" s="46">
        <v>14.6</v>
      </c>
      <c r="O114" s="29">
        <f>MROUND(N114+M114,References!$E$28)</f>
        <v>14.6</v>
      </c>
      <c r="P114" s="23">
        <f t="shared" ref="P114:P129" si="125">O114</f>
        <v>14.6</v>
      </c>
      <c r="Q114" s="25">
        <f t="shared" ref="Q114:Q129" si="126">G114*N114</f>
        <v>175.2</v>
      </c>
      <c r="R114" s="25">
        <f t="shared" ref="R114:R129" si="127">G114*P114</f>
        <v>175.2</v>
      </c>
      <c r="S114" s="25">
        <f t="shared" ref="S114:S129" si="128">R114-Q114</f>
        <v>0</v>
      </c>
      <c r="T114" s="25">
        <f t="shared" ref="T114:T129" si="129">G114*O114</f>
        <v>175.2</v>
      </c>
      <c r="U114" s="50">
        <f t="shared" ref="U114:U129" si="130">T114-Q114</f>
        <v>0</v>
      </c>
    </row>
    <row r="115" spans="1:21">
      <c r="A115" s="128"/>
      <c r="B115" s="57">
        <v>241</v>
      </c>
      <c r="C115" s="57">
        <v>44</v>
      </c>
      <c r="D115" s="110" t="s">
        <v>185</v>
      </c>
      <c r="E115" s="7">
        <v>1</v>
      </c>
      <c r="F115" s="4">
        <v>1</v>
      </c>
      <c r="G115" s="32">
        <f t="shared" si="122"/>
        <v>12</v>
      </c>
      <c r="H115" s="3"/>
      <c r="I115" s="3">
        <f t="shared" si="123"/>
        <v>0</v>
      </c>
      <c r="J115" s="8">
        <f t="shared" si="114"/>
        <v>0</v>
      </c>
      <c r="K115" s="23">
        <f>References!$C$17*J115</f>
        <v>0</v>
      </c>
      <c r="L115" s="29">
        <f>K115/References!$F$19</f>
        <v>0</v>
      </c>
      <c r="M115" s="29">
        <f t="shared" si="124"/>
        <v>0</v>
      </c>
      <c r="N115" s="46">
        <v>1.25</v>
      </c>
      <c r="O115" s="29">
        <f>MROUND(N115+M115,References!$E$28)</f>
        <v>1.25</v>
      </c>
      <c r="P115" s="23">
        <f t="shared" si="125"/>
        <v>1.25</v>
      </c>
      <c r="Q115" s="25">
        <f t="shared" si="126"/>
        <v>15</v>
      </c>
      <c r="R115" s="25">
        <f t="shared" si="127"/>
        <v>15</v>
      </c>
      <c r="S115" s="25">
        <f t="shared" si="128"/>
        <v>0</v>
      </c>
      <c r="T115" s="25">
        <f t="shared" si="129"/>
        <v>15</v>
      </c>
      <c r="U115" s="50">
        <f t="shared" si="130"/>
        <v>0</v>
      </c>
    </row>
    <row r="116" spans="1:21">
      <c r="A116" s="128"/>
      <c r="B116" s="57">
        <v>241</v>
      </c>
      <c r="C116" s="57">
        <v>44</v>
      </c>
      <c r="D116" s="110" t="s">
        <v>151</v>
      </c>
      <c r="E116" s="7">
        <v>1</v>
      </c>
      <c r="F116" s="4">
        <v>2.17</v>
      </c>
      <c r="G116" s="32">
        <f t="shared" si="122"/>
        <v>26.04</v>
      </c>
      <c r="H116" s="3">
        <v>175</v>
      </c>
      <c r="I116" s="3">
        <f t="shared" si="123"/>
        <v>4557</v>
      </c>
      <c r="J116" s="8">
        <f t="shared" si="114"/>
        <v>2701.9146046868082</v>
      </c>
      <c r="K116" s="23">
        <f>References!$C$17*J116</f>
        <v>5.4038292093736215</v>
      </c>
      <c r="L116" s="29">
        <f>K116/References!$F$19</f>
        <v>5.5211537260522316</v>
      </c>
      <c r="M116" s="29">
        <f t="shared" si="124"/>
        <v>0.21202587273626083</v>
      </c>
      <c r="N116" s="46">
        <v>20.57</v>
      </c>
      <c r="O116" s="29">
        <f>MROUND(N116+M116,References!$E$28)</f>
        <v>20.78</v>
      </c>
      <c r="P116" s="23">
        <f t="shared" si="125"/>
        <v>20.78</v>
      </c>
      <c r="Q116" s="25">
        <f t="shared" si="126"/>
        <v>535.64279999999997</v>
      </c>
      <c r="R116" s="25">
        <f t="shared" si="127"/>
        <v>541.11120000000005</v>
      </c>
      <c r="S116" s="25">
        <f t="shared" si="128"/>
        <v>5.4684000000000879</v>
      </c>
      <c r="T116" s="25">
        <f t="shared" si="129"/>
        <v>541.11120000000005</v>
      </c>
      <c r="U116" s="50">
        <f t="shared" si="130"/>
        <v>5.4684000000000879</v>
      </c>
    </row>
    <row r="117" spans="1:21">
      <c r="A117" s="128"/>
      <c r="B117" s="57">
        <v>241</v>
      </c>
      <c r="C117" s="57">
        <v>44</v>
      </c>
      <c r="D117" s="110" t="s">
        <v>150</v>
      </c>
      <c r="E117" s="7">
        <v>1</v>
      </c>
      <c r="F117" s="4">
        <v>1</v>
      </c>
      <c r="G117" s="32">
        <f t="shared" si="122"/>
        <v>12</v>
      </c>
      <c r="H117" s="3"/>
      <c r="I117" s="3">
        <f t="shared" si="123"/>
        <v>0</v>
      </c>
      <c r="J117" s="8">
        <f t="shared" si="114"/>
        <v>0</v>
      </c>
      <c r="K117" s="23">
        <f>References!$C$17*J117</f>
        <v>0</v>
      </c>
      <c r="L117" s="29">
        <f>K117/References!$F$19</f>
        <v>0</v>
      </c>
      <c r="M117" s="29">
        <f t="shared" si="124"/>
        <v>0</v>
      </c>
      <c r="N117" s="46">
        <v>4.59</v>
      </c>
      <c r="O117" s="29">
        <f>MROUND(N117+M117,References!$E$28)</f>
        <v>4.59</v>
      </c>
      <c r="P117" s="23">
        <f t="shared" si="125"/>
        <v>4.59</v>
      </c>
      <c r="Q117" s="25">
        <f t="shared" si="126"/>
        <v>55.08</v>
      </c>
      <c r="R117" s="25">
        <f t="shared" si="127"/>
        <v>55.08</v>
      </c>
      <c r="S117" s="25">
        <f t="shared" si="128"/>
        <v>0</v>
      </c>
      <c r="T117" s="25">
        <f t="shared" si="129"/>
        <v>55.08</v>
      </c>
      <c r="U117" s="50">
        <f t="shared" si="130"/>
        <v>0</v>
      </c>
    </row>
    <row r="118" spans="1:21">
      <c r="A118" s="128"/>
      <c r="B118" s="57">
        <v>241</v>
      </c>
      <c r="C118" s="57">
        <v>44</v>
      </c>
      <c r="D118" s="110" t="s">
        <v>154</v>
      </c>
      <c r="E118" s="7">
        <v>1</v>
      </c>
      <c r="F118" s="4">
        <v>2.17</v>
      </c>
      <c r="G118" s="32">
        <f t="shared" si="122"/>
        <v>26.04</v>
      </c>
      <c r="H118" s="3">
        <v>250</v>
      </c>
      <c r="I118" s="3">
        <f t="shared" si="123"/>
        <v>6510</v>
      </c>
      <c r="J118" s="8">
        <f t="shared" si="114"/>
        <v>3859.8780066954405</v>
      </c>
      <c r="K118" s="23">
        <f>References!$C$17*J118</f>
        <v>7.7197560133908878</v>
      </c>
      <c r="L118" s="29">
        <f>K118/References!$F$19</f>
        <v>7.8873624657889021</v>
      </c>
      <c r="M118" s="29">
        <f t="shared" si="124"/>
        <v>0.302894103908944</v>
      </c>
      <c r="N118" s="46">
        <v>26.92</v>
      </c>
      <c r="O118" s="29">
        <f>MROUND(N118+M118,References!$E$28)</f>
        <v>27.22</v>
      </c>
      <c r="P118" s="23">
        <f t="shared" si="125"/>
        <v>27.22</v>
      </c>
      <c r="Q118" s="25">
        <f t="shared" si="126"/>
        <v>700.99680000000001</v>
      </c>
      <c r="R118" s="25">
        <f t="shared" si="127"/>
        <v>708.80879999999991</v>
      </c>
      <c r="S118" s="25">
        <f t="shared" si="128"/>
        <v>7.8119999999998981</v>
      </c>
      <c r="T118" s="25">
        <f t="shared" si="129"/>
        <v>708.80879999999991</v>
      </c>
      <c r="U118" s="50">
        <f t="shared" si="130"/>
        <v>7.8119999999998981</v>
      </c>
    </row>
    <row r="119" spans="1:21">
      <c r="A119" s="128"/>
      <c r="B119" s="57">
        <v>241</v>
      </c>
      <c r="C119" s="57">
        <v>44</v>
      </c>
      <c r="D119" s="110" t="s">
        <v>153</v>
      </c>
      <c r="E119" s="7">
        <v>1</v>
      </c>
      <c r="F119" s="4">
        <v>1</v>
      </c>
      <c r="G119" s="32">
        <f t="shared" si="122"/>
        <v>12</v>
      </c>
      <c r="H119" s="3"/>
      <c r="I119" s="3">
        <f t="shared" si="123"/>
        <v>0</v>
      </c>
      <c r="J119" s="8">
        <f t="shared" si="114"/>
        <v>0</v>
      </c>
      <c r="K119" s="23">
        <f>References!$C$17*J119</f>
        <v>0</v>
      </c>
      <c r="L119" s="29">
        <f>K119/References!$F$19</f>
        <v>0</v>
      </c>
      <c r="M119" s="29">
        <f t="shared" si="124"/>
        <v>0</v>
      </c>
      <c r="N119" s="46">
        <v>5.23</v>
      </c>
      <c r="O119" s="29">
        <f>MROUND(N119+M119,References!$E$28)</f>
        <v>5.23</v>
      </c>
      <c r="P119" s="23">
        <f t="shared" si="125"/>
        <v>5.23</v>
      </c>
      <c r="Q119" s="25">
        <f t="shared" si="126"/>
        <v>62.760000000000005</v>
      </c>
      <c r="R119" s="25">
        <f t="shared" si="127"/>
        <v>62.760000000000005</v>
      </c>
      <c r="S119" s="25">
        <f t="shared" si="128"/>
        <v>0</v>
      </c>
      <c r="T119" s="25">
        <f t="shared" si="129"/>
        <v>62.760000000000005</v>
      </c>
      <c r="U119" s="50">
        <f t="shared" si="130"/>
        <v>0</v>
      </c>
    </row>
    <row r="120" spans="1:21">
      <c r="A120" s="128"/>
      <c r="B120" s="57">
        <v>241</v>
      </c>
      <c r="C120" s="57">
        <v>44</v>
      </c>
      <c r="D120" s="110" t="s">
        <v>157</v>
      </c>
      <c r="E120" s="7">
        <v>1</v>
      </c>
      <c r="F120" s="4">
        <v>2.17</v>
      </c>
      <c r="G120" s="32">
        <f t="shared" si="122"/>
        <v>26.04</v>
      </c>
      <c r="H120" s="3">
        <v>324</v>
      </c>
      <c r="I120" s="3">
        <f t="shared" si="123"/>
        <v>8436.9599999999991</v>
      </c>
      <c r="J120" s="8">
        <f t="shared" si="114"/>
        <v>5002.4018966772901</v>
      </c>
      <c r="K120" s="23">
        <f>References!$C$17*J120</f>
        <v>10.00480379335459</v>
      </c>
      <c r="L120" s="29">
        <f>K120/References!$F$19</f>
        <v>10.222021755662416</v>
      </c>
      <c r="M120" s="29">
        <f t="shared" si="124"/>
        <v>0.39255075866599143</v>
      </c>
      <c r="N120" s="46">
        <v>32.6</v>
      </c>
      <c r="O120" s="29">
        <f>MROUND(N120+M120,References!$E$28)</f>
        <v>32.99</v>
      </c>
      <c r="P120" s="23">
        <f t="shared" si="125"/>
        <v>32.99</v>
      </c>
      <c r="Q120" s="25">
        <f t="shared" si="126"/>
        <v>848.904</v>
      </c>
      <c r="R120" s="25">
        <f t="shared" si="127"/>
        <v>859.05960000000005</v>
      </c>
      <c r="S120" s="25">
        <f t="shared" si="128"/>
        <v>10.155600000000049</v>
      </c>
      <c r="T120" s="25">
        <f t="shared" si="129"/>
        <v>859.05960000000005</v>
      </c>
      <c r="U120" s="50">
        <f t="shared" si="130"/>
        <v>10.155600000000049</v>
      </c>
    </row>
    <row r="121" spans="1:21">
      <c r="A121" s="128"/>
      <c r="B121" s="57">
        <v>241</v>
      </c>
      <c r="C121" s="57">
        <v>44</v>
      </c>
      <c r="D121" s="110" t="s">
        <v>156</v>
      </c>
      <c r="E121" s="7">
        <v>1</v>
      </c>
      <c r="F121" s="4">
        <v>1</v>
      </c>
      <c r="G121" s="32">
        <f t="shared" si="122"/>
        <v>12</v>
      </c>
      <c r="H121" s="3"/>
      <c r="I121" s="3">
        <f t="shared" si="123"/>
        <v>0</v>
      </c>
      <c r="J121" s="8">
        <f t="shared" si="114"/>
        <v>0</v>
      </c>
      <c r="K121" s="23">
        <f>References!$C$17*J121</f>
        <v>0</v>
      </c>
      <c r="L121" s="29">
        <f>K121/References!$F$19</f>
        <v>0</v>
      </c>
      <c r="M121" s="29">
        <f t="shared" si="124"/>
        <v>0</v>
      </c>
      <c r="N121" s="46">
        <v>6.3</v>
      </c>
      <c r="O121" s="29">
        <f>MROUND(N121+M121,References!$E$28)</f>
        <v>6.3</v>
      </c>
      <c r="P121" s="23">
        <f t="shared" si="125"/>
        <v>6.3</v>
      </c>
      <c r="Q121" s="25">
        <f t="shared" si="126"/>
        <v>75.599999999999994</v>
      </c>
      <c r="R121" s="25">
        <f t="shared" si="127"/>
        <v>75.599999999999994</v>
      </c>
      <c r="S121" s="25">
        <f t="shared" si="128"/>
        <v>0</v>
      </c>
      <c r="T121" s="25">
        <f t="shared" si="129"/>
        <v>75.599999999999994</v>
      </c>
      <c r="U121" s="50">
        <f t="shared" si="130"/>
        <v>0</v>
      </c>
    </row>
    <row r="122" spans="1:21">
      <c r="A122" s="128"/>
      <c r="B122" s="57">
        <v>241</v>
      </c>
      <c r="C122" s="57">
        <v>44</v>
      </c>
      <c r="D122" s="110" t="s">
        <v>160</v>
      </c>
      <c r="E122" s="7">
        <v>1</v>
      </c>
      <c r="F122" s="4">
        <v>2.17</v>
      </c>
      <c r="G122" s="32">
        <f t="shared" si="122"/>
        <v>26.04</v>
      </c>
      <c r="H122" s="3">
        <v>473</v>
      </c>
      <c r="I122" s="3">
        <f t="shared" si="123"/>
        <v>12316.92</v>
      </c>
      <c r="J122" s="8">
        <f t="shared" si="114"/>
        <v>7302.8891886677739</v>
      </c>
      <c r="K122" s="23">
        <f>References!$C$17*J122</f>
        <v>14.605778377335561</v>
      </c>
      <c r="L122" s="29">
        <f>K122/References!$F$19</f>
        <v>14.922889785272604</v>
      </c>
      <c r="M122" s="29">
        <f t="shared" si="124"/>
        <v>0.57307564459572213</v>
      </c>
      <c r="N122" s="46">
        <v>43.67</v>
      </c>
      <c r="O122" s="29">
        <f>MROUND(N122+M122,References!$E$28)</f>
        <v>44.24</v>
      </c>
      <c r="P122" s="23">
        <f t="shared" si="125"/>
        <v>44.24</v>
      </c>
      <c r="Q122" s="25">
        <f t="shared" si="126"/>
        <v>1137.1668</v>
      </c>
      <c r="R122" s="25">
        <f t="shared" si="127"/>
        <v>1152.0096000000001</v>
      </c>
      <c r="S122" s="25">
        <f t="shared" si="128"/>
        <v>14.842800000000125</v>
      </c>
      <c r="T122" s="25">
        <f t="shared" si="129"/>
        <v>1152.0096000000001</v>
      </c>
      <c r="U122" s="50">
        <f t="shared" si="130"/>
        <v>14.842800000000125</v>
      </c>
    </row>
    <row r="123" spans="1:21">
      <c r="A123" s="128"/>
      <c r="B123" s="57">
        <v>241</v>
      </c>
      <c r="C123" s="57">
        <v>44</v>
      </c>
      <c r="D123" s="110" t="s">
        <v>159</v>
      </c>
      <c r="E123" s="7">
        <v>1</v>
      </c>
      <c r="F123" s="4">
        <v>1</v>
      </c>
      <c r="G123" s="32">
        <f t="shared" si="122"/>
        <v>12</v>
      </c>
      <c r="H123" s="3"/>
      <c r="I123" s="3">
        <f t="shared" si="123"/>
        <v>0</v>
      </c>
      <c r="J123" s="8">
        <f t="shared" si="114"/>
        <v>0</v>
      </c>
      <c r="K123" s="23">
        <f>References!$C$17*J123</f>
        <v>0</v>
      </c>
      <c r="L123" s="29">
        <f>K123/References!$F$19</f>
        <v>0</v>
      </c>
      <c r="M123" s="29">
        <f t="shared" si="124"/>
        <v>0</v>
      </c>
      <c r="N123" s="46">
        <v>7.45</v>
      </c>
      <c r="O123" s="29">
        <f>MROUND(N123+M123,References!$E$28)</f>
        <v>7.45</v>
      </c>
      <c r="P123" s="23">
        <f t="shared" si="125"/>
        <v>7.45</v>
      </c>
      <c r="Q123" s="25">
        <f t="shared" si="126"/>
        <v>89.4</v>
      </c>
      <c r="R123" s="25">
        <f t="shared" si="127"/>
        <v>89.4</v>
      </c>
      <c r="S123" s="25">
        <f t="shared" si="128"/>
        <v>0</v>
      </c>
      <c r="T123" s="25">
        <f t="shared" si="129"/>
        <v>89.4</v>
      </c>
      <c r="U123" s="50">
        <f t="shared" si="130"/>
        <v>0</v>
      </c>
    </row>
    <row r="124" spans="1:21">
      <c r="A124" s="128"/>
      <c r="B124" s="57">
        <v>241</v>
      </c>
      <c r="C124" s="57">
        <v>44</v>
      </c>
      <c r="D124" s="110" t="s">
        <v>163</v>
      </c>
      <c r="E124" s="7">
        <v>1</v>
      </c>
      <c r="F124" s="4">
        <v>2.17</v>
      </c>
      <c r="G124" s="32">
        <f t="shared" si="122"/>
        <v>26.04</v>
      </c>
      <c r="H124" s="3">
        <v>613</v>
      </c>
      <c r="I124" s="3">
        <f t="shared" si="123"/>
        <v>15962.519999999999</v>
      </c>
      <c r="J124" s="8">
        <f t="shared" si="114"/>
        <v>9464.4208724172186</v>
      </c>
      <c r="K124" s="23">
        <f>References!$C$17*J124</f>
        <v>18.928841744834454</v>
      </c>
      <c r="L124" s="29">
        <f>K124/References!$F$19</f>
        <v>19.339812766114385</v>
      </c>
      <c r="M124" s="29">
        <f t="shared" si="124"/>
        <v>0.74269634278473062</v>
      </c>
      <c r="N124" s="46">
        <v>54.81</v>
      </c>
      <c r="O124" s="29">
        <f>MROUND(N124+M124,References!$E$28)</f>
        <v>55.550000000000004</v>
      </c>
      <c r="P124" s="23">
        <f t="shared" si="125"/>
        <v>55.550000000000004</v>
      </c>
      <c r="Q124" s="25">
        <f t="shared" si="126"/>
        <v>1427.2524000000001</v>
      </c>
      <c r="R124" s="25">
        <f t="shared" si="127"/>
        <v>1446.5220000000002</v>
      </c>
      <c r="S124" s="25">
        <f t="shared" si="128"/>
        <v>19.269600000000082</v>
      </c>
      <c r="T124" s="25">
        <f t="shared" si="129"/>
        <v>1446.5220000000002</v>
      </c>
      <c r="U124" s="50">
        <f t="shared" si="130"/>
        <v>19.269600000000082</v>
      </c>
    </row>
    <row r="125" spans="1:21">
      <c r="A125" s="128"/>
      <c r="B125" s="57">
        <v>241</v>
      </c>
      <c r="C125" s="57">
        <v>44</v>
      </c>
      <c r="D125" s="110" t="s">
        <v>162</v>
      </c>
      <c r="E125" s="7">
        <v>1</v>
      </c>
      <c r="F125" s="4">
        <v>1</v>
      </c>
      <c r="G125" s="32">
        <f t="shared" si="122"/>
        <v>12</v>
      </c>
      <c r="H125" s="3"/>
      <c r="I125" s="3">
        <f t="shared" si="123"/>
        <v>0</v>
      </c>
      <c r="J125" s="8">
        <f t="shared" si="114"/>
        <v>0</v>
      </c>
      <c r="K125" s="23">
        <f>References!$C$17*J125</f>
        <v>0</v>
      </c>
      <c r="L125" s="29">
        <f>K125/References!$F$19</f>
        <v>0</v>
      </c>
      <c r="M125" s="29">
        <f t="shared" si="124"/>
        <v>0</v>
      </c>
      <c r="N125" s="46">
        <v>8.1</v>
      </c>
      <c r="O125" s="29">
        <f>MROUND(N125+M125,References!$E$28)</f>
        <v>8.1</v>
      </c>
      <c r="P125" s="23">
        <f t="shared" si="125"/>
        <v>8.1</v>
      </c>
      <c r="Q125" s="25">
        <f t="shared" si="126"/>
        <v>97.199999999999989</v>
      </c>
      <c r="R125" s="25">
        <f t="shared" si="127"/>
        <v>97.199999999999989</v>
      </c>
      <c r="S125" s="25">
        <f t="shared" si="128"/>
        <v>0</v>
      </c>
      <c r="T125" s="25">
        <f t="shared" si="129"/>
        <v>97.199999999999989</v>
      </c>
      <c r="U125" s="50">
        <f t="shared" si="130"/>
        <v>0</v>
      </c>
    </row>
    <row r="126" spans="1:21">
      <c r="A126" s="128"/>
      <c r="B126" s="57">
        <v>241</v>
      </c>
      <c r="C126" s="57">
        <v>44</v>
      </c>
      <c r="D126" s="110" t="s">
        <v>166</v>
      </c>
      <c r="E126" s="7">
        <v>1</v>
      </c>
      <c r="F126" s="4">
        <v>2.17</v>
      </c>
      <c r="G126" s="32">
        <f t="shared" si="122"/>
        <v>26.04</v>
      </c>
      <c r="H126" s="3">
        <v>840</v>
      </c>
      <c r="I126" s="3">
        <f t="shared" si="123"/>
        <v>21873.599999999999</v>
      </c>
      <c r="J126" s="8">
        <f t="shared" si="114"/>
        <v>12969.190102496679</v>
      </c>
      <c r="K126" s="23">
        <f>References!$C$17*J126</f>
        <v>25.938380204993383</v>
      </c>
      <c r="L126" s="29">
        <f>K126/References!$F$19</f>
        <v>26.501537885050709</v>
      </c>
      <c r="M126" s="29">
        <f t="shared" si="124"/>
        <v>1.0177241891340518</v>
      </c>
      <c r="N126" s="46">
        <v>75.569999999999993</v>
      </c>
      <c r="O126" s="29">
        <f>MROUND(N126+M126,References!$E$28)</f>
        <v>76.59</v>
      </c>
      <c r="P126" s="23">
        <f t="shared" si="125"/>
        <v>76.59</v>
      </c>
      <c r="Q126" s="25">
        <f t="shared" si="126"/>
        <v>1967.8427999999997</v>
      </c>
      <c r="R126" s="25">
        <f t="shared" si="127"/>
        <v>1994.4036000000001</v>
      </c>
      <c r="S126" s="25">
        <f t="shared" si="128"/>
        <v>26.560800000000427</v>
      </c>
      <c r="T126" s="25">
        <f t="shared" si="129"/>
        <v>1994.4036000000001</v>
      </c>
      <c r="U126" s="50">
        <f t="shared" si="130"/>
        <v>26.560800000000427</v>
      </c>
    </row>
    <row r="127" spans="1:21">
      <c r="A127" s="128"/>
      <c r="B127" s="57">
        <v>241</v>
      </c>
      <c r="C127" s="57">
        <v>44</v>
      </c>
      <c r="D127" s="110" t="s">
        <v>165</v>
      </c>
      <c r="E127" s="7">
        <v>1</v>
      </c>
      <c r="F127" s="4">
        <v>1</v>
      </c>
      <c r="G127" s="32">
        <f t="shared" si="122"/>
        <v>12</v>
      </c>
      <c r="H127" s="3"/>
      <c r="I127" s="3">
        <f t="shared" si="123"/>
        <v>0</v>
      </c>
      <c r="J127" s="8">
        <f t="shared" si="114"/>
        <v>0</v>
      </c>
      <c r="K127" s="23">
        <f>References!$C$17*J127</f>
        <v>0</v>
      </c>
      <c r="L127" s="29">
        <f>K127/References!$F$19</f>
        <v>0</v>
      </c>
      <c r="M127" s="29">
        <f t="shared" si="124"/>
        <v>0</v>
      </c>
      <c r="N127" s="46">
        <v>12.5</v>
      </c>
      <c r="O127" s="29">
        <f>MROUND(N127+M127,References!$E$28)</f>
        <v>12.5</v>
      </c>
      <c r="P127" s="23">
        <f t="shared" si="125"/>
        <v>12.5</v>
      </c>
      <c r="Q127" s="25">
        <f t="shared" si="126"/>
        <v>150</v>
      </c>
      <c r="R127" s="25">
        <f t="shared" si="127"/>
        <v>150</v>
      </c>
      <c r="S127" s="25">
        <f t="shared" si="128"/>
        <v>0</v>
      </c>
      <c r="T127" s="25">
        <f t="shared" si="129"/>
        <v>150</v>
      </c>
      <c r="U127" s="50">
        <f t="shared" si="130"/>
        <v>0</v>
      </c>
    </row>
    <row r="128" spans="1:21">
      <c r="A128" s="128"/>
      <c r="B128" s="57">
        <v>241</v>
      </c>
      <c r="C128" s="57">
        <v>45</v>
      </c>
      <c r="D128" s="110" t="s">
        <v>169</v>
      </c>
      <c r="E128" s="7">
        <v>1</v>
      </c>
      <c r="F128" s="4">
        <v>2.17</v>
      </c>
      <c r="G128" s="32">
        <f t="shared" si="122"/>
        <v>26.04</v>
      </c>
      <c r="H128" s="3">
        <v>980</v>
      </c>
      <c r="I128" s="3">
        <f t="shared" si="123"/>
        <v>25519.200000000001</v>
      </c>
      <c r="J128" s="8">
        <f t="shared" si="114"/>
        <v>15130.721786246128</v>
      </c>
      <c r="K128" s="23">
        <f>References!$C$17*J128</f>
        <v>30.261443572492283</v>
      </c>
      <c r="L128" s="29">
        <f>K128/References!$F$19</f>
        <v>30.918460865892499</v>
      </c>
      <c r="M128" s="29">
        <f t="shared" si="124"/>
        <v>1.1873448873230608</v>
      </c>
      <c r="N128" s="46">
        <v>97.6</v>
      </c>
      <c r="O128" s="29">
        <f>MROUND(N128+M128,References!$E$28)</f>
        <v>98.79</v>
      </c>
      <c r="P128" s="23">
        <f t="shared" si="125"/>
        <v>98.79</v>
      </c>
      <c r="Q128" s="25">
        <f t="shared" si="126"/>
        <v>2541.5039999999999</v>
      </c>
      <c r="R128" s="25">
        <f t="shared" si="127"/>
        <v>2572.4916000000003</v>
      </c>
      <c r="S128" s="25">
        <f t="shared" si="128"/>
        <v>30.987600000000384</v>
      </c>
      <c r="T128" s="25">
        <f t="shared" si="129"/>
        <v>2572.4916000000003</v>
      </c>
      <c r="U128" s="50">
        <f t="shared" si="130"/>
        <v>30.987600000000384</v>
      </c>
    </row>
    <row r="129" spans="1:21">
      <c r="A129" s="128"/>
      <c r="B129" s="57">
        <v>241</v>
      </c>
      <c r="C129" s="57">
        <v>45</v>
      </c>
      <c r="D129" s="110" t="s">
        <v>168</v>
      </c>
      <c r="E129" s="7">
        <v>1</v>
      </c>
      <c r="F129" s="4">
        <v>1</v>
      </c>
      <c r="G129" s="32">
        <f t="shared" si="122"/>
        <v>12</v>
      </c>
      <c r="H129" s="3"/>
      <c r="I129" s="3">
        <f t="shared" si="123"/>
        <v>0</v>
      </c>
      <c r="J129" s="8">
        <f t="shared" si="114"/>
        <v>0</v>
      </c>
      <c r="K129" s="23">
        <f>References!$C$17*J129</f>
        <v>0</v>
      </c>
      <c r="L129" s="29">
        <f>K129/References!$F$19</f>
        <v>0</v>
      </c>
      <c r="M129" s="29">
        <f t="shared" si="124"/>
        <v>0</v>
      </c>
      <c r="N129" s="46">
        <v>14.8</v>
      </c>
      <c r="O129" s="29">
        <f>MROUND(N129+M129,References!$E$28)</f>
        <v>14.8</v>
      </c>
      <c r="P129" s="23">
        <f t="shared" si="125"/>
        <v>14.8</v>
      </c>
      <c r="Q129" s="25">
        <f t="shared" si="126"/>
        <v>177.60000000000002</v>
      </c>
      <c r="R129" s="25">
        <f t="shared" si="127"/>
        <v>177.60000000000002</v>
      </c>
      <c r="S129" s="25">
        <f t="shared" si="128"/>
        <v>0</v>
      </c>
      <c r="T129" s="25">
        <f t="shared" si="129"/>
        <v>177.60000000000002</v>
      </c>
      <c r="U129" s="50">
        <f t="shared" si="130"/>
        <v>0</v>
      </c>
    </row>
    <row r="130" spans="1:21" ht="19.2" customHeight="1">
      <c r="A130" s="128" t="s">
        <v>188</v>
      </c>
      <c r="B130" s="57">
        <v>245</v>
      </c>
      <c r="C130" s="57">
        <v>46</v>
      </c>
      <c r="D130" s="110" t="s">
        <v>190</v>
      </c>
      <c r="E130" s="7">
        <v>1</v>
      </c>
      <c r="F130" s="4">
        <v>2.17</v>
      </c>
      <c r="G130" s="32">
        <f t="shared" si="122"/>
        <v>26.04</v>
      </c>
      <c r="H130" s="3">
        <v>34</v>
      </c>
      <c r="I130" s="3">
        <f t="shared" si="123"/>
        <v>885.36</v>
      </c>
      <c r="J130" s="8">
        <f t="shared" si="114"/>
        <v>524.94340891057993</v>
      </c>
      <c r="K130" s="23">
        <f>References!$C$17*J130</f>
        <v>1.0498868178211609</v>
      </c>
      <c r="L130" s="29">
        <f>K130/References!$F$19</f>
        <v>1.0726812953472908</v>
      </c>
      <c r="M130" s="29">
        <f t="shared" ref="M130" si="131">L130/G130</f>
        <v>4.1193598131616396E-2</v>
      </c>
      <c r="N130" s="46">
        <v>3.2</v>
      </c>
      <c r="O130" s="29">
        <f>MROUND(N130+M130,References!$E$28)</f>
        <v>3.24</v>
      </c>
      <c r="P130" s="23">
        <f t="shared" ref="P130" si="132">O130</f>
        <v>3.24</v>
      </c>
      <c r="Q130" s="25">
        <f t="shared" ref="Q130" si="133">G130*N130</f>
        <v>83.328000000000003</v>
      </c>
      <c r="R130" s="25">
        <f t="shared" ref="R130" si="134">G130*P130</f>
        <v>84.369600000000005</v>
      </c>
      <c r="S130" s="25">
        <f t="shared" ref="S130" si="135">R130-Q130</f>
        <v>1.0416000000000025</v>
      </c>
      <c r="T130" s="25">
        <f t="shared" ref="T130" si="136">G130*O130</f>
        <v>84.369600000000005</v>
      </c>
      <c r="U130" s="50">
        <f t="shared" ref="U130" si="137">T130-Q130</f>
        <v>1.0416000000000025</v>
      </c>
    </row>
    <row r="131" spans="1:21">
      <c r="A131" s="128"/>
      <c r="B131" s="57">
        <v>245</v>
      </c>
      <c r="C131" s="57">
        <v>46</v>
      </c>
      <c r="D131" s="110" t="s">
        <v>171</v>
      </c>
      <c r="E131" s="7">
        <v>1</v>
      </c>
      <c r="F131" s="4">
        <v>2.17</v>
      </c>
      <c r="G131" s="32">
        <f t="shared" si="112"/>
        <v>26.04</v>
      </c>
      <c r="H131" s="3">
        <v>175</v>
      </c>
      <c r="I131" s="3">
        <f t="shared" si="113"/>
        <v>4557</v>
      </c>
      <c r="J131" s="8">
        <f t="shared" si="114"/>
        <v>2701.9146046868082</v>
      </c>
      <c r="K131" s="23">
        <f>References!$C$17*J131</f>
        <v>5.4038292093736215</v>
      </c>
      <c r="L131" s="29">
        <f>K131/References!$F$19</f>
        <v>5.5211537260522316</v>
      </c>
      <c r="M131" s="29">
        <f t="shared" si="115"/>
        <v>0.21202587273626083</v>
      </c>
      <c r="N131" s="46">
        <v>12.75</v>
      </c>
      <c r="O131" s="29">
        <f>MROUND(N131+M131,References!$E$28)</f>
        <v>12.96</v>
      </c>
      <c r="P131" s="23">
        <f t="shared" si="116"/>
        <v>12.96</v>
      </c>
      <c r="Q131" s="25">
        <f t="shared" si="117"/>
        <v>332.01</v>
      </c>
      <c r="R131" s="25">
        <f t="shared" si="118"/>
        <v>337.47840000000002</v>
      </c>
      <c r="S131" s="25">
        <f t="shared" si="119"/>
        <v>5.468400000000031</v>
      </c>
      <c r="T131" s="25">
        <f t="shared" si="120"/>
        <v>337.47840000000002</v>
      </c>
      <c r="U131" s="50">
        <f t="shared" si="121"/>
        <v>5.468400000000031</v>
      </c>
    </row>
    <row r="132" spans="1:21">
      <c r="A132" s="128"/>
      <c r="B132" s="57">
        <v>245</v>
      </c>
      <c r="C132" s="57">
        <v>46</v>
      </c>
      <c r="D132" s="110" t="s">
        <v>172</v>
      </c>
      <c r="E132" s="7">
        <v>1</v>
      </c>
      <c r="F132" s="4">
        <v>2.17</v>
      </c>
      <c r="G132" s="32">
        <f t="shared" si="112"/>
        <v>26.04</v>
      </c>
      <c r="H132" s="3">
        <v>250</v>
      </c>
      <c r="I132" s="3">
        <f t="shared" si="113"/>
        <v>6510</v>
      </c>
      <c r="J132" s="8">
        <f t="shared" si="114"/>
        <v>3859.8780066954405</v>
      </c>
      <c r="K132" s="23">
        <f>References!$C$17*J132</f>
        <v>7.7197560133908878</v>
      </c>
      <c r="L132" s="29">
        <f>K132/References!$F$19</f>
        <v>7.8873624657889021</v>
      </c>
      <c r="M132" s="29">
        <f t="shared" si="115"/>
        <v>0.302894103908944</v>
      </c>
      <c r="N132" s="46">
        <v>17.649999999999999</v>
      </c>
      <c r="O132" s="29">
        <f>MROUND(N132+M132,References!$E$28)</f>
        <v>17.95</v>
      </c>
      <c r="P132" s="23">
        <f t="shared" si="116"/>
        <v>17.95</v>
      </c>
      <c r="Q132" s="25">
        <f t="shared" si="117"/>
        <v>459.60599999999994</v>
      </c>
      <c r="R132" s="25">
        <f t="shared" si="118"/>
        <v>467.41799999999995</v>
      </c>
      <c r="S132" s="25">
        <f t="shared" si="119"/>
        <v>7.8120000000000118</v>
      </c>
      <c r="T132" s="25">
        <f t="shared" si="120"/>
        <v>467.41799999999995</v>
      </c>
      <c r="U132" s="50">
        <f t="shared" si="121"/>
        <v>7.8120000000000118</v>
      </c>
    </row>
    <row r="133" spans="1:21">
      <c r="A133" s="128"/>
      <c r="B133" s="57">
        <v>245</v>
      </c>
      <c r="C133" s="57">
        <v>46</v>
      </c>
      <c r="D133" s="110" t="s">
        <v>173</v>
      </c>
      <c r="E133" s="7">
        <v>1</v>
      </c>
      <c r="F133" s="4">
        <v>2.17</v>
      </c>
      <c r="G133" s="32">
        <f t="shared" si="112"/>
        <v>26.04</v>
      </c>
      <c r="H133" s="3">
        <v>324</v>
      </c>
      <c r="I133" s="3">
        <f t="shared" si="113"/>
        <v>8436.9599999999991</v>
      </c>
      <c r="J133" s="8">
        <f t="shared" si="114"/>
        <v>5002.4018966772901</v>
      </c>
      <c r="K133" s="23">
        <f>References!$C$17*J133</f>
        <v>10.00480379335459</v>
      </c>
      <c r="L133" s="29">
        <f>K133/References!$F$19</f>
        <v>10.222021755662416</v>
      </c>
      <c r="M133" s="29">
        <f t="shared" si="115"/>
        <v>0.39255075866599143</v>
      </c>
      <c r="N133" s="46">
        <v>22.95</v>
      </c>
      <c r="O133" s="29">
        <f>MROUND(N133+M133,References!$E$28)</f>
        <v>23.34</v>
      </c>
      <c r="P133" s="23">
        <f t="shared" si="116"/>
        <v>23.34</v>
      </c>
      <c r="Q133" s="25">
        <f t="shared" si="117"/>
        <v>597.61799999999994</v>
      </c>
      <c r="R133" s="25">
        <f t="shared" si="118"/>
        <v>607.77359999999999</v>
      </c>
      <c r="S133" s="25">
        <f t="shared" si="119"/>
        <v>10.155600000000049</v>
      </c>
      <c r="T133" s="25">
        <f t="shared" si="120"/>
        <v>607.77359999999999</v>
      </c>
      <c r="U133" s="50">
        <f t="shared" si="121"/>
        <v>10.155600000000049</v>
      </c>
    </row>
    <row r="134" spans="1:21">
      <c r="A134" s="128" t="s">
        <v>187</v>
      </c>
      <c r="B134" s="57">
        <v>255</v>
      </c>
      <c r="C134" s="57" t="s">
        <v>174</v>
      </c>
      <c r="D134" s="110" t="s">
        <v>175</v>
      </c>
      <c r="E134" s="7">
        <v>1</v>
      </c>
      <c r="F134" s="4">
        <v>2.17</v>
      </c>
      <c r="G134" s="32">
        <f t="shared" si="112"/>
        <v>26.04</v>
      </c>
      <c r="H134" s="3">
        <v>892</v>
      </c>
      <c r="I134" s="3">
        <f t="shared" si="113"/>
        <v>23227.68</v>
      </c>
      <c r="J134" s="8">
        <f t="shared" si="114"/>
        <v>13772.044727889332</v>
      </c>
      <c r="K134" s="23">
        <f>References!$C$17*J134</f>
        <v>27.544089455778689</v>
      </c>
      <c r="L134" s="29">
        <f>K134/References!$F$19</f>
        <v>28.142109277934804</v>
      </c>
      <c r="M134" s="29">
        <f t="shared" si="115"/>
        <v>1.0807261627471123</v>
      </c>
      <c r="N134" s="46">
        <v>73.45</v>
      </c>
      <c r="O134" s="29">
        <f>MROUND(N134+M134,References!$E$28)</f>
        <v>74.53</v>
      </c>
      <c r="P134" s="23">
        <f t="shared" si="116"/>
        <v>74.53</v>
      </c>
      <c r="Q134" s="25">
        <f t="shared" si="117"/>
        <v>1912.6379999999999</v>
      </c>
      <c r="R134" s="25">
        <f t="shared" si="118"/>
        <v>1940.7611999999999</v>
      </c>
      <c r="S134" s="25">
        <f t="shared" si="119"/>
        <v>28.123199999999997</v>
      </c>
      <c r="T134" s="25">
        <f t="shared" si="120"/>
        <v>1940.7611999999999</v>
      </c>
      <c r="U134" s="50">
        <f t="shared" si="121"/>
        <v>28.123199999999997</v>
      </c>
    </row>
    <row r="135" spans="1:21">
      <c r="A135" s="128"/>
      <c r="B135" s="57">
        <v>255</v>
      </c>
      <c r="C135" s="57" t="s">
        <v>174</v>
      </c>
      <c r="D135" s="110" t="s">
        <v>176</v>
      </c>
      <c r="E135" s="7">
        <v>1</v>
      </c>
      <c r="F135" s="4">
        <v>1</v>
      </c>
      <c r="G135" s="32">
        <f t="shared" si="112"/>
        <v>12</v>
      </c>
      <c r="H135" s="3">
        <v>892</v>
      </c>
      <c r="I135" s="3">
        <f t="shared" si="113"/>
        <v>10704</v>
      </c>
      <c r="J135" s="8">
        <f t="shared" si="114"/>
        <v>6346.5643907324111</v>
      </c>
      <c r="K135" s="23">
        <f>References!$C$17*J135</f>
        <v>12.693128781464834</v>
      </c>
      <c r="L135" s="29">
        <f>K135/References!$F$19</f>
        <v>12.968713952965347</v>
      </c>
      <c r="M135" s="29">
        <f t="shared" si="115"/>
        <v>1.0807261627471123</v>
      </c>
      <c r="N135" s="46">
        <v>89</v>
      </c>
      <c r="O135" s="29">
        <f>MROUND(N135+M135,References!$E$28)</f>
        <v>90.08</v>
      </c>
      <c r="P135" s="23">
        <f t="shared" si="116"/>
        <v>90.08</v>
      </c>
      <c r="Q135" s="25">
        <f t="shared" si="117"/>
        <v>1068</v>
      </c>
      <c r="R135" s="25">
        <f t="shared" si="118"/>
        <v>1080.96</v>
      </c>
      <c r="S135" s="25">
        <f t="shared" si="119"/>
        <v>12.960000000000036</v>
      </c>
      <c r="T135" s="25">
        <f t="shared" si="120"/>
        <v>1080.96</v>
      </c>
      <c r="U135" s="50">
        <f t="shared" si="121"/>
        <v>12.960000000000036</v>
      </c>
    </row>
    <row r="136" spans="1:21">
      <c r="A136" s="128"/>
      <c r="B136" s="57">
        <v>255</v>
      </c>
      <c r="C136" s="57" t="s">
        <v>174</v>
      </c>
      <c r="D136" s="110" t="s">
        <v>177</v>
      </c>
      <c r="E136" s="7">
        <v>1</v>
      </c>
      <c r="F136" s="4">
        <v>2.17</v>
      </c>
      <c r="G136" s="32">
        <f t="shared" si="112"/>
        <v>26.04</v>
      </c>
      <c r="H136" s="3">
        <v>1301</v>
      </c>
      <c r="I136" s="3">
        <f t="shared" si="113"/>
        <v>33878.04</v>
      </c>
      <c r="J136" s="8">
        <f t="shared" si="114"/>
        <v>20086.805146843071</v>
      </c>
      <c r="K136" s="23">
        <f>References!$C$17*J136</f>
        <v>40.173610293686181</v>
      </c>
      <c r="L136" s="29">
        <f>K136/References!$F$19</f>
        <v>41.045834271965447</v>
      </c>
      <c r="M136" s="29">
        <f t="shared" si="115"/>
        <v>1.5762609167421446</v>
      </c>
      <c r="N136" s="46">
        <v>107</v>
      </c>
      <c r="O136" s="29">
        <f>MROUND(N136+M136,References!$E$28)</f>
        <v>108.58</v>
      </c>
      <c r="P136" s="23">
        <f t="shared" si="116"/>
        <v>108.58</v>
      </c>
      <c r="Q136" s="25">
        <f t="shared" si="117"/>
        <v>2786.2799999999997</v>
      </c>
      <c r="R136" s="25">
        <f t="shared" si="118"/>
        <v>2827.4231999999997</v>
      </c>
      <c r="S136" s="25">
        <f t="shared" si="119"/>
        <v>41.143199999999979</v>
      </c>
      <c r="T136" s="25">
        <f t="shared" si="120"/>
        <v>2827.4231999999997</v>
      </c>
      <c r="U136" s="50">
        <f t="shared" si="121"/>
        <v>41.143199999999979</v>
      </c>
    </row>
    <row r="137" spans="1:21">
      <c r="A137" s="128"/>
      <c r="B137" s="57">
        <v>255</v>
      </c>
      <c r="C137" s="57" t="s">
        <v>174</v>
      </c>
      <c r="D137" s="110" t="s">
        <v>178</v>
      </c>
      <c r="E137" s="7">
        <v>1</v>
      </c>
      <c r="F137" s="4">
        <v>1</v>
      </c>
      <c r="G137" s="32">
        <f t="shared" si="112"/>
        <v>12</v>
      </c>
      <c r="H137" s="3">
        <v>1301</v>
      </c>
      <c r="I137" s="3">
        <f t="shared" si="113"/>
        <v>15612</v>
      </c>
      <c r="J137" s="8">
        <f t="shared" si="114"/>
        <v>9256.5922335682353</v>
      </c>
      <c r="K137" s="23">
        <f>References!$C$17*J137</f>
        <v>18.513184467136487</v>
      </c>
      <c r="L137" s="29">
        <f>K137/References!$F$19</f>
        <v>18.915131000905735</v>
      </c>
      <c r="M137" s="29">
        <f t="shared" si="115"/>
        <v>1.5762609167421446</v>
      </c>
      <c r="N137" s="46">
        <v>122.7</v>
      </c>
      <c r="O137" s="29">
        <f>MROUND(N137+M137,References!$E$28)</f>
        <v>124.28</v>
      </c>
      <c r="P137" s="23">
        <f t="shared" si="116"/>
        <v>124.28</v>
      </c>
      <c r="Q137" s="25">
        <f t="shared" si="117"/>
        <v>1472.4</v>
      </c>
      <c r="R137" s="25">
        <f t="shared" si="118"/>
        <v>1491.3600000000001</v>
      </c>
      <c r="S137" s="25">
        <f t="shared" si="119"/>
        <v>18.960000000000036</v>
      </c>
      <c r="T137" s="25">
        <f t="shared" si="120"/>
        <v>1491.3600000000001</v>
      </c>
      <c r="U137" s="50">
        <f t="shared" si="121"/>
        <v>18.960000000000036</v>
      </c>
    </row>
    <row r="138" spans="1:21">
      <c r="A138" s="128"/>
      <c r="B138" s="57">
        <v>255</v>
      </c>
      <c r="C138" s="57" t="s">
        <v>174</v>
      </c>
      <c r="D138" s="110" t="s">
        <v>179</v>
      </c>
      <c r="E138" s="7">
        <v>1</v>
      </c>
      <c r="F138" s="4">
        <v>2.17</v>
      </c>
      <c r="G138" s="32">
        <f t="shared" si="112"/>
        <v>26.04</v>
      </c>
      <c r="H138" s="3">
        <v>1686</v>
      </c>
      <c r="I138" s="3">
        <f t="shared" si="113"/>
        <v>43903.439999999995</v>
      </c>
      <c r="J138" s="8">
        <f t="shared" si="114"/>
        <v>26031.017277154049</v>
      </c>
      <c r="K138" s="23">
        <f>References!$C$17*J138</f>
        <v>52.062034554308141</v>
      </c>
      <c r="L138" s="29">
        <f>K138/References!$F$19</f>
        <v>53.19237246928035</v>
      </c>
      <c r="M138" s="29">
        <f t="shared" si="115"/>
        <v>2.0427178367619181</v>
      </c>
      <c r="N138" s="46">
        <v>143</v>
      </c>
      <c r="O138" s="29">
        <f>MROUND(N138+M138,References!$E$28)</f>
        <v>145.04</v>
      </c>
      <c r="P138" s="23">
        <f t="shared" si="116"/>
        <v>145.04</v>
      </c>
      <c r="Q138" s="25">
        <f t="shared" si="117"/>
        <v>3723.72</v>
      </c>
      <c r="R138" s="25">
        <f t="shared" si="118"/>
        <v>3776.8415999999997</v>
      </c>
      <c r="S138" s="25">
        <f t="shared" si="119"/>
        <v>53.121599999999944</v>
      </c>
      <c r="T138" s="25">
        <f t="shared" si="120"/>
        <v>3776.8415999999997</v>
      </c>
      <c r="U138" s="50">
        <f t="shared" si="121"/>
        <v>53.121599999999944</v>
      </c>
    </row>
    <row r="139" spans="1:21">
      <c r="A139" s="128"/>
      <c r="B139" s="57">
        <v>255</v>
      </c>
      <c r="C139" s="57" t="s">
        <v>174</v>
      </c>
      <c r="D139" s="110" t="s">
        <v>180</v>
      </c>
      <c r="E139" s="7">
        <v>1</v>
      </c>
      <c r="F139" s="4">
        <v>1</v>
      </c>
      <c r="G139" s="32">
        <f t="shared" si="112"/>
        <v>12</v>
      </c>
      <c r="H139" s="3">
        <v>1686</v>
      </c>
      <c r="I139" s="3">
        <f t="shared" si="113"/>
        <v>20232</v>
      </c>
      <c r="J139" s="8">
        <f t="shared" si="114"/>
        <v>11995.860496384355</v>
      </c>
      <c r="K139" s="23">
        <f>References!$C$17*J139</f>
        <v>23.991720992768734</v>
      </c>
      <c r="L139" s="29">
        <f>K139/References!$F$19</f>
        <v>24.512614041143024</v>
      </c>
      <c r="M139" s="29">
        <f t="shared" si="115"/>
        <v>2.0427178367619185</v>
      </c>
      <c r="N139" s="46">
        <v>158.80000000000001</v>
      </c>
      <c r="O139" s="29">
        <f>MROUND(N139+M139,References!$E$28)</f>
        <v>160.84</v>
      </c>
      <c r="P139" s="23">
        <f t="shared" si="116"/>
        <v>160.84</v>
      </c>
      <c r="Q139" s="25">
        <f t="shared" si="117"/>
        <v>1905.6000000000001</v>
      </c>
      <c r="R139" s="25">
        <f t="shared" si="118"/>
        <v>1930.08</v>
      </c>
      <c r="S139" s="25">
        <f t="shared" si="119"/>
        <v>24.479999999999791</v>
      </c>
      <c r="T139" s="25">
        <f t="shared" si="120"/>
        <v>1930.08</v>
      </c>
      <c r="U139" s="50">
        <f t="shared" si="121"/>
        <v>24.479999999999791</v>
      </c>
    </row>
    <row r="140" spans="1:21">
      <c r="A140" s="128"/>
      <c r="B140" s="57">
        <v>255</v>
      </c>
      <c r="C140" s="57" t="s">
        <v>174</v>
      </c>
      <c r="D140" s="110" t="s">
        <v>181</v>
      </c>
      <c r="E140" s="7">
        <v>1</v>
      </c>
      <c r="F140" s="4">
        <v>2.17</v>
      </c>
      <c r="G140" s="32">
        <f t="shared" si="112"/>
        <v>26.04</v>
      </c>
      <c r="H140" s="3">
        <v>2380</v>
      </c>
      <c r="I140" s="3">
        <f t="shared" si="113"/>
        <v>61975.199999999997</v>
      </c>
      <c r="J140" s="8">
        <f t="shared" si="114"/>
        <v>36746.038623740591</v>
      </c>
      <c r="K140" s="23">
        <f>References!$C$17*J140</f>
        <v>73.492077247481248</v>
      </c>
      <c r="L140" s="29">
        <f>K140/References!$F$19</f>
        <v>75.087690674310338</v>
      </c>
      <c r="M140" s="29">
        <f t="shared" si="115"/>
        <v>2.8835518692131465</v>
      </c>
      <c r="N140" s="46">
        <v>210.85</v>
      </c>
      <c r="O140" s="29">
        <f>MROUND(N140+M140,References!$E$28)</f>
        <v>213.73000000000002</v>
      </c>
      <c r="P140" s="23">
        <f t="shared" si="116"/>
        <v>213.73000000000002</v>
      </c>
      <c r="Q140" s="25">
        <f t="shared" si="117"/>
        <v>5490.5339999999997</v>
      </c>
      <c r="R140" s="25">
        <f t="shared" si="118"/>
        <v>5565.5291999999999</v>
      </c>
      <c r="S140" s="25">
        <f t="shared" si="119"/>
        <v>74.995200000000295</v>
      </c>
      <c r="T140" s="25">
        <f t="shared" si="120"/>
        <v>5565.5291999999999</v>
      </c>
      <c r="U140" s="50">
        <f t="shared" si="121"/>
        <v>74.995200000000295</v>
      </c>
    </row>
    <row r="141" spans="1:21">
      <c r="A141" s="128"/>
      <c r="B141" s="57">
        <v>255</v>
      </c>
      <c r="C141" s="57" t="s">
        <v>174</v>
      </c>
      <c r="D141" s="110" t="s">
        <v>182</v>
      </c>
      <c r="E141" s="7">
        <v>1</v>
      </c>
      <c r="F141" s="4">
        <v>1</v>
      </c>
      <c r="G141" s="32">
        <f t="shared" si="112"/>
        <v>12</v>
      </c>
      <c r="H141" s="3">
        <v>2380</v>
      </c>
      <c r="I141" s="3">
        <f t="shared" si="113"/>
        <v>28560</v>
      </c>
      <c r="J141" s="8">
        <f t="shared" si="114"/>
        <v>16933.658351954189</v>
      </c>
      <c r="K141" s="23">
        <f>References!$C$17*J141</f>
        <v>33.867316703908408</v>
      </c>
      <c r="L141" s="29">
        <f>K141/References!$F$19</f>
        <v>34.602622430557759</v>
      </c>
      <c r="M141" s="29">
        <f t="shared" si="115"/>
        <v>2.8835518692131465</v>
      </c>
      <c r="N141" s="46">
        <v>226.75</v>
      </c>
      <c r="O141" s="29">
        <f>MROUND(N141+M141,References!$E$28)</f>
        <v>229.63</v>
      </c>
      <c r="P141" s="23">
        <f t="shared" si="116"/>
        <v>229.63</v>
      </c>
      <c r="Q141" s="25">
        <f t="shared" si="117"/>
        <v>2721</v>
      </c>
      <c r="R141" s="25">
        <f t="shared" si="118"/>
        <v>2755.56</v>
      </c>
      <c r="S141" s="25">
        <f t="shared" si="119"/>
        <v>34.559999999999945</v>
      </c>
      <c r="T141" s="25">
        <f t="shared" si="120"/>
        <v>2755.56</v>
      </c>
      <c r="U141" s="50">
        <f t="shared" si="121"/>
        <v>34.559999999999945</v>
      </c>
    </row>
    <row r="142" spans="1:21">
      <c r="B142" s="57"/>
      <c r="C142" s="57"/>
      <c r="D142" s="6"/>
      <c r="E142" s="70"/>
      <c r="F142" s="71"/>
      <c r="G142" s="32"/>
      <c r="H142" s="3"/>
      <c r="I142" s="3"/>
      <c r="J142" s="8"/>
      <c r="K142" s="23"/>
      <c r="L142" s="23"/>
      <c r="M142" s="29"/>
      <c r="N142" s="46"/>
      <c r="O142" s="29"/>
      <c r="P142" s="23"/>
      <c r="Q142" s="25"/>
      <c r="R142" s="25"/>
      <c r="S142" s="25"/>
      <c r="T142" s="45"/>
      <c r="U142" s="50"/>
    </row>
    <row r="143" spans="1:21">
      <c r="E143" s="10"/>
      <c r="H143" s="6"/>
      <c r="I143" s="4"/>
      <c r="J143" s="4"/>
      <c r="K143" s="3"/>
      <c r="Q143" s="78"/>
      <c r="R143" s="3"/>
      <c r="S143" s="81"/>
    </row>
    <row r="144" spans="1:21">
      <c r="D144" s="11" t="s">
        <v>32</v>
      </c>
      <c r="E144" s="10">
        <v>12306.58</v>
      </c>
      <c r="H144" s="6"/>
      <c r="I144" s="4"/>
      <c r="J144" s="4"/>
      <c r="K144" s="3"/>
      <c r="Q144" s="78"/>
      <c r="R144" s="79"/>
      <c r="S144" s="81"/>
    </row>
    <row r="145" spans="4:19">
      <c r="D145" s="11" t="s">
        <v>33</v>
      </c>
      <c r="E145" s="80">
        <f>E144*2000</f>
        <v>24613160</v>
      </c>
      <c r="H145" s="6"/>
      <c r="I145" s="4"/>
      <c r="J145" s="4"/>
      <c r="K145" s="3"/>
      <c r="Q145" s="81"/>
      <c r="R145" s="79"/>
      <c r="S145" s="81"/>
    </row>
    <row r="146" spans="4:19">
      <c r="D146" s="11" t="s">
        <v>5</v>
      </c>
      <c r="E146" s="68">
        <f>G73+G68+G61+G17</f>
        <v>420416.4</v>
      </c>
      <c r="H146" s="6"/>
      <c r="I146" s="4"/>
      <c r="J146" s="4"/>
      <c r="K146" s="3"/>
      <c r="Q146" s="78"/>
      <c r="R146" s="79"/>
      <c r="S146" s="81"/>
    </row>
    <row r="147" spans="4:19">
      <c r="D147" s="111" t="s">
        <v>11</v>
      </c>
      <c r="E147" s="82">
        <f>E145/I74</f>
        <v>0.59291520840175738</v>
      </c>
      <c r="H147" s="6"/>
      <c r="I147" s="4"/>
      <c r="J147" s="4"/>
      <c r="K147" s="3"/>
      <c r="L147" s="81"/>
      <c r="M147" s="81"/>
      <c r="N147" s="83"/>
      <c r="O147" s="83"/>
      <c r="P147" s="83"/>
      <c r="Q147" s="84"/>
      <c r="R147" s="84"/>
      <c r="S147" s="81"/>
    </row>
    <row r="148" spans="4:19">
      <c r="D148" s="81"/>
      <c r="E148" s="81"/>
      <c r="F148" s="81"/>
      <c r="H148" s="6"/>
      <c r="I148" s="4"/>
      <c r="J148" s="4"/>
      <c r="K148" s="3"/>
      <c r="L148" s="81"/>
      <c r="M148" s="81"/>
      <c r="N148" s="85"/>
      <c r="O148" s="49"/>
      <c r="P148" s="49"/>
      <c r="Q148" s="50"/>
      <c r="R148" s="82"/>
    </row>
    <row r="149" spans="4:19">
      <c r="D149" s="81"/>
      <c r="E149" s="79"/>
      <c r="F149" s="86"/>
      <c r="G149" s="81"/>
      <c r="H149" s="6"/>
      <c r="I149" s="4"/>
      <c r="J149" s="4"/>
      <c r="K149" s="3"/>
      <c r="L149" s="81"/>
      <c r="M149" s="81"/>
      <c r="N149" s="85"/>
      <c r="O149" s="49"/>
      <c r="P149" s="49"/>
      <c r="Q149" s="50"/>
      <c r="R149" s="82"/>
    </row>
    <row r="150" spans="4:19">
      <c r="D150" s="81"/>
      <c r="E150" s="79"/>
      <c r="F150" s="86"/>
      <c r="H150" s="6"/>
      <c r="I150" s="4"/>
      <c r="J150" s="4"/>
      <c r="K150" s="3"/>
      <c r="L150" s="81"/>
      <c r="M150" s="81"/>
      <c r="N150" s="85"/>
      <c r="O150" s="49"/>
      <c r="P150" s="49"/>
      <c r="Q150" s="50"/>
      <c r="R150" s="82"/>
    </row>
    <row r="151" spans="4:19">
      <c r="D151" s="81"/>
      <c r="E151" s="79"/>
      <c r="F151" s="86"/>
      <c r="H151" s="19"/>
      <c r="I151" s="81"/>
      <c r="J151" s="2"/>
      <c r="K151" s="3"/>
      <c r="L151" s="81"/>
      <c r="M151" s="81"/>
      <c r="N151" s="85"/>
      <c r="O151" s="49"/>
      <c r="P151" s="49"/>
      <c r="Q151" s="82"/>
      <c r="R151" s="82"/>
    </row>
    <row r="152" spans="4:19">
      <c r="D152" s="81"/>
      <c r="E152" s="112"/>
      <c r="F152" s="81"/>
      <c r="H152" s="81"/>
      <c r="I152" s="81"/>
      <c r="J152" s="2"/>
      <c r="K152" s="81"/>
      <c r="L152" s="81"/>
      <c r="M152" s="81"/>
      <c r="N152" s="81"/>
      <c r="O152" s="50"/>
      <c r="P152" s="50"/>
      <c r="Q152" s="50"/>
      <c r="R152" s="82"/>
    </row>
    <row r="153" spans="4:19">
      <c r="D153" s="81"/>
      <c r="E153" s="81"/>
      <c r="F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</row>
    <row r="154" spans="4:19">
      <c r="D154" s="81"/>
      <c r="E154" s="81"/>
      <c r="F154" s="81"/>
    </row>
    <row r="155" spans="4:19">
      <c r="D155" s="81"/>
      <c r="E155" s="81"/>
      <c r="F155" s="81"/>
    </row>
    <row r="156" spans="4:19">
      <c r="D156" s="81"/>
      <c r="E156" s="81"/>
      <c r="F156" s="81"/>
    </row>
    <row r="157" spans="4:19">
      <c r="D157" s="81"/>
      <c r="E157" s="81"/>
      <c r="F157" s="81"/>
    </row>
    <row r="158" spans="4:19">
      <c r="D158" s="81"/>
      <c r="E158" s="81"/>
      <c r="F158" s="81"/>
    </row>
  </sheetData>
  <mergeCells count="12">
    <mergeCell ref="O3:O4"/>
    <mergeCell ref="A69:A72"/>
    <mergeCell ref="A6:A16"/>
    <mergeCell ref="A63:A67"/>
    <mergeCell ref="A49:A60"/>
    <mergeCell ref="A18:A48"/>
    <mergeCell ref="A79:A86"/>
    <mergeCell ref="A87:A92"/>
    <mergeCell ref="A93:A113"/>
    <mergeCell ref="A114:A129"/>
    <mergeCell ref="A134:A141"/>
    <mergeCell ref="A130:A133"/>
  </mergeCells>
  <pageMargins left="0.2" right="0.22" top="0.38" bottom="0.34" header="0.19" footer="0.17"/>
  <pageSetup scale="33" orientation="portrait" r:id="rId1"/>
  <headerFooter>
    <oddFooter>&amp;L&amp;F&amp;A&amp;R&amp;D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4CC7F53A69EC641937FBBBBFF02258D" ma:contentTypeVersion="52" ma:contentTypeDescription="" ma:contentTypeScope="" ma:versionID="fd632c5f3a38df7d7a6c3139318e6a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2020-11-13T08:00:00+00:00</OpenedDate>
    <SignificantOrder xmlns="dc463f71-b30c-4ab2-9473-d307f9d35888">false</SignificantOrder>
    <Date1 xmlns="dc463f71-b30c-4ab2-9473-d307f9d35888">2020-11-13T08:00:00+00:00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Pullman Disposal Service, Inc</CaseCompanyNames>
    <Nickname xmlns="http://schemas.microsoft.com/sharepoint/v3" xsi:nil="true"/>
    <DocketNumber xmlns="dc463f71-b30c-4ab2-9473-d307f9d35888">200926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A8E9A7A-19CD-4333-B0ED-E29CE3DB689C}"/>
</file>

<file path=customXml/itemProps2.xml><?xml version="1.0" encoding="utf-8"?>
<ds:datastoreItem xmlns:ds="http://schemas.openxmlformats.org/officeDocument/2006/customXml" ds:itemID="{0A5380BE-F1EB-4A9C-99A3-AE160CDFB3DD}"/>
</file>

<file path=customXml/itemProps3.xml><?xml version="1.0" encoding="utf-8"?>
<ds:datastoreItem xmlns:ds="http://schemas.openxmlformats.org/officeDocument/2006/customXml" ds:itemID="{AE2ED037-A9C3-4D21-9124-3F82E3FC82F8}"/>
</file>

<file path=customXml/itemProps4.xml><?xml version="1.0" encoding="utf-8"?>
<ds:datastoreItem xmlns:ds="http://schemas.openxmlformats.org/officeDocument/2006/customXml" ds:itemID="{6B505729-E4A9-4C1F-8FCE-89DC69F1EB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References</vt:lpstr>
      <vt:lpstr>Staff Calcs 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Logan Davis</cp:lastModifiedBy>
  <cp:lastPrinted>2020-11-10T20:22:50Z</cp:lastPrinted>
  <dcterms:created xsi:type="dcterms:W3CDTF">2013-10-29T22:33:54Z</dcterms:created>
  <dcterms:modified xsi:type="dcterms:W3CDTF">2020-11-12T00:06:34Z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0x0101006E56B4D1795A2E4DB2F0B01679ED314A0034CC7F53A69EC641937FBBBBFF02258D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